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comments2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Games" sheetId="1" state="visible" r:id="rId1"/>
    <sheet name="Current Elo Standings" sheetId="17" state="visible" r:id="rId2"/>
    <sheet name="Schedule" sheetId="12" state="visible" r:id="rId3"/>
    <sheet name="Bet Log" sheetId="10" state="visible" r:id="rId4"/>
    <sheet name="Performance" sheetId="14" state="visible" r:id="rId5"/>
    <sheet name="Elo" sheetId="13" state="visible" r:id="rId6"/>
    <sheet name="Prediction Log" sheetId="7" state="visible" r:id="rId7"/>
    <sheet name="Performance vs Market" sheetId="11" state="hidden" r:id="rId8"/>
    <sheet name="Bye Weeks" sheetId="16" state="hidden" r:id="rId9"/>
    <sheet name="Betting Lines" sheetId="15" state="visible" r:id="rId10"/>
    <sheet name="Coefficients" sheetId="2" state="visible" r:id="rId11"/>
    <sheet name="Data" sheetId="3" state="visible" r:id="rId12"/>
    <sheet name="Calc" sheetId="4" state="visible" r:id="rId13"/>
  </sheets>
  <definedNames>
    <definedName name="_xlnm._FilterDatabase" localSheetId="1" hidden="1">'Current Elo Standings'!$A$1:$A$135</definedName>
    <definedName name="_xlnm._FilterDatabase" localSheetId="2" hidden="1">Schedule!$A$1:$G$101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Sean Beney:</t>
        </r>
        <r>
          <rPr>
            <sz val="9"/>
            <color indexed="81"/>
            <rFont val="Tahoma"/>
            <family val="2"/>
          </rPr>
          <t xml:space="preserve">
Before weeks games Played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AA2" authorId="0" shapeId="0">
      <text/>
    </comment>
  </commentList>
</comments>
</file>

<file path=xl/sharedStrings.xml><?xml version="1.0" encoding="utf-8"?>
<sst xmlns="http://schemas.openxmlformats.org/spreadsheetml/2006/main" count="1519" uniqueCount="1519">
  <si>
    <t>Home</t>
  </si>
  <si>
    <t>Away</t>
  </si>
  <si>
    <t>Spread</t>
  </si>
  <si>
    <t>(Intercept)</t>
  </si>
  <si>
    <t>Predicted Spread</t>
  </si>
  <si>
    <t>Predicted Side</t>
  </si>
  <si>
    <t>W</t>
  </si>
  <si>
    <t>L</t>
  </si>
  <si>
    <t>Win %</t>
  </si>
  <si>
    <t>Total Winnings</t>
  </si>
  <si>
    <t>Correct</t>
  </si>
  <si>
    <t>Not Correct</t>
  </si>
  <si>
    <t>% Correct</t>
  </si>
  <si>
    <t>spread_home</t>
  </si>
  <si>
    <t>Side Result</t>
  </si>
  <si>
    <t>Predicted Winner Cover</t>
  </si>
  <si>
    <t>Market Side Correct</t>
  </si>
  <si>
    <t>win_pct_diff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</si>
  <si>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</si>
  <si>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</si>
  <si>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</si>
  <si>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</si>
  <si>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</si>
  <si>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</si>
  <si>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</si>
  <si>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</si>
  <si>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Sum</t>
  </si>
  <si>
    <t>Absolute Difference from Prediction</t>
  </si>
  <si>
    <t>Predictive_PwrRk_diff</t>
  </si>
  <si>
    <t>Absolute Difference from Market</t>
  </si>
  <si>
    <t>Model Predicted Side</t>
  </si>
  <si>
    <t>Market Predicted Side</t>
  </si>
  <si>
    <t>Market - Winning Team Covered (Y/N)</t>
  </si>
  <si>
    <t>Model Side Correct</t>
  </si>
  <si>
    <t>Difference from Prediction</t>
  </si>
  <si>
    <t>Overall Market Correct2</t>
  </si>
  <si>
    <t>Difference from Market</t>
  </si>
  <si>
    <t>Side</t>
  </si>
  <si>
    <t>O/U 
(Does not use this tool)</t>
  </si>
  <si>
    <t>Total</t>
  </si>
  <si>
    <t>Bet</t>
  </si>
  <si>
    <t>Amount Side</t>
  </si>
  <si>
    <t>Amount Spread</t>
  </si>
  <si>
    <t>Amount O/U</t>
  </si>
  <si>
    <t>Odds Side</t>
  </si>
  <si>
    <t>Odds Spread</t>
  </si>
  <si>
    <t>Odds O/U</t>
  </si>
  <si>
    <t>Potential Payout Side</t>
  </si>
  <si>
    <t>Potenial Winnings Side</t>
  </si>
  <si>
    <t>Potential Payout Spread</t>
  </si>
  <si>
    <t>Potenial Winnings Spread</t>
  </si>
  <si>
    <t>Potential Payout O/U</t>
  </si>
  <si>
    <t>Potenial Winnings O/U</t>
  </si>
  <si>
    <t>Result (Side)</t>
  </si>
  <si>
    <t>Winnings (Side)</t>
  </si>
  <si>
    <t>Result (Spread)</t>
  </si>
  <si>
    <t>Winnings (Spread)</t>
  </si>
  <si>
    <t>Result (O/U)</t>
  </si>
  <si>
    <t>Winnings (O/U)</t>
  </si>
  <si>
    <t>Net Gain</t>
  </si>
  <si>
    <t>Record - Sides</t>
  </si>
  <si>
    <t>Record - Spread</t>
  </si>
  <si>
    <t>Overall</t>
  </si>
  <si>
    <t>Line</t>
  </si>
  <si>
    <t>Predicted Home Cover</t>
  </si>
  <si>
    <t>Model Winner Predicted Cover</t>
  </si>
  <si>
    <t>Model Spread Correct</t>
  </si>
  <si>
    <t xml:space="preserve">Actual Difference </t>
  </si>
  <si>
    <t>Spread Team</t>
  </si>
  <si>
    <t>Win Probability</t>
  </si>
  <si>
    <t>Model Home Win Probability</t>
  </si>
  <si>
    <t>Probability</t>
  </si>
  <si>
    <t>Proabability Predicted Side</t>
  </si>
  <si>
    <t>Home Team Covered Market</t>
  </si>
  <si>
    <t>Home Team Covered Predicted</t>
  </si>
  <si>
    <t>Market Side Correct2</t>
  </si>
  <si>
    <t>Covered Market Spread and Market Side Correct</t>
  </si>
  <si>
    <t>Covered Model Spread and Model Side Correct</t>
  </si>
  <si>
    <t>N</t>
  </si>
  <si>
    <t>Y</t>
  </si>
  <si>
    <t>Week</t>
  </si>
  <si>
    <t>Result (Side) - Difference Model</t>
  </si>
  <si>
    <t>Result (Side) - Win Probability Model</t>
  </si>
  <si>
    <t>Winnings (Side) - Difference Model</t>
  </si>
  <si>
    <t>Winnings (Side) - Win Probability Model</t>
  </si>
  <si>
    <t>Net Gain - Difference Model</t>
  </si>
  <si>
    <t>Net Gain - Win Probability Model</t>
  </si>
  <si>
    <t>Record - Sides (Difference Model)</t>
  </si>
  <si>
    <t>Record - Sides (Win Probability Model)</t>
  </si>
  <si>
    <t>Odds Side - Difference Model</t>
  </si>
  <si>
    <t>Odds Side - Win Probability Model</t>
  </si>
  <si>
    <t>Potential Payout Side - Difference Model</t>
  </si>
  <si>
    <t>Potential Payout Side - Win Probability Model</t>
  </si>
  <si>
    <t>Potenial Winnings Side - Difference Model</t>
  </si>
  <si>
    <t>Potenial Winnings Side - Win Probability Model</t>
  </si>
  <si>
    <t>Predicted Side - Difference Model</t>
  </si>
  <si>
    <t>Predicted Side - Win Probability Model</t>
  </si>
  <si>
    <t>Cover Spread</t>
  </si>
  <si>
    <t>Market - Home Team Covers</t>
  </si>
  <si>
    <t>Market Home Team Covers Spread</t>
  </si>
  <si>
    <t>Market - Side Correct + Home Covers Spread</t>
  </si>
  <si>
    <t>Model Versus Market</t>
  </si>
  <si>
    <t>Avg Spread Diff vs Predicted</t>
  </si>
  <si>
    <t>Avg Spread Diff vs Market</t>
  </si>
  <si>
    <t>Avg Abs Spread Diff vs Predicted</t>
  </si>
  <si>
    <t>Avg Abs. Spread Diff vs. Market</t>
  </si>
  <si>
    <t>Team</t>
  </si>
  <si>
    <t>Conference</t>
  </si>
  <si>
    <t>Georgia</t>
  </si>
  <si>
    <t>SEC</t>
  </si>
  <si>
    <t>Oregon</t>
  </si>
  <si>
    <t>Big Ten</t>
  </si>
  <si>
    <t>Michigan</t>
  </si>
  <si>
    <t>Alabama</t>
  </si>
  <si>
    <t>Penn State</t>
  </si>
  <si>
    <t>Texas</t>
  </si>
  <si>
    <t>Notre Dame</t>
  </si>
  <si>
    <t>Ind.</t>
  </si>
  <si>
    <t>Ohio State</t>
  </si>
  <si>
    <t>Missouri</t>
  </si>
  <si>
    <t>Oklahoma</t>
  </si>
  <si>
    <t>SMU</t>
  </si>
  <si>
    <t>ACC</t>
  </si>
  <si>
    <t>LSU</t>
  </si>
  <si>
    <t>Ole Miss</t>
  </si>
  <si>
    <t>Kansas State</t>
  </si>
  <si>
    <t>Big 12</t>
  </si>
  <si>
    <t>Tennessee</t>
  </si>
  <si>
    <t>Clemson</t>
  </si>
  <si>
    <t>Texas A&amp;M</t>
  </si>
  <si>
    <t>Arizona</t>
  </si>
  <si>
    <t>Kansas</t>
  </si>
  <si>
    <t>Florida State</t>
  </si>
  <si>
    <t>Iowa State</t>
  </si>
  <si>
    <t>Memphis</t>
  </si>
  <si>
    <t>AAC</t>
  </si>
  <si>
    <t>Washington</t>
  </si>
  <si>
    <t>Appalachian State</t>
  </si>
  <si>
    <t>Sun Belt</t>
  </si>
  <si>
    <t>West Virginia</t>
  </si>
  <si>
    <t>Liberty</t>
  </si>
  <si>
    <t>C-USA</t>
  </si>
  <si>
    <t>USC</t>
  </si>
  <si>
    <t>Florida</t>
  </si>
  <si>
    <t>Virginia Tech</t>
  </si>
  <si>
    <t>TCU</t>
  </si>
  <si>
    <t>Miami</t>
  </si>
  <si>
    <t>Maryland</t>
  </si>
  <si>
    <t>Boise State</t>
  </si>
  <si>
    <t>MWC</t>
  </si>
  <si>
    <t>Oklahoma State</t>
  </si>
  <si>
    <t>UCF</t>
  </si>
  <si>
    <t>Auburn</t>
  </si>
  <si>
    <t>North Carolina</t>
  </si>
  <si>
    <t>South Alabama</t>
  </si>
  <si>
    <t>Wisconsin</t>
  </si>
  <si>
    <t>UCLA</t>
  </si>
  <si>
    <t>Duke</t>
  </si>
  <si>
    <t>Texas Tech</t>
  </si>
  <si>
    <t>Kentucky</t>
  </si>
  <si>
    <t>Troy</t>
  </si>
  <si>
    <t>Georgia Tech</t>
  </si>
  <si>
    <t>NC State</t>
  </si>
  <si>
    <t>Louisville</t>
  </si>
  <si>
    <t>Utah</t>
  </si>
  <si>
    <t>Fresno State</t>
  </si>
  <si>
    <t>Oregon State</t>
  </si>
  <si>
    <t>James Madison</t>
  </si>
  <si>
    <t>South Carolina</t>
  </si>
  <si>
    <t>Toledo</t>
  </si>
  <si>
    <t>MAC</t>
  </si>
  <si>
    <t>UT San Antonio</t>
  </si>
  <si>
    <t>South Florida</t>
  </si>
  <si>
    <t>Tulane</t>
  </si>
  <si>
    <t>Nebraska</t>
  </si>
  <si>
    <t>California</t>
  </si>
  <si>
    <t>Washington State</t>
  </si>
  <si>
    <t>Iowa</t>
  </si>
  <si>
    <t>Illinois</t>
  </si>
  <si>
    <t>UNLV</t>
  </si>
  <si>
    <t>Purdue</t>
  </si>
  <si>
    <t>Miami (OH)</t>
  </si>
  <si>
    <t>Arkansas</t>
  </si>
  <si>
    <t>Minnesota</t>
  </si>
  <si>
    <t>San José State</t>
  </si>
  <si>
    <t>Northwestern</t>
  </si>
  <si>
    <t>Houston</t>
  </si>
  <si>
    <t>Rutgers</t>
  </si>
  <si>
    <t>Boston College</t>
  </si>
  <si>
    <t>Louisiana</t>
  </si>
  <si>
    <t>Jacksonville State</t>
  </si>
  <si>
    <t>Arkansas State</t>
  </si>
  <si>
    <t>Pittsburgh</t>
  </si>
  <si>
    <t>Air Force</t>
  </si>
  <si>
    <t>Bowling Green</t>
  </si>
  <si>
    <t>Western Kentucky</t>
  </si>
  <si>
    <t>Ohio</t>
  </si>
  <si>
    <t>Baylor</t>
  </si>
  <si>
    <t>Coastal Carolina</t>
  </si>
  <si>
    <t>Wyoming</t>
  </si>
  <si>
    <t>Northern Illinois</t>
  </si>
  <si>
    <t>Mississippi State</t>
  </si>
  <si>
    <t>BYU</t>
  </si>
  <si>
    <t>UAB</t>
  </si>
  <si>
    <t>Texas State</t>
  </si>
  <si>
    <t>Colorado</t>
  </si>
  <si>
    <t>Wake Forest</t>
  </si>
  <si>
    <t>Colorado State</t>
  </si>
  <si>
    <t>Cincinnati</t>
  </si>
  <si>
    <t>Georgia Southern</t>
  </si>
  <si>
    <t>Indiana</t>
  </si>
  <si>
    <t>Middle Tennessee</t>
  </si>
  <si>
    <t>Michigan State</t>
  </si>
  <si>
    <t>Rice</t>
  </si>
  <si>
    <t>Old Dominion</t>
  </si>
  <si>
    <t>Virginia</t>
  </si>
  <si>
    <t>Georgia State</t>
  </si>
  <si>
    <t>Arizona State</t>
  </si>
  <si>
    <t>North Texas</t>
  </si>
  <si>
    <t>Syracuse</t>
  </si>
  <si>
    <t>San Diego State</t>
  </si>
  <si>
    <t>Stanford</t>
  </si>
  <si>
    <t>Marshall</t>
  </si>
  <si>
    <t>East Carolina</t>
  </si>
  <si>
    <t>Army</t>
  </si>
  <si>
    <t>Utah State</t>
  </si>
  <si>
    <t>Florida Atlantic</t>
  </si>
  <si>
    <t>New Mexico State</t>
  </si>
  <si>
    <t>Hawai'i</t>
  </si>
  <si>
    <t>Western Michigan</t>
  </si>
  <si>
    <t>Central Michigan</t>
  </si>
  <si>
    <t>Sam Houston State</t>
  </si>
  <si>
    <t>Tulsa</t>
  </si>
  <si>
    <t>Ball State</t>
  </si>
  <si>
    <t>Vanderbilt</t>
  </si>
  <si>
    <t>New Mexico</t>
  </si>
  <si>
    <t>Buffalo</t>
  </si>
  <si>
    <t>Navy</t>
  </si>
  <si>
    <t>UTEP</t>
  </si>
  <si>
    <t>Southern Mississippi</t>
  </si>
  <si>
    <t>Eastern Michigan</t>
  </si>
  <si>
    <t>Charlotte</t>
  </si>
  <si>
    <t>Louisiana Tech</t>
  </si>
  <si>
    <t>Akron</t>
  </si>
  <si>
    <t>Connecticut</t>
  </si>
  <si>
    <t>Nevada</t>
  </si>
  <si>
    <t>Florida International</t>
  </si>
  <si>
    <t>Temple</t>
  </si>
  <si>
    <t>Kent State</t>
  </si>
  <si>
    <t>UMass</t>
  </si>
  <si>
    <t>Louisiana Monroe</t>
  </si>
  <si>
    <t>Kennesaw State</t>
  </si>
  <si>
    <t>Home Elo</t>
  </si>
  <si>
    <t>Away_Elo</t>
  </si>
  <si>
    <t>Current Elo</t>
  </si>
  <si>
    <t>Current Elo Rank</t>
  </si>
  <si>
    <t>Neutral</t>
  </si>
  <si>
    <t>Post Bye Home</t>
  </si>
  <si>
    <t>Post Bye Away</t>
  </si>
  <si>
    <t>Win Probability Home</t>
  </si>
  <si>
    <t>Win Probability Away</t>
  </si>
  <si>
    <t>Elo Projected Winner</t>
  </si>
  <si>
    <t>New Elo Rank</t>
  </si>
  <si>
    <t>Elo Predicted Side</t>
  </si>
  <si>
    <t>Result</t>
  </si>
  <si>
    <t>Home Score</t>
  </si>
  <si>
    <t>Away Score</t>
  </si>
  <si>
    <t>Elo Win Probability</t>
  </si>
  <si>
    <t>school</t>
  </si>
  <si>
    <t>Elo Win Probability Side Correct</t>
  </si>
  <si>
    <t>Model Predicted Winning Team Covers</t>
  </si>
  <si>
    <t>Odds - Side</t>
  </si>
  <si>
    <t>Amount - Side</t>
  </si>
  <si>
    <t>Odds - Spread</t>
  </si>
  <si>
    <t>Week 0</t>
  </si>
  <si>
    <t>Week 1</t>
  </si>
  <si>
    <t>Winner Elo</t>
  </si>
  <si>
    <t>Loser Elo</t>
  </si>
  <si>
    <t>Point Difference</t>
  </si>
  <si>
    <t>Winner Elo Diff</t>
  </si>
  <si>
    <t>Montana State</t>
  </si>
  <si>
    <t>Delaware State</t>
  </si>
  <si>
    <t>Howard</t>
  </si>
  <si>
    <t>Central Connecticut</t>
  </si>
  <si>
    <t>Jackson State</t>
  </si>
  <si>
    <t>Lafayette</t>
  </si>
  <si>
    <t>North Carolina A&amp;T</t>
  </si>
  <si>
    <t>New Hampshire</t>
  </si>
  <si>
    <t>Western Carolina</t>
  </si>
  <si>
    <t>Fordham</t>
  </si>
  <si>
    <t>Duquesne</t>
  </si>
  <si>
    <t>Arkansas-Pine Bluff</t>
  </si>
  <si>
    <t>Alcorn State</t>
  </si>
  <si>
    <t>Lindenwood</t>
  </si>
  <si>
    <t>Murray State</t>
  </si>
  <si>
    <t>North Dakota State</t>
  </si>
  <si>
    <t>Northwestern State</t>
  </si>
  <si>
    <t>Southeastern Louisiana</t>
  </si>
  <si>
    <t>Eastern Illinois</t>
  </si>
  <si>
    <t>Southern Utah</t>
  </si>
  <si>
    <t>Sacramento State</t>
  </si>
  <si>
    <t>Lehigh</t>
  </si>
  <si>
    <t>Elon</t>
  </si>
  <si>
    <t>Robert Morris</t>
  </si>
  <si>
    <t>Indiana State</t>
  </si>
  <si>
    <t>Bucknell</t>
  </si>
  <si>
    <t>Austin Peay</t>
  </si>
  <si>
    <t>Illinois State</t>
  </si>
  <si>
    <t>Chattanooga</t>
  </si>
  <si>
    <t>South Dakota State</t>
  </si>
  <si>
    <t>Towson</t>
  </si>
  <si>
    <t>Portland State</t>
  </si>
  <si>
    <t>Merrimack</t>
  </si>
  <si>
    <t>Western Illinois</t>
  </si>
  <si>
    <t>North Dakota</t>
  </si>
  <si>
    <t>East Tennessee State</t>
  </si>
  <si>
    <t>Stony Brook</t>
  </si>
  <si>
    <t>UC Davis</t>
  </si>
  <si>
    <t>Richmond</t>
  </si>
  <si>
    <t>Eastern Kentucky</t>
  </si>
  <si>
    <t>Campbell</t>
  </si>
  <si>
    <t>Norfolk State</t>
  </si>
  <si>
    <t>Idaho State</t>
  </si>
  <si>
    <t>Central Arkansas</t>
  </si>
  <si>
    <t>Furman</t>
  </si>
  <si>
    <t>North Alabama</t>
  </si>
  <si>
    <t>Tennessee Tech</t>
  </si>
  <si>
    <t>UT Martin</t>
  </si>
  <si>
    <t>Tarleton State</t>
  </si>
  <si>
    <t>Bethune-Cookman</t>
  </si>
  <si>
    <t>Idaho</t>
  </si>
  <si>
    <t>Abilene Christian</t>
  </si>
  <si>
    <t>Alabama A&amp;M</t>
  </si>
  <si>
    <t>Nicholls</t>
  </si>
  <si>
    <t>Grambling</t>
  </si>
  <si>
    <t>Southern Illinois</t>
  </si>
  <si>
    <t>Texas A&amp;M-Commerce</t>
  </si>
  <si>
    <t>Lamar</t>
  </si>
  <si>
    <t>Southeast Missouri State</t>
  </si>
  <si>
    <t>Weber State</t>
  </si>
  <si>
    <t>MOV Multiplier</t>
  </si>
  <si>
    <t>Forecast Delta</t>
  </si>
  <si>
    <t>K Factor</t>
  </si>
  <si>
    <t>Elo Adjustment</t>
  </si>
  <si>
    <t>New Home Elo</t>
  </si>
  <si>
    <t>New Away Elo</t>
  </si>
  <si>
    <t>Elo Predicted Spread</t>
  </si>
  <si>
    <t>Weekly Change</t>
  </si>
  <si>
    <t>Pre Season</t>
  </si>
  <si>
    <t>Pre Season Elo Rank</t>
  </si>
  <si>
    <t>(Intercept)</t>
  </si>
  <si>
    <t>spread_home</t>
  </si>
  <si>
    <t>win_pct_diff</t>
  </si>
  <si>
    <t>Pwr_Rk_diff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</si>
  <si>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</si>
  <si>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</si>
  <si>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</si>
  <si>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</si>
  <si>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</si>
  <si>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</si>
  <si>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</si>
  <si>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</si>
  <si>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week</t>
  </si>
  <si>
    <t>start_date</t>
  </si>
  <si>
    <t>home_team</t>
  </si>
  <si>
    <t>away_team</t>
  </si>
  <si>
    <t>home_pregame_elo</t>
  </si>
  <si>
    <t>away_pregame_elo</t>
  </si>
  <si>
    <t>neutral_site</t>
  </si>
  <si>
    <t>2024-08-24T16:00:00.000Z</t>
  </si>
  <si>
    <t>Georgia Tech</t>
  </si>
  <si>
    <t>Florida State</t>
  </si>
  <si>
    <t>2024-08-24T20:00:00.000Z</t>
  </si>
  <si>
    <t>New Mexico</t>
  </si>
  <si>
    <t>Montana State</t>
  </si>
  <si>
    <t>2024-08-25T00:00:00.000Z</t>
  </si>
  <si>
    <t>Nevada</t>
  </si>
  <si>
    <t>SMU</t>
  </si>
  <si>
    <t>2024-08-25T03:59:00.000Z</t>
  </si>
  <si>
    <t>Hawai'i</t>
  </si>
  <si>
    <t>Delaware State</t>
  </si>
  <si>
    <t>2024-08-29T22:00:00.000Z</t>
  </si>
  <si>
    <t>Rutgers</t>
  </si>
  <si>
    <t>Howard</t>
  </si>
  <si>
    <t>2024-08-29T23:00:00.000Z</t>
  </si>
  <si>
    <t>UCF</t>
  </si>
  <si>
    <t>New Hampshire</t>
  </si>
  <si>
    <t>NC State</t>
  </si>
  <si>
    <t>Western Carolina</t>
  </si>
  <si>
    <t>Louisiana Monroe</t>
  </si>
  <si>
    <t>Jackson State</t>
  </si>
  <si>
    <t>Wake Forest</t>
  </si>
  <si>
    <t>North Carolina A&amp;T</t>
  </si>
  <si>
    <t>Bowling Green</t>
  </si>
  <si>
    <t>Fordham</t>
  </si>
  <si>
    <t>Buffalo</t>
  </si>
  <si>
    <t>Lafayette</t>
  </si>
  <si>
    <t>Central Michigan</t>
  </si>
  <si>
    <t>Central Connecticut</t>
  </si>
  <si>
    <t>2024-08-29T23:30:00.000Z</t>
  </si>
  <si>
    <t>Toledo</t>
  </si>
  <si>
    <t>Duquesne</t>
  </si>
  <si>
    <t>Arkansas</t>
  </si>
  <si>
    <t>Arkansas-Pine Bluff</t>
  </si>
  <si>
    <t>2024-08-30T00:00:00.000Z</t>
  </si>
  <si>
    <t>Jacksonville State</t>
  </si>
  <si>
    <t>Coastal Carolina</t>
  </si>
  <si>
    <t>Colorado</t>
  </si>
  <si>
    <t>North Dakota State</t>
  </si>
  <si>
    <t>Minnesota</t>
  </si>
  <si>
    <t>North Carolina</t>
  </si>
  <si>
    <t>UAB</t>
  </si>
  <si>
    <t>Alcorn State</t>
  </si>
  <si>
    <t>Tulane</t>
  </si>
  <si>
    <t>Southeastern Louisiana</t>
  </si>
  <si>
    <t>Tulsa</t>
  </si>
  <si>
    <t>Northwestern State</t>
  </si>
  <si>
    <t>Kansas</t>
  </si>
  <si>
    <t>Lindenwood</t>
  </si>
  <si>
    <t>Missouri</t>
  </si>
  <si>
    <t>Murray State</t>
  </si>
  <si>
    <t>2024-08-30T01:00:00.000Z</t>
  </si>
  <si>
    <t>Illinois</t>
  </si>
  <si>
    <t>Eastern Illinois</t>
  </si>
  <si>
    <t>Utah</t>
  </si>
  <si>
    <t>Southern Utah</t>
  </si>
  <si>
    <t>2024-08-30T02:00:00.000Z</t>
  </si>
  <si>
    <t>San José State</t>
  </si>
  <si>
    <t>Sacramento State</t>
  </si>
  <si>
    <t>2024-08-30T22:00:00.000Z</t>
  </si>
  <si>
    <t>Army</t>
  </si>
  <si>
    <t>Lehigh</t>
  </si>
  <si>
    <t>2024-08-30T23:00:00.000Z</t>
  </si>
  <si>
    <t>Oklahoma</t>
  </si>
  <si>
    <t>Temple</t>
  </si>
  <si>
    <t>Michigan State</t>
  </si>
  <si>
    <t>Florida Atlantic</t>
  </si>
  <si>
    <t>2024-08-30T23:30:00.000Z</t>
  </si>
  <si>
    <t>Duke</t>
  </si>
  <si>
    <t>Elon</t>
  </si>
  <si>
    <t>2024-08-31T01:00:00.000Z</t>
  </si>
  <si>
    <t>Wisconsin</t>
  </si>
  <si>
    <t>Western Michigan</t>
  </si>
  <si>
    <t>2024-08-31T02:30:00.000Z</t>
  </si>
  <si>
    <t>Stanford</t>
  </si>
  <si>
    <t>TCU</t>
  </si>
  <si>
    <t>2024-08-31T04:00:00.000Z</t>
  </si>
  <si>
    <t>Utah State</t>
  </si>
  <si>
    <t>Robert Morris</t>
  </si>
  <si>
    <t>2024-08-31T16:00:00.000Z</t>
  </si>
  <si>
    <t>Navy</t>
  </si>
  <si>
    <t>Bucknell</t>
  </si>
  <si>
    <t>Maryland</t>
  </si>
  <si>
    <t>Connecticut</t>
  </si>
  <si>
    <t>Louisville</t>
  </si>
  <si>
    <t>Austin Peay</t>
  </si>
  <si>
    <t>Purdue</t>
  </si>
  <si>
    <t>Indiana State</t>
  </si>
  <si>
    <t>West Virginia</t>
  </si>
  <si>
    <t>Penn State</t>
  </si>
  <si>
    <t>Iowa</t>
  </si>
  <si>
    <t>Illinois State</t>
  </si>
  <si>
    <t>Vanderbilt</t>
  </si>
  <si>
    <t>Virginia Tech</t>
  </si>
  <si>
    <t>Pittsburgh</t>
  </si>
  <si>
    <t>Kent State</t>
  </si>
  <si>
    <t>Georgia</t>
  </si>
  <si>
    <t>Clemson</t>
  </si>
  <si>
    <t>2024-08-31T16:45:00.000Z</t>
  </si>
  <si>
    <t>Tennessee</t>
  </si>
  <si>
    <t>Chattanooga</t>
  </si>
  <si>
    <t>2024-08-31T18:00:00.000Z</t>
  </si>
  <si>
    <t>Oklahoma State</t>
  </si>
  <si>
    <t>South Dakota State</t>
  </si>
  <si>
    <t>2024-08-31T18:30:00.000Z</t>
  </si>
  <si>
    <t>Cincinnati</t>
  </si>
  <si>
    <t>Towson</t>
  </si>
  <si>
    <t>2024-08-31T19:00:00.000Z</t>
  </si>
  <si>
    <t>Washington State</t>
  </si>
  <si>
    <t>Portland State</t>
  </si>
  <si>
    <t>2024-08-31T19:30:00.000Z</t>
  </si>
  <si>
    <t>Nebraska</t>
  </si>
  <si>
    <t>UTEP</t>
  </si>
  <si>
    <t>Indiana</t>
  </si>
  <si>
    <t>Florida International</t>
  </si>
  <si>
    <t>Ohio State</t>
  </si>
  <si>
    <t>Akron</t>
  </si>
  <si>
    <t>Northwestern</t>
  </si>
  <si>
    <t>Miami (OH)</t>
  </si>
  <si>
    <t>UT San Antonio</t>
  </si>
  <si>
    <t>Kennesaw State</t>
  </si>
  <si>
    <t>Syracuse</t>
  </si>
  <si>
    <t>Ohio</t>
  </si>
  <si>
    <t>Texas</t>
  </si>
  <si>
    <t>Colorado State</t>
  </si>
  <si>
    <t>Florida</t>
  </si>
  <si>
    <t>Miami</t>
  </si>
  <si>
    <t>Air Force</t>
  </si>
  <si>
    <t>Merrimack</t>
  </si>
  <si>
    <t>Northern Illinois</t>
  </si>
  <si>
    <t>Western Illinois</t>
  </si>
  <si>
    <t>UMass</t>
  </si>
  <si>
    <t>Eastern Michigan</t>
  </si>
  <si>
    <t>Appalachian State</t>
  </si>
  <si>
    <t>East Tennessee State</t>
  </si>
  <si>
    <t>Iowa State</t>
  </si>
  <si>
    <t>North Dakota</t>
  </si>
  <si>
    <t>2024-08-31T20:00:00.000Z</t>
  </si>
  <si>
    <t>Georgia Southern</t>
  </si>
  <si>
    <t>Boise State</t>
  </si>
  <si>
    <t>2024-08-31T20:15:00.000Z</t>
  </si>
  <si>
    <t>South Carolina</t>
  </si>
  <si>
    <t>Old Dominion</t>
  </si>
  <si>
    <t>2024-08-31T21:00:00.000Z</t>
  </si>
  <si>
    <t>Marshall</t>
  </si>
  <si>
    <t>Stony Brook</t>
  </si>
  <si>
    <t>South Alabama</t>
  </si>
  <si>
    <t>North Texas</t>
  </si>
  <si>
    <t>California</t>
  </si>
  <si>
    <t>UC Davis</t>
  </si>
  <si>
    <t>2024-08-31T22:00:00.000Z</t>
  </si>
  <si>
    <t>East Carolina</t>
  </si>
  <si>
    <t>Norfolk State</t>
  </si>
  <si>
    <t>Virginia</t>
  </si>
  <si>
    <t>Richmond</t>
  </si>
  <si>
    <t>Liberty</t>
  </si>
  <si>
    <t>Campbell</t>
  </si>
  <si>
    <t>Mississippi State</t>
  </si>
  <si>
    <t>Eastern Kentucky</t>
  </si>
  <si>
    <t>2024-08-31T22:30:00.000Z</t>
  </si>
  <si>
    <t>Oregon State</t>
  </si>
  <si>
    <t>Idaho State</t>
  </si>
  <si>
    <t>2024-08-31T23:00:00.000Z</t>
  </si>
  <si>
    <t>Houston</t>
  </si>
  <si>
    <t>UNLV</t>
  </si>
  <si>
    <t>Troy</t>
  </si>
  <si>
    <t>Rice</t>
  </si>
  <si>
    <t>Sam Houston State</t>
  </si>
  <si>
    <t>Alabama</t>
  </si>
  <si>
    <t>Western Kentucky</t>
  </si>
  <si>
    <t>Arkansas State</t>
  </si>
  <si>
    <t>Central Arkansas</t>
  </si>
  <si>
    <t>Ole Miss</t>
  </si>
  <si>
    <t>Furman</t>
  </si>
  <si>
    <t>South Florida</t>
  </si>
  <si>
    <t>Bethune-Cookman</t>
  </si>
  <si>
    <t>Baylor</t>
  </si>
  <si>
    <t>Tarleton State</t>
  </si>
  <si>
    <t>Kansas State</t>
  </si>
  <si>
    <t>UT Martin</t>
  </si>
  <si>
    <t>Middle Tennessee</t>
  </si>
  <si>
    <t>Tennessee Tech</t>
  </si>
  <si>
    <t>Memphis</t>
  </si>
  <si>
    <t>North Alabama</t>
  </si>
  <si>
    <t>2024-08-31T23:30:00.000Z</t>
  </si>
  <si>
    <t>UCLA</t>
  </si>
  <si>
    <t>Texas Tech</t>
  </si>
  <si>
    <t>Abilene Christian</t>
  </si>
  <si>
    <t>Oregon</t>
  </si>
  <si>
    <t>Idaho</t>
  </si>
  <si>
    <t>Michigan</t>
  </si>
  <si>
    <t>Fresno State</t>
  </si>
  <si>
    <t>Auburn</t>
  </si>
  <si>
    <t>Alabama A&amp;M</t>
  </si>
  <si>
    <t>Texas A&amp;M</t>
  </si>
  <si>
    <t>Notre Dame</t>
  </si>
  <si>
    <t>2024-08-31T23:45:00.000Z</t>
  </si>
  <si>
    <t>Kentucky</t>
  </si>
  <si>
    <t>Southern Mississippi</t>
  </si>
  <si>
    <t>2024-09-01T00:00:00.000Z</t>
  </si>
  <si>
    <t>Louisiana Tech</t>
  </si>
  <si>
    <t>Nicholls</t>
  </si>
  <si>
    <t>San Diego State</t>
  </si>
  <si>
    <t>Texas A&amp;M-Commerce</t>
  </si>
  <si>
    <t>Louisiana</t>
  </si>
  <si>
    <t>Grambling</t>
  </si>
  <si>
    <t>BYU</t>
  </si>
  <si>
    <t>Southern Illinois</t>
  </si>
  <si>
    <t>Houston Christian</t>
  </si>
  <si>
    <t>Texas State</t>
  </si>
  <si>
    <t>Lamar</t>
  </si>
  <si>
    <t>Charlotte</t>
  </si>
  <si>
    <t>James Madison</t>
  </si>
  <si>
    <t>Georgia State</t>
  </si>
  <si>
    <t>2024-09-01T01:00:00.000Z</t>
  </si>
  <si>
    <t>New Mexico State</t>
  </si>
  <si>
    <t>Southeast Missouri State</t>
  </si>
  <si>
    <t>2024-09-01T02:30:00.000Z</t>
  </si>
  <si>
    <t>Arizona State</t>
  </si>
  <si>
    <t>Wyoming</t>
  </si>
  <si>
    <t>Arizona</t>
  </si>
  <si>
    <t>2024-09-01T03:00:00.000Z</t>
  </si>
  <si>
    <t>Washington</t>
  </si>
  <si>
    <t>Weber State</t>
  </si>
  <si>
    <t>2024-09-01T23:30:00.000Z</t>
  </si>
  <si>
    <t>LSU</t>
  </si>
  <si>
    <t>USC</t>
  </si>
  <si>
    <t>2024-09-02T23:30:00.000Z</t>
  </si>
  <si>
    <t>Boston College</t>
  </si>
  <si>
    <t>provider</t>
  </si>
  <si>
    <t>spread_open</t>
  </si>
  <si>
    <t>spread</t>
  </si>
  <si>
    <t>over_under</t>
  </si>
  <si>
    <t>over_under_open</t>
  </si>
  <si>
    <t>home_moneyline</t>
  </si>
  <si>
    <t>away_moneyline</t>
  </si>
  <si>
    <t>DraftKings</t>
  </si>
  <si>
    <t>-1</t>
  </si>
  <si>
    <t>-2.5</t>
  </si>
  <si>
    <t>46.5</t>
  </si>
  <si>
    <t>47</t>
  </si>
  <si>
    <t>8.5</t>
  </si>
  <si>
    <t>61</t>
  </si>
  <si>
    <t>-42.5</t>
  </si>
  <si>
    <t>59.5</t>
  </si>
  <si>
    <t>-31</t>
  </si>
  <si>
    <t>60</t>
  </si>
  <si>
    <t>60.5</t>
  </si>
  <si>
    <t>-19.5</t>
  </si>
  <si>
    <t>-20.5</t>
  </si>
  <si>
    <t>50.5</t>
  </si>
  <si>
    <t>51</t>
  </si>
  <si>
    <t>-27.5</t>
  </si>
  <si>
    <t>49</t>
  </si>
  <si>
    <t>9</t>
  </si>
  <si>
    <t>7.5</t>
  </si>
  <si>
    <t>-20</t>
  </si>
  <si>
    <t>54.5</t>
  </si>
  <si>
    <t>55.5</t>
  </si>
  <si>
    <t>-3.5</t>
  </si>
  <si>
    <t>56.5</t>
  </si>
  <si>
    <t>57</t>
  </si>
  <si>
    <t>57.5</t>
  </si>
  <si>
    <t>-25.5</t>
  </si>
  <si>
    <t>-21</t>
  </si>
  <si>
    <t>47.5</t>
  </si>
  <si>
    <t>10.5</t>
  </si>
  <si>
    <t>54</t>
  </si>
  <si>
    <t>53.5</t>
  </si>
  <si>
    <t>-38</t>
  </si>
  <si>
    <t>-8</t>
  </si>
  <si>
    <t>-9</t>
  </si>
  <si>
    <t>59</t>
  </si>
  <si>
    <t>-9.5</t>
  </si>
  <si>
    <t>-11.5</t>
  </si>
  <si>
    <t>-7</t>
  </si>
  <si>
    <t>-6</t>
  </si>
  <si>
    <t>65</t>
  </si>
  <si>
    <t>64.5</t>
  </si>
  <si>
    <t>-10.5</t>
  </si>
  <si>
    <t>48.5</t>
  </si>
  <si>
    <t>13</t>
  </si>
  <si>
    <t>11.5</t>
  </si>
  <si>
    <t>56</t>
  </si>
  <si>
    <t>-22</t>
  </si>
  <si>
    <t>51.5</t>
  </si>
  <si>
    <t>-2</t>
  </si>
  <si>
    <t>-14</t>
  </si>
  <si>
    <t>13.5</t>
  </si>
  <si>
    <t>2.5</t>
  </si>
  <si>
    <t>25</t>
  </si>
  <si>
    <t>27</t>
  </si>
  <si>
    <t>64</t>
  </si>
  <si>
    <t>62.5</t>
  </si>
  <si>
    <t>10</t>
  </si>
  <si>
    <t>-24</t>
  </si>
  <si>
    <t>49.5</t>
  </si>
  <si>
    <t>50</t>
  </si>
  <si>
    <t>-4</t>
  </si>
  <si>
    <t>43</t>
  </si>
  <si>
    <t>-17</t>
  </si>
  <si>
    <t>-17.5</t>
  </si>
  <si>
    <t>-50.5</t>
  </si>
  <si>
    <t>58.5</t>
  </si>
  <si>
    <t>1</t>
  </si>
  <si>
    <t>-23.5</t>
  </si>
  <si>
    <t>-35.5</t>
  </si>
  <si>
    <t>12</t>
  </si>
  <si>
    <t>-30.5</t>
  </si>
  <si>
    <t>48</t>
  </si>
  <si>
    <t>-3</t>
  </si>
  <si>
    <t>-1.5</t>
  </si>
  <si>
    <t>55</t>
  </si>
  <si>
    <t>-16</t>
  </si>
  <si>
    <t>-15.5</t>
  </si>
  <si>
    <t>-6.5</t>
  </si>
  <si>
    <t>team_id</t>
  </si>
  <si>
    <t>school</t>
  </si>
  <si>
    <t>conference</t>
  </si>
  <si>
    <t>PWr_Rk_Avg</t>
  </si>
  <si>
    <t>win_pct</t>
  </si>
  <si>
    <t>elo</t>
  </si>
  <si>
    <t>SRS</t>
  </si>
  <si>
    <t>fpi</t>
  </si>
  <si>
    <t>FEI</t>
  </si>
  <si>
    <t>sp_plus</t>
  </si>
  <si>
    <t>postgame_wp</t>
  </si>
  <si>
    <t>AP_rank</t>
  </si>
  <si>
    <t>Mountain West</t>
  </si>
  <si>
    <t>-5.5</t>
  </si>
  <si>
    <t>.06</t>
  </si>
  <si>
    <t>Mid-American</t>
  </si>
  <si>
    <t>-14.0</t>
  </si>
  <si>
    <t>-1.12</t>
  </si>
  <si>
    <t>SEC</t>
  </si>
  <si>
    <t>21.9</t>
  </si>
  <si>
    <t>1.04</t>
  </si>
  <si>
    <t>Sun Belt</t>
  </si>
  <si>
    <t>-0.9</t>
  </si>
  <si>
    <t>-.04</t>
  </si>
  <si>
    <t>Big 12</t>
  </si>
  <si>
    <t>9.2</t>
  </si>
  <si>
    <t>.90</t>
  </si>
  <si>
    <t>-0.3</t>
  </si>
  <si>
    <t>-.27</t>
  </si>
  <si>
    <t>4.6</t>
  </si>
  <si>
    <t>-.05</t>
  </si>
  <si>
    <t>-6.7</t>
  </si>
  <si>
    <t>-.38</t>
  </si>
  <si>
    <t>American Athletic</t>
  </si>
  <si>
    <t>-11.9</t>
  </si>
  <si>
    <t>-.50</t>
  </si>
  <si>
    <t>10.1</t>
  </si>
  <si>
    <t>.40</t>
  </si>
  <si>
    <t>Ball State</t>
  </si>
  <si>
    <t>-12.6</t>
  </si>
  <si>
    <t>-.83</t>
  </si>
  <si>
    <t>1.9</t>
  </si>
  <si>
    <t>-.26</t>
  </si>
  <si>
    <t>3.7</t>
  </si>
  <si>
    <t>.15</t>
  </si>
  <si>
    <t>ACC</t>
  </si>
  <si>
    <t>1.0</t>
  </si>
  <si>
    <t>-.21</t>
  </si>
  <si>
    <t>-7.6</t>
  </si>
  <si>
    <t>-.23</t>
  </si>
  <si>
    <t>-10.8</t>
  </si>
  <si>
    <t>-.65</t>
  </si>
  <si>
    <t>-.10</t>
  </si>
  <si>
    <t>4.7</t>
  </si>
  <si>
    <t>.26</t>
  </si>
  <si>
    <t>-.84</t>
  </si>
  <si>
    <t>-10.6</t>
  </si>
  <si>
    <t>-.87</t>
  </si>
  <si>
    <t>-0.8</t>
  </si>
  <si>
    <t>-.36</t>
  </si>
  <si>
    <t>12.2</t>
  </si>
  <si>
    <t>.52</t>
  </si>
  <si>
    <t>-6.1</t>
  </si>
  <si>
    <t>-.20</t>
  </si>
  <si>
    <t>6.0</t>
  </si>
  <si>
    <t>.01</t>
  </si>
  <si>
    <t>-8.4</t>
  </si>
  <si>
    <t>-.51</t>
  </si>
  <si>
    <t>FBS Independents</t>
  </si>
  <si>
    <t>-9.3</t>
  </si>
  <si>
    <t>-.82</t>
  </si>
  <si>
    <t>2.3</t>
  </si>
  <si>
    <t>.51</t>
  </si>
  <si>
    <t>-6.4</t>
  </si>
  <si>
    <t>-.69</t>
  </si>
  <si>
    <t>-13.4</t>
  </si>
  <si>
    <t>-1.08</t>
  </si>
  <si>
    <t>.22</t>
  </si>
  <si>
    <t>-4.8</t>
  </si>
  <si>
    <t>Conference USA</t>
  </si>
  <si>
    <t>-16.5</t>
  </si>
  <si>
    <t>-.92</t>
  </si>
  <si>
    <t>.81</t>
  </si>
  <si>
    <t>-1.6</t>
  </si>
  <si>
    <t>-.01</t>
  </si>
  <si>
    <t>26.8</t>
  </si>
  <si>
    <t>1.44</t>
  </si>
  <si>
    <t>-.52</t>
  </si>
  <si>
    <t>-.37</t>
  </si>
  <si>
    <t>5.7</t>
  </si>
  <si>
    <t>.16</t>
  </si>
  <si>
    <t>-13.8</t>
  </si>
  <si>
    <t>-2.7</t>
  </si>
  <si>
    <t>-.22</t>
  </si>
  <si>
    <t>Big Ten</t>
  </si>
  <si>
    <t>0.2</t>
  </si>
  <si>
    <t>-2.4</t>
  </si>
  <si>
    <t>5.6</t>
  </si>
  <si>
    <t>3.8</t>
  </si>
  <si>
    <t>.43</t>
  </si>
  <si>
    <t>-6.3</t>
  </si>
  <si>
    <t>-.19</t>
  </si>
  <si>
    <t>2.6</t>
  </si>
  <si>
    <t>.29</t>
  </si>
  <si>
    <t>11.2</t>
  </si>
  <si>
    <t>.54</t>
  </si>
  <si>
    <t>10.0</t>
  </si>
  <si>
    <t>.97</t>
  </si>
  <si>
    <t>-15.0</t>
  </si>
  <si>
    <t>-18.6</t>
  </si>
  <si>
    <t>-1.48</t>
  </si>
  <si>
    <t>6.2</t>
  </si>
  <si>
    <t>.36</t>
  </si>
  <si>
    <t>-3.0</t>
  </si>
  <si>
    <t>.44</t>
  </si>
  <si>
    <t>-14.1</t>
  </si>
  <si>
    <t>-.93</t>
  </si>
  <si>
    <t>-.78</t>
  </si>
  <si>
    <t>.60</t>
  </si>
  <si>
    <t>14.6</t>
  </si>
  <si>
    <t>.93</t>
  </si>
  <si>
    <t>-5.3</t>
  </si>
  <si>
    <t>-.35</t>
  </si>
  <si>
    <t>4.1</t>
  </si>
  <si>
    <t>.55</t>
  </si>
  <si>
    <t>9.6</t>
  </si>
  <si>
    <t>.42</t>
  </si>
  <si>
    <t>-5.6</t>
  </si>
  <si>
    <t>-.15</t>
  </si>
  <si>
    <t>14.9</t>
  </si>
  <si>
    <t>1.55</t>
  </si>
  <si>
    <t>-1.0</t>
  </si>
  <si>
    <t>-.44</t>
  </si>
  <si>
    <t>-9.0</t>
  </si>
  <si>
    <t>-.48</t>
  </si>
  <si>
    <t>0.4</t>
  </si>
  <si>
    <t>-.13</t>
  </si>
  <si>
    <t>3.5</t>
  </si>
  <si>
    <t>-.12</t>
  </si>
  <si>
    <t>15.4</t>
  </si>
  <si>
    <t>.94</t>
  </si>
  <si>
    <t>-12.9</t>
  </si>
  <si>
    <t>-.77</t>
  </si>
  <si>
    <t>.39</t>
  </si>
  <si>
    <t>4.8</t>
  </si>
  <si>
    <t>-8.9</t>
  </si>
  <si>
    <t>-.81</t>
  </si>
  <si>
    <t>-13.5</t>
  </si>
  <si>
    <t>-.28</t>
  </si>
  <si>
    <t>.31</t>
  </si>
  <si>
    <t>-9.9</t>
  </si>
  <si>
    <t>-.45</t>
  </si>
  <si>
    <t>-.60</t>
  </si>
  <si>
    <t>1.3</t>
  </si>
  <si>
    <t>19.0</t>
  </si>
  <si>
    <t>1.07</t>
  </si>
  <si>
    <t>-.14</t>
  </si>
  <si>
    <t>22.2</t>
  </si>
  <si>
    <t>1.21</t>
  </si>
  <si>
    <t>17.2</t>
  </si>
  <si>
    <t>7.6</t>
  </si>
  <si>
    <t>.33</t>
  </si>
  <si>
    <t>-9.1</t>
  </si>
  <si>
    <t>12.0</t>
  </si>
  <si>
    <t>.70</t>
  </si>
  <si>
    <t>24.5</t>
  </si>
  <si>
    <t>1.69</t>
  </si>
  <si>
    <t>Pac-12</t>
  </si>
  <si>
    <t>5.3</t>
  </si>
  <si>
    <t>.77</t>
  </si>
  <si>
    <t>19.8</t>
  </si>
  <si>
    <t>2.2</t>
  </si>
  <si>
    <t>-.17</t>
  </si>
  <si>
    <t>0.5</t>
  </si>
  <si>
    <t>-.02</t>
  </si>
  <si>
    <t>-6.6</t>
  </si>
  <si>
    <t>-.47</t>
  </si>
  <si>
    <t>.17</t>
  </si>
  <si>
    <t>-14.3</t>
  </si>
  <si>
    <t>-.59</t>
  </si>
  <si>
    <t>-3.4</t>
  </si>
  <si>
    <t>-3.8</t>
  </si>
  <si>
    <t>-.03</t>
  </si>
  <si>
    <t>6.8</t>
  </si>
  <si>
    <t>.30</t>
  </si>
  <si>
    <t>-4.9</t>
  </si>
  <si>
    <t>.09</t>
  </si>
  <si>
    <t>.20</t>
  </si>
  <si>
    <t>-8.0</t>
  </si>
  <si>
    <t>-.71</t>
  </si>
  <si>
    <t>0.7</t>
  </si>
  <si>
    <t>-.25</t>
  </si>
  <si>
    <t>-1.2</t>
  </si>
  <si>
    <t>-.31</t>
  </si>
  <si>
    <t>7.1</t>
  </si>
  <si>
    <t>.37</t>
  </si>
  <si>
    <t>-17.7</t>
  </si>
  <si>
    <t>-1.09</t>
  </si>
  <si>
    <t>16.6</t>
  </si>
  <si>
    <t>.72</t>
  </si>
  <si>
    <t>22.9</t>
  </si>
  <si>
    <t>13.6</t>
  </si>
  <si>
    <t>.68</t>
  </si>
  <si>
    <t>-4.7</t>
  </si>
  <si>
    <t>-.24</t>
  </si>
  <si>
    <t>.34</t>
  </si>
  <si>
    <t>-7.0</t>
  </si>
  <si>
    <t>-2.0</t>
  </si>
  <si>
    <t>.38</t>
  </si>
  <si>
    <t>-1.1</t>
  </si>
  <si>
    <t>.02</t>
  </si>
  <si>
    <t>-7.1</t>
  </si>
  <si>
    <t>-.68</t>
  </si>
  <si>
    <t>.21</t>
  </si>
  <si>
    <t>4.9</t>
  </si>
  <si>
    <t>-.98</t>
  </si>
  <si>
    <t>-5.4</t>
  </si>
  <si>
    <t>11.1</t>
  </si>
  <si>
    <t>.50</t>
  </si>
  <si>
    <t>-7.5</t>
  </si>
  <si>
    <t>-.53</t>
  </si>
  <si>
    <t>-9.8</t>
  </si>
  <si>
    <t>-.80</t>
  </si>
  <si>
    <t>1.6</t>
  </si>
  <si>
    <t>-2.2</t>
  </si>
  <si>
    <t>-1.4</t>
  </si>
  <si>
    <t>3.0</t>
  </si>
  <si>
    <t>.27</t>
  </si>
  <si>
    <t>-1.3</t>
  </si>
  <si>
    <t>-.18</t>
  </si>
  <si>
    <t>6.7</t>
  </si>
  <si>
    <t>1.09</t>
  </si>
  <si>
    <t>-0.5</t>
  </si>
  <si>
    <t>-.30</t>
  </si>
  <si>
    <t>5.0</t>
  </si>
  <si>
    <t>.25</t>
  </si>
  <si>
    <t>-.09</t>
  </si>
  <si>
    <t>Week 2</t>
  </si>
  <si>
    <t>Week 3</t>
  </si>
  <si>
    <t>Week 4</t>
  </si>
  <si>
    <t>Week 5</t>
  </si>
  <si>
    <t>Rank</t>
  </si>
  <si>
    <t>x</t>
  </si>
  <si>
    <t>Point Differential Model Record - Correct Spread Prediction</t>
  </si>
  <si>
    <t>Point Differential - Result</t>
  </si>
  <si>
    <t>Point Differential Model Record - Result</t>
  </si>
  <si>
    <t>Market Record - Result</t>
  </si>
  <si>
    <t>Elo Model Record - Result</t>
  </si>
  <si>
    <t>Point Differential Model Record - Result + Spread</t>
  </si>
  <si>
    <t>Excitement Index</t>
  </si>
  <si>
    <t>Point Differential - Spread</t>
  </si>
  <si>
    <t>ROI</t>
  </si>
  <si>
    <t xml:space="preserve">(Intercept)</t>
  </si>
  <si>
    <t xml:space="preserve">spread_home</t>
  </si>
  <si>
    <t xml:space="preserve">win_pct_diff</t>
  </si>
  <si>
    <t xml:space="preserve">Pwr_Rk_diff</t>
  </si>
  <si>
    <t xml:space="preserve">elo_diff</t>
  </si>
  <si>
    <t xml:space="preserve">SRS_diff</t>
  </si>
  <si>
    <t xml:space="preserve">fpi_diff</t>
  </si>
  <si>
    <t xml:space="preserve">fei_diff</t>
  </si>
  <si>
    <t xml:space="preserve">sp_plus_diff</t>
  </si>
  <si>
    <t xml:space="preserve">postgame_wp_diff</t>
  </si>
  <si>
    <t xml:space="preserve">AP_home</t>
  </si>
  <si>
    <t xml:space="preserve">AP_away</t>
  </si>
  <si>
    <t xml:space="preserve">week</t>
  </si>
  <si>
    <t xml:space="preserve">start_date</t>
  </si>
  <si>
    <t xml:space="preserve">home_team</t>
  </si>
  <si>
    <t xml:space="preserve">away_team</t>
  </si>
  <si>
    <t xml:space="preserve">home_pregame_elo</t>
  </si>
  <si>
    <t xml:space="preserve">away_pregame_elo</t>
  </si>
  <si>
    <t xml:space="preserve">neutral_site</t>
  </si>
  <si>
    <t xml:space="preserve">2024-08-24T16:00:00.000Z</t>
  </si>
  <si>
    <t xml:space="preserve">Georgia Tech</t>
  </si>
  <si>
    <t xml:space="preserve">Florida State</t>
  </si>
  <si>
    <t xml:space="preserve">2024-08-24T20:00:00.000Z</t>
  </si>
  <si>
    <t xml:space="preserve">New Mexico</t>
  </si>
  <si>
    <t xml:space="preserve">Montana State</t>
  </si>
  <si>
    <t xml:space="preserve">2024-08-25T00:00:00.000Z</t>
  </si>
  <si>
    <t xml:space="preserve">Nevada</t>
  </si>
  <si>
    <t xml:space="preserve">SMU</t>
  </si>
  <si>
    <t xml:space="preserve">2024-08-25T03:59:00.000Z</t>
  </si>
  <si>
    <t xml:space="preserve">Hawai'i</t>
  </si>
  <si>
    <t xml:space="preserve">Delaware State</t>
  </si>
  <si>
    <t xml:space="preserve">2024-08-29T22:00:00.000Z</t>
  </si>
  <si>
    <t xml:space="preserve">Rutgers</t>
  </si>
  <si>
    <t xml:space="preserve">Howard</t>
  </si>
  <si>
    <t xml:space="preserve">2024-08-29T23:00:00.000Z</t>
  </si>
  <si>
    <t xml:space="preserve">Louisiana Monroe</t>
  </si>
  <si>
    <t xml:space="preserve">Jackson State</t>
  </si>
  <si>
    <t xml:space="preserve">NC State</t>
  </si>
  <si>
    <t xml:space="preserve">Western Carolina</t>
  </si>
  <si>
    <t xml:space="preserve">UCF</t>
  </si>
  <si>
    <t xml:space="preserve">New Hampshire</t>
  </si>
  <si>
    <t xml:space="preserve">Wake Forest</t>
  </si>
  <si>
    <t xml:space="preserve">North Carolina A&amp;T</t>
  </si>
  <si>
    <t xml:space="preserve">Buffalo</t>
  </si>
  <si>
    <t xml:space="preserve">Lafayette</t>
  </si>
  <si>
    <t xml:space="preserve">Bowling Green</t>
  </si>
  <si>
    <t xml:space="preserve">Fordham</t>
  </si>
  <si>
    <t xml:space="preserve">Central Michigan</t>
  </si>
  <si>
    <t xml:space="preserve">Central Connecticut</t>
  </si>
  <si>
    <t xml:space="preserve">2024-08-29T23:30:00.000Z</t>
  </si>
  <si>
    <t xml:space="preserve">Arkansas</t>
  </si>
  <si>
    <t xml:space="preserve">Arkansas-Pine Bluff</t>
  </si>
  <si>
    <t xml:space="preserve">Toledo</t>
  </si>
  <si>
    <t xml:space="preserve">Duquesne</t>
  </si>
  <si>
    <t xml:space="preserve">2024-08-30T00:00:00.000Z</t>
  </si>
  <si>
    <t xml:space="preserve">Tulsa</t>
  </si>
  <si>
    <t xml:space="preserve">Northwestern State</t>
  </si>
  <si>
    <t xml:space="preserve">Minnesota</t>
  </si>
  <si>
    <t xml:space="preserve">North Carolina</t>
  </si>
  <si>
    <t xml:space="preserve">Jacksonville State</t>
  </si>
  <si>
    <t xml:space="preserve">Coastal Carolina</t>
  </si>
  <si>
    <t xml:space="preserve">Colorado</t>
  </si>
  <si>
    <t xml:space="preserve">North Dakota State</t>
  </si>
  <si>
    <t xml:space="preserve">UAB</t>
  </si>
  <si>
    <t xml:space="preserve">Alcorn State</t>
  </si>
  <si>
    <t xml:space="preserve">Tulane</t>
  </si>
  <si>
    <t xml:space="preserve">Southeastern Louisiana</t>
  </si>
  <si>
    <t xml:space="preserve">Missouri</t>
  </si>
  <si>
    <t xml:space="preserve">Murray State</t>
  </si>
  <si>
    <t xml:space="preserve">Kansas</t>
  </si>
  <si>
    <t xml:space="preserve">Lindenwood</t>
  </si>
  <si>
    <t xml:space="preserve">2024-08-30T01:00:00.000Z</t>
  </si>
  <si>
    <t xml:space="preserve">Illinois</t>
  </si>
  <si>
    <t xml:space="preserve">Eastern Illinois</t>
  </si>
  <si>
    <t xml:space="preserve">Utah</t>
  </si>
  <si>
    <t xml:space="preserve">Southern Utah</t>
  </si>
  <si>
    <t xml:space="preserve">2024-08-30T02:00:00.000Z</t>
  </si>
  <si>
    <t xml:space="preserve">San José State</t>
  </si>
  <si>
    <t xml:space="preserve">Sacramento State</t>
  </si>
  <si>
    <t xml:space="preserve">2024-08-30T22:00:00.000Z</t>
  </si>
  <si>
    <t xml:space="preserve">Army</t>
  </si>
  <si>
    <t xml:space="preserve">Lehigh</t>
  </si>
  <si>
    <t xml:space="preserve">2024-08-30T23:00:00.000Z</t>
  </si>
  <si>
    <t xml:space="preserve">Michigan State</t>
  </si>
  <si>
    <t xml:space="preserve">Florida Atlantic</t>
  </si>
  <si>
    <t xml:space="preserve">Oklahoma</t>
  </si>
  <si>
    <t xml:space="preserve">Temple</t>
  </si>
  <si>
    <t xml:space="preserve">2024-08-30T23:30:00.000Z</t>
  </si>
  <si>
    <t xml:space="preserve">Duke</t>
  </si>
  <si>
    <t xml:space="preserve">Elon</t>
  </si>
  <si>
    <t xml:space="preserve">2024-08-31T01:00:00.000Z</t>
  </si>
  <si>
    <t xml:space="preserve">Wisconsin</t>
  </si>
  <si>
    <t xml:space="preserve">Western Michigan</t>
  </si>
  <si>
    <t xml:space="preserve">2024-08-31T02:30:00.000Z</t>
  </si>
  <si>
    <t xml:space="preserve">Stanford</t>
  </si>
  <si>
    <t xml:space="preserve">TCU</t>
  </si>
  <si>
    <t xml:space="preserve">2024-08-31T04:00:00.000Z</t>
  </si>
  <si>
    <t xml:space="preserve">Utah State</t>
  </si>
  <si>
    <t xml:space="preserve">Robert Morris</t>
  </si>
  <si>
    <t xml:space="preserve">2024-08-31T16:00:00.000Z</t>
  </si>
  <si>
    <t xml:space="preserve">Louisville</t>
  </si>
  <si>
    <t xml:space="preserve">Austin Peay</t>
  </si>
  <si>
    <t xml:space="preserve">Purdue</t>
  </si>
  <si>
    <t xml:space="preserve">Indiana State</t>
  </si>
  <si>
    <t xml:space="preserve">Navy</t>
  </si>
  <si>
    <t xml:space="preserve">Bucknell</t>
  </si>
  <si>
    <t xml:space="preserve">West Virginia</t>
  </si>
  <si>
    <t xml:space="preserve">Penn State</t>
  </si>
  <si>
    <t xml:space="preserve">Vanderbilt</t>
  </si>
  <si>
    <t xml:space="preserve">Virginia Tech</t>
  </si>
  <si>
    <t xml:space="preserve">Pittsburgh</t>
  </si>
  <si>
    <t xml:space="preserve">Kent State</t>
  </si>
  <si>
    <t xml:space="preserve">Georgia</t>
  </si>
  <si>
    <t xml:space="preserve">Clemson</t>
  </si>
  <si>
    <t xml:space="preserve">Maryland</t>
  </si>
  <si>
    <t xml:space="preserve">Connecticut</t>
  </si>
  <si>
    <t xml:space="preserve">Iowa</t>
  </si>
  <si>
    <t xml:space="preserve">Illinois State</t>
  </si>
  <si>
    <t xml:space="preserve">2024-08-31T16:45:00.000Z</t>
  </si>
  <si>
    <t xml:space="preserve">Tennessee</t>
  </si>
  <si>
    <t xml:space="preserve">Chattanooga</t>
  </si>
  <si>
    <t xml:space="preserve">2024-08-31T18:00:00.000Z</t>
  </si>
  <si>
    <t xml:space="preserve">Oklahoma State</t>
  </si>
  <si>
    <t xml:space="preserve">South Dakota State</t>
  </si>
  <si>
    <t xml:space="preserve">2024-08-31T18:30:00.000Z</t>
  </si>
  <si>
    <t xml:space="preserve">Cincinnati</t>
  </si>
  <si>
    <t xml:space="preserve">Towson</t>
  </si>
  <si>
    <t xml:space="preserve">2024-08-31T19:00:00.000Z</t>
  </si>
  <si>
    <t xml:space="preserve">Washington State</t>
  </si>
  <si>
    <t xml:space="preserve">Portland State</t>
  </si>
  <si>
    <t xml:space="preserve">2024-08-31T19:30:00.000Z</t>
  </si>
  <si>
    <t xml:space="preserve">Appalachian State</t>
  </si>
  <si>
    <t xml:space="preserve">East Tennessee State</t>
  </si>
  <si>
    <t xml:space="preserve">Northwestern</t>
  </si>
  <si>
    <t xml:space="preserve">Miami (OH)</t>
  </si>
  <si>
    <t xml:space="preserve">Nebraska</t>
  </si>
  <si>
    <t xml:space="preserve">UTEP</t>
  </si>
  <si>
    <t xml:space="preserve">Iowa State</t>
  </si>
  <si>
    <t xml:space="preserve">North Dakota</t>
  </si>
  <si>
    <t xml:space="preserve">UMass</t>
  </si>
  <si>
    <t xml:space="preserve">Eastern Michigan</t>
  </si>
  <si>
    <t xml:space="preserve">Air Force</t>
  </si>
  <si>
    <t xml:space="preserve">Merrimack</t>
  </si>
  <si>
    <t xml:space="preserve">Indiana</t>
  </si>
  <si>
    <t xml:space="preserve">Florida International</t>
  </si>
  <si>
    <t xml:space="preserve">Ohio State</t>
  </si>
  <si>
    <t xml:space="preserve">Akron</t>
  </si>
  <si>
    <t xml:space="preserve">Northern Illinois</t>
  </si>
  <si>
    <t xml:space="preserve">Western Illinois</t>
  </si>
  <si>
    <t xml:space="preserve">Florida</t>
  </si>
  <si>
    <t xml:space="preserve">Miami</t>
  </si>
  <si>
    <t xml:space="preserve">Texas</t>
  </si>
  <si>
    <t xml:space="preserve">Colorado State</t>
  </si>
  <si>
    <t xml:space="preserve">Syracuse</t>
  </si>
  <si>
    <t xml:space="preserve">Ohio</t>
  </si>
  <si>
    <t xml:space="preserve">UT San Antonio</t>
  </si>
  <si>
    <t xml:space="preserve">Kennesaw State</t>
  </si>
  <si>
    <t xml:space="preserve">2024-08-31T20:00:00.000Z</t>
  </si>
  <si>
    <t xml:space="preserve">Georgia Southern</t>
  </si>
  <si>
    <t xml:space="preserve">Boise State</t>
  </si>
  <si>
    <t xml:space="preserve">2024-08-31T20:15:00.000Z</t>
  </si>
  <si>
    <t xml:space="preserve">South Carolina</t>
  </si>
  <si>
    <t xml:space="preserve">Old Dominion</t>
  </si>
  <si>
    <t xml:space="preserve">2024-08-31T21:00:00.000Z</t>
  </si>
  <si>
    <t xml:space="preserve">Marshall</t>
  </si>
  <si>
    <t xml:space="preserve">Stony Brook</t>
  </si>
  <si>
    <t xml:space="preserve">South Alabama</t>
  </si>
  <si>
    <t xml:space="preserve">North Texas</t>
  </si>
  <si>
    <t xml:space="preserve">California</t>
  </si>
  <si>
    <t xml:space="preserve">UC Davis</t>
  </si>
  <si>
    <t xml:space="preserve">2024-08-31T22:00:00.000Z</t>
  </si>
  <si>
    <t xml:space="preserve">Liberty</t>
  </si>
  <si>
    <t xml:space="preserve">Campbell</t>
  </si>
  <si>
    <t xml:space="preserve">Mississippi State</t>
  </si>
  <si>
    <t xml:space="preserve">Eastern Kentucky</t>
  </si>
  <si>
    <t xml:space="preserve">Virginia</t>
  </si>
  <si>
    <t xml:space="preserve">Richmond</t>
  </si>
  <si>
    <t xml:space="preserve">East Carolina</t>
  </si>
  <si>
    <t xml:space="preserve">Norfolk State</t>
  </si>
  <si>
    <t xml:space="preserve">2024-08-31T22:30:00.000Z</t>
  </si>
  <si>
    <t xml:space="preserve">Oregon State</t>
  </si>
  <si>
    <t xml:space="preserve">Idaho State</t>
  </si>
  <si>
    <t xml:space="preserve">2024-08-31T23:00:00.000Z</t>
  </si>
  <si>
    <t xml:space="preserve">Rice</t>
  </si>
  <si>
    <t xml:space="preserve">Sam Houston State</t>
  </si>
  <si>
    <t xml:space="preserve">Alabama</t>
  </si>
  <si>
    <t xml:space="preserve">Western Kentucky</t>
  </si>
  <si>
    <t xml:space="preserve">South Florida</t>
  </si>
  <si>
    <t xml:space="preserve">Bethune-Cookman</t>
  </si>
  <si>
    <t xml:space="preserve">Baylor</t>
  </si>
  <si>
    <t xml:space="preserve">Tarleton State</t>
  </si>
  <si>
    <t xml:space="preserve">Memphis</t>
  </si>
  <si>
    <t xml:space="preserve">North Alabama</t>
  </si>
  <si>
    <t xml:space="preserve">Arkansas State</t>
  </si>
  <si>
    <t xml:space="preserve">Central Arkansas</t>
  </si>
  <si>
    <t xml:space="preserve">Kansas State</t>
  </si>
  <si>
    <t xml:space="preserve">UT Martin</t>
  </si>
  <si>
    <t xml:space="preserve">Middle Tennessee</t>
  </si>
  <si>
    <t xml:space="preserve">Tennessee Tech</t>
  </si>
  <si>
    <t xml:space="preserve">Ole Miss</t>
  </si>
  <si>
    <t xml:space="preserve">Furman</t>
  </si>
  <si>
    <t xml:space="preserve">Troy</t>
  </si>
  <si>
    <t xml:space="preserve">Houston</t>
  </si>
  <si>
    <t xml:space="preserve">UNLV</t>
  </si>
  <si>
    <t xml:space="preserve">2024-08-31T23:30:00.000Z</t>
  </si>
  <si>
    <t xml:space="preserve">UCLA</t>
  </si>
  <si>
    <t xml:space="preserve">Texas A&amp;M</t>
  </si>
  <si>
    <t xml:space="preserve">Notre Dame</t>
  </si>
  <si>
    <t xml:space="preserve">Michigan</t>
  </si>
  <si>
    <t xml:space="preserve">Fresno State</t>
  </si>
  <si>
    <t xml:space="preserve">Texas Tech</t>
  </si>
  <si>
    <t xml:space="preserve">Abilene Christian</t>
  </si>
  <si>
    <t xml:space="preserve">Auburn</t>
  </si>
  <si>
    <t xml:space="preserve">Alabama A&amp;M</t>
  </si>
  <si>
    <t xml:space="preserve">Oregon</t>
  </si>
  <si>
    <t xml:space="preserve">Idaho</t>
  </si>
  <si>
    <t xml:space="preserve">2024-08-31T23:45:00.000Z</t>
  </si>
  <si>
    <t xml:space="preserve">Kentucky</t>
  </si>
  <si>
    <t xml:space="preserve">Southern Mississippi</t>
  </si>
  <si>
    <t xml:space="preserve">2024-09-01T00:00:00.000Z</t>
  </si>
  <si>
    <t xml:space="preserve">San Diego State</t>
  </si>
  <si>
    <t xml:space="preserve">Texas A&amp;M-Commerce</t>
  </si>
  <si>
    <t xml:space="preserve">Louisiana Tech</t>
  </si>
  <si>
    <t xml:space="preserve">Nicholls</t>
  </si>
  <si>
    <t xml:space="preserve">Texas State</t>
  </si>
  <si>
    <t xml:space="preserve">Lamar</t>
  </si>
  <si>
    <t xml:space="preserve">BYU</t>
  </si>
  <si>
    <t xml:space="preserve">Southern Illinois</t>
  </si>
  <si>
    <t xml:space="preserve">Houston Christian</t>
  </si>
  <si>
    <t xml:space="preserve">Charlotte</t>
  </si>
  <si>
    <t xml:space="preserve">James Madison</t>
  </si>
  <si>
    <t xml:space="preserve">Georgia State</t>
  </si>
  <si>
    <t xml:space="preserve">Louisiana</t>
  </si>
  <si>
    <t xml:space="preserve">Grambling</t>
  </si>
  <si>
    <t xml:space="preserve">2024-09-01T01:00:00.000Z</t>
  </si>
  <si>
    <t xml:space="preserve">New Mexico State</t>
  </si>
  <si>
    <t xml:space="preserve">Southeast Missouri State</t>
  </si>
  <si>
    <t xml:space="preserve">2024-09-01T02:30:00.000Z</t>
  </si>
  <si>
    <t xml:space="preserve">Arizona</t>
  </si>
  <si>
    <t xml:space="preserve">Arizona State</t>
  </si>
  <si>
    <t xml:space="preserve">Wyoming</t>
  </si>
  <si>
    <t xml:space="preserve">2024-09-01T03:00:00.000Z</t>
  </si>
  <si>
    <t xml:space="preserve">Washington</t>
  </si>
  <si>
    <t xml:space="preserve">Weber State</t>
  </si>
  <si>
    <t xml:space="preserve">2024-09-01T23:30:00.000Z</t>
  </si>
  <si>
    <t xml:space="preserve">LSU</t>
  </si>
  <si>
    <t xml:space="preserve">USC</t>
  </si>
  <si>
    <t xml:space="preserve">2024-09-02T23:30:00.000Z</t>
  </si>
  <si>
    <t xml:space="preserve">Boston College</t>
  </si>
  <si>
    <t xml:space="preserve">provider</t>
  </si>
  <si>
    <t xml:space="preserve">spread_open</t>
  </si>
  <si>
    <t xml:space="preserve">spread</t>
  </si>
  <si>
    <t xml:space="preserve">over_under</t>
  </si>
  <si>
    <t xml:space="preserve">over_under_open</t>
  </si>
  <si>
    <t xml:space="preserve">home_moneyline</t>
  </si>
  <si>
    <t xml:space="preserve">away_moneyline</t>
  </si>
  <si>
    <t xml:space="preserve">DraftKings</t>
  </si>
  <si>
    <t xml:space="preserve">-1</t>
  </si>
  <si>
    <t xml:space="preserve">-2.5</t>
  </si>
  <si>
    <t xml:space="preserve">46.5</t>
  </si>
  <si>
    <t xml:space="preserve">47</t>
  </si>
  <si>
    <t xml:space="preserve">8.5</t>
  </si>
  <si>
    <t xml:space="preserve">61</t>
  </si>
  <si>
    <t xml:space="preserve">-42.5</t>
  </si>
  <si>
    <t xml:space="preserve">59.5</t>
  </si>
  <si>
    <t xml:space="preserve">-31</t>
  </si>
  <si>
    <t xml:space="preserve">60</t>
  </si>
  <si>
    <t xml:space="preserve">60.5</t>
  </si>
  <si>
    <t xml:space="preserve">-19.5</t>
  </si>
  <si>
    <t xml:space="preserve">-20.5</t>
  </si>
  <si>
    <t xml:space="preserve">50.5</t>
  </si>
  <si>
    <t xml:space="preserve">51</t>
  </si>
  <si>
    <t xml:space="preserve">-27.5</t>
  </si>
  <si>
    <t xml:space="preserve">49</t>
  </si>
  <si>
    <t xml:space="preserve">9</t>
  </si>
  <si>
    <t xml:space="preserve">7.5</t>
  </si>
  <si>
    <t xml:space="preserve">-20</t>
  </si>
  <si>
    <t xml:space="preserve">54.5</t>
  </si>
  <si>
    <t xml:space="preserve">55.5</t>
  </si>
  <si>
    <t xml:space="preserve">-3.5</t>
  </si>
  <si>
    <t xml:space="preserve">56.5</t>
  </si>
  <si>
    <t xml:space="preserve">57</t>
  </si>
  <si>
    <t xml:space="preserve">57.5</t>
  </si>
  <si>
    <t xml:space="preserve">-25.5</t>
  </si>
  <si>
    <t xml:space="preserve">-21</t>
  </si>
  <si>
    <t xml:space="preserve">47.5</t>
  </si>
  <si>
    <t xml:space="preserve">10.5</t>
  </si>
  <si>
    <t xml:space="preserve">54</t>
  </si>
  <si>
    <t xml:space="preserve">53.5</t>
  </si>
  <si>
    <t xml:space="preserve">-38</t>
  </si>
  <si>
    <t xml:space="preserve">-8</t>
  </si>
  <si>
    <t xml:space="preserve">-9</t>
  </si>
  <si>
    <t xml:space="preserve">59</t>
  </si>
  <si>
    <t xml:space="preserve">-9.5</t>
  </si>
  <si>
    <t xml:space="preserve">-11.5</t>
  </si>
  <si>
    <t xml:space="preserve">-7</t>
  </si>
  <si>
    <t xml:space="preserve">-6</t>
  </si>
  <si>
    <t xml:space="preserve">65</t>
  </si>
  <si>
    <t xml:space="preserve">64.5</t>
  </si>
  <si>
    <t xml:space="preserve">-10.5</t>
  </si>
  <si>
    <t xml:space="preserve">48.5</t>
  </si>
  <si>
    <t xml:space="preserve">13</t>
  </si>
  <si>
    <t xml:space="preserve">11.5</t>
  </si>
  <si>
    <t xml:space="preserve">56</t>
  </si>
  <si>
    <t xml:space="preserve">-22</t>
  </si>
  <si>
    <t xml:space="preserve">-16.5</t>
  </si>
  <si>
    <t xml:space="preserve">50</t>
  </si>
  <si>
    <t xml:space="preserve">51.5</t>
  </si>
  <si>
    <t xml:space="preserve">-2</t>
  </si>
  <si>
    <t xml:space="preserve">-14</t>
  </si>
  <si>
    <t xml:space="preserve">13.5</t>
  </si>
  <si>
    <t xml:space="preserve">2.5</t>
  </si>
  <si>
    <t xml:space="preserve">25</t>
  </si>
  <si>
    <t xml:space="preserve">27</t>
  </si>
  <si>
    <t xml:space="preserve">-4</t>
  </si>
  <si>
    <t xml:space="preserve">66.5</t>
  </si>
  <si>
    <t xml:space="preserve">62.5</t>
  </si>
  <si>
    <t xml:space="preserve">10</t>
  </si>
  <si>
    <t xml:space="preserve">-24</t>
  </si>
  <si>
    <t xml:space="preserve">49.5</t>
  </si>
  <si>
    <t xml:space="preserve">43</t>
  </si>
  <si>
    <t xml:space="preserve">-17</t>
  </si>
  <si>
    <t xml:space="preserve">-17.5</t>
  </si>
  <si>
    <t xml:space="preserve">-50.5</t>
  </si>
  <si>
    <t xml:space="preserve">58.5</t>
  </si>
  <si>
    <t xml:space="preserve">1</t>
  </si>
  <si>
    <t xml:space="preserve">-23.5</t>
  </si>
  <si>
    <t xml:space="preserve">-35.5</t>
  </si>
  <si>
    <t xml:space="preserve">12</t>
  </si>
  <si>
    <t xml:space="preserve">-30.5</t>
  </si>
  <si>
    <t xml:space="preserve">48</t>
  </si>
  <si>
    <t xml:space="preserve">-3</t>
  </si>
  <si>
    <t xml:space="preserve">-1.5</t>
  </si>
  <si>
    <t xml:space="preserve">55</t>
  </si>
  <si>
    <t xml:space="preserve">-16</t>
  </si>
  <si>
    <t xml:space="preserve">-15.5</t>
  </si>
  <si>
    <t xml:space="preserve">-6.5</t>
  </si>
  <si>
    <t xml:space="preserve">team_id</t>
  </si>
  <si>
    <t xml:space="preserve">school</t>
  </si>
  <si>
    <t xml:space="preserve">conference</t>
  </si>
  <si>
    <t xml:space="preserve">PWr_Rk_Avg</t>
  </si>
  <si>
    <t xml:space="preserve">win_pct</t>
  </si>
  <si>
    <t xml:space="preserve">elo</t>
  </si>
  <si>
    <t xml:space="preserve">SRS</t>
  </si>
  <si>
    <t xml:space="preserve">fpi</t>
  </si>
  <si>
    <t xml:space="preserve">FEI</t>
  </si>
  <si>
    <t xml:space="preserve">sp_plus</t>
  </si>
  <si>
    <t xml:space="preserve">postgame_wp</t>
  </si>
  <si>
    <t xml:space="preserve">AP_rank</t>
  </si>
  <si>
    <t xml:space="preserve">Mountain West</t>
  </si>
  <si>
    <t xml:space="preserve">-9.0</t>
  </si>
  <si>
    <t xml:space="preserve">.06</t>
  </si>
  <si>
    <t xml:space="preserve">Mid-American</t>
  </si>
  <si>
    <t xml:space="preserve">-15.3</t>
  </si>
  <si>
    <t xml:space="preserve">-1.12</t>
  </si>
  <si>
    <t xml:space="preserve">SEC</t>
  </si>
  <si>
    <t xml:space="preserve">27.2</t>
  </si>
  <si>
    <t xml:space="preserve">1.04</t>
  </si>
  <si>
    <t xml:space="preserve">Sun Belt</t>
  </si>
  <si>
    <t xml:space="preserve">-1.9</t>
  </si>
  <si>
    <t xml:space="preserve">-.04</t>
  </si>
  <si>
    <t xml:space="preserve">Big 12</t>
  </si>
  <si>
    <t xml:space="preserve">9.5</t>
  </si>
  <si>
    <t xml:space="preserve">.90</t>
  </si>
  <si>
    <t xml:space="preserve">5.5</t>
  </si>
  <si>
    <t xml:space="preserve">-.27</t>
  </si>
  <si>
    <t xml:space="preserve">8.4</t>
  </si>
  <si>
    <t xml:space="preserve">-.05</t>
  </si>
  <si>
    <t xml:space="preserve">-9.3</t>
  </si>
  <si>
    <t xml:space="preserve">-.38</t>
  </si>
  <si>
    <t xml:space="preserve">American Athletic</t>
  </si>
  <si>
    <t xml:space="preserve">-9.1</t>
  </si>
  <si>
    <t xml:space="preserve">-.50</t>
  </si>
  <si>
    <t xml:space="preserve">12.4</t>
  </si>
  <si>
    <t xml:space="preserve">.40</t>
  </si>
  <si>
    <t xml:space="preserve">Ball State</t>
  </si>
  <si>
    <t xml:space="preserve">-12.6</t>
  </si>
  <si>
    <t xml:space="preserve">-.83</t>
  </si>
  <si>
    <t xml:space="preserve">1.2</t>
  </si>
  <si>
    <t xml:space="preserve">-.26</t>
  </si>
  <si>
    <t xml:space="preserve">5.6</t>
  </si>
  <si>
    <t xml:space="preserve">.15</t>
  </si>
  <si>
    <t xml:space="preserve">ACC</t>
  </si>
  <si>
    <t xml:space="preserve">1.0</t>
  </si>
  <si>
    <t xml:space="preserve">-.21</t>
  </si>
  <si>
    <t xml:space="preserve">-8.6</t>
  </si>
  <si>
    <t xml:space="preserve">-.23</t>
  </si>
  <si>
    <t xml:space="preserve">-12.8</t>
  </si>
  <si>
    <t xml:space="preserve">-.65</t>
  </si>
  <si>
    <t xml:space="preserve">0.2</t>
  </si>
  <si>
    <t xml:space="preserve">-.10</t>
  </si>
  <si>
    <t xml:space="preserve">2.6</t>
  </si>
  <si>
    <t xml:space="preserve">.26</t>
  </si>
  <si>
    <t xml:space="preserve">-4.6</t>
  </si>
  <si>
    <t xml:space="preserve">-.84</t>
  </si>
  <si>
    <t xml:space="preserve">-13.5</t>
  </si>
  <si>
    <t xml:space="preserve">-.87</t>
  </si>
  <si>
    <t xml:space="preserve">-0.5</t>
  </si>
  <si>
    <t xml:space="preserve">-.36</t>
  </si>
  <si>
    <t xml:space="preserve">9.6</t>
  </si>
  <si>
    <t xml:space="preserve">.52</t>
  </si>
  <si>
    <t xml:space="preserve">-0.7</t>
  </si>
  <si>
    <t xml:space="preserve">-.20</t>
  </si>
  <si>
    <t xml:space="preserve">5.8</t>
  </si>
  <si>
    <t xml:space="preserve">.01</t>
  </si>
  <si>
    <t xml:space="preserve">-11.7</t>
  </si>
  <si>
    <t xml:space="preserve">-.51</t>
  </si>
  <si>
    <t xml:space="preserve">FBS Independents</t>
  </si>
  <si>
    <t xml:space="preserve">-13.8</t>
  </si>
  <si>
    <t xml:space="preserve">-.82</t>
  </si>
  <si>
    <t xml:space="preserve">0.6</t>
  </si>
  <si>
    <t xml:space="preserve">.51</t>
  </si>
  <si>
    <t xml:space="preserve">-5.2</t>
  </si>
  <si>
    <t xml:space="preserve">-.69</t>
  </si>
  <si>
    <t xml:space="preserve">-10.0</t>
  </si>
  <si>
    <t xml:space="preserve">-1.08</t>
  </si>
  <si>
    <t xml:space="preserve">4.4</t>
  </si>
  <si>
    <t xml:space="preserve">.22</t>
  </si>
  <si>
    <t xml:space="preserve">-5.4</t>
  </si>
  <si>
    <t xml:space="preserve">Conference USA</t>
  </si>
  <si>
    <t xml:space="preserve">-17.7</t>
  </si>
  <si>
    <t xml:space="preserve">-.92</t>
  </si>
  <si>
    <t xml:space="preserve">12.1</t>
  </si>
  <si>
    <t xml:space="preserve">.81</t>
  </si>
  <si>
    <t xml:space="preserve">-1.7</t>
  </si>
  <si>
    <t xml:space="preserve">-.01</t>
  </si>
  <si>
    <t xml:space="preserve">29.6</t>
  </si>
  <si>
    <t xml:space="preserve">1.44</t>
  </si>
  <si>
    <t xml:space="preserve">-.52</t>
  </si>
  <si>
    <t xml:space="preserve">-7.0</t>
  </si>
  <si>
    <t xml:space="preserve">-.37</t>
  </si>
  <si>
    <t xml:space="preserve">8.0</t>
  </si>
  <si>
    <t xml:space="preserve">.16</t>
  </si>
  <si>
    <t xml:space="preserve">-9.6</t>
  </si>
  <si>
    <t xml:space="preserve">-.22</t>
  </si>
  <si>
    <t xml:space="preserve">Big Ten</t>
  </si>
  <si>
    <t xml:space="preserve">1.8</t>
  </si>
  <si>
    <t xml:space="preserve">-1.1</t>
  </si>
  <si>
    <t xml:space="preserve">8.1</t>
  </si>
  <si>
    <t xml:space="preserve">1.6</t>
  </si>
  <si>
    <t xml:space="preserve">.43</t>
  </si>
  <si>
    <t xml:space="preserve">-13.0</t>
  </si>
  <si>
    <t xml:space="preserve">-.19</t>
  </si>
  <si>
    <t xml:space="preserve">5.1</t>
  </si>
  <si>
    <t xml:space="preserve">.29</t>
  </si>
  <si>
    <t xml:space="preserve">10.9</t>
  </si>
  <si>
    <t xml:space="preserve">.54</t>
  </si>
  <si>
    <t xml:space="preserve">9.7</t>
  </si>
  <si>
    <t xml:space="preserve">.97</t>
  </si>
  <si>
    <t xml:space="preserve">-14.1</t>
  </si>
  <si>
    <t xml:space="preserve">-19.9</t>
  </si>
  <si>
    <t xml:space="preserve">-1.48</t>
  </si>
  <si>
    <t xml:space="preserve">8.6</t>
  </si>
  <si>
    <t xml:space="preserve">.36</t>
  </si>
  <si>
    <t xml:space="preserve">-6.6</t>
  </si>
  <si>
    <t xml:space="preserve">.44</t>
  </si>
  <si>
    <t xml:space="preserve">-4.8</t>
  </si>
  <si>
    <t xml:space="preserve">-18.1</t>
  </si>
  <si>
    <t xml:space="preserve">-.93</t>
  </si>
  <si>
    <t xml:space="preserve">-13.2</t>
  </si>
  <si>
    <t xml:space="preserve">-.78</t>
  </si>
  <si>
    <t xml:space="preserve">14.8</t>
  </si>
  <si>
    <t xml:space="preserve">.60</t>
  </si>
  <si>
    <t xml:space="preserve">11.4</t>
  </si>
  <si>
    <t xml:space="preserve">.93</t>
  </si>
  <si>
    <t xml:space="preserve">-0.4</t>
  </si>
  <si>
    <t xml:space="preserve">-.35</t>
  </si>
  <si>
    <t xml:space="preserve">.55</t>
  </si>
  <si>
    <t xml:space="preserve">-1.6</t>
  </si>
  <si>
    <t xml:space="preserve">15.5</t>
  </si>
  <si>
    <t xml:space="preserve">.42</t>
  </si>
  <si>
    <t xml:space="preserve">-5.0</t>
  </si>
  <si>
    <t xml:space="preserve">-.15</t>
  </si>
  <si>
    <t xml:space="preserve">13.8</t>
  </si>
  <si>
    <t xml:space="preserve">1.55</t>
  </si>
  <si>
    <t xml:space="preserve">-2.8</t>
  </si>
  <si>
    <t xml:space="preserve">-.44</t>
  </si>
  <si>
    <t xml:space="preserve">-13.4</t>
  </si>
  <si>
    <t xml:space="preserve">-.48</t>
  </si>
  <si>
    <t xml:space="preserve">0.9</t>
  </si>
  <si>
    <t xml:space="preserve">-.13</t>
  </si>
  <si>
    <t xml:space="preserve">6.4</t>
  </si>
  <si>
    <t xml:space="preserve">-.12</t>
  </si>
  <si>
    <t xml:space="preserve">.94</t>
  </si>
  <si>
    <t xml:space="preserve">-12.4</t>
  </si>
  <si>
    <t xml:space="preserve">-.77</t>
  </si>
  <si>
    <t xml:space="preserve">.39</t>
  </si>
  <si>
    <t xml:space="preserve">7.8</t>
  </si>
  <si>
    <t xml:space="preserve">-6.2</t>
  </si>
  <si>
    <t xml:space="preserve">-11.8</t>
  </si>
  <si>
    <t xml:space="preserve">-.81</t>
  </si>
  <si>
    <t xml:space="preserve">-.28</t>
  </si>
  <si>
    <t xml:space="preserve">4.5</t>
  </si>
  <si>
    <t xml:space="preserve">.31</t>
  </si>
  <si>
    <t xml:space="preserve">-6.1</t>
  </si>
  <si>
    <t xml:space="preserve">-.45</t>
  </si>
  <si>
    <t xml:space="preserve">-4.7</t>
  </si>
  <si>
    <t xml:space="preserve">-.60</t>
  </si>
  <si>
    <t xml:space="preserve">-0.1</t>
  </si>
  <si>
    <t xml:space="preserve">20.3</t>
  </si>
  <si>
    <t xml:space="preserve">1.07</t>
  </si>
  <si>
    <t xml:space="preserve">-10.1</t>
  </si>
  <si>
    <t xml:space="preserve">-.14</t>
  </si>
  <si>
    <t xml:space="preserve">22.9</t>
  </si>
  <si>
    <t xml:space="preserve">1.21</t>
  </si>
  <si>
    <t xml:space="preserve">17.3</t>
  </si>
  <si>
    <t xml:space="preserve">.33</t>
  </si>
  <si>
    <t xml:space="preserve">-6.4</t>
  </si>
  <si>
    <t xml:space="preserve">17.9</t>
  </si>
  <si>
    <t xml:space="preserve">.70</t>
  </si>
  <si>
    <t xml:space="preserve">15.8</t>
  </si>
  <si>
    <t xml:space="preserve">1.69</t>
  </si>
  <si>
    <t xml:space="preserve">Pac-12</t>
  </si>
  <si>
    <t xml:space="preserve">2.4</t>
  </si>
  <si>
    <t xml:space="preserve">.77</t>
  </si>
  <si>
    <t xml:space="preserve">22.0</t>
  </si>
  <si>
    <t xml:space="preserve">4.1</t>
  </si>
  <si>
    <t xml:space="preserve">-.17</t>
  </si>
  <si>
    <t xml:space="preserve">4.0</t>
  </si>
  <si>
    <t xml:space="preserve">-.02</t>
  </si>
  <si>
    <t xml:space="preserve">-12.1</t>
  </si>
  <si>
    <t xml:space="preserve">-.47</t>
  </si>
  <si>
    <t xml:space="preserve">.17</t>
  </si>
  <si>
    <t xml:space="preserve">-7.2</t>
  </si>
  <si>
    <t xml:space="preserve">-.59</t>
  </si>
  <si>
    <t xml:space="preserve">-10.6</t>
  </si>
  <si>
    <t xml:space="preserve">-3.7</t>
  </si>
  <si>
    <t xml:space="preserve">-.03</t>
  </si>
  <si>
    <t xml:space="preserve">.30</t>
  </si>
  <si>
    <t xml:space="preserve">-7.8</t>
  </si>
  <si>
    <t xml:space="preserve">.09</t>
  </si>
  <si>
    <t xml:space="preserve">3.1</t>
  </si>
  <si>
    <t xml:space="preserve">.20</t>
  </si>
  <si>
    <t xml:space="preserve">-.71</t>
  </si>
  <si>
    <t xml:space="preserve">-0.9</t>
  </si>
  <si>
    <t xml:space="preserve">-.25</t>
  </si>
  <si>
    <t xml:space="preserve">-.31</t>
  </si>
  <si>
    <t xml:space="preserve">.37</t>
  </si>
  <si>
    <t xml:space="preserve">-18.0</t>
  </si>
  <si>
    <t xml:space="preserve">-1.09</t>
  </si>
  <si>
    <t xml:space="preserve">20.2</t>
  </si>
  <si>
    <t xml:space="preserve">.72</t>
  </si>
  <si>
    <t xml:space="preserve">25.8</t>
  </si>
  <si>
    <t xml:space="preserve">11.3</t>
  </si>
  <si>
    <t xml:space="preserve">.68</t>
  </si>
  <si>
    <t xml:space="preserve">-.24</t>
  </si>
  <si>
    <t xml:space="preserve">.34</t>
  </si>
  <si>
    <t xml:space="preserve">-5.5</t>
  </si>
  <si>
    <t xml:space="preserve">-3.3</t>
  </si>
  <si>
    <t xml:space="preserve">.38</t>
  </si>
  <si>
    <t xml:space="preserve">5.3</t>
  </si>
  <si>
    <t xml:space="preserve">.02</t>
  </si>
  <si>
    <t xml:space="preserve">-5.6</t>
  </si>
  <si>
    <t xml:space="preserve">-.68</t>
  </si>
  <si>
    <t xml:space="preserve">10.4</t>
  </si>
  <si>
    <t xml:space="preserve">.21</t>
  </si>
  <si>
    <t xml:space="preserve">1.9</t>
  </si>
  <si>
    <t xml:space="preserve">-16.4</t>
  </si>
  <si>
    <t xml:space="preserve">-.98</t>
  </si>
  <si>
    <t xml:space="preserve">-2.0</t>
  </si>
  <si>
    <t xml:space="preserve">9.4</t>
  </si>
  <si>
    <t xml:space="preserve">.50</t>
  </si>
  <si>
    <t xml:space="preserve">-10.2</t>
  </si>
  <si>
    <t xml:space="preserve">-.53</t>
  </si>
  <si>
    <t xml:space="preserve">-12.7</t>
  </si>
  <si>
    <t xml:space="preserve">-.80</t>
  </si>
  <si>
    <t xml:space="preserve">0.4</t>
  </si>
  <si>
    <t xml:space="preserve">-0.2</t>
  </si>
  <si>
    <t xml:space="preserve">-2.2</t>
  </si>
  <si>
    <t xml:space="preserve">1.5</t>
  </si>
  <si>
    <t xml:space="preserve">.27</t>
  </si>
  <si>
    <t xml:space="preserve">1.1</t>
  </si>
  <si>
    <t xml:space="preserve">-.18</t>
  </si>
  <si>
    <t xml:space="preserve">8.8</t>
  </si>
  <si>
    <t xml:space="preserve">1.09</t>
  </si>
  <si>
    <t xml:space="preserve">-15.4</t>
  </si>
  <si>
    <t xml:space="preserve">-.30</t>
  </si>
  <si>
    <t xml:space="preserve">3.7</t>
  </si>
  <si>
    <t xml:space="preserve">.25</t>
  </si>
  <si>
    <t xml:space="preserve">-13.6</t>
  </si>
  <si>
    <t xml:space="preserve">-.09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</si>
</sst>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6" formatCode="0.0"/>
    <numFmt numFmtId="165" formatCode="&quot;$&quot;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4.9989318521683403E-2"/>
      <name val="Calibri"/>
      <family val="2"/>
      <b/>
    </font>
    <font>
      <sz val="14"/>
      <color theme="1"/>
      <name val="Calibri"/>
      <family val="2"/>
      <b/>
    </font>
    <font>
      <sz val="11"/>
      <color theme="1"/>
      <name val="Calibri"/>
      <family val="2"/>
      <b/>
    </font>
    <font>
      <sz val="11"/>
      <color rgb="FF3F3F76"/>
      <name val="Calibri"/>
      <family val="2"/>
    </font>
    <font>
      <sz val="11"/>
      <color rgb="FFFA7D00"/>
      <name val="Calibri"/>
      <family val="2"/>
      <b/>
    </font>
    <font>
      <sz val="11"/>
      <color theme="0"/>
      <name val="Calibri"/>
      <family val="2"/>
    </font>
    <font>
      <sz val="11"/>
      <color theme="0"/>
      <name val="Calibri"/>
      <family val="2"/>
      <b/>
    </font>
    <font>
      <sz val="11"/>
      <color rgb="FF3F3F3F"/>
      <name val="Calibri"/>
      <family val="2"/>
      <b/>
    </font>
    <font>
      <sz val="10"/>
      <color theme="1"/>
      <name val="Calibri"/>
      <family val="2"/>
      <b/>
    </font>
    <font>
      <sz val="9"/>
      <color theme="1"/>
      <name val="Calibri"/>
      <family val="2"/>
      <b/>
    </font>
    <font>
      <sz val="11"/>
      <color theme="1"/>
      <name val="Calibri"/>
    </font>
    <font>
      <sz val="11"/>
      <color rgb="FF3F3F3F"/>
      <name val="Calibri"/>
      <family val="2"/>
    </font>
    <font>
      <sz val="10"/>
      <color theme="0"/>
      <name val="Calibri"/>
      <family val="2"/>
      <b/>
    </font>
  </fonts>
  <fills count="3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bottom style="thin">
        <color indexed="64"/>
      </bottom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indexed="64"/>
      </left>
    </border>
    <border>
      <left style="thin">
        <color indexed="64"/>
      </left>
      <top style="thin">
        <color rgb="FF000000"/>
      </top>
    </border>
    <border>
      <top style="thin">
        <color indexed="64"/>
      </top>
    </border>
    <border>
      <left style="thin">
        <color rgb="FF3F3F3F"/>
      </lef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186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164" fontId="2" fillId="2" borderId="2" xfId="0" applyFont="1" applyNumberFormat="1" applyFill="1" applyBorder="1" applyAlignment="1">
      <alignment horizontal="center"/>
    </xf>
    <xf numFmtId="164" fontId="2" fillId="2" borderId="1" xfId="0" applyFont="1" applyNumberForma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166" fontId="2" fillId="2" borderId="1" xfId="0" applyFont="1" applyNumberFormat="1" applyFill="1" applyBorder="1" applyAlignment="1">
      <alignment horizontal="center"/>
    </xf>
    <xf numFmtId="166" fontId="2" fillId="2" borderId="2" xfId="0" applyFont="1" applyNumberForma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166" fontId="4" fillId="2" borderId="4" xfId="0" applyFont="1" applyNumberFormat="1" applyFill="1" applyBorder="1" applyAlignment="1">
      <alignment horizontal="center"/>
    </xf>
    <xf numFmtId="1" fontId="2" fillId="2" borderId="2" xfId="0" applyFont="1" applyNumberFormat="1" applyFill="1" applyBorder="1"/>
    <xf numFmtId="0" fontId="5" fillId="0" borderId="5" xfId="0" applyFont="1" applyBorder="1"/>
    <xf numFmtId="0" fontId="5" fillId="0" borderId="1" xfId="0" applyFont="1" applyBorder="1"/>
    <xf numFmtId="0" fontId="5" fillId="5" borderId="3" xfId="0" applyFont="1" applyFill="1" applyBorder="1" applyAlignment="1">
      <alignment horizontal="center"/>
    </xf>
    <xf numFmtId="0" fontId="5" fillId="0" borderId="0" xfId="0" applyFont="1"/>
    <xf numFmtId="0" fontId="5" fillId="5" borderId="6" xfId="0" applyFont="1" applyFill="1" applyBorder="1" applyAlignment="1">
      <alignment horizontal="center"/>
    </xf>
    <xf numFmtId="0" fontId="6" fillId="6" borderId="7" xfId="0" applyFont="1" applyFill="1" applyBorder="1"/>
    <xf numFmtId="0" fontId="5" fillId="0" borderId="8" xfId="0" applyFont="1" applyBorder="1"/>
    <xf numFmtId="0" fontId="3" fillId="3" borderId="6" xfId="0" applyFont="1" applyFill="1" applyBorder="1" applyAlignment="1">
      <alignment horizontal="center" vertical="center" wrapText="1"/>
    </xf>
    <xf numFmtId="165" fontId="5" fillId="0" borderId="1" xfId="0" applyFont="1" applyNumberFormat="1" applyBorder="1"/>
    <xf numFmtId="0" fontId="5" fillId="0" borderId="9" xfId="0" applyFont="1" applyBorder="1"/>
    <xf numFmtId="9" fontId="2" fillId="2" borderId="10" xfId="0" applyFont="1" applyNumberForma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/>
    <xf numFmtId="0" fontId="3" fillId="8" borderId="19" xfId="0" applyFont="1" applyFill="1" applyBorder="1" applyAlignment="1">
      <alignment horizontal="center" vertical="center" wrapText="1"/>
    </xf>
    <xf numFmtId="9" fontId="2" fillId="2" borderId="9" xfId="0" applyFont="1" applyNumberFormat="1" applyFill="1" applyBorder="1" applyAlignment="1">
      <alignment horizontal="center"/>
    </xf>
    <xf numFmtId="0" fontId="3" fillId="8" borderId="20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9" xfId="0" applyFont="1" applyBorder="1"/>
    <xf numFmtId="0" fontId="1" fillId="0" borderId="22" xfId="0" applyFont="1" applyBorder="1"/>
    <xf numFmtId="0" fontId="1" fillId="0" borderId="23" xfId="0" applyFont="1" applyBorder="1"/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1" fontId="1" fillId="0" borderId="28" xfId="0" applyFont="1" applyNumberFormat="1" applyBorder="1" applyAlignment="1">
      <alignment horizontal="center"/>
    </xf>
    <xf numFmtId="1" fontId="1" fillId="0" borderId="29" xfId="0" applyFont="1" applyNumberFormat="1" applyBorder="1" applyAlignment="1">
      <alignment horizontal="center"/>
    </xf>
    <xf numFmtId="1" fontId="1" fillId="0" borderId="8" xfId="0" applyFont="1" applyNumberFormat="1" applyBorder="1" applyAlignment="1">
      <alignment horizontal="center"/>
    </xf>
    <xf numFmtId="1" fontId="1" fillId="0" borderId="9" xfId="0" applyFont="1" applyNumberFormat="1" applyBorder="1" applyAlignment="1">
      <alignment horizontal="center"/>
    </xf>
    <xf numFmtId="1" fontId="1" fillId="0" borderId="30" xfId="0" applyFont="1" applyNumberFormat="1" applyBorder="1" applyAlignment="1">
      <alignment horizontal="center"/>
    </xf>
    <xf numFmtId="0" fontId="1" fillId="0" borderId="31" xfId="0" applyFont="1" applyBorder="1"/>
    <xf numFmtId="1" fontId="1" fillId="0" borderId="32" xfId="0" applyFont="1" applyNumberFormat="1" applyBorder="1" applyAlignment="1">
      <alignment horizontal="center"/>
    </xf>
    <xf numFmtId="0" fontId="1" fillId="0" borderId="33" xfId="0" applyFont="1" applyBorder="1"/>
    <xf numFmtId="0" fontId="1" fillId="0" borderId="3" xfId="0" applyFont="1" applyBorder="1"/>
    <xf numFmtId="0" fontId="1" fillId="0" borderId="0" xfId="0" applyFont="1"/>
    <xf numFmtId="0" fontId="1" fillId="5" borderId="1" xfId="0" applyFont="1" applyFill="1" applyBorder="1" applyAlignment="1">
      <alignment horizontal="center"/>
    </xf>
    <xf numFmtId="1" fontId="1" fillId="5" borderId="1" xfId="0" applyFont="1" applyNumberFormat="1" applyFill="1" applyBorder="1" applyAlignment="1">
      <alignment horizontal="center"/>
    </xf>
    <xf numFmtId="165" fontId="1" fillId="5" borderId="1" xfId="0" applyFont="1" applyNumberFormat="1" applyFill="1" applyBorder="1"/>
    <xf numFmtId="0" fontId="7" fillId="9" borderId="23" xfId="0" applyFont="1" applyFill="1" applyBorder="1" applyAlignment="1">
      <alignment wrapText="1"/>
    </xf>
    <xf numFmtId="0" fontId="7" fillId="10" borderId="23" xfId="0" applyFont="1" applyFill="1" applyBorder="1" applyAlignment="1">
      <alignment wrapText="1"/>
    </xf>
    <xf numFmtId="0" fontId="7" fillId="11" borderId="23" xfId="0" applyFont="1" applyFill="1" applyBorder="1" applyAlignment="1">
      <alignment wrapText="1"/>
    </xf>
    <xf numFmtId="0" fontId="8" fillId="12" borderId="23" xfId="0" applyFont="1" applyFill="1" applyBorder="1" applyAlignment="1">
      <alignment wrapText="1"/>
    </xf>
    <xf numFmtId="16" fontId="1" fillId="5" borderId="1" xfId="0" applyFont="1" applyNumberFormat="1" applyFill="1" applyBorder="1"/>
    <xf numFmtId="0" fontId="1" fillId="5" borderId="1" xfId="0" applyFont="1" applyFill="1" applyBorder="1"/>
    <xf numFmtId="164" fontId="1" fillId="5" borderId="1" xfId="0" applyFont="1" applyNumberFormat="1" applyFill="1" applyBorder="1"/>
    <xf numFmtId="0" fontId="1" fillId="13" borderId="1" xfId="0" applyFont="1" applyFill="1" applyBorder="1"/>
    <xf numFmtId="44" fontId="1" fillId="5" borderId="1" xfId="0" applyFont="1" applyNumberFormat="1" applyFill="1" applyBorder="1"/>
    <xf numFmtId="44" fontId="9" fillId="6" borderId="1" xfId="0" applyFont="1" applyNumberFormat="1" applyFill="1" applyBorder="1"/>
    <xf numFmtId="0" fontId="7" fillId="14" borderId="23" xfId="0" applyFont="1" applyFill="1" applyBorder="1" applyAlignment="1">
      <alignment wrapText="1"/>
    </xf>
    <xf numFmtId="0" fontId="7" fillId="14" borderId="23" xfId="0" applyFont="1" applyFill="1" applyBorder="1" applyAlignment="1">
      <alignment horizontal="center" wrapText="1"/>
    </xf>
    <xf numFmtId="0" fontId="7" fillId="9" borderId="23" xfId="0" applyFont="1" applyFill="1" applyBorder="1" applyAlignment="1">
      <alignment horizontal="center" wrapText="1"/>
    </xf>
    <xf numFmtId="0" fontId="7" fillId="11" borderId="23" xfId="0" applyFont="1" applyFill="1" applyBorder="1" applyAlignment="1">
      <alignment horizontal="center" wrapText="1"/>
    </xf>
    <xf numFmtId="0" fontId="7" fillId="11" borderId="34" xfId="0" applyFont="1" applyFill="1" applyBorder="1" applyAlignment="1">
      <alignment horizontal="center" wrapText="1"/>
    </xf>
    <xf numFmtId="165" fontId="1" fillId="5" borderId="35" xfId="0" applyFont="1" applyNumberFormat="1" applyFill="1" applyBorder="1"/>
    <xf numFmtId="0" fontId="10" fillId="7" borderId="36" xfId="0" applyFont="1" applyFill="1" applyBorder="1" applyAlignment="1">
      <alignment horizontal="center" wrapText="1"/>
    </xf>
    <xf numFmtId="0" fontId="10" fillId="7" borderId="11" xfId="0" applyFont="1" applyFill="1" applyBorder="1" applyAlignment="1">
      <alignment horizontal="center" wrapText="1"/>
    </xf>
    <xf numFmtId="0" fontId="10" fillId="7" borderId="37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6" fontId="1" fillId="0" borderId="5" xfId="0" applyFont="1" applyNumberFormat="1" applyBorder="1" applyAlignment="1">
      <alignment horizontal="center"/>
    </xf>
    <xf numFmtId="166" fontId="1" fillId="0" borderId="9" xfId="0" applyFont="1" applyNumberFormat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166" fontId="1" fillId="0" borderId="38" xfId="0" applyFont="1" applyNumberFormat="1" applyBorder="1" applyAlignment="1">
      <alignment horizontal="center"/>
    </xf>
    <xf numFmtId="166" fontId="1" fillId="0" borderId="32" xfId="0" applyFont="1" applyNumberFormat="1" applyBorder="1" applyAlignment="1">
      <alignment horizontal="center"/>
    </xf>
    <xf numFmtId="0" fontId="11" fillId="16" borderId="5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11" fillId="16" borderId="9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9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16" borderId="5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64" fontId="1" fillId="0" borderId="8" xfId="0" applyFont="1" applyNumberFormat="1" applyBorder="1" applyAlignment="1">
      <alignment horizontal="center"/>
    </xf>
    <xf numFmtId="164" fontId="1" fillId="0" borderId="39" xfId="0" applyFont="1" applyNumberFormat="1" applyBorder="1" applyAlignment="1">
      <alignment horizontal="center"/>
    </xf>
    <xf numFmtId="0" fontId="10" fillId="7" borderId="18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0" fillId="7" borderId="10" xfId="0" applyFont="1" applyFill="1" applyBorder="1" applyAlignment="1">
      <alignment horizontal="center" wrapText="1"/>
    </xf>
    <xf numFmtId="0" fontId="4" fillId="16" borderId="5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4" fillId="16" borderId="9" xfId="0" applyFont="1" applyFill="1" applyBorder="1" applyAlignment="1">
      <alignment horizontal="center" wrapText="1"/>
    </xf>
    <xf numFmtId="0" fontId="4" fillId="4" borderId="40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/>
    <xf numFmtId="9" fontId="12" fillId="0" borderId="1" xfId="0" applyFont="1" applyNumberFormat="1" applyBorder="1"/>
    <xf numFmtId="0" fontId="1" fillId="17" borderId="34" xfId="0" applyFont="1" applyFill="1" applyBorder="1" applyAlignment="1">
      <alignment horizontal="center" wrapText="1"/>
    </xf>
    <xf numFmtId="0" fontId="1" fillId="17" borderId="4" xfId="0" applyFont="1" applyFill="1" applyBorder="1" applyAlignment="1">
      <alignment horizontal="center" wrapText="1"/>
    </xf>
    <xf numFmtId="0" fontId="1" fillId="17" borderId="6" xfId="0" applyFont="1" applyFill="1" applyBorder="1" applyAlignment="1">
      <alignment horizontal="center"/>
    </xf>
    <xf numFmtId="0" fontId="1" fillId="17" borderId="41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41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wrapText="1"/>
    </xf>
    <xf numFmtId="0" fontId="4" fillId="15" borderId="5" xfId="0" applyFont="1" applyFill="1" applyBorder="1" applyAlignment="1">
      <alignment horizontal="center"/>
    </xf>
    <xf numFmtId="164" fontId="1" fillId="0" borderId="30" xfId="0" applyFont="1" applyNumberFormat="1" applyBorder="1" applyAlignment="1">
      <alignment horizontal="center"/>
    </xf>
    <xf numFmtId="164" fontId="1" fillId="0" borderId="42" xfId="0" applyFont="1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4" fillId="0" borderId="18" xfId="0" applyFont="1" applyBorder="1" applyAlignment="1">
      <alignment horizontal="center"/>
    </xf>
    <xf numFmtId="0" fontId="4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1" fillId="0" borderId="9" xfId="0" applyFont="1" applyNumberFormat="1" applyBorder="1"/>
    <xf numFmtId="0" fontId="4" fillId="0" borderId="5" xfId="0" applyFont="1" applyBorder="1" applyAlignment="1">
      <alignment horizontal="center"/>
    </xf>
    <xf numFmtId="0" fontId="4" fillId="0" borderId="9" xfId="0" applyFont="1" applyBorder="1"/>
    <xf numFmtId="0" fontId="1" fillId="0" borderId="38" xfId="0" applyFont="1" applyBorder="1"/>
    <xf numFmtId="164" fontId="1" fillId="0" borderId="32" xfId="0" applyFont="1" applyNumberFormat="1" applyBorder="1"/>
    <xf numFmtId="164" fontId="1" fillId="0" borderId="1" xfId="0" applyFont="1" applyNumberFormat="1" applyBorder="1"/>
    <xf numFmtId="44" fontId="1" fillId="0" borderId="1" xfId="0" applyFont="1" applyNumberFormat="1" applyBorder="1"/>
    <xf numFmtId="0" fontId="4" fillId="4" borderId="1" xfId="0" applyFont="1" applyFill="1" applyBorder="1" applyAlignment="1">
      <alignment horizontal="center" vertical="center" wrapText="1"/>
    </xf>
    <xf numFmtId="1" fontId="1" fillId="0" borderId="1" xfId="0" applyFont="1" applyNumberFormat="1" applyBorder="1" applyAlignment="1">
      <alignment horizontal="center"/>
    </xf>
    <xf numFmtId="1" fontId="1" fillId="18" borderId="1" xfId="0" applyFont="1" applyNumberFormat="1" applyFill="1" applyBorder="1" applyAlignment="1">
      <alignment horizontal="center"/>
    </xf>
    <xf numFmtId="166" fontId="6" fillId="19" borderId="1" xfId="0" applyFont="1" applyNumberForma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9" fontId="1" fillId="5" borderId="1" xfId="0" applyFont="1" applyNumberFormat="1" applyFill="1" applyBorder="1"/>
    <xf numFmtId="16" fontId="1" fillId="20" borderId="1" xfId="0" applyFont="1" applyNumberFormat="1" applyFill="1" applyBorder="1"/>
    <xf numFmtId="0" fontId="13" fillId="5" borderId="1" xfId="0" applyFont="1" applyFill="1" applyBorder="1"/>
    <xf numFmtId="164" fontId="13" fillId="5" borderId="1" xfId="0" applyFont="1" applyNumberFormat="1" applyFill="1" applyBorder="1" applyAlignment="1">
      <alignment horizontal="center"/>
    </xf>
    <xf numFmtId="16" fontId="1" fillId="5" borderId="1" xfId="0" applyFont="1" applyNumberForma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8" fillId="17" borderId="43" xfId="0" applyFont="1" applyFill="1" applyBorder="1" applyAlignment="1">
      <alignment horizontal="center" wrapText="1"/>
    </xf>
    <xf numFmtId="0" fontId="14" fillId="22" borderId="44" xfId="0" applyFont="1" applyFill="1" applyBorder="1" applyAlignment="1">
      <alignment horizontal="center" wrapText="1"/>
    </xf>
    <xf numFmtId="164" fontId="14" fillId="22" borderId="44" xfId="0" applyFont="1" applyNumberFormat="1" applyFill="1" applyBorder="1" applyAlignment="1">
      <alignment horizontal="center" wrapText="1"/>
    </xf>
    <xf numFmtId="0" fontId="14" fillId="23" borderId="44" xfId="0" applyFont="1" applyFill="1" applyBorder="1" applyAlignment="1">
      <alignment horizontal="center" wrapText="1"/>
    </xf>
    <xf numFmtId="0" fontId="14" fillId="24" borderId="44" xfId="0" applyFont="1" applyFill="1" applyBorder="1" applyAlignment="1">
      <alignment horizontal="center" wrapText="1"/>
    </xf>
    <xf numFmtId="0" fontId="14" fillId="25" borderId="44" xfId="0" applyFont="1" applyFill="1" applyBorder="1" applyAlignment="1">
      <alignment horizontal="center" wrapText="1"/>
    </xf>
    <xf numFmtId="0" fontId="14" fillId="7" borderId="44" xfId="0" applyFont="1" applyFill="1" applyBorder="1" applyAlignment="1">
      <alignment horizontal="center" wrapText="1"/>
    </xf>
    <xf numFmtId="0" fontId="8" fillId="17" borderId="45" xfId="0" applyFont="1" applyFill="1" applyBorder="1" applyAlignment="1">
      <alignment horizontal="center" wrapText="1"/>
    </xf>
    <xf numFmtId="0" fontId="1" fillId="26" borderId="12" xfId="0" applyFont="1" applyFill="1" applyBorder="1"/>
    <xf numFmtId="0" fontId="1" fillId="0" borderId="0" xfId="0" applyFont="1" applyAlignment="1">
      <alignment horizontal="center" wrapText="1"/>
    </xf>
    <xf numFmtId="0" fontId="1" fillId="27" borderId="1" xfId="0" applyFont="1" applyFill="1" applyBorder="1" applyAlignment="1">
      <alignment horizontal="center"/>
    </xf>
    <xf numFmtId="0" fontId="8" fillId="25" borderId="44" xfId="0" applyFont="1" applyFill="1" applyBorder="1" applyAlignment="1">
      <alignment horizontal="center" wrapText="1"/>
    </xf>
    <xf numFmtId="0" fontId="14" fillId="28" borderId="44" xfId="0" applyFont="1" applyFill="1" applyBorder="1" applyAlignment="1">
      <alignment horizontal="center" wrapText="1"/>
    </xf>
    <xf numFmtId="0" fontId="1" fillId="26" borderId="46" xfId="0" applyFont="1" applyFill="1" applyBorder="1"/>
    <xf numFmtId="0" fontId="1" fillId="18" borderId="1" xfId="0" applyFont="1" applyFill="1" applyBorder="1"/>
    <xf numFmtId="44" fontId="9" fillId="29" borderId="1" xfId="0" applyFont="1" applyNumberFormat="1" applyFill="1" applyBorder="1"/>
    <xf numFmtId="0" fontId="1" fillId="17" borderId="1" xfId="0" applyFont="1" applyFill="1" applyBorder="1"/>
    <xf numFmtId="44" fontId="1" fillId="30" borderId="1" xfId="0" applyFont="1" applyNumberFormat="1" applyFill="1" applyBorder="1"/>
    <xf numFmtId="44" fontId="1" fillId="21" borderId="1" xfId="0" applyFont="1" applyNumberFormat="1" applyFill="1" applyBorder="1"/>
    <xf numFmtId="0" fontId="1" fillId="31" borderId="1" xfId="0" applyFont="1" applyFill="1" applyBorder="1"/>
    <xf numFmtId="0" fontId="1" fillId="16" borderId="1" xfId="0" applyFont="1" applyFill="1" applyBorder="1"/>
    <xf numFmtId="44" fontId="1" fillId="31" borderId="1" xfId="0" applyFont="1" applyNumberFormat="1" applyFill="1" applyBorder="1"/>
    <xf numFmtId="44" fontId="1" fillId="16" borderId="1" xfId="0" applyFont="1" applyNumberFormat="1" applyFill="1" applyBorder="1"/>
    <xf numFmtId="0" fontId="7" fillId="32" borderId="23" xfId="0" applyFont="1" applyFill="1" applyBorder="1" applyAlignment="1">
      <alignment wrapText="1"/>
    </xf>
    <xf numFmtId="0" fontId="7" fillId="24" borderId="23" xfId="0" applyFont="1" applyFill="1" applyBorder="1" applyAlignment="1">
      <alignment wrapText="1"/>
    </xf>
    <xf numFmtId="0" fontId="7" fillId="25" borderId="23" xfId="0" applyFont="1" applyFill="1" applyBorder="1" applyAlignment="1">
      <alignment wrapText="1"/>
    </xf>
    <xf numFmtId="0" fontId="7" fillId="7" borderId="23" xfId="0" applyFont="1" applyFill="1" applyBorder="1" applyAlignment="1">
      <alignment wrapText="1"/>
    </xf>
    <xf numFmtId="0" fontId="7" fillId="25" borderId="34" xfId="0" applyFont="1" applyFill="1" applyBorder="1" applyAlignment="1">
      <alignment wrapText="1"/>
    </xf>
    <xf numFmtId="0" fontId="7" fillId="7" borderId="34" xfId="0" applyFont="1" applyFill="1" applyBorder="1" applyAlignment="1">
      <alignment wrapText="1"/>
    </xf>
    <xf numFmtId="0" fontId="1" fillId="17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5" borderId="35" xfId="0" applyFont="1" applyFill="1" applyBorder="1"/>
    <xf numFmtId="0" fontId="1" fillId="13" borderId="0" xfId="0" applyFont="1" applyFill="1"/>
    <xf numFmtId="44" fontId="9" fillId="6" borderId="47" xfId="0" applyFont="1" applyNumberFormat="1" applyFill="1" applyBorder="1"/>
  </cellXfs>
  <cellStyles count="1">
    <cellStyle name="Normal" xfId="0" builtinId="0"/>
  </cellStyles>
  <dxfs count="16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0000"/>
          <bgColor rgb="FFE7E6E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6" formatCode="0.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6" formatCode="0.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numFmt numFmtId="164" formatCode="0.0%"/>
      <fill>
        <patternFill patternType="solid">
          <fgColor indexed="64"/>
          <bgColor rgb="FFFFFFCC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4" tint="0.39997558519241921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rgb="FFB2B2B2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$&quot;#,##0.00"/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border outline="0">
        <right style="thin">
          <color rgb="FFB2B2B2"/>
        </right>
      </border>
    </dxf>
    <dxf>
      <border diagonalUp="0" diagonalDown="0" outline="0">
        <left style="thin">
          <color indexed="64"/>
        </left>
        <right style="thin">
          <color rgb="FFB2B2B2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7.xml.rels><?xml version="1.0" encoding="UTF-8" standalone="yes"?><Relationships xmlns="http://schemas.openxmlformats.org/package/2006/relationships"></Relationships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19</xdr:col>
      <xdr:colOff>159922</xdr:colOff>
      <xdr:row>0</xdr:row>
      <xdr:rowOff>9525</xdr:rowOff>
    </xdr:from>
    <xdr:to>
      <xdr:col>20</xdr:col>
      <xdr:colOff>635209</xdr:colOff>
      <xdr:row>2</xdr:row>
      <xdr:rowOff>47625</xdr:rowOff>
    </xdr:to>
    <xdr:sp macro="" textlink="">
      <xdr:nvSpPr>
        <xdr:cNvPr id="2049" name="Text Box 1025" hidden="1">
          <a:extLst>
            <a:ext uri="{FF2B5EF4-FFF2-40B4-BE49-F238E27FC236}">
              <a16:creationId xmlns:a16="http://schemas.microsoft.com/office/drawing/2014/main" id="{76983C62-B0D6-8F5A-745B-11791D644B86}"/>
            </a:ext>
          </a:extLst>
        </xdr:cNvPr>
        <xdr:cNvSpPr txBox="1">
          <a:spLocks noChangeArrowheads="1"/>
        </xdr:cNvSpPr>
      </xdr:nvSpPr>
      <xdr:spPr bwMode="auto">
        <a:xfrm>
          <a:off x="18388013" y="9525"/>
          <a:ext cx="1300162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58793</xdr:colOff>
      <xdr:row>0</xdr:row>
      <xdr:rowOff>9525</xdr:rowOff>
    </xdr:from>
    <xdr:to>
      <xdr:col>25</xdr:col>
      <xdr:colOff>297978</xdr:colOff>
      <xdr:row>2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62A7B979-6451-CE3D-F3E1-37BA5666A4E1}"/>
            </a:ext>
          </a:extLst>
        </xdr:cNvPr>
        <xdr:cNvSpPr txBox="1">
          <a:spLocks noChangeArrowheads="1"/>
        </xdr:cNvSpPr>
      </xdr:nvSpPr>
      <xdr:spPr bwMode="auto">
        <a:xfrm>
          <a:off x="21469350" y="9525"/>
          <a:ext cx="1990725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524991</xdr:colOff>
      <xdr:row>0</xdr:row>
      <xdr:rowOff>9525</xdr:rowOff>
    </xdr:from>
    <xdr:to>
      <xdr:col>28</xdr:col>
      <xdr:colOff>11605</xdr:colOff>
      <xdr:row>2</xdr:row>
      <xdr:rowOff>38100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id="{12A37B57-9E8A-40E6-0459-063FD4EA9F36}"/>
            </a:ext>
          </a:extLst>
        </xdr:cNvPr>
        <xdr:cNvSpPr txBox="1">
          <a:spLocks noChangeArrowheads="1"/>
        </xdr:cNvSpPr>
      </xdr:nvSpPr>
      <xdr:spPr bwMode="auto">
        <a:xfrm>
          <a:off x="23679150" y="9525"/>
          <a:ext cx="1981200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47</xdr:col>
      <xdr:colOff>449981</xdr:colOff>
      <xdr:row>0</xdr:row>
      <xdr:rowOff>0</xdr:rowOff>
    </xdr:from>
    <xdr:to>
      <xdr:col>52</xdr:col>
      <xdr:colOff>116606</xdr:colOff>
      <xdr:row>2</xdr:row>
      <xdr:rowOff>38100</xdr:rowOff>
    </xdr:to>
    <xdr:sp macro="" textlink="">
      <xdr:nvSpPr>
        <xdr:cNvPr id="3" name="Text Box 3" hidden="1">
          <a:extLst>
            <a:ext uri="{FF2B5EF4-FFF2-40B4-BE49-F238E27FC236}">
              <a16:creationId xmlns:a16="http://schemas.microsoft.com/office/drawing/2014/main" id="{5CA3EF36-21DF-0038-1DD2-4203AB4FAF28}"/>
            </a:ext>
          </a:extLst>
        </xdr:cNvPr>
        <xdr:cNvSpPr txBox="1">
          <a:spLocks noChangeArrowheads="1"/>
        </xdr:cNvSpPr>
      </xdr:nvSpPr>
      <xdr:spPr bwMode="auto">
        <a:xfrm>
          <a:off x="41381363" y="0"/>
          <a:ext cx="3476625" cy="7667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66</xdr:col>
      <xdr:colOff>702053</xdr:colOff>
      <xdr:row>0</xdr:row>
      <xdr:rowOff>0</xdr:rowOff>
    </xdr:from>
    <xdr:to>
      <xdr:col>71</xdr:col>
      <xdr:colOff>368678</xdr:colOff>
      <xdr:row>2</xdr:row>
      <xdr:rowOff>38100</xdr:rowOff>
    </xdr:to>
    <xdr:sp macro="" textlink="">
      <xdr:nvSpPr>
        <xdr:cNvPr id="4" name="Text Box 3" hidden="1">
          <a:extLst>
            <a:ext uri="{FF2B5EF4-FFF2-40B4-BE49-F238E27FC236}">
              <a16:creationId xmlns:a16="http://schemas.microsoft.com/office/drawing/2014/main" id="{6CD35C02-2F2F-5219-2FCC-B660C797BB3E}"/>
            </a:ext>
          </a:extLst>
        </xdr:cNvPr>
        <xdr:cNvSpPr txBox="1">
          <a:spLocks noChangeArrowheads="1"/>
        </xdr:cNvSpPr>
      </xdr:nvSpPr>
      <xdr:spPr bwMode="auto">
        <a:xfrm>
          <a:off x="56092725" y="0"/>
          <a:ext cx="3476625" cy="7667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737508</xdr:colOff>
      <xdr:row>0</xdr:row>
      <xdr:rowOff>133350</xdr:rowOff>
    </xdr:from>
    <xdr:to>
      <xdr:col>30</xdr:col>
      <xdr:colOff>587829</xdr:colOff>
      <xdr:row>13</xdr:row>
      <xdr:rowOff>0</xdr:rowOff>
    </xdr:to>
    <xdr:sp macro="" textlink="">
      <xdr:nvSpPr>
        <xdr:cNvPr id="5" name="Text Box 3" hidden="1">
          <a:extLst>
            <a:ext uri="{FF2B5EF4-FFF2-40B4-BE49-F238E27FC236}">
              <a16:creationId xmlns:a16="http://schemas.microsoft.com/office/drawing/2014/main" id="{45627D96-3362-1C1E-B28A-308AC15097EE}"/>
            </a:ext>
          </a:extLst>
        </xdr:cNvPr>
        <xdr:cNvSpPr txBox="1">
          <a:spLocks noChangeArrowheads="1"/>
        </xdr:cNvSpPr>
      </xdr:nvSpPr>
      <xdr:spPr bwMode="auto">
        <a:xfrm>
          <a:off x="24722138" y="133350"/>
          <a:ext cx="3467100" cy="25860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729344</xdr:colOff>
      <xdr:row>0</xdr:row>
      <xdr:rowOff>133350</xdr:rowOff>
    </xdr:from>
    <xdr:to>
      <xdr:col>30</xdr:col>
      <xdr:colOff>578304</xdr:colOff>
      <xdr:row>13</xdr:row>
      <xdr:rowOff>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0E251E35-40E3-1A64-5505-AC1490B0F7BD}"/>
            </a:ext>
          </a:extLst>
        </xdr:cNvPr>
        <xdr:cNvSpPr txBox="1">
          <a:spLocks noChangeArrowheads="1"/>
        </xdr:cNvSpPr>
      </xdr:nvSpPr>
      <xdr:spPr bwMode="auto">
        <a:xfrm>
          <a:off x="24717375" y="133350"/>
          <a:ext cx="3467100" cy="258603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729344</xdr:colOff>
      <xdr:row>0</xdr:row>
      <xdr:rowOff>133350</xdr:rowOff>
    </xdr:from>
    <xdr:to>
      <xdr:col>30</xdr:col>
      <xdr:colOff>578304</xdr:colOff>
      <xdr:row>13</xdr:row>
      <xdr:rowOff>0</xdr:rowOff>
    </xdr:to>
    <xdr:sp macro="" textlink="">
      <xdr:nvSpPr>
        <xdr:cNvPr id="6" name="Text Box 3" hidden="1">
          <a:extLst>
            <a:ext uri="{FF2B5EF4-FFF2-40B4-BE49-F238E27FC236}">
              <a16:creationId xmlns:a16="http://schemas.microsoft.com/office/drawing/2014/main" id="{DF110203-5166-C120-8CA8-0E88A4654EEE}"/>
            </a:ext>
          </a:extLst>
        </xdr:cNvPr>
        <xdr:cNvSpPr txBox="1">
          <a:spLocks noChangeArrowheads="1"/>
        </xdr:cNvSpPr>
      </xdr:nvSpPr>
      <xdr:spPr bwMode="auto">
        <a:xfrm>
          <a:off x="24717375" y="133350"/>
          <a:ext cx="3467100" cy="25860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723900</xdr:colOff>
      <xdr:row>0</xdr:row>
      <xdr:rowOff>133350</xdr:rowOff>
    </xdr:from>
    <xdr:to>
      <xdr:col>30</xdr:col>
      <xdr:colOff>581025</xdr:colOff>
      <xdr:row>13</xdr:row>
      <xdr:rowOff>0</xdr:rowOff>
    </xdr:to>
    <xdr:sp macro="" textlink="">
      <xdr:nvSpPr>
        <xdr:cNvPr id="7" name="Text Box 3" hidden="1">
          <a:extLst>
            <a:ext uri="{FF2B5EF4-FFF2-40B4-BE49-F238E27FC236}">
              <a16:creationId xmlns:a16="http://schemas.microsoft.com/office/drawing/2014/main" id="{F2D53DC9-B8A1-DAAF-7744-574E25167BF9}"/>
            </a:ext>
          </a:extLst>
        </xdr:cNvPr>
        <xdr:cNvSpPr txBox="1">
          <a:spLocks noChangeArrowheads="1"/>
        </xdr:cNvSpPr>
      </xdr:nvSpPr>
      <xdr:spPr bwMode="auto">
        <a:xfrm>
          <a:off x="24712613" y="133350"/>
          <a:ext cx="3471862" cy="25860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723900</xdr:colOff>
      <xdr:row>0</xdr:row>
      <xdr:rowOff>133350</xdr:rowOff>
    </xdr:from>
    <xdr:to>
      <xdr:col>30</xdr:col>
      <xdr:colOff>581025</xdr:colOff>
      <xdr:row>13</xdr:row>
      <xdr:rowOff>0</xdr:rowOff>
    </xdr:to>
    <xdr:sp macro="" textlink="">
      <xdr:nvSpPr>
        <xdr:cNvPr id="8" name="Text Box 4" hidden="1">
          <a:extLst>
            <a:ext uri="{FF2B5EF4-FFF2-40B4-BE49-F238E27FC236}">
              <a16:creationId xmlns:a16="http://schemas.microsoft.com/office/drawing/2014/main" id="{F82742B4-25E6-EC22-48C5-9053BEE3F67F}"/>
            </a:ext>
          </a:extLst>
        </xdr:cNvPr>
        <xdr:cNvSpPr txBox="1">
          <a:spLocks noChangeArrowheads="1"/>
        </xdr:cNvSpPr>
      </xdr:nvSpPr>
      <xdr:spPr bwMode="auto">
        <a:xfrm>
          <a:off x="24712613" y="133350"/>
          <a:ext cx="3471862" cy="258603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723900</xdr:colOff>
      <xdr:row>0</xdr:row>
      <xdr:rowOff>133350</xdr:rowOff>
    </xdr:from>
    <xdr:to>
      <xdr:col>30</xdr:col>
      <xdr:colOff>581025</xdr:colOff>
      <xdr:row>13</xdr:row>
      <xdr:rowOff>0</xdr:rowOff>
    </xdr:to>
    <xdr:sp macro="" textlink="">
      <xdr:nvSpPr>
        <xdr:cNvPr id="9" name="Text Box 3" hidden="1">
          <a:extLst>
            <a:ext uri="{FF2B5EF4-FFF2-40B4-BE49-F238E27FC236}">
              <a16:creationId xmlns:a16="http://schemas.microsoft.com/office/drawing/2014/main" id="{D1C6B520-BCF9-5EA1-0699-ECD79C15B78E}"/>
            </a:ext>
          </a:extLst>
        </xdr:cNvPr>
        <xdr:cNvSpPr txBox="1">
          <a:spLocks noChangeArrowheads="1"/>
        </xdr:cNvSpPr>
      </xdr:nvSpPr>
      <xdr:spPr bwMode="auto">
        <a:xfrm>
          <a:off x="24712613" y="133350"/>
          <a:ext cx="3471862" cy="25860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DB293-D014-4EBA-9A00-0D2C35EA79EE}" name="Table2" displayName="Table2" ref="B1:D135" totalsRowShown="0" headerRowDxfId="159" headerRowBorderDxfId="158" tableBorderDxfId="157" totalsRowBorderDxfId="156">
  <autoFilter ref="B1:D135" xr:uid="{C81DB293-D014-4EBA-9A00-0D2C35EA79EE}"/>
  <sortState xmlns:xlrd2="http://schemas.microsoft.com/office/spreadsheetml/2017/richdata2" ref="B2:D135">
    <sortCondition descending="1" ref="D1:D135"/>
  </sortState>
  <tableColumns count="3">
    <tableColumn id="1" xr3:uid="{9F26FC69-9A4E-4364-AF7B-65217BC1121E}" name="Team" dataDxfId="155"/>
    <tableColumn id="2" xr3:uid="{AC0DEDE2-3C7F-418E-A974-35560E211F0F}" name="Conference" dataDxfId="154"/>
    <tableColumn id="3" xr3:uid="{0B8FB130-BE96-456A-8C9D-A8AC586B852B}" name="Current Elo" dataDxfId="153">
      <calculatedColumnFormula>VLOOKUP(Table2[[#This Row],[Team]], Elo!$2:$1048576, MATCH("Current Elo", Elo!$1:$1, 0), 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F4057-76B9-4282-8FB2-F6DD2F5ABEB3}" name="Table12" displayName="Table12" ref="A1:AF800" totalsRowShown="0" headerRowDxfId="152" dataDxfId="150" headerRowBorderDxfId="151" tableBorderDxfId="149">
  <autoFilter ref="A1:AF800" xr:uid="{BCCCE447-A02F-4208-BC7A-2E337AF810BF}">
    <filterColumn colId="0">
      <filters>
        <filter val="10"/>
      </filters>
    </filterColumn>
  </autoFilter>
  <sortState xmlns:xlrd2="http://schemas.microsoft.com/office/spreadsheetml/2017/richdata2" ref="A2:AA800">
    <sortCondition ref="T1:T800"/>
  </sortState>
  <tableColumns count="32">
    <tableColumn id="1" xr3:uid="{CE05F428-EFB0-4FE1-B943-59ED5FAE0B7E}" name="Week" dataDxfId="148">
      <calculatedColumnFormula>IF(ISBLANK(Games!A2), "", Games!A2)</calculatedColumnFormula>
    </tableColumn>
    <tableColumn id="2" xr3:uid="{6E65BCEA-9904-450F-9459-0D5294BA2C1B}" name="Home" dataDxfId="147">
      <calculatedColumnFormula>IF('Prediction Log'!B3=0, "",'Prediction Log'!B3)</calculatedColumnFormula>
    </tableColumn>
    <tableColumn id="3" xr3:uid="{F0B3D731-9007-48E2-AA54-45DF3132E1E1}" name="Away" dataDxfId="146">
      <calculatedColumnFormula>IF('Prediction Log'!C3=0, "",'Prediction Log'!C3)</calculatedColumnFormula>
    </tableColumn>
    <tableColumn id="4" xr3:uid="{4959AF19-F9BA-430B-9883-2363711E66E0}" name="Spread" dataDxfId="145">
      <calculatedColumnFormula>IF('Prediction Log'!D3=0, "",'Prediction Log'!D3)</calculatedColumnFormula>
    </tableColumn>
    <tableColumn id="5" xr3:uid="{B60E5FD2-803B-418A-B137-C199EE0B0A6F}" name="Predicted Spread" dataDxfId="144">
      <calculatedColumnFormula>IF('Prediction Log'!E3=0, "",'Prediction Log'!E3)</calculatedColumnFormula>
    </tableColumn>
    <tableColumn id="6" xr3:uid="{9B6F9D4C-70CB-466B-981C-2784CD00AFD3}" name="Predicted Side" dataDxfId="143">
      <calculatedColumnFormula>IF('Prediction Log'!H3=0, "",'Prediction Log'!H3)</calculatedColumnFormula>
    </tableColumn>
    <tableColumn id="31" xr3:uid="{DB54421E-68D2-41A1-B861-BA6DCDE64CB5}" name="Proabability Predicted Side" dataDxfId="142">
      <calculatedColumnFormula>IF(ISBLANK(Games!B2), "",'Prediction Log'!$I3)</calculatedColumnFormula>
    </tableColumn>
    <tableColumn id="30" xr3:uid="{7BD4F171-95BA-4A4B-8D6A-6521C8670497}" name="Win Probability" dataDxfId="141">
      <calculatedColumnFormula>'Prediction Log'!$J3</calculatedColumnFormula>
    </tableColumn>
    <tableColumn id="7" xr3:uid="{678985A6-B077-4712-BA76-4DDC7A483DDF}" name="Bet" dataDxfId="140">
      <calculatedColumnFormula>IF(ISBLANK(Games!T2), "",IF(AND(Games!T2="",Games!U2=""),"",IF(ISTEXT(Games!U2), "Side",Games!T2)))</calculatedColumnFormula>
    </tableColumn>
    <tableColumn id="32" xr3:uid="{1252356F-EC64-46D6-8166-389EDDDC3FE3}" name="Spread Team" dataDxfId="139">
      <calculatedColumnFormula>IF(ISBLANK(Games!T2), "",IF(Table12[[#This Row],[Bet]]="Spread", Games!X2, ""))</calculatedColumnFormula>
    </tableColumn>
    <tableColumn id="8" xr3:uid="{42934516-5994-405D-A7C6-1BF09366D1A3}" name="Side" dataDxfId="138">
      <calculatedColumnFormula>IF(ISBLANK(Games!U2), "",IF(ISTEXT(Games!U2), Games!U2, ""))</calculatedColumnFormula>
    </tableColumn>
    <tableColumn id="15" xr3:uid="{B24807CA-2296-4D40-BC59-B3D26055A429}" name="Line" dataDxfId="137">
      <calculatedColumnFormula>IF(ISBLANK(Games!D2), "", Games!D2)</calculatedColumnFormula>
    </tableColumn>
    <tableColumn id="16" xr3:uid="{7570B97D-7DAE-4FA4-9005-136097026558}" name="Total" dataDxfId="136"/>
    <tableColumn id="9" xr3:uid="{9605C61E-A496-4E7D-8DEB-9800B68E5624}" name="Amount Side" dataDxfId="135">
      <calculatedColumnFormula>IF(Games!V2="", "",Games!V2)</calculatedColumnFormula>
    </tableColumn>
    <tableColumn id="17" xr3:uid="{8D4DA06B-EDE1-468B-8D06-424CB94FD7D7}" name="Amount Spread" dataDxfId="134">
      <calculatedColumnFormula>IF(Games!Z2=0, "",Games!Z2)</calculatedColumnFormula>
    </tableColumn>
    <tableColumn id="18" xr3:uid="{C347E82B-3A2D-4873-BD72-A97B5609E8E6}" name="Amount O/U" dataDxfId="133"/>
    <tableColumn id="20" xr3:uid="{851C3378-7724-4962-B71A-D2CDF0D9D155}" name="Odds Side" dataDxfId="132">
      <calculatedColumnFormula>IF(ISBLANK(Games!W2), "", Games!W2)</calculatedColumnFormula>
    </tableColumn>
    <tableColumn id="19" xr3:uid="{1AA04FCF-F800-45F8-B49C-C247C2CA039A}" name="Odds Spread" dataDxfId="131">
      <calculatedColumnFormula>IF(ISBLANK(Games!AA2), "", Games!AA2)</calculatedColumnFormula>
    </tableColumn>
    <tableColumn id="10" xr3:uid="{D3344948-17BE-4605-80D8-056E815576E5}" name="Odds O/U" dataDxfId="130"/>
    <tableColumn id="11" xr3:uid="{96214A26-BF4A-4EA3-9BE9-BF655D7F6AF0}" name="Potential Payout Side" dataDxfId="129">
      <calculatedColumnFormula>IFERROR(N2+IF(Q2&lt;0, (N2/(Q2/-100)), N2*(Q2/100)), "")</calculatedColumnFormula>
    </tableColumn>
    <tableColumn id="12" xr3:uid="{3D15AC81-8D21-4E02-9A70-B22E9EC58036}" name="Potenial Winnings Side" dataDxfId="128">
      <calculatedColumnFormula>IFERROR(T2-N2, "")</calculatedColumnFormula>
    </tableColumn>
    <tableColumn id="23" xr3:uid="{96BE9B96-E328-4EB7-8CB0-2653F4D703B7}" name="Potential Payout Spread" dataDxfId="127">
      <calculatedColumnFormula>IFERROR(O2+IF(R2&lt;0, (O2/(R2/-100)), O2*(R2/100)), "")</calculatedColumnFormula>
    </tableColumn>
    <tableColumn id="24" xr3:uid="{5D2108CA-184E-435D-ACAC-30547AABDBDF}" name="Potenial Winnings Spread" dataDxfId="126">
      <calculatedColumnFormula>IFERROR(V2-O2, "")</calculatedColumnFormula>
    </tableColumn>
    <tableColumn id="22" xr3:uid="{CFE93B25-30D5-46A4-BA0F-1070ED5FA5BC}" name="Potential Payout O/U" dataDxfId="125">
      <calculatedColumnFormula>P2+IF(S2&lt;0, (P2/(S2/-100)), P2*(S2/100))</calculatedColumnFormula>
    </tableColumn>
    <tableColumn id="21" xr3:uid="{0BF8E2F5-7D1B-46F6-BF36-1D7A5CA71B9C}" name="Potenial Winnings O/U" dataDxfId="124">
      <calculatedColumnFormula>S2-P2</calculatedColumnFormula>
    </tableColumn>
    <tableColumn id="13" xr3:uid="{3959C31F-136E-457D-B1B2-C9B41DFAF33A}" name="Result (Side)" dataDxfId="123">
      <calculatedColumnFormula>IF(OR('Prediction Log'!L3="", Table12[[#This Row],[Bet]]="", Table12[[#This Row],[Bet]]="Spread"), "",IF('Prediction Log'!L3=Table12[[#This Row],[Side]], "W", IF('Prediction Log'!L3&lt;&gt;Table12[[#This Row],[Side]], "L", "")))</calculatedColumnFormula>
    </tableColumn>
    <tableColumn id="14" xr3:uid="{BCC03125-1E2C-4D9B-B13F-92471C291F1F}" name="Winnings (Side)" dataDxfId="122">
      <calculatedColumnFormula>IF(Z2="W", U2, IF(Z2="L",-N2, ""))</calculatedColumnFormula>
    </tableColumn>
    <tableColumn id="25" xr3:uid="{9F02E032-8883-4E56-B116-6755CC9CF10B}" name="Result (Spread)" dataDxfId="121">
      <calculatedColumnFormula>IF(OR(Table12[[#This Row],[Bet]]="Side",Table12[[#This Row],[Bet]]="", 'Prediction Log'!L3=""), "",IF('Prediction Log'!U3="Y", "W", IF('Prediction Log'!U3="N", "L", "")))</calculatedColumnFormula>
    </tableColumn>
    <tableColumn id="26" xr3:uid="{C14268E7-5C83-447E-BBD8-DB9C1D82A697}" name="Winnings (Spread)" dataDxfId="120">
      <calculatedColumnFormula>IF(AB2="W", W2, IF(AB2="L",-O2, ""))</calculatedColumnFormula>
    </tableColumn>
    <tableColumn id="27" xr3:uid="{0C24F3A7-8AE6-4B64-B31D-F1D1046F6AFD}" name="Result (O/U)" dataDxfId="119"/>
    <tableColumn id="28" xr3:uid="{D402E576-B48C-431A-8774-745A6464E119}" name="Winnings (O/U)" dataDxfId="118">
      <calculatedColumnFormula>IF(AD2="W", Y2, IF(AD2="L",-R2, ""))</calculatedColumnFormula>
    </tableColumn>
    <tableColumn id="29" xr3:uid="{19F3A856-A6AC-4CE7-94B0-A856E5043E7C}" name="Net Gain" dataDxfId="117">
      <calculatedColumnFormula>IF(ISERROR(Table12[[#This Row],[Winnings (Side)]]+Table12[[#This Row],[Winnings (Spread)]]+Table12[[#This Row],[Winnings (O/U)]]), "", Table12[[#This Row],[Winnings (Side)]]+Table12[[#This Row],[Winnings (Spread)]]+Table12[[#This Row],[Winnings (O/U)]])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685DD2-0A2B-4CBA-9A35-1E3532B8AAA4}" name="Table3" displayName="Table3" ref="A2:AB102" totalsRowShown="0" headerRowDxfId="116" dataDxfId="115" tableBorderDxfId="114">
  <autoFilter ref="A2:AB102" xr:uid="{EF685DD2-0A2B-4CBA-9A35-1E3532B8AAA4}"/>
  <tableColumns count="28">
    <tableColumn id="1" xr3:uid="{673D0E2C-AEC5-4A1E-BACC-51EE9AF3514E}" name="Week" dataDxfId="113">
      <calculatedColumnFormula>IF(ISBLANK(Games!$B2), "",Games!A2)</calculatedColumnFormula>
    </tableColumn>
    <tableColumn id="2" xr3:uid="{AE1B12DA-B67D-41D1-9286-F364823C396F}" name="Home" dataDxfId="112">
      <calculatedColumnFormula>IF(ISBLANK(Games!$B2), "",Games!B2)</calculatedColumnFormula>
    </tableColumn>
    <tableColumn id="3" xr3:uid="{DAD2C02B-DB96-4E33-B3EB-F3283AB28BE5}" name="Away" dataDxfId="111">
      <calculatedColumnFormula>IF(ISBLANK(Games!$B2), "",Games!C2)</calculatedColumnFormula>
    </tableColumn>
    <tableColumn id="4" xr3:uid="{6F67F10B-B2F7-4223-9C15-BE8BA782600C}" name="Spread" dataDxfId="110">
      <calculatedColumnFormula>IF(ISBLANK(Games!$D2), "",IF(_xlfn.NUMBERVALUE(Games!D2)=0, "",_xlfn.NUMBERVALUE(Games!D2) ))</calculatedColumnFormula>
    </tableColumn>
    <tableColumn id="5" xr3:uid="{01D9CE60-88F8-4D6E-9A37-7687441C6A2F}" name="Predicted Spread" dataDxfId="109">
      <calculatedColumnFormula>IF(ISBLANK(_xlfn.NUMBERVALUE(Games!$B2)), "",_xlfn.NUMBERVALUE(Games!J2))</calculatedColumnFormula>
    </tableColumn>
    <tableColumn id="6" xr3:uid="{3AF31BD2-25FF-4C0C-8C15-FC64F66E478E}" name="Model Home Win Probability" dataDxfId="108">
      <calculatedColumnFormula>IFERROR(IF(ISBLANK(Games!B2), "", IF(Games!N2=Games!B2, Games!O2, 1-Games!O2)), "")</calculatedColumnFormula>
    </tableColumn>
    <tableColumn id="8" xr3:uid="{197139D9-2AA7-49E9-9ECF-30B8981641B6}" name="Market Predicted Side" dataDxfId="107">
      <calculatedColumnFormula>IF(OR(ISBLANK(Games!B2),Table3[[#This Row],[Spread]]=""), "", IF('Prediction Log'!$D3&lt;0, 'Prediction Log'!$B3, 'Prediction Log'!$C3))</calculatedColumnFormula>
    </tableColumn>
    <tableColumn id="9" xr3:uid="{46898AA2-6994-4FC6-8F18-C8F085F73602}" name="Model Predicted Side" dataDxfId="106">
      <calculatedColumnFormula>IF(ISBLANK(Games!$B2), "",Games!K2)</calculatedColumnFormula>
    </tableColumn>
    <tableColumn id="10" xr3:uid="{31C47C60-6853-4182-A293-96C54F856D03}" name="Elo Predicted Side" dataDxfId="105">
      <calculatedColumnFormula>IF('Prediction Log'!$F3&gt;0.5, 'Prediction Log'!$B3, IF('Prediction Log'!$F3&lt;0.5, 'Prediction Log'!$C3, "PICK"))</calculatedColumnFormula>
    </tableColumn>
    <tableColumn id="11" xr3:uid="{9FC7D775-B8CF-4B55-9592-45DF4523C0D8}" name="Probability" dataDxfId="104">
      <calculatedColumnFormula>IF(ISBLANK(Games!B2), "",IF('Prediction Log'!$I3='Prediction Log'!$B3, 'Prediction Log'!$F3, 1-'Prediction Log'!$F3))</calculatedColumnFormula>
    </tableColumn>
    <tableColumn id="12" xr3:uid="{8DC75D7B-8590-4481-807D-4727B31EC1B5}" name="Model Winner Predicted Cover" dataDxfId="103">
      <calculatedColumnFormula>IF(ISBLANK(Games!$B2), "",Games!Q2)</calculatedColumnFormula>
    </tableColumn>
    <tableColumn id="13" xr3:uid="{4BF85B60-5C98-4E14-9C1D-3C9CC3E978AC}" name="Side Result" dataDxfId="102">
      <calculatedColumnFormula>IF(ISBLANK(Games!AC2), "",Games!AE2)</calculatedColumnFormula>
    </tableColumn>
    <tableColumn id="16" xr3:uid="{ABBFCB2C-E8D8-4054-9082-2F0470FA27B9}" name="Actual Difference " dataDxfId="101">
      <calculatedColumnFormula>IF(ISBLANK(Games!AC2), "",Games!AD2-Games!AC2)</calculatedColumnFormula>
    </tableColumn>
    <tableColumn id="17" xr3:uid="{1144D309-34D1-4CE0-8BB7-91487979E2D1}" name="Market - Winning Team Covered (Y/N)" dataDxfId="100">
      <calculatedColumnFormula>IF(ISNUMBER(Table3[[#This Row],[Predicted Spread]]), IF(OR(ISBLANK(Games!AC2),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calculatedColumnFormula>
    </tableColumn>
    <tableColumn id="18" xr3:uid="{A8DB27F3-94BE-4239-AE28-48F3A99F9199}" name="Home Team Covered Market" dataDxfId="99">
      <calculatedColumnFormula>IF(ISNUMBER(Table3[[#This Row],[Predicted Spread]]), IF(OR(ISBLANK(Games!AC2),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calculatedColumnFormula>
    </tableColumn>
    <tableColumn id="19" xr3:uid="{7913E77D-A750-48E2-A0B8-351E1FDBAEA3}" name="Home Team Covered Predicted" dataDxfId="98">
      <calculatedColumnFormula>IF(ISNUMBER(Table3[[#This Row],[Predicted Spread]]), IF(ISBLANK(Games!AC2),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calculatedColumnFormula>
    </tableColumn>
    <tableColumn id="20" xr3:uid="{892760E5-7AF5-4A68-BAC9-641E61194C77}" name="Market Side Correct" dataDxfId="97">
      <calculatedColumnFormula>IF(OR(ISBLANK(Games!AC2), Table3[[#This Row],[Spread]]=""),"",IF('Prediction Log'!$L3='Prediction Log'!$G3, "Y", "N"))</calculatedColumnFormula>
    </tableColumn>
    <tableColumn id="21" xr3:uid="{A73D0C25-76AC-4E37-897D-F0F00201B6D7}" name="Market - Home Team Covers" dataDxfId="96">
      <calculatedColumnFormula>IF(ISNUMBER(Table3[[#This Row],[Predicted Spread]]), Table3[[#This Row],[Home Team Covered Market]],"")</calculatedColumnFormula>
    </tableColumn>
    <tableColumn id="22" xr3:uid="{90A37009-C0A2-4ABB-8D7D-1327F99DC3C8}" name="Covered Market Spread and Market Side Correct" dataDxfId="95">
      <calculatedColumnFormula>IF(ISNUMBER(Table3[[#This Row],[Predicted Spread]]), IF(OR(Table3[[#This Row],[Market Side Correct]]="",ISBLANK(Games!AC2)), "",IF(AND('Prediction Log'!$Q3="Y", 'Prediction Log'!$R3="Y"), "Y", "N")),"")</calculatedColumnFormula>
    </tableColumn>
    <tableColumn id="23" xr3:uid="{22DF13A1-E016-4C48-B8D1-A5C543F62ED7}" name="Model Side Correct" dataDxfId="94">
      <calculatedColumnFormula>IF(ISNUMBER(Table3[[#This Row],[Predicted Spread]]), IF(ISBLANK(Games!AC2),"",IF(Games!AE2='Prediction Log'!$H3, "Y", "N")), "")</calculatedColumnFormula>
    </tableColumn>
    <tableColumn id="24" xr3:uid="{F9855B56-0F0F-4E20-95C7-8C36240908F9}" name="Model Spread Correct" dataDxfId="93">
      <calculatedColumnFormula>IF(ISNUMBER(Table3[[#This Row],[Predicted Spread]]), IF(OR(Table3[[#This Row],[Spread]]="",ISBLANK(Games!AC2)), "", IF(Table3[[#This Row],[Home Team Covered Market]]=Games!P2, "Y", "N")),"")</calculatedColumnFormula>
    </tableColumn>
    <tableColumn id="25" xr3:uid="{B4DCB62A-D9DA-4741-9013-C26E87517E9E}" name="Elo Win Probability Side Correct" dataDxfId="92">
      <calculatedColumnFormula>IF(ISBLANK(Games!AC2), "",IF('Prediction Log'!$I3='Prediction Log'!$L3, "Y", "N"))</calculatedColumnFormula>
    </tableColumn>
    <tableColumn id="26" xr3:uid="{49713556-4192-4A6A-A415-0D97C05257E9}" name="Model Predicted Winning Team Covers" dataDxfId="91">
      <calculatedColumnFormula>IF(ISNUMBER(Table3[[#This Row],[Predicted Spread]]), IF(OR(Table3[[#This Row],[Model Spread Correct]]="",ISBLANK(Games!AC2)), "",IF('Prediction Log'!$H3&lt;&gt;'Prediction Log'!$L3, "N",IF(AND('Prediction Log'!$E3&gt;0, 'Prediction Log'!$M3&gt;'Prediction Log'!$E3, 'Prediction Log'!$H3='Prediction Log'!$C3), "Y", IF(AND('Prediction Log'!$E3&lt;0, 'Prediction Log'!$M3&lt;'Prediction Log'!$E3,'Prediction Log'!$H3='Prediction Log'!$B3 ), "Y", IF('Prediction Log'!$M3='Prediction Log'!$E3, "PUSH", "N"))))), "")</calculatedColumnFormula>
    </tableColumn>
    <tableColumn id="27" xr3:uid="{D548F8A0-9D9D-4061-8D97-716E395E0D6A}" name="Covered Model Spread and Model Side Correct" dataDxfId="90">
      <calculatedColumnFormula>IF(ISNUMBER(Table3[[#This Row],[Predicted Spread]]), IF(OR(Table3[[#This Row],[Model Spread Correct]]="",ISBLANK(Games!AC2)), "",IF(AND('Prediction Log'!$T3="Y", 'Prediction Log'!$U3="Y"), "Y", "N")), "")</calculatedColumnFormula>
    </tableColumn>
    <tableColumn id="28" xr3:uid="{06119549-4D54-4B3A-88F3-9C5D50C19301}" name="Difference from Market" dataDxfId="89">
      <calculatedColumnFormula>IFERROR(IF(ISNUMBER(Table3[[#This Row],[Predicted Spread]]), IF(ISBLANK(Games!AC2), "",IF('Prediction Log'!$D3&gt;0, 'Prediction Log'!$M3-'Prediction Log'!$D3, IF('Prediction Log'!$D3&lt;0, -'Prediction Log'!$M3+'Prediction Log'!$D3, "NA"))), ""), "")</calculatedColumnFormula>
    </tableColumn>
    <tableColumn id="29" xr3:uid="{AF386695-6036-4474-823E-5BA46C56CA82}" name="Absolute Difference from Market" dataDxfId="88">
      <calculatedColumnFormula>IF(ISNUMBER(Table3[[#This Row],[Difference from Market]]), IF(ISBLANK(Games!AC2), "",ABS('Prediction Log'!$Y3)), "")</calculatedColumnFormula>
    </tableColumn>
    <tableColumn id="30" xr3:uid="{58632E19-3F88-4773-8F62-C458F96BA1CB}" name="Difference from Prediction" dataDxfId="87">
      <calculatedColumnFormula>IF(ISNUMBER(Table3[[#This Row],[Predicted Spread]]), IF(ISBLANK(Games!AC2), "",IF('Prediction Log'!$E3&gt;0, 'Prediction Log'!$M3-'Prediction Log'!$E3, IF('Prediction Log'!$E3&lt;0, -'Prediction Log'!$M3+'Prediction Log'!$E3, "NA"))), "")</calculatedColumnFormula>
    </tableColumn>
    <tableColumn id="31" xr3:uid="{EC31272F-939D-4D1B-8B08-B876F8149CCF}" name="Absolute Difference from Prediction" dataDxfId="86">
      <calculatedColumnFormula>IF(ISNUMBER(Table3[[#This Row],[Difference from Prediction]]), IF(ISBLANK(Games!AD2), "",ABS('Prediction Log'!$AA3)),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969713-9606-4AF4-91D6-9E2E1A0D6CBD}" name="Table123" displayName="Table123" ref="A1:AL755" totalsRowShown="0" headerRowDxfId="85" dataDxfId="83" headerRowBorderDxfId="84" tableBorderDxfId="82">
  <autoFilter ref="A1:AL755" xr:uid="{BCCCE447-A02F-4208-BC7A-2E337AF810BF}"/>
  <sortState xmlns:xlrd2="http://schemas.microsoft.com/office/spreadsheetml/2017/richdata2" ref="A2:AE755">
    <sortCondition ref="U1:U755"/>
  </sortState>
  <tableColumns count="38">
    <tableColumn id="1" xr3:uid="{E0FE769F-D2B8-44DC-8A2B-F476FCD80700}" name="Week" dataDxfId="81">
      <calculatedColumnFormula>Games!A2</calculatedColumnFormula>
    </tableColumn>
    <tableColumn id="2" xr3:uid="{CD3F584F-7477-4D34-A6AB-10BF23645880}" name="Home" dataDxfId="80">
      <calculatedColumnFormula>IF('Prediction Log'!B3=0, "",'Prediction Log'!B3)</calculatedColumnFormula>
    </tableColumn>
    <tableColumn id="3" xr3:uid="{54DE0E77-560D-43C3-8736-977B153D58FB}" name="Away" dataDxfId="79">
      <calculatedColumnFormula>IF('Prediction Log'!C3=0, "",'Prediction Log'!C3)</calculatedColumnFormula>
    </tableColumn>
    <tableColumn id="4" xr3:uid="{CA0CDA34-A44B-45BA-9844-7327B3487A93}" name="Spread" dataDxfId="78">
      <calculatedColumnFormula>IF('Prediction Log'!D3=0, "",'Prediction Log'!D3)</calculatedColumnFormula>
    </tableColumn>
    <tableColumn id="5" xr3:uid="{0BD729F4-F4DA-42F5-9BA9-B40F15C2D793}" name="Predicted Spread" dataDxfId="77">
      <calculatedColumnFormula>IF('Prediction Log'!E3=0, "",'Prediction Log'!E3)</calculatedColumnFormula>
    </tableColumn>
    <tableColumn id="6" xr3:uid="{C7122CCB-9CE2-4A2F-ACB6-9347672E1AC4}" name="Predicted Side - Difference Model" dataDxfId="76">
      <calculatedColumnFormula>IF('Prediction Log'!H3=0, "",'Prediction Log'!H3)</calculatedColumnFormula>
    </tableColumn>
    <tableColumn id="31" xr3:uid="{D16EBF5A-43A5-41E9-950F-CC26084C03F6}" name="Predicted Side - Win Probability Model" dataDxfId="75">
      <calculatedColumnFormula>IF(ISBLANK(Games!B2), "",'Prediction Log'!$I3)</calculatedColumnFormula>
    </tableColumn>
    <tableColumn id="30" xr3:uid="{56F5D4C8-BE37-4B57-B2A7-2CBEB5F9DB6A}" name="Win Probability" dataDxfId="74">
      <calculatedColumnFormula>'Prediction Log'!$J3</calculatedColumnFormula>
    </tableColumn>
    <tableColumn id="7" xr3:uid="{5C072061-16F4-461C-A5E0-EFF5F67144B5}" name="Bet" dataDxfId="73">
      <calculatedColumnFormula>IF(ISBLANK(Games!T2), "",IF(AND(Games!T2="",Games!U2=""),"",IF(ISTEXT(Games!U2), "Side",Games!T2)))</calculatedColumnFormula>
    </tableColumn>
    <tableColumn id="32" xr3:uid="{61E097CB-4116-479B-8397-D76D0B120234}" name="Cover Spread" dataDxfId="72">
      <calculatedColumnFormula>IF(ISBLANK(Games!B2), "",IF(Games!P2="Y", Games!B2, Games!C2))</calculatedColumnFormula>
    </tableColumn>
    <tableColumn id="8" xr3:uid="{612C1AD6-5D47-49B8-941B-6EB89AE39A3E}" name="Side" dataDxfId="71">
      <calculatedColumnFormula>Games!K2</calculatedColumnFormula>
    </tableColumn>
    <tableColumn id="15" xr3:uid="{299AFA07-462A-4297-AFFA-A2927A68039F}" name="Line" dataDxfId="70">
      <calculatedColumnFormula>IF(ISBLANK(Games!D2), "",Games!D2)</calculatedColumnFormula>
    </tableColumn>
    <tableColumn id="16" xr3:uid="{1A49328E-0A50-4507-83D7-5A5E895BD654}" name="Total" dataDxfId="69"/>
    <tableColumn id="9" xr3:uid="{9AC3AD97-5BC6-490F-9D24-4A1BDE4C97F3}" name="Amount Side" dataDxfId="68">
      <calculatedColumnFormula>IF(ISBLANK(Table123[[#This Row],[Odds Side - Difference Model]]), "", 1)</calculatedColumnFormula>
    </tableColumn>
    <tableColumn id="17" xr3:uid="{D8247614-7193-495C-A3EA-EA4F9A9C02FE}" name="Amount Spread" dataDxfId="67">
      <calculatedColumnFormula>IF(ISBLANK(Table123[[#This Row],[Odds Spread]]), "", 1)</calculatedColumnFormula>
    </tableColumn>
    <tableColumn id="18" xr3:uid="{B1AAFE2D-FBC5-47F0-8DE6-B1CD223C1469}" name="Amount O/U" dataDxfId="66"/>
    <tableColumn id="20" xr3:uid="{2A2E9D9E-DBE1-4AF2-975B-F714561BF225}" name="Odds Side - Difference Model" dataDxfId="65"/>
    <tableColumn id="36" xr3:uid="{20E2FB05-0EA8-48CF-A8C0-EC8E838B2CB3}" name="Odds Side - Win Probability Model" dataDxfId="64">
      <calculatedColumnFormula>IF(ISBLANK(Table123[[#This Row],[Odds Side - Difference Model]]), "",IF(Table123[[#This Row],[Predicted Side - Difference Model]]=Table123[[#This Row],[Predicted Side - Win Probability Model]], Table123[[#This Row],[Odds Side - Difference Model]], ""))</calculatedColumnFormula>
    </tableColumn>
    <tableColumn id="19" xr3:uid="{A4E8475A-FFAD-4D62-9974-D4B5E3A36F0D}" name="Odds Spread" dataDxfId="63"/>
    <tableColumn id="10" xr3:uid="{D41D5C62-E28C-494C-8C10-46832A02888E}" name="Odds O/U" dataDxfId="62"/>
    <tableColumn id="11" xr3:uid="{DEAB376F-415D-4C41-97A0-4D78E03AFB70}" name="Potential Payout Side - Difference Model" dataDxfId="61">
      <calculatedColumnFormula>IF(ISBLANK(Table123[[#This Row],[Odds Side - Difference Model]]), "",N2+IF(Q2&lt;0, (N2/(Q2/-100)), N2*(Q2/100)))</calculatedColumnFormula>
    </tableColumn>
    <tableColumn id="37" xr3:uid="{BE4F7C2F-98EA-49EA-91E6-D60AD6B6B083}" name="Potential Payout Side - Win Probability Model" dataDxfId="60">
      <calculatedColumnFormula>IFERROR(IF(ISBLANK(Table123[[#This Row],[Odds Side - Win Probability Model]]), "",N2+IF(R2&lt;0, (N2/(R2/-100)), N2*(R2/100))),"")</calculatedColumnFormula>
    </tableColumn>
    <tableColumn id="12" xr3:uid="{82AFB293-E2B0-4090-8BA5-223C9CFB8BFF}" name="Potenial Winnings Side - Difference Model" dataDxfId="59">
      <calculatedColumnFormula>IFERROR(U2-N2, "")</calculatedColumnFormula>
    </tableColumn>
    <tableColumn id="38" xr3:uid="{5069EEB5-57A5-4284-8B4F-6EFD961D2426}" name="Potenial Winnings Side - Win Probability Model" dataDxfId="58">
      <calculatedColumnFormula>IFERROR(V2-N2, "")</calculatedColumnFormula>
    </tableColumn>
    <tableColumn id="23" xr3:uid="{458AD4E3-407F-4258-A37C-63C07B2ED75E}" name="Potential Payout Spread" dataDxfId="57">
      <calculatedColumnFormula>IF(ISBLANK(Table123[[#This Row],[Odds Spread]]), "",O2+IF(S2&lt;0, (O2/(S2/-100)), O2*(S2/100)))</calculatedColumnFormula>
    </tableColumn>
    <tableColumn id="24" xr3:uid="{DE18E766-C179-4029-99FC-0B084B0576FF}" name="Potenial Winnings Spread" dataDxfId="56">
      <calculatedColumnFormula>IFERROR(Y2-O2, "")</calculatedColumnFormula>
    </tableColumn>
    <tableColumn id="22" xr3:uid="{86B61278-871D-4442-A218-0F1DF4262303}" name="Potential Payout O/U" dataDxfId="55">
      <calculatedColumnFormula>P2+IF(T2&lt;0, (P2/(T2/-100)), P2*(T2/100))</calculatedColumnFormula>
    </tableColumn>
    <tableColumn id="21" xr3:uid="{086E3093-2539-49BD-A34D-3EDCD895BFF5}" name="Potenial Winnings O/U" dataDxfId="54">
      <calculatedColumnFormula>T2-P2</calculatedColumnFormula>
    </tableColumn>
    <tableColumn id="13" xr3:uid="{95BF6381-E9AD-4A4C-95E8-40CF7372F178}" name="Result (Side) - Difference Model" dataDxfId="53">
      <calculatedColumnFormula>IF('Prediction Log'!$T3="Y", "W", IF('Prediction Log'!$T3="N","L",""))</calculatedColumnFormula>
    </tableColumn>
    <tableColumn id="33" xr3:uid="{7BDC72AB-4CB4-440F-A959-257656014E89}" name="Result (Side) - Win Probability Model" dataDxfId="52">
      <calculatedColumnFormula>IF('Prediction Log'!$V3="Y", "W", IF('Prediction Log'!$V3="N","L",""))</calculatedColumnFormula>
    </tableColumn>
    <tableColumn id="14" xr3:uid="{89A64611-FB60-460A-82B4-752E7A54716D}" name="Winnings (Side) - Difference Model" dataDxfId="51">
      <calculatedColumnFormula>IF(ISBLANK(Table123[[#This Row],[Odds Side - Difference Model]]), "",IF(AC2="W", W2, IF(AC2="L",-N2, "")))</calculatedColumnFormula>
    </tableColumn>
    <tableColumn id="34" xr3:uid="{4D2B3622-3743-46CF-9BA5-421DFB706B9B}" name="Winnings (Side) - Win Probability Model" dataDxfId="50">
      <calculatedColumnFormula>IFERROR((IF(ISERR(Table123[[#This Row],[Potential Payout Side - Win Probability Model]]), "",IF(AD2="W", X2, IF(AD2="L",-N2, "")))), "")</calculatedColumnFormula>
    </tableColumn>
    <tableColumn id="25" xr3:uid="{F8B9943F-5A46-4125-849A-8717976069C5}" name="Result (Spread)" dataDxfId="49">
      <calculatedColumnFormula>IF('Prediction Log'!$U3="Y", "W", IF('Prediction Log'!$U3="N", "L", ""))</calculatedColumnFormula>
    </tableColumn>
    <tableColumn id="26" xr3:uid="{32C5E7CD-7441-471B-AB02-FF164901D025}" name="Winnings (Spread)" dataDxfId="48">
      <calculatedColumnFormula>IF(ISBLANK(Table123[[#This Row],[Odds Spread]]), "",IF(AG2="W", Z2, IF(AG2="L",-O2, "")))</calculatedColumnFormula>
    </tableColumn>
    <tableColumn id="27" xr3:uid="{D39C9BF3-CDFD-4FFD-9A06-5752127199D2}" name="Result (O/U)" dataDxfId="47"/>
    <tableColumn id="28" xr3:uid="{60A0B8A0-01B5-4EE9-AAB9-7952BF24F713}" name="Winnings (O/U)" dataDxfId="46">
      <calculatedColumnFormula>IF(AI2="W", AB2, IF(AI2="L",-S2, ""))</calculatedColumnFormula>
    </tableColumn>
    <tableColumn id="29" xr3:uid="{1FDFF610-CB0F-413F-B5FE-E0245EEFAF39}" name="Net Gain - Difference Model">
      <calculatedColumnFormula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calculatedColumnFormula>
    </tableColumn>
    <tableColumn id="35" xr3:uid="{FCB3F52C-0487-4F38-91FE-8EE6EAB91809}" name="Net Gain - Win Probability Model" dataDxfId="45">
      <calculatedColumnFormula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4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5" Type="http://schemas.openxmlformats.org/officeDocument/2006/relationships/table" Target="../tables/table5.x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6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/>
  </sheetPr>
  <dimension ref="A1"/>
  <sheetViews>
    <sheetView topLeftCell="A53" zoomScale="70" zoomScaleNormal="70" workbookViewId="0">
      <pane xSplit="10" topLeftCell="V1" activePane="topRight" state="frozen"/>
      <selection pane="topRight" activeCell="D33" sqref="D33"/>
    </sheetView>
  </sheetViews>
  <sheetFormatPr defaultRowHeight="15.0" baseColWidth="10"/>
  <cols>
    <col min="2" max="2" width="18.3984375" hidden="0" customWidth="1"/>
    <col min="3" max="3" width="18.3984375" hidden="0" customWidth="1"/>
    <col min="4" max="4" width="11.53125" hidden="0" customWidth="1"/>
    <col min="5" max="5" width="11.53125" hidden="1" customWidth="1"/>
    <col min="6" max="6" width="11.53125" hidden="1" customWidth="1"/>
    <col min="7" max="7" width="11.53125" hidden="1" customWidth="1"/>
    <col min="8" max="8" width="11.53125" hidden="1" customWidth="1"/>
    <col min="9" max="9" width="11.53125" hidden="1" customWidth="1"/>
    <col min="10" max="10" width="10.796875" hidden="0" customWidth="1"/>
    <col min="11" max="11" width="17.265625" hidden="0" customWidth="1"/>
    <col min="12" max="12" width="13.86328125" hidden="1" customWidth="1"/>
    <col min="13" max="13" width="13.86328125" hidden="1" customWidth="1"/>
    <col min="14" max="14" width="14.265625" hidden="0" customWidth="1"/>
    <col min="15" max="15" width="12.796875" hidden="0" customWidth="1"/>
    <col min="16" max="16" width="13.86328125" hidden="1" customWidth="1"/>
    <col min="17" max="17" width="15.6640625" hidden="1" customWidth="1"/>
    <col min="18" max="18" width="11.53125" hidden="0" customWidth="1"/>
    <col min="19" max="19" width="12.796875" hidden="0" customWidth="1"/>
    <col min="20" max="20" width="9.6640625" hidden="0" customWidth="1"/>
    <col min="21" max="21" width="9.6640625" hidden="0" customWidth="1"/>
    <col min="22" max="22" width="12.19921875" hidden="0" customWidth="1"/>
    <col min="25" max="25" width="14.265625" hidden="1" customWidth="1"/>
    <col min="28" max="28" width="0.46484375" hidden="0" customWidth="1"/>
    <col min="32" max="32" width="15.53125" hidden="1" customWidth="1"/>
    <col min="33" max="33" width="0" hidden="1" customWidth="1"/>
    <col min="34" max="34" width="0" hidden="1" customWidth="1"/>
    <col min="35" max="35" width="0" hidden="1" customWidth="1"/>
    <col min="36" max="36" width="13.19921875" hidden="1" customWidth="1"/>
    <col min="37" max="37" width="0" hidden="1" customWidth="1"/>
    <col min="38" max="38" width="0" hidden="1" customWidth="1"/>
    <col min="39" max="39" width="14.9296875" hidden="1" customWidth="1"/>
    <col min="40" max="40" width="0" hidden="1" customWidth="1"/>
    <col min="41" max="41" width="0" hidden="1" customWidth="1"/>
  </cols>
  <sheetData>
    <row r="1" ht="52.5" customHeight="1">
      <c r="A1" s="22" t="s">
        <v>80</v>
      </c>
      <c r="B1" s="22" t="s">
        <v>0</v>
      </c>
      <c r="C1" s="22" t="s">
        <v>1</v>
      </c>
      <c r="D1" s="22" t="s">
        <v>2</v>
      </c>
      <c r="E1" s="22" t="s">
        <v>252</v>
      </c>
      <c r="F1" s="22" t="s">
        <v>253</v>
      </c>
      <c r="G1" s="22" t="s">
        <v>256</v>
      </c>
      <c r="H1" s="22" t="s">
        <v>257</v>
      </c>
      <c r="I1" s="23" t="s">
        <v>258</v>
      </c>
      <c r="J1" s="24" t="s">
        <v>4</v>
      </c>
      <c r="K1" s="25" t="s">
        <v>5</v>
      </c>
      <c r="L1" s="26" t="s">
        <v>259</v>
      </c>
      <c r="M1" s="23" t="s">
        <v>260</v>
      </c>
      <c r="N1" s="24" t="s">
        <v>261</v>
      </c>
      <c r="O1" s="25" t="s">
        <v>267</v>
      </c>
      <c r="P1" s="5" t="s">
        <v>64</v>
      </c>
      <c r="Q1" s="18" t="s">
        <v>15</v>
      </c>
      <c r="R1" s="24" t="s">
        <v>346</v>
      </c>
      <c r="S1" s="8" t="s">
        <v>935</v>
      </c>
      <c r="T1" s="29" t="s">
        <v>40</v>
      </c>
      <c r="U1" s="30" t="s">
        <v>37</v>
      </c>
      <c r="V1" s="31" t="s">
        <v>272</v>
      </c>
      <c r="W1" s="32" t="s">
        <v>271</v>
      </c>
      <c r="X1" s="30" t="s">
        <v>2</v>
      </c>
      <c r="Y1" s="31" t="s">
        <v>38</v>
      </c>
      <c r="Z1" s="31" t="s">
        <v>42</v>
      </c>
      <c r="AA1" s="32" t="s">
        <v>273</v>
      </c>
      <c r="AB1" s="28"/>
      <c r="AC1" s="30" t="s">
        <v>265</v>
      </c>
      <c r="AD1" s="31" t="s">
        <v>266</v>
      </c>
      <c r="AE1" s="27" t="s">
        <v>264</v>
      </c>
      <c r="AF1" s="35" t="s">
        <v>278</v>
      </c>
      <c r="AG1" s="37" t="s">
        <v>276</v>
      </c>
      <c r="AH1" s="37" t="s">
        <v>277</v>
      </c>
      <c r="AI1" s="37" t="s">
        <v>279</v>
      </c>
      <c r="AJ1" s="37" t="s">
        <v>340</v>
      </c>
      <c r="AK1" s="37" t="s">
        <v>341</v>
      </c>
      <c r="AL1" s="37" t="s">
        <v>342</v>
      </c>
      <c r="AM1" s="37" t="s">
        <v>343</v>
      </c>
      <c r="AN1" s="37" t="s">
        <v>344</v>
      </c>
      <c r="AO1" s="38" t="s">
        <v>345</v>
      </c>
    </row>
    <row r="2" ht="14.65" customHeight="1">
      <c r="A2" s="33" t="n">
        <v>0</v>
      </c>
      <c r="B2" s="2" t="s">
        <v>161</v>
      </c>
      <c r="C2" s="2" t="s">
        <v>132</v>
      </c>
      <c r="D2" s="6" t="n">
        <v>11.5</v>
      </c>
      <c r="E2" s="10" t="n">
        <f>_xlfn.IFNA(IF(ISBLANK(B2),"",VLOOKUP(B2,Elo!$A$2:$AZ$1048576,MATCH(_xlfn.CONCAT("Week ", A2),Elo!$A$1:$AZ$1,0),FALSE)), "")</f>
        <v>1597.6282677428701</v>
      </c>
      <c r="F2" s="10" t="n">
        <f>IFERROR(IF(ISBLANK(C2),"",VLOOKUP(C2,Elo!$A$2:$AZ$1048576,MATCH(_xlfn.CONCAT("Week ",A2),Elo!$A$1:$AZ$1,0),FALSE)),IF(ISBLANK(Schedule!D2),"", 1000))</f>
        <v>1717.7561294033601</v>
      </c>
      <c r="G2" s="2" t="n">
        <f>_xlfn.IFNA(IF(ISBLANK(B2),"",IF(VLOOKUP(Games!B2,Schedule!$C$2:$G$1048576,MATCH("neutral_site",Schedule!$C$1:$G$1,0),FALSE),0,50)),"")</f>
        <v>0</v>
      </c>
      <c r="H2" s="2" t="n">
        <f>_xlfn.IFNA(IF(VLOOKUP(Games!B2, 'Bye Weeks'!$A$2:$P$135, MATCH(Games!$A2, 'Bye Weeks'!$A$1:$P$1, 0), FALSE)="Y", 25, 0), 0)</f>
        <v>0</v>
      </c>
      <c r="I2" s="2" t="n">
        <f>_xlfn.IFNA(IF(VLOOKUP(Games!C2, 'Bye Weeks'!$A$2:$P$135, MATCH(Games!$A2, 'Bye Weeks'!$A$1:$P$1, 0), FALSE)="Y", 25, 0), 0)</f>
        <v>0</v>
      </c>
      <c r="J2" s="6" t="n">
        <f>IFERROR(_xlfn.IFNA(IF(ISBLANK(B2), "",IF(ABS(ROUND(Calc!O2, 1))&gt;70,R2,ROUND(Calc!O2, 1))), R2), R2)</f>
        <v>9.8000000000000007</v>
      </c>
      <c r="K2" s="2" t="str">
        <f>IF(ISNUMBER(J2),IF(OR(ISBLANK(B2), N2=""), "",IF(J2&gt;0,C2,B2)), "")</f>
        <v>Florida State</v>
      </c>
      <c r="L2" s="3" t="n">
        <f t="shared" ref="L2" si="0">IF(ISBLANK(B2), "",1/(1+10^((((F2+I2)-(E2+G2+H2))/400))))</f>
        <v>0.33369690386919559</v>
      </c>
      <c r="M2" s="3" t="n">
        <f t="shared" ref="M2" si="1">IF(ISBLANK(C2), "", 1/(1+10^(((E2+G2+H2)-(F2+I2))/400)))</f>
        <v>0.66630309613080452</v>
      </c>
      <c r="N2" s="2" t="str">
        <f>IFERROR(IF(ISBLANK(B2), "", IF(L2&gt;M2, B2, C2)), "")</f>
        <v>Florida State</v>
      </c>
      <c r="O2" s="21" t="n">
        <f>IFERROR(IF(ISBLANK(B2), "", IF(L2&gt;M2, L2, M2)),"")</f>
        <v>0.66630309613080452</v>
      </c>
      <c r="P2" s="13" t="str">
        <f t="shared" ref="P2:P33" si="2">IF(OR(ISBLANK(B2), ISBLANK(D2)),"",IF(J2&lt;D2, "Y","N"))</f>
        <v>Y</v>
      </c>
      <c r="Q2" s="15" t="str">
        <f t="shared" ref="Q2:Q33" si="3">IF(OR(ISBLANK(B2),ISBLANK(D2)),"",IF(AND(D2&lt;0,K2&lt;&gt;B2),"Y",IF(AND(B2=K2,J2&lt;D2),"Y","N")))</f>
        <v>N</v>
      </c>
      <c r="R2" s="7" t="n">
        <f t="shared" ref="R2:R33" si="4">IF(ISBLANK(B2), "", (F2-E2)/25)</f>
        <v>4.8051144664195995</v>
      </c>
      <c r="S2" s="9" t="n">
        <f>((((1/COUNTA($J$2:$J$102))+1)/(ABS(J2)-(1/COUNTA($R$2:$R$101))))*10)*IF(AND(D2&lt;0, K2=C2), 1.15, IF(AND(D2&gt;0, K2=B2), 1.1, 1))</f>
        <v>1.0316649642492339</v>
      </c>
      <c r="T2" s="17"/>
      <c r="U2" s="11"/>
      <c r="V2" s="19"/>
      <c r="W2" s="20"/>
      <c r="X2" s="11"/>
      <c r="Y2" s="1"/>
      <c r="Z2" s="19"/>
      <c r="AA2" s="20"/>
      <c r="AB2" s="14"/>
      <c r="AC2" s="11" t="n">
        <v>24</v>
      </c>
      <c r="AD2" s="12" t="n">
        <v>21</v>
      </c>
      <c r="AE2" s="16" t="str">
        <f t="shared" ref="AE2:AE33" si="5">IF(ISBLANK(AC2), "", IF(AC2&gt;AD2, B2, C2))</f>
        <v>Georgia Tech</v>
      </c>
      <c r="AF2" s="39" t="n">
        <f>IF(ISBLANK(AC2), "",ABS(AC2-AD2))</f>
        <v>3</v>
      </c>
      <c r="AG2" s="1" t="n">
        <f t="shared" ref="AG2:AG33" si="6">IF(ISBLANK(AC2), "", IF(AE2=B2, E2, IF(AE2=C2, F2, "NA")))</f>
        <v>1597.6282677428701</v>
      </c>
      <c r="AH2" s="1" t="n">
        <f t="shared" ref="AH2:AH33" si="7">IF(ISBLANK(AC2), "", IF(AE2=B2, F2, IF(AE2=C2, E2, "NA")))</f>
        <v>1717.7561294033601</v>
      </c>
      <c r="AI2" s="1" t="n">
        <f>IF(ISBLANK(AC2), "",AG2-AH2)</f>
        <v>-120.12786166049</v>
      </c>
      <c r="AJ2" s="1" t="n">
        <f>IFERROR(LN(AF2+1)*(2.2/((AI2*0.001)+2.2)), "")</f>
        <v>1.4663630221512753</v>
      </c>
      <c r="AK2" s="1" t="n">
        <f t="shared" ref="AK2:AK33" si="8">IFERROR(1-IF(AE2=B2, L2, IF(AE2=C2, M2, "")), "")</f>
        <v>0.66630309613080441</v>
      </c>
      <c r="AL2" s="1" t="n">
        <v>30</v>
      </c>
      <c r="AM2" s="1" t="n">
        <f>IFERROR(AJ2*AK2*AL2, "")</f>
        <v>29.311266651333543</v>
      </c>
      <c r="AN2" s="1" t="n">
        <f t="shared" ref="AN2:AN33" si="9">IF(ISBLANK(AC2), E2,IF(AE2=B2, E2+AM2, E2-AM2))</f>
        <v>1626.9395343942037</v>
      </c>
      <c r="AO2" s="40" t="n">
        <f t="shared" ref="AO2:AO33" si="10">IF(ISBLANK(AC2), F2,IF(AE2=C2, F2+AM2, F2-AM2))</f>
        <v>1688.4448627520264</v>
      </c>
    </row>
    <row r="3" ht="14.65" customHeight="1">
      <c r="A3" s="33" t="n">
        <v>0</v>
      </c>
      <c r="B3" s="34" t="s">
        <v>235</v>
      </c>
      <c r="C3" s="34" t="s">
        <v>280</v>
      </c>
      <c r="D3" s="6" t="n">
        <v>-20.5</v>
      </c>
      <c r="E3" s="10" t="n">
        <f>_xlfn.IFNA(IF(ISBLANK(B3),"",VLOOKUP(B3,Elo!$A$2:$AZ$1048576,MATCH(_xlfn.CONCAT("Week ", A3),Elo!$A$1:$AZ$1,0),FALSE)), "")</f>
        <v>1254.6163109203801</v>
      </c>
      <c r="F3" s="10" t="n">
        <f>IFERROR(IF(ISBLANK(C3),"",VLOOKUP(C3,Elo!$A$2:$AZ$1048576,MATCH(_xlfn.CONCAT("Week ",A3),Elo!$A$1:$AZ$1,0),FALSE)),IF(ISBLANK(Schedule!D3),"", 1000))</f>
        <v>1000</v>
      </c>
      <c r="G3" s="34" t="n">
        <f>_xlfn.IFNA(IF(ISBLANK(B3),"",IF(VLOOKUP(Games!B3,Schedule!$C$2:$G$1048576,MATCH("neutral_site",Schedule!$C$1:$G$1,0),FALSE),0,50)),"")</f>
        <v>50</v>
      </c>
      <c r="H3" s="34" t="n">
        <f>_xlfn.IFNA(IF(VLOOKUP(Games!B3, 'Bye Weeks'!$A$2:$P$135, MATCH(Games!$A3, 'Bye Weeks'!$A$1:$P$1, 0), FALSE)="Y", 25, 0), 0)</f>
        <v>0</v>
      </c>
      <c r="I3" s="34" t="n">
        <f>_xlfn.IFNA(IF(VLOOKUP(Games!C3, 'Bye Weeks'!$A$2:$P$135, MATCH(Games!$A3, 'Bye Weeks'!$A$1:$P$1, 0), FALSE)="Y", 25, 0), 0)</f>
        <v>0</v>
      </c>
      <c r="J3" s="6" t="n">
        <f>IFERROR(_xlfn.IFNA(IF(ISBLANK(B3), "",IF(ABS(ROUND(Calc!O3, 1))&gt;70,R3,ROUND(Calc!O3, 1))), R3), R3)</f>
        <v>-10.184652436815204</v>
      </c>
      <c r="K3" s="2" t="str">
        <f t="shared" ref="K3:K66" si="11">IF(ISNUMBER(J3),IF(OR(ISBLANK(B3), N3=""), "",IF(J3&gt;0,C3,B3)), "")</f>
        <v>New Mexico</v>
      </c>
      <c r="L3" s="4" t="n">
        <f t="shared" ref="L3:L66" si="12">IF(ISBLANK(B3), "",1/(1+10^((((F3+I3)-(E3+G3+H3))/400))))</f>
        <v>0.85239527604837517</v>
      </c>
      <c r="M3" s="4" t="n">
        <f t="shared" ref="M3:M66" si="13">IF(ISBLANK(C3), "", 1/(1+10^(((E3+G3+H3)-(F3+I3))/400)))</f>
        <v>0.14760472395162483</v>
      </c>
      <c r="N3" s="34" t="str">
        <f t="shared" ref="N3:N66" si="14">IFERROR(IF(ISBLANK(B3), "", IF(L3&gt;M3, B3, C3)), "")</f>
        <v>New Mexico</v>
      </c>
      <c r="O3" s="36" t="n">
        <f t="shared" ref="O3:O66" si="15">IFERROR(IF(ISBLANK(B3), "", IF(L3&gt;M3, L3, M3)),"")</f>
        <v>0.85239527604837517</v>
      </c>
      <c r="P3" s="13" t="str">
        <f t="shared" si="2"/>
        <v>N</v>
      </c>
      <c r="Q3" s="15" t="str">
        <f t="shared" si="3"/>
        <v>N</v>
      </c>
      <c r="R3" s="6" t="n">
        <f t="shared" si="4"/>
        <v>-10.184652436815204</v>
      </c>
      <c r="S3" s="9" t="n">
        <f t="shared" ref="S3:S66" si="16">((((1/COUNTA($J$2:$J$102))+1)/(ABS(J3)-(1/COUNTA($R$2:$R$101))))*10)*IF(AND(D3&lt;0, K3=C3), 1.15, IF(AND(D3&gt;0, K3=B3), 1.1, 1))</f>
        <v>0.99266290054831874</v>
      </c>
      <c r="T3" s="17"/>
      <c r="U3" s="11"/>
      <c r="V3" s="19"/>
      <c r="W3" s="20"/>
      <c r="X3" s="11"/>
      <c r="Y3" s="1"/>
      <c r="Z3" s="19"/>
      <c r="AA3" s="20"/>
      <c r="AB3" s="14"/>
      <c r="AC3" s="11" t="n">
        <v>21</v>
      </c>
      <c r="AD3" s="12" t="n">
        <v>35</v>
      </c>
      <c r="AE3" s="16" t="str">
        <f t="shared" si="5"/>
        <v>Montana State</v>
      </c>
      <c r="AF3" s="39" t="n">
        <f t="shared" ref="AF3:AF66" si="17">IF(ISBLANK(AC3), "",ABS(AC3-AD3))</f>
        <v>14</v>
      </c>
      <c r="AG3" s="1" t="n">
        <f t="shared" si="6"/>
        <v>1000</v>
      </c>
      <c r="AH3" s="1" t="n">
        <f t="shared" si="7"/>
        <v>1254.6163109203801</v>
      </c>
      <c r="AI3" s="1" t="n">
        <f t="shared" ref="AI3:AI66" si="18">IF(ISBLANK(AC3), "",AG3-AH3)</f>
        <v>-254.6163109203801</v>
      </c>
      <c r="AJ3" s="1" t="n">
        <f t="shared" ref="AJ3:AJ66" si="19">IFERROR(LN(AF3+1)*(2.2/((AI3*0.001)+2.2)), "")</f>
        <v>3.0624860668198122</v>
      </c>
      <c r="AK3" s="1" t="n">
        <f t="shared" si="8"/>
        <v>0.85239527604837517</v>
      </c>
      <c r="AL3" s="1" t="n">
        <v>31</v>
      </c>
      <c r="AM3" s="1" t="n">
        <f t="shared" ref="AM3:AM66" si="20">IFERROR(AJ3*AK3*AL3, "")</f>
        <v>80.923908345956463</v>
      </c>
      <c r="AN3" s="1" t="n">
        <f t="shared" si="9"/>
        <v>1173.6924025744236</v>
      </c>
      <c r="AO3" s="40" t="n">
        <f t="shared" si="10"/>
        <v>1080.9239083459565</v>
      </c>
    </row>
    <row r="4" ht="14.65" customHeight="1">
      <c r="A4" s="33" t="n">
        <v>0</v>
      </c>
      <c r="B4" s="34" t="s">
        <v>245</v>
      </c>
      <c r="C4" s="34" t="s">
        <v>121</v>
      </c>
      <c r="D4" s="6" t="str">
        <f>IF(OR(ISBLANK(B4), ISNA(VLOOKUP(B4, 'Betting Lines'!$B$2:$F$1048576, MATCH("spread", 'Betting Lines'!$B$1:$J$1, 0), FALSE))), "", VLOOKUP(B4, 'Betting Lines'!$B$2:$F$1048576, MATCH("spread", 'Betting Lines'!$B$1:$J$1, 0), FALSE))</f>
        <v>27</v>
      </c>
      <c r="E4" s="10" t="n">
        <f>_xlfn.IFNA(IF(ISBLANK(B4),"",VLOOKUP(B4,Elo!$A$2:$AZ$1048576,MATCH(_xlfn.CONCAT("Week ", A4),Elo!$A$1:$AZ$1,0),FALSE)), "")</f>
        <v>1163.17171735089</v>
      </c>
      <c r="F4" s="10" t="n">
        <f>IFERROR(IF(ISBLANK(C4),"",VLOOKUP(C4,Elo!$A$2:$AZ$1048576,MATCH(_xlfn.CONCAT("Week ",A4),Elo!$A$1:$AZ$1,0),FALSE)),IF(ISBLANK(Schedule!D4),"", 1000))</f>
        <v>1854.1926415027201</v>
      </c>
      <c r="G4" s="34" t="n">
        <f>_xlfn.IFNA(IF(ISBLANK(B4),"",IF(VLOOKUP(Games!B4,Schedule!$C$2:$G$1048576,MATCH("neutral_site",Schedule!$C$1:$G$1,0),FALSE),0,50)),"")</f>
        <v>50</v>
      </c>
      <c r="H4" s="34" t="n">
        <f>_xlfn.IFNA(IF(VLOOKUP(Games!B4, 'Bye Weeks'!$A$2:$P$135, MATCH(Games!$A4, 'Bye Weeks'!$A$1:$P$1, 0), FALSE)="Y", 25, 0), 0)</f>
        <v>0</v>
      </c>
      <c r="I4" s="34" t="n">
        <f>_xlfn.IFNA(IF(VLOOKUP(Games!C4, 'Bye Weeks'!$A$2:$P$135, MATCH(Games!$A4, 'Bye Weeks'!$A$1:$P$1, 0), FALSE)="Y", 25, 0), 0)</f>
        <v>0</v>
      </c>
      <c r="J4" s="6" t="n">
        <f>IFERROR(_xlfn.IFNA(IF(ISBLANK(B4), "",IF(ABS(ROUND(Calc!O4, 1))&gt;70,R4,ROUND(Calc!O4, 1))), R4), R4)</f>
        <v>27.640836966073202</v>
      </c>
      <c r="K4" s="2" t="str">
        <f t="shared" si="11"/>
        <v>SMU</v>
      </c>
      <c r="L4" s="4" t="n">
        <f t="shared" si="12"/>
        <v>2.4363283866068258E-2</v>
      </c>
      <c r="M4" s="4" t="n">
        <f t="shared" si="13"/>
        <v>0.97563671613393177</v>
      </c>
      <c r="N4" s="34" t="str">
        <f t="shared" si="14"/>
        <v>SMU</v>
      </c>
      <c r="O4" s="36" t="n">
        <f t="shared" si="15"/>
        <v>0.97563671613393177</v>
      </c>
      <c r="P4" s="13" t="str">
        <f t="shared" si="2"/>
        <v>Y</v>
      </c>
      <c r="Q4" s="15" t="str">
        <f t="shared" si="3"/>
        <v>N</v>
      </c>
      <c r="R4" s="6" t="n">
        <f t="shared" si="4"/>
        <v>27.640836966073202</v>
      </c>
      <c r="S4" s="9" t="n">
        <f t="shared" si="16"/>
        <v>0.3655336250726457</v>
      </c>
      <c r="T4" s="17"/>
      <c r="U4" s="11"/>
      <c r="V4" s="19"/>
      <c r="W4" s="20"/>
      <c r="X4" s="11"/>
      <c r="Y4" s="1"/>
      <c r="Z4" s="19"/>
      <c r="AA4" s="20"/>
      <c r="AB4" s="14"/>
      <c r="AC4" s="11" t="n">
        <v>24</v>
      </c>
      <c r="AD4" s="12" t="n">
        <v>29</v>
      </c>
      <c r="AE4" s="16" t="str">
        <f t="shared" si="5"/>
        <v>SMU</v>
      </c>
      <c r="AF4" s="39" t="n">
        <f t="shared" si="17"/>
        <v>5</v>
      </c>
      <c r="AG4" s="1" t="n">
        <f t="shared" si="6"/>
        <v>1854.1926415027201</v>
      </c>
      <c r="AH4" s="1" t="n">
        <f t="shared" si="7"/>
        <v>1163.17171735089</v>
      </c>
      <c r="AI4" s="1" t="n">
        <f t="shared" si="18"/>
        <v>691.02092415183006</v>
      </c>
      <c r="AJ4" s="1" t="n">
        <f t="shared" si="19"/>
        <v>1.363487479239947</v>
      </c>
      <c r="AK4" s="1" t="n">
        <f t="shared" si="8"/>
        <v>2.436328386606823E-2</v>
      </c>
      <c r="AL4" s="1" t="n">
        <v>32</v>
      </c>
      <c r="AM4" s="1" t="n">
        <f t="shared" si="20"/>
        <v>1.0630090401456844</v>
      </c>
      <c r="AN4" s="1" t="n">
        <f t="shared" si="9"/>
        <v>1162.1087083107443</v>
      </c>
      <c r="AO4" s="40" t="n">
        <f t="shared" si="10"/>
        <v>1855.2556505428659</v>
      </c>
    </row>
    <row r="5" ht="14.65" customHeight="1">
      <c r="A5" s="33" t="n">
        <v>0</v>
      </c>
      <c r="B5" s="34" t="s">
        <v>228</v>
      </c>
      <c r="C5" s="34" t="s">
        <v>281</v>
      </c>
      <c r="D5" s="6" t="str">
        <f>IF(OR(ISBLANK(B5), ISNA(VLOOKUP(B5, 'Betting Lines'!$B$2:$F$1048576, MATCH("spread", 'Betting Lines'!$B$1:$J$1, 0), FALSE))), "", VLOOKUP(B5, 'Betting Lines'!$B$2:$F$1048576, MATCH("spread", 'Betting Lines'!$B$1:$J$1, 0), FALSE))</f>
        <v>-38</v>
      </c>
      <c r="E5" s="10" t="n">
        <f>_xlfn.IFNA(IF(ISBLANK(B5),"",VLOOKUP(B5,Elo!$A$2:$AZ$1048576,MATCH(_xlfn.CONCAT("Week ", A5),Elo!$A$1:$AZ$1,0),FALSE)), "")</f>
        <v>1321.8822659190701</v>
      </c>
      <c r="F5" s="10" t="n">
        <f>IFERROR(IF(ISBLANK(C5),"",VLOOKUP(C5,Elo!$A$2:$AZ$1048576,MATCH(_xlfn.CONCAT("Week ",A5),Elo!$A$1:$AZ$1,0),FALSE)),IF(ISBLANK(Schedule!D5),"", 1000))</f>
        <v>1000</v>
      </c>
      <c r="G5" s="34" t="n">
        <f>_xlfn.IFNA(IF(ISBLANK(B5),"",IF(VLOOKUP(Games!B5,Schedule!$C$2:$G$1048576,MATCH("neutral_site",Schedule!$C$1:$G$1,0),FALSE),0,50)),"")</f>
        <v>50</v>
      </c>
      <c r="H5" s="34" t="n">
        <f>_xlfn.IFNA(IF(VLOOKUP(Games!B5, 'Bye Weeks'!$A$2:$P$135, MATCH(Games!$A5, 'Bye Weeks'!$A$1:$P$1, 0), FALSE)="Y", 25, 0), 0)</f>
        <v>0</v>
      </c>
      <c r="I5" s="34" t="n">
        <f>_xlfn.IFNA(IF(VLOOKUP(Games!C5, 'Bye Weeks'!$A$2:$P$135, MATCH(Games!$A5, 'Bye Weeks'!$A$1:$P$1, 0), FALSE)="Y", 25, 0), 0)</f>
        <v>0</v>
      </c>
      <c r="J5" s="6" t="n">
        <f>IFERROR(_xlfn.IFNA(IF(ISBLANK(B5), "",IF(ABS(ROUND(Calc!O5, 1))&gt;70,R5,ROUND(Calc!O5, 1))), R5), R5)</f>
        <v>-12.875290636762802</v>
      </c>
      <c r="K5" s="2" t="str">
        <f t="shared" si="11"/>
        <v>Hawai'i</v>
      </c>
      <c r="L5" s="4" t="n">
        <f t="shared" si="12"/>
        <v>0.89479900927687317</v>
      </c>
      <c r="M5" s="4" t="n">
        <f t="shared" si="13"/>
        <v>0.10520099072312684</v>
      </c>
      <c r="N5" s="34" t="str">
        <f t="shared" si="14"/>
        <v>Hawai'i</v>
      </c>
      <c r="O5" s="36" t="n">
        <f t="shared" si="15"/>
        <v>0.89479900927687317</v>
      </c>
      <c r="P5" s="13" t="str">
        <f t="shared" si="2"/>
        <v>Y</v>
      </c>
      <c r="Q5" s="15" t="str">
        <f t="shared" si="3"/>
        <v>Y</v>
      </c>
      <c r="R5" s="6" t="n">
        <f t="shared" si="4"/>
        <v>-12.875290636762802</v>
      </c>
      <c r="S5" s="9" t="n">
        <f t="shared" si="16"/>
        <v>0.86356385671171498</v>
      </c>
      <c r="T5" s="17"/>
      <c r="U5" s="11"/>
      <c r="V5" s="19"/>
      <c r="W5" s="20"/>
      <c r="X5" s="11"/>
      <c r="Y5" s="1"/>
      <c r="Z5" s="19"/>
      <c r="AA5" s="20"/>
      <c r="AB5" s="14"/>
      <c r="AC5" s="11" t="n">
        <v>35</v>
      </c>
      <c r="AD5" s="12" t="n">
        <v>14</v>
      </c>
      <c r="AE5" s="16" t="str">
        <f t="shared" si="5"/>
        <v>Hawai'i</v>
      </c>
      <c r="AF5" s="39" t="n">
        <f t="shared" si="17"/>
        <v>21</v>
      </c>
      <c r="AG5" s="1" t="n">
        <f t="shared" si="6"/>
        <v>1321.8822659190701</v>
      </c>
      <c r="AH5" s="1" t="n">
        <f t="shared" si="7"/>
        <v>1000</v>
      </c>
      <c r="AI5" s="1" t="n">
        <f t="shared" si="18"/>
        <v>321.88226591907005</v>
      </c>
      <c r="AJ5" s="1" t="n">
        <f t="shared" si="19"/>
        <v>2.6965150155056943</v>
      </c>
      <c r="AK5" s="1" t="n">
        <f t="shared" si="8"/>
        <v>0.10520099072312683</v>
      </c>
      <c r="AL5" s="1" t="n">
        <v>33</v>
      </c>
      <c r="AM5" s="1" t="n">
        <f t="shared" si="20"/>
        <v>9.3613096873225636</v>
      </c>
      <c r="AN5" s="1" t="n">
        <f t="shared" si="9"/>
        <v>1331.2435756063926</v>
      </c>
      <c r="AO5" s="40" t="n">
        <f t="shared" si="10"/>
        <v>990.63869031267745</v>
      </c>
    </row>
    <row r="6" ht="14.65" customHeight="1">
      <c r="A6" s="33" t="n">
        <f>Schedule!A6</f>
        <v>1</v>
      </c>
      <c r="B6" s="34" t="s">
        <v>187</v>
      </c>
      <c r="C6" s="34" t="s">
        <v>282</v>
      </c>
      <c r="D6" s="6" t="n">
        <v>-38.5</v>
      </c>
      <c r="E6" s="10" t="n">
        <f>_xlfn.IFNA(IF(ISBLANK(B6),"",VLOOKUP(B6,Elo!$A$2:$AZ$1048576,MATCH(_xlfn.CONCAT("Week ", A6),Elo!$A$1:$AZ$1,0),FALSE)), "")</f>
        <v>1476.30840768964</v>
      </c>
      <c r="F6" s="10" t="n">
        <f>IFERROR(IF(ISBLANK(C6),"",VLOOKUP(C6,Elo!$A$2:$AZ$1048576,MATCH(_xlfn.CONCAT("Week ",A6),Elo!$A$1:$AZ$1,0),FALSE)),IF(ISBLANK(Schedule!D6),"", 1000))</f>
        <v>1000</v>
      </c>
      <c r="G6" s="34" t="n">
        <f>_xlfn.IFNA(IF(ISBLANK(B6),"",IF(VLOOKUP(Games!B6,Schedule!$C$2:$G$1048576,MATCH("neutral_site",Schedule!$C$1:$G$1,0),FALSE),0,50)),"")</f>
        <v>50</v>
      </c>
      <c r="H6" s="34" t="n">
        <f>_xlfn.IFNA(IF(VLOOKUP(Games!B6, 'Bye Weeks'!$A$2:$P$135, MATCH(Games!$A6, 'Bye Weeks'!$A$1:$P$1, 0), FALSE)="Y", 25, 0), 0)</f>
        <v>0</v>
      </c>
      <c r="I6" s="34" t="n">
        <f>_xlfn.IFNA(IF(VLOOKUP(Games!C6, 'Bye Weeks'!$A$2:$P$135, MATCH(Games!$A6, 'Bye Weeks'!$A$1:$P$1, 0), FALSE)="Y", 25, 0), 0)</f>
        <v>0</v>
      </c>
      <c r="J6" s="6" t="n">
        <f>IFERROR(_xlfn.IFNA(IF(ISBLANK(B6), "",IF(ABS(ROUND(Calc!O6, 1))&gt;70,R6,ROUND(Calc!O6, 1))), R6), R6)</f>
        <v>-19.052336307585602</v>
      </c>
      <c r="K6" s="2" t="str">
        <f t="shared" si="11"/>
        <v>Rutgers</v>
      </c>
      <c r="L6" s="4" t="n">
        <f t="shared" si="12"/>
        <v>0.95389687067531637</v>
      </c>
      <c r="M6" s="4" t="n">
        <f t="shared" si="13"/>
        <v>4.6103129324683759E-2</v>
      </c>
      <c r="N6" s="34" t="str">
        <f t="shared" si="14"/>
        <v>Rutgers</v>
      </c>
      <c r="O6" s="36" t="n">
        <f t="shared" si="15"/>
        <v>0.95389687067531637</v>
      </c>
      <c r="P6" s="13" t="str">
        <f t="shared" si="2"/>
        <v>N</v>
      </c>
      <c r="Q6" s="15" t="str">
        <f t="shared" si="3"/>
        <v>N</v>
      </c>
      <c r="R6" s="6" t="n">
        <f t="shared" si="4"/>
        <v>-19.052336307585602</v>
      </c>
      <c r="S6" s="9" t="n">
        <f t="shared" si="16"/>
        <v>0.530397102375333</v>
      </c>
      <c r="T6" s="17"/>
      <c r="U6" s="11"/>
      <c r="V6" s="19"/>
      <c r="W6" s="20"/>
      <c r="X6" s="11"/>
      <c r="Y6" s="1"/>
      <c r="Z6" s="19"/>
      <c r="AA6" s="20"/>
      <c r="AB6" s="14"/>
      <c r="AC6" s="11" t="n">
        <v>44</v>
      </c>
      <c r="AD6" s="12" t="n">
        <v>7</v>
      </c>
      <c r="AE6" s="16" t="str">
        <f t="shared" si="5"/>
        <v>Rutgers</v>
      </c>
      <c r="AF6" s="39" t="n">
        <f t="shared" si="17"/>
        <v>37</v>
      </c>
      <c r="AG6" s="1" t="n">
        <f t="shared" si="6"/>
        <v>1476.30840768964</v>
      </c>
      <c r="AH6" s="1" t="n">
        <f t="shared" si="7"/>
        <v>1000</v>
      </c>
      <c r="AI6" s="1" t="n">
        <f t="shared" si="18"/>
        <v>476.30840768964003</v>
      </c>
      <c r="AJ6" s="1" t="n">
        <f t="shared" si="19"/>
        <v>2.990197067125937</v>
      </c>
      <c r="AK6" s="1" t="n">
        <f t="shared" si="8"/>
        <v>4.6103129324683634E-2</v>
      </c>
      <c r="AL6" s="1" t="n">
        <v>34</v>
      </c>
      <c r="AM6" s="1" t="n">
        <f t="shared" si="20"/>
        <v>4.6871530311278908</v>
      </c>
      <c r="AN6" s="1" t="n">
        <f t="shared" si="9"/>
        <v>1480.995560720768</v>
      </c>
      <c r="AO6" s="40" t="n">
        <f t="shared" si="10"/>
        <v>995.31284696887212</v>
      </c>
    </row>
    <row r="7" ht="14.65" customHeight="1">
      <c r="A7" s="33" t="n">
        <f>Schedule!A7</f>
        <v>1</v>
      </c>
      <c r="B7" s="34" t="s">
        <v>250</v>
      </c>
      <c r="C7" s="34" t="s">
        <v>284</v>
      </c>
      <c r="D7" s="6" t="str">
        <f>IF(OR(ISBLANK(B7), ISNA(VLOOKUP(B7, 'Betting Lines'!$B$2:$F$1048576, MATCH("spread", 'Betting Lines'!$B$1:$J$1, 0), FALSE))), "", VLOOKUP(B7, 'Betting Lines'!$B$2:$F$1048576, MATCH("spread", 'Betting Lines'!$B$1:$J$1, 0), FALSE))</f>
      </c>
      <c r="E7" s="10" t="n">
        <f>_xlfn.IFNA(IF(ISBLANK(B7),"",VLOOKUP(B7,Elo!$A$2:$AZ$1048576,MATCH(_xlfn.CONCAT("Week ", A7),Elo!$A$1:$AZ$1,0),FALSE)), "")</f>
        <v>1090.1464681889199</v>
      </c>
      <c r="F7" s="10" t="n">
        <f>IFERROR(IF(ISBLANK(C7),"",VLOOKUP(C7,Elo!$A$2:$AZ$1048576,MATCH(_xlfn.CONCAT("Week ",A7),Elo!$A$1:$AZ$1,0),FALSE)),IF(ISBLANK(Schedule!D7),"", 1000))</f>
        <v>1000</v>
      </c>
      <c r="G7" s="34" t="n">
        <f>_xlfn.IFNA(IF(ISBLANK(B7),"",IF(VLOOKUP(Games!B7,Schedule!$C$2:$G$1048576,MATCH("neutral_site",Schedule!$C$1:$G$1,0),FALSE),0,50)),"")</f>
        <v>50</v>
      </c>
      <c r="H7" s="34" t="n">
        <f>_xlfn.IFNA(IF(VLOOKUP(Games!B7, 'Bye Weeks'!$A$2:$P$135, MATCH(Games!$A7, 'Bye Weeks'!$A$1:$P$1, 0), FALSE)="Y", 25, 0), 0)</f>
        <v>0</v>
      </c>
      <c r="I7" s="34" t="n">
        <f>_xlfn.IFNA(IF(VLOOKUP(Games!C7, 'Bye Weeks'!$A$2:$P$135, MATCH(Games!$A7, 'Bye Weeks'!$A$1:$P$1, 0), FALSE)="Y", 25, 0), 0)</f>
        <v>0</v>
      </c>
      <c r="J7" s="6" t="n">
        <f>IFERROR(_xlfn.IFNA(IF(ISBLANK(B7), "",IF(ABS(ROUND(Calc!O7, 1))&gt;70,R7,ROUND(Calc!O7, 1))), R7), R7)</f>
        <v>-3.605858727556797</v>
      </c>
      <c r="K7" s="2" t="str">
        <f t="shared" si="11"/>
        <v>Louisiana Monroe</v>
      </c>
      <c r="L7" s="4" t="n">
        <f t="shared" si="12"/>
        <v>0.69141607341304401</v>
      </c>
      <c r="M7" s="4" t="n">
        <f t="shared" si="13"/>
        <v>0.30858392658695594</v>
      </c>
      <c r="N7" s="34" t="str">
        <f t="shared" si="14"/>
        <v>Louisiana Monroe</v>
      </c>
      <c r="O7" s="36" t="n">
        <f t="shared" si="15"/>
        <v>0.69141607341304401</v>
      </c>
      <c r="P7" s="13" t="str">
        <f t="shared" si="2"/>
        <v>Y</v>
      </c>
      <c r="Q7" s="15" t="str">
        <f t="shared" si="3"/>
        <v>Y</v>
      </c>
      <c r="R7" s="6" t="n">
        <f t="shared" si="4"/>
        <v>-3.605858727556797</v>
      </c>
      <c r="S7" s="9" t="n">
        <f t="shared" si="16"/>
        <v>3.0896653182892644</v>
      </c>
      <c r="T7" s="17"/>
      <c r="U7" s="11"/>
      <c r="V7" s="19"/>
      <c r="W7" s="20"/>
      <c r="X7" s="11"/>
      <c r="Y7" s="1"/>
      <c r="Z7" s="19"/>
      <c r="AA7" s="20"/>
      <c r="AB7" s="14"/>
      <c r="AC7" s="11" t="n">
        <v>30</v>
      </c>
      <c r="AD7" s="12" t="n">
        <v>14</v>
      </c>
      <c r="AE7" s="16" t="str">
        <f t="shared" si="5"/>
        <v>Louisiana Monroe</v>
      </c>
      <c r="AF7" s="39" t="n">
        <f t="shared" si="17"/>
        <v>16</v>
      </c>
      <c r="AG7" s="1" t="n">
        <f t="shared" si="6"/>
        <v>1090.1464681889199</v>
      </c>
      <c r="AH7" s="1" t="n">
        <f t="shared" si="7"/>
        <v>1000</v>
      </c>
      <c r="AI7" s="1" t="n">
        <f t="shared" si="18"/>
        <v>90.146468188919926</v>
      </c>
      <c r="AJ7" s="1" t="n">
        <f t="shared" si="19"/>
        <v>2.7216902689428744</v>
      </c>
      <c r="AK7" s="1" t="n">
        <f t="shared" si="8"/>
        <v>0.30858392658695599</v>
      </c>
      <c r="AL7" s="1" t="n">
        <v>35</v>
      </c>
      <c r="AM7" s="1" t="n">
        <f t="shared" si="20"/>
        <v>29.395445455036516</v>
      </c>
      <c r="AN7" s="1" t="n">
        <f t="shared" si="9"/>
        <v>1119.5419136439564</v>
      </c>
      <c r="AO7" s="40" t="n">
        <f t="shared" si="10"/>
        <v>970.60455454496343</v>
      </c>
    </row>
    <row r="8" ht="14.65" customHeight="1">
      <c r="A8" s="33" t="n">
        <f>Schedule!A8</f>
        <v>1</v>
      </c>
      <c r="B8" s="34" t="s">
        <v>230</v>
      </c>
      <c r="C8" s="34" t="s">
        <v>283</v>
      </c>
      <c r="D8" s="6" t="n">
        <v>-33.5</v>
      </c>
      <c r="E8" s="10" t="n">
        <f>_xlfn.IFNA(IF(ISBLANK(B8),"",VLOOKUP(B8,Elo!$A$2:$AZ$1048576,MATCH(_xlfn.CONCAT("Week ", A8),Elo!$A$1:$AZ$1,0),FALSE)), "")</f>
        <v>1306.12169209277</v>
      </c>
      <c r="F8" s="10" t="n">
        <f>IFERROR(IF(ISBLANK(C8),"",VLOOKUP(C8,Elo!$A$2:$AZ$1048576,MATCH(_xlfn.CONCAT("Week ",A8),Elo!$A$1:$AZ$1,0),FALSE)),IF(ISBLANK(Schedule!D8),"", 1000))</f>
        <v>1000</v>
      </c>
      <c r="G8" s="34" t="n">
        <f>_xlfn.IFNA(IF(ISBLANK(B8),"",IF(VLOOKUP(Games!B8,Schedule!$C$2:$G$1048576,MATCH("neutral_site",Schedule!$C$1:$G$1,0),FALSE),0,50)),"")</f>
        <v>50</v>
      </c>
      <c r="H8" s="34" t="n">
        <f>_xlfn.IFNA(IF(VLOOKUP(Games!B8, 'Bye Weeks'!$A$2:$P$135, MATCH(Games!$A8, 'Bye Weeks'!$A$1:$P$1, 0), FALSE)="Y", 25, 0), 0)</f>
        <v>0</v>
      </c>
      <c r="I8" s="34" t="n">
        <f>_xlfn.IFNA(IF(VLOOKUP(Games!C8, 'Bye Weeks'!$A$2:$P$135, MATCH(Games!$A8, 'Bye Weeks'!$A$1:$P$1, 0), FALSE)="Y", 25, 0), 0)</f>
        <v>0</v>
      </c>
      <c r="J8" s="6" t="n">
        <f>IFERROR(_xlfn.IFNA(IF(ISBLANK(B8), "",IF(ABS(ROUND(Calc!O8, 1))&gt;70,R8,ROUND(Calc!O8, 1))), R8), R8)</f>
        <v>-12.244867683710799</v>
      </c>
      <c r="K8" s="2" t="str">
        <f t="shared" si="11"/>
        <v>Central Michigan</v>
      </c>
      <c r="L8" s="4" t="n">
        <f t="shared" si="12"/>
        <v>0.88594774490055628</v>
      </c>
      <c r="M8" s="4" t="n">
        <f t="shared" si="13"/>
        <v>0.11405225509944368</v>
      </c>
      <c r="N8" s="34" t="str">
        <f t="shared" si="14"/>
        <v>Central Michigan</v>
      </c>
      <c r="O8" s="36" t="n">
        <f t="shared" si="15"/>
        <v>0.88594774490055628</v>
      </c>
      <c r="P8" s="13" t="str">
        <f t="shared" si="2"/>
        <v>N</v>
      </c>
      <c r="Q8" s="15" t="str">
        <f t="shared" si="3"/>
        <v>N</v>
      </c>
      <c r="R8" s="6" t="n">
        <f t="shared" si="4"/>
        <v>-12.244867683710799</v>
      </c>
      <c r="S8" s="9" t="n">
        <f t="shared" si="16"/>
        <v>0.82550954052792003</v>
      </c>
      <c r="T8" s="17"/>
      <c r="U8" s="11"/>
      <c r="V8" s="19"/>
      <c r="W8" s="20"/>
      <c r="X8" s="11"/>
      <c r="Y8" s="1"/>
      <c r="Z8" s="19"/>
      <c r="AA8" s="20"/>
      <c r="AB8" s="14"/>
      <c r="AC8" s="11" t="n">
        <v>66</v>
      </c>
      <c r="AD8" s="12" t="n">
        <v>10</v>
      </c>
      <c r="AE8" s="16" t="str">
        <f t="shared" si="5"/>
        <v>Central Michigan</v>
      </c>
      <c r="AF8" s="39" t="n">
        <f t="shared" si="17"/>
        <v>56</v>
      </c>
      <c r="AG8" s="1" t="n">
        <f t="shared" si="6"/>
        <v>1306.12169209277</v>
      </c>
      <c r="AH8" s="1" t="n">
        <f t="shared" si="7"/>
        <v>1000</v>
      </c>
      <c r="AI8" s="1" t="n">
        <f t="shared" si="18"/>
        <v>306.12169209276999</v>
      </c>
      <c r="AJ8" s="1" t="n">
        <f t="shared" si="19"/>
        <v>3.549194285856232</v>
      </c>
      <c r="AK8" s="1" t="n">
        <f t="shared" si="8"/>
        <v>0.11405225509944372</v>
      </c>
      <c r="AL8" s="1" t="n">
        <v>36</v>
      </c>
      <c r="AM8" s="1" t="n">
        <f t="shared" si="20"/>
        <v>14.572570035166667</v>
      </c>
      <c r="AN8" s="1" t="n">
        <f t="shared" si="9"/>
        <v>1320.6942621279366</v>
      </c>
      <c r="AO8" s="40" t="n">
        <f t="shared" si="10"/>
        <v>985.42742996483332</v>
      </c>
    </row>
    <row r="9" ht="14.65" customHeight="1">
      <c r="A9" s="33" t="n">
        <f>Schedule!A9</f>
        <v>1</v>
      </c>
      <c r="B9" s="34" t="s">
        <v>236</v>
      </c>
      <c r="C9" s="34" t="s">
        <v>285</v>
      </c>
      <c r="D9" s="6" t="n">
        <v>-3.5</v>
      </c>
      <c r="E9" s="10" t="n">
        <f>_xlfn.IFNA(IF(ISBLANK(B9),"",VLOOKUP(B9,Elo!$A$2:$AZ$1048576,MATCH(_xlfn.CONCAT("Week ", A9),Elo!$A$1:$AZ$1,0),FALSE)), "")</f>
        <v>1253.57271011082</v>
      </c>
      <c r="F9" s="10" t="n">
        <f>IFERROR(IF(ISBLANK(C9),"",VLOOKUP(C9,Elo!$A$2:$AZ$1048576,MATCH(_xlfn.CONCAT("Week ",A9),Elo!$A$1:$AZ$1,0),FALSE)),IF(ISBLANK(Schedule!D9),"", 1000))</f>
        <v>1000</v>
      </c>
      <c r="G9" s="34" t="n">
        <f>_xlfn.IFNA(IF(ISBLANK(B9),"",IF(VLOOKUP(Games!B9,Schedule!$C$2:$G$1048576,MATCH("neutral_site",Schedule!$C$1:$G$1,0),FALSE),0,50)),"")</f>
        <v>50</v>
      </c>
      <c r="H9" s="34" t="n">
        <f>_xlfn.IFNA(IF(VLOOKUP(Games!B9, 'Bye Weeks'!$A$2:$P$135, MATCH(Games!$A9, 'Bye Weeks'!$A$1:$P$1, 0), FALSE)="Y", 25, 0), 0)</f>
        <v>0</v>
      </c>
      <c r="I9" s="34" t="n">
        <f>_xlfn.IFNA(IF(VLOOKUP(Games!C9, 'Bye Weeks'!$A$2:$P$135, MATCH(Games!$A9, 'Bye Weeks'!$A$1:$P$1, 0), FALSE)="Y", 25, 0), 0)</f>
        <v>0</v>
      </c>
      <c r="J9" s="6" t="n">
        <f>IFERROR(_xlfn.IFNA(IF(ISBLANK(B9), "",IF(ABS(ROUND(Calc!O9, 1))&gt;70,R9,ROUND(Calc!O9, 1))), R9), R9)</f>
        <v>-10.1429084044328</v>
      </c>
      <c r="K9" s="2" t="str">
        <f t="shared" si="11"/>
        <v>Buffalo</v>
      </c>
      <c r="L9" s="4" t="n">
        <f t="shared" si="12"/>
        <v>0.85163783216744648</v>
      </c>
      <c r="M9" s="4" t="n">
        <f t="shared" si="13"/>
        <v>0.14836216783255354</v>
      </c>
      <c r="N9" s="34" t="str">
        <f t="shared" si="14"/>
        <v>Buffalo</v>
      </c>
      <c r="O9" s="36" t="n">
        <f t="shared" si="15"/>
        <v>0.85163783216744648</v>
      </c>
      <c r="P9" s="13" t="str">
        <f t="shared" si="2"/>
        <v>Y</v>
      </c>
      <c r="Q9" s="15" t="str">
        <f t="shared" si="3"/>
        <v>Y</v>
      </c>
      <c r="R9" s="6" t="n">
        <f t="shared" si="4"/>
        <v>-10.1429084044328</v>
      </c>
      <c r="S9" s="9" t="n">
        <f t="shared" si="16"/>
        <v>0.99675232390155577</v>
      </c>
      <c r="T9" s="17"/>
      <c r="U9" s="11"/>
      <c r="V9" s="19"/>
      <c r="W9" s="20"/>
      <c r="X9" s="11"/>
      <c r="Y9" s="1"/>
      <c r="Z9" s="19"/>
      <c r="AA9" s="20"/>
      <c r="AB9" s="14"/>
      <c r="AC9" s="11" t="n">
        <v>30</v>
      </c>
      <c r="AD9" s="12" t="n">
        <v>13</v>
      </c>
      <c r="AE9" s="16" t="str">
        <f t="shared" si="5"/>
        <v>Buffalo</v>
      </c>
      <c r="AF9" s="39" t="n">
        <f t="shared" si="17"/>
        <v>17</v>
      </c>
      <c r="AG9" s="1" t="n">
        <f t="shared" si="6"/>
        <v>1253.57271011082</v>
      </c>
      <c r="AH9" s="1" t="n">
        <f t="shared" si="7"/>
        <v>1000</v>
      </c>
      <c r="AI9" s="1" t="n">
        <f t="shared" si="18"/>
        <v>253.57271011082003</v>
      </c>
      <c r="AJ9" s="1" t="n">
        <f t="shared" si="19"/>
        <v>2.5916565835476524</v>
      </c>
      <c r="AK9" s="1" t="n">
        <f t="shared" si="8"/>
        <v>0.14836216783255352</v>
      </c>
      <c r="AL9" s="1" t="n">
        <v>37</v>
      </c>
      <c r="AM9" s="1" t="n">
        <f t="shared" si="20"/>
        <v>14.226640193467645</v>
      </c>
      <c r="AN9" s="1" t="n">
        <f t="shared" si="9"/>
        <v>1267.7993503042876</v>
      </c>
      <c r="AO9" s="40" t="n">
        <f t="shared" si="10"/>
        <v>985.77335980653231</v>
      </c>
    </row>
    <row r="10" ht="14.65" customHeight="1">
      <c r="A10" s="33" t="n">
        <f>Schedule!A10</f>
        <v>1</v>
      </c>
      <c r="B10" s="34" t="s">
        <v>162</v>
      </c>
      <c r="C10" s="34" t="s">
        <v>288</v>
      </c>
      <c r="D10" s="6" t="str">
        <f>IF(OR(ISBLANK(B10), ISNA(VLOOKUP(B10, 'Betting Lines'!$B$2:$F$1048576, MATCH("spread", 'Betting Lines'!$B$1:$J$1, 0), FALSE))), "", VLOOKUP(B10, 'Betting Lines'!$B$2:$F$1048576, MATCH("spread", 'Betting Lines'!$B$1:$J$1, 0), FALSE))</f>
      </c>
      <c r="E10" s="10" t="n">
        <f>_xlfn.IFNA(IF(ISBLANK(B10),"",VLOOKUP(B10,Elo!$A$2:$AZ$1048576,MATCH(_xlfn.CONCAT("Week ", A10),Elo!$A$1:$AZ$1,0),FALSE)), "")</f>
        <v>1595.2684664870901</v>
      </c>
      <c r="F10" s="10" t="n">
        <f>IFERROR(IF(ISBLANK(C10),"",VLOOKUP(C10,Elo!$A$2:$AZ$1048576,MATCH(_xlfn.CONCAT("Week ",A10),Elo!$A$1:$AZ$1,0),FALSE)),IF(ISBLANK(Schedule!D10),"", 1000))</f>
        <v>1000</v>
      </c>
      <c r="G10" s="34" t="n">
        <f>_xlfn.IFNA(IF(ISBLANK(B10),"",IF(VLOOKUP(Games!B10,Schedule!$C$2:$G$1048576,MATCH("neutral_site",Schedule!$C$1:$G$1,0),FALSE),0,50)),"")</f>
        <v>50</v>
      </c>
      <c r="H10" s="34" t="n">
        <f>_xlfn.IFNA(IF(VLOOKUP(Games!B10, 'Bye Weeks'!$A$2:$P$135, MATCH(Games!$A10, 'Bye Weeks'!$A$1:$P$1, 0), FALSE)="Y", 25, 0), 0)</f>
        <v>0</v>
      </c>
      <c r="I10" s="34" t="n">
        <f>_xlfn.IFNA(IF(VLOOKUP(Games!C10, 'Bye Weeks'!$A$2:$P$135, MATCH(Games!$A10, 'Bye Weeks'!$A$1:$P$1, 0), FALSE)="Y", 25, 0), 0)</f>
        <v>0</v>
      </c>
      <c r="J10" s="6" t="n">
        <f>IFERROR(_xlfn.IFNA(IF(ISBLANK(B10), "",IF(ABS(ROUND(Calc!O10, 1))&gt;70,R10,ROUND(Calc!O10, 1))), R10), R10)</f>
        <v>-23.810738659483604</v>
      </c>
      <c r="K10" s="2" t="str">
        <f t="shared" si="11"/>
        <v>NC State</v>
      </c>
      <c r="L10" s="4" t="n">
        <f t="shared" si="12"/>
        <v>0.9762111954718945</v>
      </c>
      <c r="M10" s="4" t="n">
        <f t="shared" si="13"/>
        <v>2.3788804528105435E-2</v>
      </c>
      <c r="N10" s="34" t="str">
        <f t="shared" si="14"/>
        <v>NC State</v>
      </c>
      <c r="O10" s="36" t="n">
        <f t="shared" si="15"/>
        <v>0.9762111954718945</v>
      </c>
      <c r="P10" s="13" t="str">
        <f t="shared" si="2"/>
        <v>Y</v>
      </c>
      <c r="Q10" s="15" t="str">
        <f t="shared" si="3"/>
        <v>Y</v>
      </c>
      <c r="R10" s="6" t="n">
        <f t="shared" si="4"/>
        <v>-23.810738659483604</v>
      </c>
      <c r="S10" s="9" t="n">
        <f t="shared" si="16"/>
        <v>0.46679223527262786</v>
      </c>
      <c r="T10" s="17"/>
      <c r="U10" s="11"/>
      <c r="V10" s="19"/>
      <c r="W10" s="20"/>
      <c r="X10" s="11"/>
      <c r="Y10" s="1"/>
      <c r="Z10" s="19"/>
      <c r="AA10" s="20"/>
      <c r="AB10" s="14"/>
      <c r="AC10" s="11" t="n">
        <v>38</v>
      </c>
      <c r="AD10" s="12" t="n">
        <v>21</v>
      </c>
      <c r="AE10" s="16" t="str">
        <f t="shared" si="5"/>
        <v>NC State</v>
      </c>
      <c r="AF10" s="39" t="n">
        <f t="shared" si="17"/>
        <v>17</v>
      </c>
      <c r="AG10" s="1" t="n">
        <f t="shared" si="6"/>
        <v>1595.2684664870901</v>
      </c>
      <c r="AH10" s="1" t="n">
        <f t="shared" si="7"/>
        <v>1000</v>
      </c>
      <c r="AI10" s="1" t="n">
        <f t="shared" si="18"/>
        <v>595.26846648709011</v>
      </c>
      <c r="AJ10" s="1" t="n">
        <f t="shared" si="19"/>
        <v>2.2748504995525196</v>
      </c>
      <c r="AK10" s="1" t="n">
        <f t="shared" si="8"/>
        <v>2.3788804528105501E-2</v>
      </c>
      <c r="AL10" s="1" t="n">
        <v>38</v>
      </c>
      <c r="AM10" s="1" t="n">
        <f t="shared" si="20"/>
        <v>2.0564070068516855</v>
      </c>
      <c r="AN10" s="1" t="n">
        <f t="shared" si="9"/>
        <v>1597.3248734939418</v>
      </c>
      <c r="AO10" s="40" t="n">
        <f t="shared" si="10"/>
        <v>997.94359299314829</v>
      </c>
    </row>
    <row r="11" ht="14.65" customHeight="1">
      <c r="A11" s="33" t="n">
        <f>Schedule!A11</f>
        <v>1</v>
      </c>
      <c r="B11" s="34" t="s">
        <v>151</v>
      </c>
      <c r="C11" s="34" t="s">
        <v>287</v>
      </c>
      <c r="D11" s="6" t="str">
        <f>IF(OR(ISBLANK(B11), ISNA(VLOOKUP(B11, 'Betting Lines'!$B$2:$F$1048576, MATCH("spread", 'Betting Lines'!$B$1:$J$1, 0), FALSE))), "", VLOOKUP(B11, 'Betting Lines'!$B$2:$F$1048576, MATCH("spread", 'Betting Lines'!$B$1:$J$1, 0), FALSE))</f>
      </c>
      <c r="E11" s="10" t="n">
        <f>_xlfn.IFNA(IF(ISBLANK(B11),"",VLOOKUP(B11,Elo!$A$2:$AZ$1048576,MATCH(_xlfn.CONCAT("Week ", A11),Elo!$A$1:$AZ$1,0),FALSE)), "")</f>
        <v>1637.4913747384601</v>
      </c>
      <c r="F11" s="10" t="n">
        <f>IFERROR(IF(ISBLANK(C11),"",VLOOKUP(C11,Elo!$A$2:$AZ$1048576,MATCH(_xlfn.CONCAT("Week ",A11),Elo!$A$1:$AZ$1,0),FALSE)),IF(ISBLANK(Schedule!D11),"", 1000))</f>
        <v>1000</v>
      </c>
      <c r="G11" s="34" t="n">
        <f>_xlfn.IFNA(IF(ISBLANK(B11),"",IF(VLOOKUP(Games!B11,Schedule!$C$2:$G$1048576,MATCH("neutral_site",Schedule!$C$1:$G$1,0),FALSE),0,50)),"")</f>
        <v>50</v>
      </c>
      <c r="H11" s="34" t="n">
        <f>_xlfn.IFNA(IF(VLOOKUP(Games!B11, 'Bye Weeks'!$A$2:$P$135, MATCH(Games!$A11, 'Bye Weeks'!$A$1:$P$1, 0), FALSE)="Y", 25, 0), 0)</f>
        <v>0</v>
      </c>
      <c r="I11" s="34" t="n">
        <f>_xlfn.IFNA(IF(VLOOKUP(Games!C11, 'Bye Weeks'!$A$2:$P$135, MATCH(Games!$A11, 'Bye Weeks'!$A$1:$P$1, 0), FALSE)="Y", 25, 0), 0)</f>
        <v>0</v>
      </c>
      <c r="J11" s="6" t="n">
        <f>IFERROR(_xlfn.IFNA(IF(ISBLANK(B11), "",IF(ABS(ROUND(Calc!O11, 1))&gt;70,R11,ROUND(Calc!O11, 1))), R11), R11)</f>
        <v>-25.499654989538403</v>
      </c>
      <c r="K11" s="2" t="str">
        <f t="shared" si="11"/>
        <v>UCF</v>
      </c>
      <c r="L11" s="4" t="n">
        <f t="shared" si="12"/>
        <v>0.98124788334325064</v>
      </c>
      <c r="M11" s="4" t="n">
        <f t="shared" si="13"/>
        <v>1.8752116656749248E-2</v>
      </c>
      <c r="N11" s="34" t="str">
        <f t="shared" si="14"/>
        <v>UCF</v>
      </c>
      <c r="O11" s="36" t="n">
        <f t="shared" si="15"/>
        <v>0.98124788334325064</v>
      </c>
      <c r="P11" s="13" t="str">
        <f t="shared" si="2"/>
        <v>Y</v>
      </c>
      <c r="Q11" s="15" t="str">
        <f t="shared" si="3"/>
        <v>Y</v>
      </c>
      <c r="R11" s="6" t="n">
        <f t="shared" si="4"/>
        <v>-25.499654989538403</v>
      </c>
      <c r="S11" s="9" t="n">
        <f t="shared" si="16"/>
        <v>0.43586309836519271</v>
      </c>
      <c r="T11" s="17"/>
      <c r="U11" s="11"/>
      <c r="V11" s="19"/>
      <c r="W11" s="20"/>
      <c r="X11" s="11"/>
      <c r="Y11" s="1"/>
      <c r="Z11" s="19"/>
      <c r="AA11" s="20"/>
      <c r="AB11" s="14"/>
      <c r="AC11" s="11" t="n">
        <v>57</v>
      </c>
      <c r="AD11" s="12" t="n">
        <v>3</v>
      </c>
      <c r="AE11" s="16" t="str">
        <f t="shared" si="5"/>
        <v>UCF</v>
      </c>
      <c r="AF11" s="39" t="n">
        <f t="shared" si="17"/>
        <v>54</v>
      </c>
      <c r="AG11" s="1" t="n">
        <f t="shared" si="6"/>
        <v>1637.4913747384601</v>
      </c>
      <c r="AH11" s="1" t="n">
        <f t="shared" si="7"/>
        <v>1000</v>
      </c>
      <c r="AI11" s="1" t="n">
        <f t="shared" si="18"/>
        <v>637.49137473846008</v>
      </c>
      <c r="AJ11" s="1" t="n">
        <f t="shared" si="19"/>
        <v>3.1070166718388865</v>
      </c>
      <c r="AK11" s="1" t="n">
        <f t="shared" si="8"/>
        <v>1.8752116656749362E-2</v>
      </c>
      <c r="AL11" s="1" t="n">
        <v>39</v>
      </c>
      <c r="AM11" s="1" t="n">
        <f t="shared" si="20"/>
        <v>2.2722624243067302</v>
      </c>
      <c r="AN11" s="1" t="n">
        <f t="shared" si="9"/>
        <v>1639.7636371627668</v>
      </c>
      <c r="AO11" s="40" t="n">
        <f t="shared" si="10"/>
        <v>997.72773757569325</v>
      </c>
    </row>
    <row r="12" ht="14.65" customHeight="1">
      <c r="A12" s="33" t="n">
        <f>Schedule!A12</f>
        <v>1</v>
      </c>
      <c r="B12" s="34" t="s">
        <v>194</v>
      </c>
      <c r="C12" s="34" t="s">
        <v>289</v>
      </c>
      <c r="D12" s="6" t="str">
        <f>IF(OR(ISBLANK(B12), ISNA(VLOOKUP(B12, 'Betting Lines'!$B$2:$F$1048576, MATCH("spread", 'Betting Lines'!$B$1:$J$1, 0), FALSE))), "", VLOOKUP(B12, 'Betting Lines'!$B$2:$F$1048576, MATCH("spread", 'Betting Lines'!$B$1:$J$1, 0), FALSE))</f>
      </c>
      <c r="E12" s="10" t="n">
        <f>_xlfn.IFNA(IF(ISBLANK(B12),"",VLOOKUP(B12,Elo!$A$2:$AZ$1048576,MATCH(_xlfn.CONCAT("Week ", A12),Elo!$A$1:$AZ$1,0),FALSE)), "")</f>
        <v>1445.15054912657</v>
      </c>
      <c r="F12" s="10" t="n">
        <f>IFERROR(IF(ISBLANK(C12),"",VLOOKUP(C12,Elo!$A$2:$AZ$1048576,MATCH(_xlfn.CONCAT("Week ",A12),Elo!$A$1:$AZ$1,0),FALSE)),IF(ISBLANK(Schedule!D12),"", 1000))</f>
        <v>1000</v>
      </c>
      <c r="G12" s="34" t="n">
        <f>_xlfn.IFNA(IF(ISBLANK(B12),"",IF(VLOOKUP(Games!B12,Schedule!$C$2:$G$1048576,MATCH("neutral_site",Schedule!$C$1:$G$1,0),FALSE),0,50)),"")</f>
        <v>50</v>
      </c>
      <c r="H12" s="34" t="n">
        <f>_xlfn.IFNA(IF(VLOOKUP(Games!B12, 'Bye Weeks'!$A$2:$P$135, MATCH(Games!$A12, 'Bye Weeks'!$A$1:$P$1, 0), FALSE)="Y", 25, 0), 0)</f>
        <v>0</v>
      </c>
      <c r="I12" s="34" t="n">
        <f>_xlfn.IFNA(IF(VLOOKUP(Games!C12, 'Bye Weeks'!$A$2:$P$135, MATCH(Games!$A12, 'Bye Weeks'!$A$1:$P$1, 0), FALSE)="Y", 25, 0), 0)</f>
        <v>0</v>
      </c>
      <c r="J12" s="6" t="n">
        <f>IFERROR(_xlfn.IFNA(IF(ISBLANK(B12), "",IF(ABS(ROUND(Calc!O12, 1))&gt;70,R12,ROUND(Calc!O12, 1))), R12), R12)</f>
        <v>-17.806021965062801</v>
      </c>
      <c r="K12" s="2" t="str">
        <f t="shared" si="11"/>
        <v>Bowling Green</v>
      </c>
      <c r="L12" s="4" t="n">
        <f t="shared" si="12"/>
        <v>0.9453349985465499</v>
      </c>
      <c r="M12" s="4" t="n">
        <f t="shared" si="13"/>
        <v>5.4665001453450143E-2</v>
      </c>
      <c r="N12" s="34" t="str">
        <f t="shared" si="14"/>
        <v>Bowling Green</v>
      </c>
      <c r="O12" s="36" t="n">
        <f t="shared" si="15"/>
        <v>0.9453349985465499</v>
      </c>
      <c r="P12" s="13" t="str">
        <f t="shared" si="2"/>
        <v>Y</v>
      </c>
      <c r="Q12" s="15" t="str">
        <f t="shared" si="3"/>
        <v>Y</v>
      </c>
      <c r="R12" s="6" t="n">
        <f t="shared" si="4"/>
        <v>-17.806021965062801</v>
      </c>
      <c r="S12" s="9" t="n">
        <f t="shared" si="16"/>
        <v>0.62429682441453405</v>
      </c>
      <c r="T12" s="17"/>
      <c r="U12" s="11"/>
      <c r="V12" s="19"/>
      <c r="W12" s="20"/>
      <c r="X12" s="11"/>
      <c r="Y12" s="1"/>
      <c r="Z12" s="19"/>
      <c r="AA12" s="20"/>
      <c r="AB12" s="14"/>
      <c r="AC12" s="11" t="n">
        <v>41</v>
      </c>
      <c r="AD12" s="12" t="n">
        <v>17</v>
      </c>
      <c r="AE12" s="16" t="str">
        <f t="shared" si="5"/>
        <v>Bowling Green</v>
      </c>
      <c r="AF12" s="39" t="n">
        <f t="shared" si="17"/>
        <v>24</v>
      </c>
      <c r="AG12" s="1" t="n">
        <f t="shared" si="6"/>
        <v>1445.15054912657</v>
      </c>
      <c r="AH12" s="1" t="n">
        <f t="shared" si="7"/>
        <v>1000</v>
      </c>
      <c r="AI12" s="1" t="n">
        <f t="shared" si="18"/>
        <v>445.15054912657001</v>
      </c>
      <c r="AJ12" s="1" t="n">
        <f t="shared" si="19"/>
        <v>2.6771734474804711</v>
      </c>
      <c r="AK12" s="1" t="n">
        <f t="shared" si="8"/>
        <v>5.4665001453450102E-2</v>
      </c>
      <c r="AL12" s="1" t="n">
        <v>40</v>
      </c>
      <c r="AM12" s="1" t="n">
        <f t="shared" si="20"/>
        <v>5.8539076159063184</v>
      </c>
      <c r="AN12" s="1" t="n">
        <f t="shared" si="9"/>
        <v>1451.0044567424763</v>
      </c>
      <c r="AO12" s="40" t="n">
        <f t="shared" si="10"/>
        <v>994.14609238409366</v>
      </c>
    </row>
    <row r="13" ht="14.65" customHeight="1">
      <c r="A13" s="33" t="n">
        <f>Schedule!A13</f>
        <v>1</v>
      </c>
      <c r="B13" s="34" t="s">
        <v>206</v>
      </c>
      <c r="C13" s="34" t="s">
        <v>286</v>
      </c>
      <c r="D13" s="6" t="str">
        <f>IF(OR(ISBLANK(B13), ISNA(VLOOKUP(B13, 'Betting Lines'!$B$2:$F$1048576, MATCH("spread", 'Betting Lines'!$B$1:$J$1, 0), FALSE))), "", VLOOKUP(B13, 'Betting Lines'!$B$2:$F$1048576, MATCH("spread", 'Betting Lines'!$B$1:$J$1, 0), FALSE))</f>
      </c>
      <c r="E13" s="10" t="n">
        <f>_xlfn.IFNA(IF(ISBLANK(B13),"",VLOOKUP(B13,Elo!$A$2:$AZ$1048576,MATCH(_xlfn.CONCAT("Week ", A13),Elo!$A$1:$AZ$1,0),FALSE)), "")</f>
        <v>1408.9937454746801</v>
      </c>
      <c r="F13" s="10" t="n">
        <f>IFERROR(IF(ISBLANK(C13),"",VLOOKUP(C13,Elo!$A$2:$AZ$1048576,MATCH(_xlfn.CONCAT("Week ",A13),Elo!$A$1:$AZ$1,0),FALSE)),IF(ISBLANK(Schedule!D13),"", 1000))</f>
        <v>1000</v>
      </c>
      <c r="G13" s="34" t="n">
        <f>_xlfn.IFNA(IF(ISBLANK(B13),"",IF(VLOOKUP(Games!B13,Schedule!$C$2:$G$1048576,MATCH("neutral_site",Schedule!$C$1:$G$1,0),FALSE),0,50)),"")</f>
        <v>50</v>
      </c>
      <c r="H13" s="34" t="n">
        <f>_xlfn.IFNA(IF(VLOOKUP(Games!B13, 'Bye Weeks'!$A$2:$P$135, MATCH(Games!$A13, 'Bye Weeks'!$A$1:$P$1, 0), FALSE)="Y", 25, 0), 0)</f>
        <v>0</v>
      </c>
      <c r="I13" s="34" t="n">
        <f>_xlfn.IFNA(IF(VLOOKUP(Games!C13, 'Bye Weeks'!$A$2:$P$135, MATCH(Games!$A13, 'Bye Weeks'!$A$1:$P$1, 0), FALSE)="Y", 25, 0), 0)</f>
        <v>0</v>
      </c>
      <c r="J13" s="6" t="n">
        <f>IFERROR(_xlfn.IFNA(IF(ISBLANK(B13), "",IF(ABS(ROUND(Calc!O13, 1))&gt;70,R13,ROUND(Calc!O13, 1))), R13), R13)</f>
        <v>-16.359749818987201</v>
      </c>
      <c r="K13" s="2" t="str">
        <f t="shared" si="11"/>
        <v>Wake Forest</v>
      </c>
      <c r="L13" s="4" t="n">
        <f t="shared" si="12"/>
        <v>0.93352739432176124</v>
      </c>
      <c r="M13" s="4" t="n">
        <f t="shared" si="13"/>
        <v>6.647260567823883E-2</v>
      </c>
      <c r="N13" s="34" t="str">
        <f t="shared" si="14"/>
        <v>Wake Forest</v>
      </c>
      <c r="O13" s="36" t="n">
        <f t="shared" si="15"/>
        <v>0.93352739432176124</v>
      </c>
      <c r="P13" s="13" t="str">
        <f t="shared" si="2"/>
        <v>Y</v>
      </c>
      <c r="Q13" s="15" t="str">
        <f t="shared" si="3"/>
        <v>Y</v>
      </c>
      <c r="R13" s="6" t="n">
        <f t="shared" si="4"/>
        <v>-16.359749818987201</v>
      </c>
      <c r="S13" s="9" t="n">
        <f t="shared" si="16"/>
        <v>0.67952110111787756</v>
      </c>
      <c r="T13" s="17"/>
      <c r="U13" s="11"/>
      <c r="V13" s="19"/>
      <c r="W13" s="20"/>
      <c r="X13" s="11"/>
      <c r="Y13" s="1"/>
      <c r="Z13" s="19"/>
      <c r="AA13" s="20"/>
      <c r="AB13" s="14"/>
      <c r="AC13" s="11" t="n">
        <v>45</v>
      </c>
      <c r="AD13" s="12" t="n">
        <v>3</v>
      </c>
      <c r="AE13" s="16" t="str">
        <f t="shared" si="5"/>
        <v>Wake Forest</v>
      </c>
      <c r="AF13" s="39" t="n">
        <f t="shared" si="17"/>
        <v>42</v>
      </c>
      <c r="AG13" s="1" t="n">
        <f t="shared" si="6"/>
        <v>1408.9937454746801</v>
      </c>
      <c r="AH13" s="1" t="n">
        <f t="shared" si="7"/>
        <v>1000</v>
      </c>
      <c r="AI13" s="1" t="n">
        <f t="shared" si="18"/>
        <v>408.99374547468005</v>
      </c>
      <c r="AJ13" s="1" t="n">
        <f t="shared" si="19"/>
        <v>3.171583016969</v>
      </c>
      <c r="AK13" s="1" t="n">
        <f t="shared" si="8"/>
        <v>6.6472605678238761E-2</v>
      </c>
      <c r="AL13" s="1" t="n">
        <v>41</v>
      </c>
      <c r="AM13" s="1" t="n">
        <f t="shared" si="20"/>
        <v>8.643758877773946</v>
      </c>
      <c r="AN13" s="1" t="n">
        <f t="shared" si="9"/>
        <v>1417.637504352454</v>
      </c>
      <c r="AO13" s="40" t="n">
        <f t="shared" si="10"/>
        <v>991.35624112222604</v>
      </c>
    </row>
    <row r="14" ht="14.65" customHeight="1">
      <c r="A14" s="33" t="n">
        <f>Schedule!A14</f>
        <v>1</v>
      </c>
      <c r="B14" s="34" t="s">
        <v>182</v>
      </c>
      <c r="C14" s="34" t="s">
        <v>291</v>
      </c>
      <c r="D14" s="6" t="str">
        <f>IF(OR(ISBLANK(B14), ISNA(VLOOKUP(B14, 'Betting Lines'!$B$2:$F$1048576, MATCH("spread", 'Betting Lines'!$B$1:$J$1, 0), FALSE))), "", VLOOKUP(B14, 'Betting Lines'!$B$2:$F$1048576, MATCH("spread", 'Betting Lines'!$B$1:$J$1, 0), FALSE))</f>
      </c>
      <c r="E14" s="10" t="n">
        <f>_xlfn.IFNA(IF(ISBLANK(B14),"",VLOOKUP(B14,Elo!$A$2:$AZ$1048576,MATCH(_xlfn.CONCAT("Week ", A14),Elo!$A$1:$AZ$1,0),FALSE)), "")</f>
        <v>1493.4569831670101</v>
      </c>
      <c r="F14" s="10" t="n">
        <f>IFERROR(IF(ISBLANK(C14),"",VLOOKUP(C14,Elo!$A$2:$AZ$1048576,MATCH(_xlfn.CONCAT("Week ",A14),Elo!$A$1:$AZ$1,0),FALSE)),IF(ISBLANK(Schedule!D14),"", 1000))</f>
        <v>1000</v>
      </c>
      <c r="G14" s="34" t="n">
        <f>_xlfn.IFNA(IF(ISBLANK(B14),"",IF(VLOOKUP(Games!B14,Schedule!$C$2:$G$1048576,MATCH("neutral_site",Schedule!$C$1:$G$1,0),FALSE),0,50)),"")</f>
        <v>0</v>
      </c>
      <c r="H14" s="34" t="n">
        <f>_xlfn.IFNA(IF(VLOOKUP(Games!B14, 'Bye Weeks'!$A$2:$P$135, MATCH(Games!$A14, 'Bye Weeks'!$A$1:$P$1, 0), FALSE)="Y", 25, 0), 0)</f>
        <v>0</v>
      </c>
      <c r="I14" s="34" t="n">
        <f>_xlfn.IFNA(IF(VLOOKUP(Games!C14, 'Bye Weeks'!$A$2:$P$135, MATCH(Games!$A14, 'Bye Weeks'!$A$1:$P$1, 0), FALSE)="Y", 25, 0), 0)</f>
        <v>0</v>
      </c>
      <c r="J14" s="6" t="n">
        <f>IFERROR(_xlfn.IFNA(IF(ISBLANK(B14), "",IF(ABS(ROUND(Calc!O14, 1))&gt;70,R14,ROUND(Calc!O14, 1))), R14), R14)</f>
        <v>-19.738279326680402</v>
      </c>
      <c r="K14" s="2" t="str">
        <f t="shared" si="11"/>
        <v>Arkansas</v>
      </c>
      <c r="L14" s="4" t="n">
        <f t="shared" si="12"/>
        <v>0.94482901187767121</v>
      </c>
      <c r="M14" s="4" t="n">
        <f t="shared" si="13"/>
        <v>5.5170988122328901E-2</v>
      </c>
      <c r="N14" s="34" t="str">
        <f t="shared" si="14"/>
        <v>Arkansas</v>
      </c>
      <c r="O14" s="36" t="n">
        <f t="shared" si="15"/>
        <v>0.94482901187767121</v>
      </c>
      <c r="P14" s="13" t="str">
        <f t="shared" si="2"/>
        <v>Y</v>
      </c>
      <c r="Q14" s="15" t="str">
        <f t="shared" si="3"/>
        <v>Y</v>
      </c>
      <c r="R14" s="6" t="n">
        <f t="shared" si="4"/>
        <v>-19.738279326680402</v>
      </c>
      <c r="S14" s="9" t="n">
        <f t="shared" si="16"/>
        <v>0.56315098828588195</v>
      </c>
      <c r="T14" s="17"/>
      <c r="U14" s="11"/>
      <c r="V14" s="19"/>
      <c r="W14" s="20"/>
      <c r="X14" s="11"/>
      <c r="Y14" s="1"/>
      <c r="Z14" s="19"/>
      <c r="AA14" s="20"/>
      <c r="AB14" s="14"/>
      <c r="AC14" s="11" t="n">
        <v>70</v>
      </c>
      <c r="AD14" s="12" t="n">
        <v>0</v>
      </c>
      <c r="AE14" s="16" t="str">
        <f t="shared" si="5"/>
        <v>Arkansas</v>
      </c>
      <c r="AF14" s="39" t="n">
        <f t="shared" si="17"/>
        <v>70</v>
      </c>
      <c r="AG14" s="1" t="n">
        <f t="shared" si="6"/>
        <v>1493.4569831670101</v>
      </c>
      <c r="AH14" s="1" t="n">
        <f t="shared" si="7"/>
        <v>1000</v>
      </c>
      <c r="AI14" s="1" t="n">
        <f t="shared" si="18"/>
        <v>493.45698316701009</v>
      </c>
      <c r="AJ14" s="1" t="n">
        <f t="shared" si="19"/>
        <v>3.4817321338706564</v>
      </c>
      <c r="AK14" s="1" t="n">
        <f t="shared" si="8"/>
        <v>5.517098812232879E-2</v>
      </c>
      <c r="AL14" s="1" t="n">
        <v>42</v>
      </c>
      <c r="AM14" s="1" t="n">
        <f t="shared" si="20"/>
        <v>8.0678052925221557</v>
      </c>
      <c r="AN14" s="1" t="n">
        <f t="shared" si="9"/>
        <v>1501.5247884595321</v>
      </c>
      <c r="AO14" s="40" t="n">
        <f t="shared" si="10"/>
        <v>991.93219470747783</v>
      </c>
    </row>
    <row r="15" ht="14.65" customHeight="1">
      <c r="A15" s="33" t="n">
        <f>Schedule!A15</f>
        <v>1</v>
      </c>
      <c r="B15" s="34" t="s">
        <v>169</v>
      </c>
      <c r="C15" s="34" t="s">
        <v>290</v>
      </c>
      <c r="D15" s="6" t="str">
        <f>IF(OR(ISBLANK(B15), ISNA(VLOOKUP(B15, 'Betting Lines'!$B$2:$F$1048576, MATCH("spread", 'Betting Lines'!$B$1:$J$1, 0), FALSE))), "", VLOOKUP(B15, 'Betting Lines'!$B$2:$F$1048576, MATCH("spread", 'Betting Lines'!$B$1:$J$1, 0), FALSE))</f>
      </c>
      <c r="E15" s="10" t="n">
        <f>_xlfn.IFNA(IF(ISBLANK(B15),"",VLOOKUP(B15,Elo!$A$2:$AZ$1048576,MATCH(_xlfn.CONCAT("Week ", A15),Elo!$A$1:$AZ$1,0),FALSE)), "")</f>
        <v>1550.0998910427199</v>
      </c>
      <c r="F15" s="10" t="n">
        <f>IFERROR(IF(ISBLANK(C15),"",VLOOKUP(C15,Elo!$A$2:$AZ$1048576,MATCH(_xlfn.CONCAT("Week ",A15),Elo!$A$1:$AZ$1,0),FALSE)),IF(ISBLANK(Schedule!D15),"", 1000))</f>
        <v>1000</v>
      </c>
      <c r="G15" s="34" t="n">
        <f>_xlfn.IFNA(IF(ISBLANK(B15),"",IF(VLOOKUP(Games!B15,Schedule!$C$2:$G$1048576,MATCH("neutral_site",Schedule!$C$1:$G$1,0),FALSE),0,50)),"")</f>
        <v>50</v>
      </c>
      <c r="H15" s="34" t="n">
        <f>_xlfn.IFNA(IF(VLOOKUP(Games!B15, 'Bye Weeks'!$A$2:$P$135, MATCH(Games!$A15, 'Bye Weeks'!$A$1:$P$1, 0), FALSE)="Y", 25, 0), 0)</f>
        <v>0</v>
      </c>
      <c r="I15" s="34" t="n">
        <f>_xlfn.IFNA(IF(VLOOKUP(Games!C15, 'Bye Weeks'!$A$2:$P$135, MATCH(Games!$A15, 'Bye Weeks'!$A$1:$P$1, 0), FALSE)="Y", 25, 0), 0)</f>
        <v>0</v>
      </c>
      <c r="J15" s="6" t="n">
        <f>IFERROR(_xlfn.IFNA(IF(ISBLANK(B15), "",IF(ABS(ROUND(Calc!O15, 1))&gt;70,R15,ROUND(Calc!O15, 1))), R15), R15)</f>
        <v>-22.003995641708798</v>
      </c>
      <c r="K15" s="2" t="str">
        <f t="shared" si="11"/>
        <v>Toledo</v>
      </c>
      <c r="L15" s="4" t="n">
        <f t="shared" si="12"/>
        <v>0.96936365135774272</v>
      </c>
      <c r="M15" s="4" t="n">
        <f t="shared" si="13"/>
        <v>3.0636348642257307E-2</v>
      </c>
      <c r="N15" s="34" t="str">
        <f t="shared" si="14"/>
        <v>Toledo</v>
      </c>
      <c r="O15" s="36" t="n">
        <f t="shared" si="15"/>
        <v>0.96936365135774272</v>
      </c>
      <c r="P15" s="13" t="str">
        <f t="shared" si="2"/>
        <v>Y</v>
      </c>
      <c r="Q15" s="15" t="str">
        <f t="shared" si="3"/>
        <v>Y</v>
      </c>
      <c r="R15" s="6" t="n">
        <f t="shared" si="4"/>
        <v>-22.003995641708798</v>
      </c>
      <c r="S15" s="9" t="n">
        <f t="shared" si="16"/>
        <v>0.50513786494216206</v>
      </c>
      <c r="T15" s="17"/>
      <c r="U15" s="11"/>
      <c r="V15" s="19"/>
      <c r="W15" s="20"/>
      <c r="X15" s="11"/>
      <c r="Y15" s="1"/>
      <c r="Z15" s="19"/>
      <c r="AA15" s="20"/>
      <c r="AB15" s="14"/>
      <c r="AC15" s="11" t="n">
        <v>49</v>
      </c>
      <c r="AD15" s="12" t="n">
        <v>10</v>
      </c>
      <c r="AE15" s="16" t="str">
        <f t="shared" si="5"/>
        <v>Toledo</v>
      </c>
      <c r="AF15" s="39" t="n">
        <f t="shared" si="17"/>
        <v>39</v>
      </c>
      <c r="AG15" s="1" t="n">
        <f t="shared" si="6"/>
        <v>1550.0998910427199</v>
      </c>
      <c r="AH15" s="1" t="n">
        <f t="shared" si="7"/>
        <v>1000</v>
      </c>
      <c r="AI15" s="1" t="n">
        <f t="shared" si="18"/>
        <v>550.09989104271995</v>
      </c>
      <c r="AJ15" s="1" t="n">
        <f t="shared" si="19"/>
        <v>2.9509963712531175</v>
      </c>
      <c r="AK15" s="1" t="n">
        <f t="shared" si="8"/>
        <v>3.0636348642257283E-2</v>
      </c>
      <c r="AL15" s="1" t="n">
        <v>43</v>
      </c>
      <c r="AM15" s="1" t="n">
        <f t="shared" si="20"/>
        <v>3.8875334078851043</v>
      </c>
      <c r="AN15" s="1" t="n">
        <f t="shared" si="9"/>
        <v>1553.987424450605</v>
      </c>
      <c r="AO15" s="40" t="n">
        <f t="shared" si="10"/>
        <v>996.11246659211486</v>
      </c>
    </row>
    <row r="16" ht="14.65" customHeight="1">
      <c r="A16" s="33" t="n">
        <f>Schedule!A16</f>
        <v>1</v>
      </c>
      <c r="B16" s="34" t="s">
        <v>232</v>
      </c>
      <c r="C16" s="34" t="s">
        <v>296</v>
      </c>
      <c r="D16" s="6" t="str">
        <f>IF(OR(ISBLANK(B16), ISNA(VLOOKUP(B16, 'Betting Lines'!$B$2:$F$1048576, MATCH("spread", 'Betting Lines'!$B$1:$J$1, 0), FALSE))), "", VLOOKUP(B16, 'Betting Lines'!$B$2:$F$1048576, MATCH("spread", 'Betting Lines'!$B$1:$J$1, 0), FALSE))</f>
      </c>
      <c r="E16" s="10" t="n">
        <f>_xlfn.IFNA(IF(ISBLANK(B16),"",VLOOKUP(B16,Elo!$A$2:$AZ$1048576,MATCH(_xlfn.CONCAT("Week ", A16),Elo!$A$1:$AZ$1,0),FALSE)), "")</f>
        <v>1298.3555528857701</v>
      </c>
      <c r="F16" s="10" t="n">
        <f>IFERROR(IF(ISBLANK(C16),"",VLOOKUP(C16,Elo!$A$2:$AZ$1048576,MATCH(_xlfn.CONCAT("Week ",A16),Elo!$A$1:$AZ$1,0),FALSE)),IF(ISBLANK(Schedule!D16),"", 1000))</f>
        <v>1000</v>
      </c>
      <c r="G16" s="34" t="n">
        <f>_xlfn.IFNA(IF(ISBLANK(B16),"",IF(VLOOKUP(Games!B16,Schedule!$C$2:$G$1048576,MATCH("neutral_site",Schedule!$C$1:$G$1,0),FALSE),0,50)),"")</f>
        <v>50</v>
      </c>
      <c r="H16" s="34" t="n">
        <f>_xlfn.IFNA(IF(VLOOKUP(Games!B16, 'Bye Weeks'!$A$2:$P$135, MATCH(Games!$A16, 'Bye Weeks'!$A$1:$P$1, 0), FALSE)="Y", 25, 0), 0)</f>
        <v>0</v>
      </c>
      <c r="I16" s="34" t="n">
        <f>_xlfn.IFNA(IF(VLOOKUP(Games!C16, 'Bye Weeks'!$A$2:$P$135, MATCH(Games!$A16, 'Bye Weeks'!$A$1:$P$1, 0), FALSE)="Y", 25, 0), 0)</f>
        <v>0</v>
      </c>
      <c r="J16" s="6" t="n">
        <f>IFERROR(_xlfn.IFNA(IF(ISBLANK(B16), "",IF(ABS(ROUND(Calc!O16, 1))&gt;70,R16,ROUND(Calc!O16, 1))), R16), R16)</f>
        <v>-11.934222115430803</v>
      </c>
      <c r="K16" s="2" t="str">
        <f t="shared" si="11"/>
        <v>Tulsa</v>
      </c>
      <c r="L16" s="4" t="n">
        <f t="shared" si="12"/>
        <v>0.88135197826722744</v>
      </c>
      <c r="M16" s="4" t="n">
        <f t="shared" si="13"/>
        <v>0.11864802173277254</v>
      </c>
      <c r="N16" s="34" t="str">
        <f t="shared" si="14"/>
        <v>Tulsa</v>
      </c>
      <c r="O16" s="36" t="n">
        <f t="shared" si="15"/>
        <v>0.88135197826722744</v>
      </c>
      <c r="P16" s="13" t="str">
        <f t="shared" si="2"/>
        <v>Y</v>
      </c>
      <c r="Q16" s="15" t="str">
        <f t="shared" si="3"/>
        <v>Y</v>
      </c>
      <c r="R16" s="6" t="n">
        <f t="shared" si="4"/>
        <v>-11.934222115430803</v>
      </c>
      <c r="S16" s="9" t="n">
        <f t="shared" si="16"/>
        <v>0.93171696169789231</v>
      </c>
      <c r="T16" s="17"/>
      <c r="U16" s="11"/>
      <c r="V16" s="19"/>
      <c r="W16" s="20"/>
      <c r="X16" s="11"/>
      <c r="Y16" s="1"/>
      <c r="Z16" s="19"/>
      <c r="AA16" s="20"/>
      <c r="AB16" s="14"/>
      <c r="AC16" s="11" t="n">
        <v>62</v>
      </c>
      <c r="AD16" s="12" t="n">
        <v>28</v>
      </c>
      <c r="AE16" s="16" t="str">
        <f t="shared" si="5"/>
        <v>Tulsa</v>
      </c>
      <c r="AF16" s="39" t="n">
        <f t="shared" si="17"/>
        <v>34</v>
      </c>
      <c r="AG16" s="1" t="n">
        <f t="shared" si="6"/>
        <v>1298.3555528857701</v>
      </c>
      <c r="AH16" s="1" t="n">
        <f t="shared" si="7"/>
        <v>1000</v>
      </c>
      <c r="AI16" s="1" t="n">
        <f t="shared" si="18"/>
        <v>298.35555288577007</v>
      </c>
      <c r="AJ16" s="1" t="n">
        <f t="shared" si="19"/>
        <v>3.1307656455231285</v>
      </c>
      <c r="AK16" s="1" t="n">
        <f t="shared" si="8"/>
        <v>0.11864802173277256</v>
      </c>
      <c r="AL16" s="1" t="n">
        <v>44</v>
      </c>
      <c r="AM16" s="1" t="n">
        <f t="shared" si="20"/>
        <v>16.344202615410818</v>
      </c>
      <c r="AN16" s="1" t="n">
        <f t="shared" si="9"/>
        <v>1314.6997555011808</v>
      </c>
      <c r="AO16" s="40" t="n">
        <f t="shared" si="10"/>
        <v>983.65579738458916</v>
      </c>
    </row>
    <row r="17" ht="14.65" customHeight="1">
      <c r="A17" s="33" t="n">
        <f>Schedule!A17</f>
        <v>1</v>
      </c>
      <c r="B17" s="34" t="s">
        <v>183</v>
      </c>
      <c r="C17" s="34" t="s">
        <v>153</v>
      </c>
      <c r="D17" s="6" t="str">
        <f>IF(OR(ISBLANK(B17), ISNA(VLOOKUP(B17, 'Betting Lines'!$B$2:$F$1048576, MATCH("spread", 'Betting Lines'!$B$1:$J$1, 0), FALSE))), "", VLOOKUP(B17, 'Betting Lines'!$B$2:$F$1048576, MATCH("spread", 'Betting Lines'!$B$1:$J$1, 0), FALSE))</f>
        <v>-2.5</v>
      </c>
      <c r="E17" s="10" t="n">
        <f>_xlfn.IFNA(IF(ISBLANK(B17),"",VLOOKUP(B17,Elo!$A$2:$AZ$1048576,MATCH(_xlfn.CONCAT("Week ", A17),Elo!$A$1:$AZ$1,0),FALSE)), "")</f>
        <v>1488.6451876605499</v>
      </c>
      <c r="F17" s="10" t="n">
        <f>IFERROR(IF(ISBLANK(C17),"",VLOOKUP(C17,Elo!$A$2:$AZ$1048576,MATCH(_xlfn.CONCAT("Week ",A17),Elo!$A$1:$AZ$1,0),FALSE)),IF(ISBLANK(Schedule!D17),"", 1000))</f>
        <v>1621.47572672711</v>
      </c>
      <c r="G17" s="34" t="n">
        <f>_xlfn.IFNA(IF(ISBLANK(B17),"",IF(VLOOKUP(Games!B17,Schedule!$C$2:$G$1048576,MATCH("neutral_site",Schedule!$C$1:$G$1,0),FALSE),0,50)),"")</f>
        <v>50</v>
      </c>
      <c r="H17" s="34" t="n">
        <f>_xlfn.IFNA(IF(VLOOKUP(Games!B17, 'Bye Weeks'!$A$2:$P$135, MATCH(Games!$A17, 'Bye Weeks'!$A$1:$P$1, 0), FALSE)="Y", 25, 0), 0)</f>
        <v>0</v>
      </c>
      <c r="I17" s="34" t="n">
        <f>_xlfn.IFNA(IF(VLOOKUP(Games!C17, 'Bye Weeks'!$A$2:$P$135, MATCH(Games!$A17, 'Bye Weeks'!$A$1:$P$1, 0), FALSE)="Y", 25, 0), 0)</f>
        <v>0</v>
      </c>
      <c r="J17" s="6" t="n">
        <f>IFERROR(_xlfn.IFNA(IF(ISBLANK(B17), "",IF(ABS(ROUND(Calc!O17, 1))&gt;70,R17,ROUND(Calc!O17, 1))), R17), R17)</f>
        <v>9.1</v>
      </c>
      <c r="K17" s="2" t="str">
        <f t="shared" si="11"/>
        <v>North Carolina</v>
      </c>
      <c r="L17" s="4" t="n">
        <f t="shared" si="12"/>
        <v>0.38300546434662347</v>
      </c>
      <c r="M17" s="4" t="n">
        <f t="shared" si="13"/>
        <v>0.61699453565337659</v>
      </c>
      <c r="N17" s="34" t="str">
        <f t="shared" si="14"/>
        <v>North Carolina</v>
      </c>
      <c r="O17" s="36" t="n">
        <f t="shared" si="15"/>
        <v>0.61699453565337659</v>
      </c>
      <c r="P17" s="13" t="str">
        <f t="shared" si="2"/>
        <v>Y</v>
      </c>
      <c r="Q17" s="15" t="str">
        <f t="shared" si="3"/>
        <v>N</v>
      </c>
      <c r="R17" s="6" t="n">
        <f t="shared" si="4"/>
        <v>5.3132215626624024</v>
      </c>
      <c r="S17" s="9" t="n">
        <f t="shared" si="16"/>
        <v>1.1111111111111112</v>
      </c>
      <c r="T17" s="17"/>
      <c r="U17" s="11"/>
      <c r="V17" s="19"/>
      <c r="W17" s="20"/>
      <c r="X17" s="11"/>
      <c r="Y17" s="1"/>
      <c r="Z17" s="19"/>
      <c r="AA17" s="20"/>
      <c r="AB17" s="14"/>
      <c r="AC17" s="11" t="n">
        <v>17</v>
      </c>
      <c r="AD17" s="12" t="n">
        <v>19</v>
      </c>
      <c r="AE17" s="16" t="str">
        <f t="shared" si="5"/>
        <v>North Carolina</v>
      </c>
      <c r="AF17" s="39" t="n">
        <f t="shared" si="17"/>
        <v>2</v>
      </c>
      <c r="AG17" s="1" t="n">
        <f t="shared" si="6"/>
        <v>1621.47572672711</v>
      </c>
      <c r="AH17" s="1" t="n">
        <f t="shared" si="7"/>
        <v>1488.6451876605499</v>
      </c>
      <c r="AI17" s="1" t="n">
        <f t="shared" si="18"/>
        <v>132.83053906656005</v>
      </c>
      <c r="AJ17" s="1" t="n">
        <f t="shared" si="19"/>
        <v>1.0360576966884785</v>
      </c>
      <c r="AK17" s="1" t="n">
        <f t="shared" si="8"/>
        <v>0.38300546434662341</v>
      </c>
      <c r="AL17" s="1" t="n">
        <v>45</v>
      </c>
      <c r="AM17" s="1" t="n">
        <f t="shared" si="20"/>
        <v>17.856709164452869</v>
      </c>
      <c r="AN17" s="1" t="n">
        <f t="shared" si="9"/>
        <v>1470.788478496097</v>
      </c>
      <c r="AO17" s="40" t="n">
        <f t="shared" si="10"/>
        <v>1639.3324358915629</v>
      </c>
    </row>
    <row r="18" ht="14.65" customHeight="1">
      <c r="A18" s="33" t="n">
        <f>Schedule!A18</f>
        <v>1</v>
      </c>
      <c r="B18" s="34" t="s">
        <v>203</v>
      </c>
      <c r="C18" s="34" t="s">
        <v>292</v>
      </c>
      <c r="D18" s="6" t="str">
        <f>IF(OR(ISBLANK(B18), ISNA(VLOOKUP(B18, 'Betting Lines'!$B$2:$F$1048576, MATCH("spread", 'Betting Lines'!$B$1:$J$1, 0), FALSE))), "", VLOOKUP(B18, 'Betting Lines'!$B$2:$F$1048576, MATCH("spread", 'Betting Lines'!$B$1:$J$1, 0), FALSE))</f>
      </c>
      <c r="E18" s="10" t="n">
        <f>_xlfn.IFNA(IF(ISBLANK(B18),"",VLOOKUP(B18,Elo!$A$2:$AZ$1048576,MATCH(_xlfn.CONCAT("Week ", A18),Elo!$A$1:$AZ$1,0),FALSE)), "")</f>
        <v>1411.46216213052</v>
      </c>
      <c r="F18" s="10" t="n">
        <f>IFERROR(IF(ISBLANK(C18),"",VLOOKUP(C18,Elo!$A$2:$AZ$1048576,MATCH(_xlfn.CONCAT("Week ",A18),Elo!$A$1:$AZ$1,0),FALSE)),IF(ISBLANK(Schedule!D18),"", 1000))</f>
        <v>1000</v>
      </c>
      <c r="G18" s="34" t="n">
        <f>_xlfn.IFNA(IF(ISBLANK(B18),"",IF(VLOOKUP(Games!B18,Schedule!$C$2:$G$1048576,MATCH("neutral_site",Schedule!$C$1:$G$1,0),FALSE),0,50)),"")</f>
        <v>50</v>
      </c>
      <c r="H18" s="34" t="n">
        <f>_xlfn.IFNA(IF(VLOOKUP(Games!B18, 'Bye Weeks'!$A$2:$P$135, MATCH(Games!$A18, 'Bye Weeks'!$A$1:$P$1, 0), FALSE)="Y", 25, 0), 0)</f>
        <v>0</v>
      </c>
      <c r="I18" s="34" t="n">
        <f>_xlfn.IFNA(IF(VLOOKUP(Games!C18, 'Bye Weeks'!$A$2:$P$135, MATCH(Games!$A18, 'Bye Weeks'!$A$1:$P$1, 0), FALSE)="Y", 25, 0), 0)</f>
        <v>0</v>
      </c>
      <c r="J18" s="6" t="n">
        <f>IFERROR(_xlfn.IFNA(IF(ISBLANK(B18), "",IF(ABS(ROUND(Calc!O18, 1))&gt;70,R18,ROUND(Calc!O18, 1))), R18), R18)</f>
        <v>-16.458486485220803</v>
      </c>
      <c r="K18" s="2" t="str">
        <f t="shared" si="11"/>
        <v>UAB</v>
      </c>
      <c r="L18" s="4" t="n">
        <f t="shared" si="12"/>
        <v>0.93440372812450034</v>
      </c>
      <c r="M18" s="4" t="n">
        <f t="shared" si="13"/>
        <v>6.5596271875499726E-2</v>
      </c>
      <c r="N18" s="34" t="str">
        <f t="shared" si="14"/>
        <v>UAB</v>
      </c>
      <c r="O18" s="36" t="n">
        <f t="shared" si="15"/>
        <v>0.93440372812450034</v>
      </c>
      <c r="P18" s="13" t="str">
        <f t="shared" si="2"/>
        <v>Y</v>
      </c>
      <c r="Q18" s="15" t="str">
        <f t="shared" si="3"/>
        <v>Y</v>
      </c>
      <c r="R18" s="6" t="n">
        <f t="shared" si="4"/>
        <v>-16.458486485220803</v>
      </c>
      <c r="S18" s="9" t="n">
        <f t="shared" si="16"/>
        <v>0.67544208459437849</v>
      </c>
      <c r="T18" s="17"/>
      <c r="U18" s="11"/>
      <c r="V18" s="19"/>
      <c r="W18" s="20"/>
      <c r="X18" s="11"/>
      <c r="Y18" s="1"/>
      <c r="Z18" s="19"/>
      <c r="AA18" s="20"/>
      <c r="AB18" s="14"/>
      <c r="AC18" s="11" t="n">
        <v>41</v>
      </c>
      <c r="AD18" s="12" t="n">
        <v>3</v>
      </c>
      <c r="AE18" s="16" t="str">
        <f t="shared" si="5"/>
        <v>UAB</v>
      </c>
      <c r="AF18" s="39" t="n">
        <f t="shared" si="17"/>
        <v>38</v>
      </c>
      <c r="AG18" s="1" t="n">
        <f t="shared" si="6"/>
        <v>1411.46216213052</v>
      </c>
      <c r="AH18" s="1" t="n">
        <f t="shared" si="7"/>
        <v>1000</v>
      </c>
      <c r="AI18" s="1" t="n">
        <f t="shared" si="18"/>
        <v>411.46216213052003</v>
      </c>
      <c r="AJ18" s="1" t="n">
        <f t="shared" si="19"/>
        <v>3.086330615225048</v>
      </c>
      <c r="AK18" s="1" t="n">
        <f t="shared" si="8"/>
        <v>6.5596271875499657E-2</v>
      </c>
      <c r="AL18" s="1" t="n">
        <v>46</v>
      </c>
      <c r="AM18" s="1" t="n">
        <f t="shared" si="20"/>
        <v>9.3127819781630983</v>
      </c>
      <c r="AN18" s="1" t="n">
        <f t="shared" si="9"/>
        <v>1420.774944108683</v>
      </c>
      <c r="AO18" s="40" t="n">
        <f t="shared" si="10"/>
        <v>990.68721802183688</v>
      </c>
    </row>
    <row r="19" ht="14.65" customHeight="1">
      <c r="A19" s="33" t="n">
        <f>Schedule!A19</f>
        <v>1</v>
      </c>
      <c r="B19" s="34" t="s">
        <v>173</v>
      </c>
      <c r="C19" s="34" t="s">
        <v>297</v>
      </c>
      <c r="D19" s="6" t="str">
        <f>IF(OR(ISBLANK(B19), ISNA(VLOOKUP(B19, 'Betting Lines'!$B$2:$F$1048576, MATCH("spread", 'Betting Lines'!$B$1:$J$1, 0), FALSE))), "", VLOOKUP(B19, 'Betting Lines'!$B$2:$F$1048576, MATCH("spread", 'Betting Lines'!$B$1:$J$1, 0), FALSE))</f>
      </c>
      <c r="E19" s="10" t="n">
        <f>_xlfn.IFNA(IF(ISBLANK(B19),"",VLOOKUP(B19,Elo!$A$2:$AZ$1048576,MATCH(_xlfn.CONCAT("Week ", A19),Elo!$A$1:$AZ$1,0),FALSE)), "")</f>
        <v>1531.9769986049</v>
      </c>
      <c r="F19" s="10" t="n">
        <f>IFERROR(IF(ISBLANK(C19),"",VLOOKUP(C19,Elo!$A$2:$AZ$1048576,MATCH(_xlfn.CONCAT("Week ",A19),Elo!$A$1:$AZ$1,0),FALSE)),IF(ISBLANK(Schedule!D19),"", 1000))</f>
        <v>1000</v>
      </c>
      <c r="G19" s="34" t="n">
        <f>_xlfn.IFNA(IF(ISBLANK(B19),"",IF(VLOOKUP(Games!B19,Schedule!$C$2:$G$1048576,MATCH("neutral_site",Schedule!$C$1:$G$1,0),FALSE),0,50)),"")</f>
        <v>50</v>
      </c>
      <c r="H19" s="34" t="n">
        <f>_xlfn.IFNA(IF(VLOOKUP(Games!B19, 'Bye Weeks'!$A$2:$P$135, MATCH(Games!$A19, 'Bye Weeks'!$A$1:$P$1, 0), FALSE)="Y", 25, 0), 0)</f>
        <v>0</v>
      </c>
      <c r="I19" s="34" t="n">
        <f>_xlfn.IFNA(IF(VLOOKUP(Games!C19, 'Bye Weeks'!$A$2:$P$135, MATCH(Games!$A19, 'Bye Weeks'!$A$1:$P$1, 0), FALSE)="Y", 25, 0), 0)</f>
        <v>0</v>
      </c>
      <c r="J19" s="6" t="n">
        <f>IFERROR(_xlfn.IFNA(IF(ISBLANK(B19), "",IF(ABS(ROUND(Calc!O19, 1))&gt;70,R19,ROUND(Calc!O19, 1))), R19), R19)</f>
        <v>-21.279079944195999</v>
      </c>
      <c r="K19" s="2" t="str">
        <f t="shared" si="11"/>
        <v>Tulane</v>
      </c>
      <c r="L19" s="4" t="n">
        <f t="shared" si="12"/>
        <v>0.96610905670192193</v>
      </c>
      <c r="M19" s="4" t="n">
        <f t="shared" si="13"/>
        <v>3.3890943298078048E-2</v>
      </c>
      <c r="N19" s="34" t="str">
        <f>IFERROR(IF(ISBLANK(B19), "", IF(L19&gt;M19, B19, C19)), "")</f>
        <v>Tulane</v>
      </c>
      <c r="O19" s="36" t="n">
        <f t="shared" si="15"/>
        <v>0.96610905670192193</v>
      </c>
      <c r="P19" s="13" t="str">
        <f t="shared" si="2"/>
        <v>Y</v>
      </c>
      <c r="Q19" s="15" t="str">
        <f t="shared" si="3"/>
        <v>Y</v>
      </c>
      <c r="R19" s="6" t="n">
        <f t="shared" si="4"/>
        <v>-21.279079944195999</v>
      </c>
      <c r="S19" s="9" t="n">
        <f t="shared" si="16"/>
        <v>0.52235451787992127</v>
      </c>
      <c r="T19" s="17"/>
      <c r="U19" s="11"/>
      <c r="V19" s="19"/>
      <c r="W19" s="20"/>
      <c r="X19" s="11"/>
      <c r="Y19" s="1"/>
      <c r="Z19" s="19"/>
      <c r="AA19" s="20"/>
      <c r="AB19" s="14"/>
      <c r="AC19" s="11" t="n">
        <v>52</v>
      </c>
      <c r="AD19" s="12" t="n">
        <v>0</v>
      </c>
      <c r="AE19" s="16" t="str">
        <f t="shared" si="5"/>
        <v>Tulane</v>
      </c>
      <c r="AF19" s="39" t="n">
        <f t="shared" si="17"/>
        <v>52</v>
      </c>
      <c r="AG19" s="1" t="n">
        <f t="shared" si="6"/>
        <v>1531.9769986049</v>
      </c>
      <c r="AH19" s="1" t="n">
        <f t="shared" si="7"/>
        <v>1000</v>
      </c>
      <c r="AI19" s="1" t="n">
        <f t="shared" si="18"/>
        <v>531.97699860490002</v>
      </c>
      <c r="AJ19" s="1" t="n">
        <f t="shared" si="19"/>
        <v>3.1971873168313882</v>
      </c>
      <c r="AK19" s="1" t="n">
        <f t="shared" si="8"/>
        <v>3.3890943298078069E-2</v>
      </c>
      <c r="AL19" s="1" t="n">
        <v>47</v>
      </c>
      <c r="AM19" s="1" t="n">
        <f t="shared" si="20"/>
        <v>5.0927176211991467</v>
      </c>
      <c r="AN19" s="1" t="n">
        <f t="shared" si="9"/>
        <v>1537.0697162260992</v>
      </c>
      <c r="AO19" s="40" t="n">
        <f t="shared" si="10"/>
        <v>994.9072823788008</v>
      </c>
    </row>
    <row r="20" ht="14.65" customHeight="1">
      <c r="A20" s="33" t="n">
        <f>Schedule!A20</f>
        <v>1</v>
      </c>
      <c r="B20" s="34" t="s">
        <v>119</v>
      </c>
      <c r="C20" s="34" t="s">
        <v>294</v>
      </c>
      <c r="D20" s="6" t="str">
        <f>IF(OR(ISBLANK(B20), ISNA(VLOOKUP(B20, 'Betting Lines'!$B$2:$F$1048576, MATCH("spread", 'Betting Lines'!$B$1:$J$1, 0), FALSE))), "", VLOOKUP(B20, 'Betting Lines'!$B$2:$F$1048576, MATCH("spread", 'Betting Lines'!$B$1:$J$1, 0), FALSE))</f>
      </c>
      <c r="E20" s="10" t="n">
        <f>_xlfn.IFNA(IF(ISBLANK(B20),"",VLOOKUP(B20,Elo!$A$2:$AZ$1048576,MATCH(_xlfn.CONCAT("Week ", A20),Elo!$A$1:$AZ$1,0),FALSE)), "")</f>
        <v>1901.54040519861</v>
      </c>
      <c r="F20" s="10" t="n">
        <f>IFERROR(IF(ISBLANK(C20),"",VLOOKUP(C20,Elo!$A$2:$AZ$1048576,MATCH(_xlfn.CONCAT("Week ",A20),Elo!$A$1:$AZ$1,0),FALSE)),IF(ISBLANK(Schedule!D20),"", 1000))</f>
        <v>1000</v>
      </c>
      <c r="G20" s="34" t="n">
        <f>_xlfn.IFNA(IF(ISBLANK(B20),"",IF(VLOOKUP(Games!B20,Schedule!$C$2:$G$1048576,MATCH("neutral_site",Schedule!$C$1:$G$1,0),FALSE),0,50)),"")</f>
        <v>50</v>
      </c>
      <c r="H20" s="34" t="n">
        <f>_xlfn.IFNA(IF(VLOOKUP(Games!B20, 'Bye Weeks'!$A$2:$P$135, MATCH(Games!$A20, 'Bye Weeks'!$A$1:$P$1, 0), FALSE)="Y", 25, 0), 0)</f>
        <v>0</v>
      </c>
      <c r="I20" s="34" t="n">
        <f>_xlfn.IFNA(IF(VLOOKUP(Games!C20, 'Bye Weeks'!$A$2:$P$135, MATCH(Games!$A20, 'Bye Weeks'!$A$1:$P$1, 0), FALSE)="Y", 25, 0), 0)</f>
        <v>0</v>
      </c>
      <c r="J20" s="6" t="n">
        <f>IFERROR(_xlfn.IFNA(IF(ISBLANK(B20), "",IF(ABS(ROUND(Calc!O20, 1))&gt;70,R20,ROUND(Calc!O20, 1))), R20), R20)</f>
        <v>-36.061616207944397</v>
      </c>
      <c r="K20" s="2" t="str">
        <f t="shared" si="11"/>
        <v>Missouri</v>
      </c>
      <c r="L20" s="4" t="n">
        <f t="shared" si="12"/>
        <v>0.99583766018560071</v>
      </c>
      <c r="M20" s="4" t="n">
        <f t="shared" si="13"/>
        <v>4.162339814399338E-3</v>
      </c>
      <c r="N20" s="34" t="str">
        <f t="shared" si="14"/>
        <v>Missouri</v>
      </c>
      <c r="O20" s="36" t="n">
        <f t="shared" si="15"/>
        <v>0.99583766018560071</v>
      </c>
      <c r="P20" s="13" t="str">
        <f t="shared" si="2"/>
        <v>Y</v>
      </c>
      <c r="Q20" s="15" t="str">
        <f t="shared" si="3"/>
        <v>Y</v>
      </c>
      <c r="R20" s="6" t="n">
        <f t="shared" si="4"/>
        <v>-36.061616207944397</v>
      </c>
      <c r="S20" s="9" t="n">
        <f t="shared" si="16"/>
        <v>0.30816926308984116</v>
      </c>
      <c r="T20" s="17"/>
      <c r="U20" s="11"/>
      <c r="V20" s="19"/>
      <c r="W20" s="20"/>
      <c r="X20" s="11"/>
      <c r="Y20" s="1"/>
      <c r="Z20" s="19"/>
      <c r="AA20" s="20"/>
      <c r="AB20" s="14"/>
      <c r="AC20" s="11" t="n">
        <v>51</v>
      </c>
      <c r="AD20" s="12" t="n">
        <v>0</v>
      </c>
      <c r="AE20" s="16" t="str">
        <f t="shared" si="5"/>
        <v>Missouri</v>
      </c>
      <c r="AF20" s="39" t="n">
        <f t="shared" si="17"/>
        <v>51</v>
      </c>
      <c r="AG20" s="1" t="n">
        <f t="shared" si="6"/>
        <v>1901.54040519861</v>
      </c>
      <c r="AH20" s="1" t="n">
        <f t="shared" si="7"/>
        <v>1000</v>
      </c>
      <c r="AI20" s="1" t="n">
        <f t="shared" si="18"/>
        <v>901.54040519860996</v>
      </c>
      <c r="AJ20" s="1" t="n">
        <f t="shared" si="19"/>
        <v>2.8027157622415348</v>
      </c>
      <c r="AK20" s="1" t="n">
        <f t="shared" si="8"/>
        <v>4.1623398143992851E-3</v>
      </c>
      <c r="AL20" s="1" t="n">
        <v>48</v>
      </c>
      <c r="AM20" s="1" t="n">
        <f t="shared" si="20"/>
        <v>0.55996105946987429</v>
      </c>
      <c r="AN20" s="1" t="n">
        <f t="shared" si="9"/>
        <v>1902.1003662580799</v>
      </c>
      <c r="AO20" s="40" t="n">
        <f t="shared" si="10"/>
        <v>999.44003894053014</v>
      </c>
    </row>
    <row r="21" ht="14.65" customHeight="1">
      <c r="A21" s="33" t="n">
        <f>Schedule!A21</f>
        <v>1</v>
      </c>
      <c r="B21" s="34" t="s">
        <v>205</v>
      </c>
      <c r="C21" s="34" t="s">
        <v>295</v>
      </c>
      <c r="D21" s="6" t="str">
        <f>IF(OR(ISBLANK(B21), ISNA(VLOOKUP(B21, 'Betting Lines'!$B$2:$F$1048576, MATCH("spread", 'Betting Lines'!$B$1:$J$1, 0), FALSE))), "", VLOOKUP(B21, 'Betting Lines'!$B$2:$F$1048576, MATCH("spread", 'Betting Lines'!$B$1:$J$1, 0), FALSE))</f>
        <v>-9</v>
      </c>
      <c r="E21" s="10" t="n">
        <f>_xlfn.IFNA(IF(ISBLANK(B21),"",VLOOKUP(B21,Elo!$A$2:$AZ$1048576,MATCH(_xlfn.CONCAT("Week ", A21),Elo!$A$1:$AZ$1,0),FALSE)), "")</f>
        <v>1411.1644731500101</v>
      </c>
      <c r="F21" s="10" t="n">
        <f>IFERROR(IF(ISBLANK(C21),"",VLOOKUP(C21,Elo!$A$2:$AZ$1048576,MATCH(_xlfn.CONCAT("Week ",A21),Elo!$A$1:$AZ$1,0),FALSE)),IF(ISBLANK(Schedule!D21),"", 1000))</f>
        <v>1000</v>
      </c>
      <c r="G21" s="34" t="n">
        <f>_xlfn.IFNA(IF(ISBLANK(B21),"",IF(VLOOKUP(Games!B21,Schedule!$C$2:$G$1048576,MATCH("neutral_site",Schedule!$C$1:$G$1,0),FALSE),0,50)),"")</f>
        <v>50</v>
      </c>
      <c r="H21" s="34" t="n">
        <f>_xlfn.IFNA(IF(VLOOKUP(Games!B21, 'Bye Weeks'!$A$2:$P$135, MATCH(Games!$A21, 'Bye Weeks'!$A$1:$P$1, 0), FALSE)="Y", 25, 0), 0)</f>
        <v>0</v>
      </c>
      <c r="I21" s="34" t="n">
        <f>_xlfn.IFNA(IF(VLOOKUP(Games!C21, 'Bye Weeks'!$A$2:$P$135, MATCH(Games!$A21, 'Bye Weeks'!$A$1:$P$1, 0), FALSE)="Y", 25, 0), 0)</f>
        <v>0</v>
      </c>
      <c r="J21" s="6" t="n">
        <f>IFERROR(_xlfn.IFNA(IF(ISBLANK(B21), "",IF(ABS(ROUND(Calc!O21, 1))&gt;70,R21,ROUND(Calc!O21, 1))), R21), R21)</f>
        <v>-16.446578926000402</v>
      </c>
      <c r="K21" s="2" t="str">
        <f t="shared" si="11"/>
        <v>Colorado</v>
      </c>
      <c r="L21" s="4" t="n">
        <f t="shared" si="12"/>
        <v>0.9342986153540469</v>
      </c>
      <c r="M21" s="4" t="n">
        <f t="shared" si="13"/>
        <v>6.5701384645953181E-2</v>
      </c>
      <c r="N21" s="34" t="str">
        <f t="shared" si="14"/>
        <v>Colorado</v>
      </c>
      <c r="O21" s="36" t="n">
        <f t="shared" si="15"/>
        <v>0.9342986153540469</v>
      </c>
      <c r="P21" s="13" t="str">
        <f t="shared" si="2"/>
        <v>Y</v>
      </c>
      <c r="Q21" s="15" t="str">
        <f t="shared" si="3"/>
        <v>Y</v>
      </c>
      <c r="R21" s="6" t="n">
        <f t="shared" si="4"/>
        <v>-16.446578926000402</v>
      </c>
      <c r="S21" s="9" t="n">
        <f t="shared" si="16"/>
        <v>0.6759314118843498</v>
      </c>
      <c r="T21" s="17"/>
      <c r="U21" s="11"/>
      <c r="V21" s="19"/>
      <c r="W21" s="20"/>
      <c r="X21" s="11"/>
      <c r="Y21" s="1"/>
      <c r="Z21" s="19"/>
      <c r="AA21" s="20"/>
      <c r="AB21" s="14"/>
      <c r="AC21" s="11" t="n">
        <v>31</v>
      </c>
      <c r="AD21" s="12" t="n">
        <v>26</v>
      </c>
      <c r="AE21" s="16" t="str">
        <f t="shared" si="5"/>
        <v>Colorado</v>
      </c>
      <c r="AF21" s="39" t="n">
        <f t="shared" si="17"/>
        <v>5</v>
      </c>
      <c r="AG21" s="1" t="n">
        <f t="shared" si="6"/>
        <v>1411.1644731500101</v>
      </c>
      <c r="AH21" s="1" t="n">
        <f t="shared" si="7"/>
        <v>1000</v>
      </c>
      <c r="AI21" s="1" t="n">
        <f t="shared" si="18"/>
        <v>411.16447315001005</v>
      </c>
      <c r="AJ21" s="1" t="n">
        <f t="shared" si="19"/>
        <v>1.5096218077547587</v>
      </c>
      <c r="AK21" s="1" t="n">
        <f t="shared" si="8"/>
        <v>6.5701384645953098E-2</v>
      </c>
      <c r="AL21" s="1" t="n">
        <v>49</v>
      </c>
      <c r="AM21" s="1" t="n">
        <f t="shared" si="20"/>
        <v>4.8600279099995092</v>
      </c>
      <c r="AN21" s="1" t="n">
        <f t="shared" si="9"/>
        <v>1416.0245010600095</v>
      </c>
      <c r="AO21" s="40" t="n">
        <f t="shared" si="10"/>
        <v>995.13997209000047</v>
      </c>
    </row>
    <row r="22" ht="14.65" customHeight="1">
      <c r="A22" s="33" t="n">
        <f>Schedule!A22</f>
        <v>1</v>
      </c>
      <c r="B22" s="34" t="s">
        <v>190</v>
      </c>
      <c r="C22" s="34" t="s">
        <v>198</v>
      </c>
      <c r="D22" s="6" t="str">
        <f>IF(OR(ISBLANK(B22), ISNA(VLOOKUP(B22, 'Betting Lines'!$B$2:$F$1048576, MATCH("spread", 'Betting Lines'!$B$1:$J$1, 0), FALSE))), "", VLOOKUP(B22, 'Betting Lines'!$B$2:$F$1048576, MATCH("spread", 'Betting Lines'!$B$1:$J$1, 0), FALSE))</f>
        <v>-3.5</v>
      </c>
      <c r="E22" s="10" t="n">
        <f>_xlfn.IFNA(IF(ISBLANK(B22),"",VLOOKUP(B22,Elo!$A$2:$AZ$1048576,MATCH(_xlfn.CONCAT("Week ", A22),Elo!$A$1:$AZ$1,0),FALSE)), "")</f>
        <v>1464.95230950623</v>
      </c>
      <c r="F22" s="10" t="n">
        <f>IFERROR(IF(ISBLANK(C22),"",VLOOKUP(C22,Elo!$A$2:$AZ$1048576,MATCH(_xlfn.CONCAT("Week ",A22),Elo!$A$1:$AZ$1,0),FALSE)),IF(ISBLANK(Schedule!D22),"", 1000))</f>
        <v>1430.65821840994</v>
      </c>
      <c r="G22" s="34" t="n">
        <f>_xlfn.IFNA(IF(ISBLANK(B22),"",IF(VLOOKUP(Games!B22,Schedule!$C$2:$G$1048576,MATCH("neutral_site",Schedule!$C$1:$G$1,0),FALSE),0,50)),"")</f>
        <v>50</v>
      </c>
      <c r="H22" s="34" t="n">
        <f>_xlfn.IFNA(IF(VLOOKUP(Games!B22, 'Bye Weeks'!$A$2:$P$135, MATCH(Games!$A22, 'Bye Weeks'!$A$1:$P$1, 0), FALSE)="Y", 25, 0), 0)</f>
        <v>0</v>
      </c>
      <c r="I22" s="34" t="n">
        <f>_xlfn.IFNA(IF(VLOOKUP(Games!C22, 'Bye Weeks'!$A$2:$P$135, MATCH(Games!$A22, 'Bye Weeks'!$A$1:$P$1, 0), FALSE)="Y", 25, 0), 0)</f>
        <v>0</v>
      </c>
      <c r="J22" s="6" t="n">
        <f>IFERROR(_xlfn.IFNA(IF(ISBLANK(B22), "",IF(ABS(ROUND(Calc!O22, 1))&gt;70,R22,ROUND(Calc!O22, 1))), R22), R22)</f>
        <v>-10.9</v>
      </c>
      <c r="K22" s="2" t="str">
        <f t="shared" si="11"/>
        <v>Jacksonville State</v>
      </c>
      <c r="L22" s="4" t="n">
        <f t="shared" si="12"/>
        <v>0.61898346670071758</v>
      </c>
      <c r="M22" s="4" t="n">
        <f t="shared" si="13"/>
        <v>0.38101653329928248</v>
      </c>
      <c r="N22" s="34" t="str">
        <f t="shared" si="14"/>
        <v>Jacksonville State</v>
      </c>
      <c r="O22" s="36" t="n">
        <f t="shared" si="15"/>
        <v>0.61898346670071758</v>
      </c>
      <c r="P22" s="13" t="str">
        <f t="shared" si="2"/>
        <v>Y</v>
      </c>
      <c r="Q22" s="15" t="str">
        <f t="shared" si="3"/>
        <v>Y</v>
      </c>
      <c r="R22" s="6" t="n">
        <f t="shared" si="4"/>
        <v>-1.3717636438516001</v>
      </c>
      <c r="S22" s="9" t="n">
        <f t="shared" si="16"/>
        <v>1.0202020202020203</v>
      </c>
      <c r="T22" s="17"/>
      <c r="U22" s="11"/>
      <c r="V22" s="19"/>
      <c r="W22" s="20"/>
      <c r="X22" s="11"/>
      <c r="Y22" s="1"/>
      <c r="Z22" s="19"/>
      <c r="AA22" s="20"/>
      <c r="AB22" s="14"/>
      <c r="AC22" s="11" t="n">
        <v>27</v>
      </c>
      <c r="AD22" s="12" t="n">
        <v>55</v>
      </c>
      <c r="AE22" s="16" t="str">
        <f t="shared" si="5"/>
        <v>Coastal Carolina</v>
      </c>
      <c r="AF22" s="39" t="n">
        <f t="shared" si="17"/>
        <v>28</v>
      </c>
      <c r="AG22" s="1" t="n">
        <f t="shared" si="6"/>
        <v>1430.65821840994</v>
      </c>
      <c r="AH22" s="1" t="n">
        <f t="shared" si="7"/>
        <v>1464.95230950623</v>
      </c>
      <c r="AI22" s="1" t="n">
        <f t="shared" si="18"/>
        <v>-34.294091096290003</v>
      </c>
      <c r="AJ22" s="1" t="n">
        <f t="shared" si="19"/>
        <v>3.4206171740650748</v>
      </c>
      <c r="AK22" s="1" t="n">
        <f t="shared" si="8"/>
        <v>0.61898346670071747</v>
      </c>
      <c r="AL22" s="1" t="n">
        <v>50</v>
      </c>
      <c r="AM22" s="1" t="n">
        <f t="shared" si="20"/>
        <v>105.86527383294057</v>
      </c>
      <c r="AN22" s="1" t="n">
        <f t="shared" si="9"/>
        <v>1359.0870356732894</v>
      </c>
      <c r="AO22" s="40" t="n">
        <f t="shared" si="10"/>
        <v>1536.5234922428806</v>
      </c>
    </row>
    <row r="23" ht="14.65" customHeight="1">
      <c r="A23" s="33" t="n">
        <f>Schedule!A23</f>
        <v>1</v>
      </c>
      <c r="B23" s="34" t="s">
        <v>131</v>
      </c>
      <c r="C23" s="34" t="s">
        <v>293</v>
      </c>
      <c r="D23" s="6" t="str">
        <f>IF(OR(ISBLANK(B23), ISNA(VLOOKUP(B23, 'Betting Lines'!$B$2:$F$1048576, MATCH("spread", 'Betting Lines'!$B$1:$J$1, 0), FALSE))), "", VLOOKUP(B23, 'Betting Lines'!$B$2:$F$1048576, MATCH("spread", 'Betting Lines'!$B$1:$J$1, 0), FALSE))</f>
      </c>
      <c r="E23" s="10" t="n">
        <f>_xlfn.IFNA(IF(ISBLANK(B23),"",VLOOKUP(B23,Elo!$A$2:$AZ$1048576,MATCH(_xlfn.CONCAT("Week ", A23),Elo!$A$1:$AZ$1,0),FALSE)), "")</f>
        <v>1726.8098521951899</v>
      </c>
      <c r="F23" s="10" t="n">
        <f>IFERROR(IF(ISBLANK(C23),"",VLOOKUP(C23,Elo!$A$2:$AZ$1048576,MATCH(_xlfn.CONCAT("Week ",A23),Elo!$A$1:$AZ$1,0),FALSE)),IF(ISBLANK(Schedule!D23),"", 1000))</f>
        <v>1000</v>
      </c>
      <c r="G23" s="34" t="n">
        <f>_xlfn.IFNA(IF(ISBLANK(B23),"",IF(VLOOKUP(Games!B23,Schedule!$C$2:$G$1048576,MATCH("neutral_site",Schedule!$C$1:$G$1,0),FALSE),0,50)),"")</f>
        <v>0</v>
      </c>
      <c r="H23" s="34" t="n">
        <f>_xlfn.IFNA(IF(VLOOKUP(Games!B23, 'Bye Weeks'!$A$2:$P$135, MATCH(Games!$A23, 'Bye Weeks'!$A$1:$P$1, 0), FALSE)="Y", 25, 0), 0)</f>
        <v>0</v>
      </c>
      <c r="I23" s="34" t="n">
        <f>_xlfn.IFNA(IF(VLOOKUP(Games!C23, 'Bye Weeks'!$A$2:$P$135, MATCH(Games!$A23, 'Bye Weeks'!$A$1:$P$1, 0), FALSE)="Y", 25, 0), 0)</f>
        <v>0</v>
      </c>
      <c r="J23" s="6" t="n">
        <f>IFERROR(_xlfn.IFNA(IF(ISBLANK(B23), "",IF(ABS(ROUND(Calc!O23, 1))&gt;70,R23,ROUND(Calc!O23, 1))), R23), R23)</f>
        <v>-29.072394087807599</v>
      </c>
      <c r="K23" s="2" t="str">
        <f t="shared" si="11"/>
        <v>Kansas</v>
      </c>
      <c r="L23" s="4" t="n">
        <f t="shared" si="12"/>
        <v>0.98498909787853794</v>
      </c>
      <c r="M23" s="4" t="n">
        <f t="shared" si="13"/>
        <v>1.5010902121462206E-2</v>
      </c>
      <c r="N23" s="34" t="str">
        <f t="shared" si="14"/>
        <v>Kansas</v>
      </c>
      <c r="O23" s="36" t="n">
        <f t="shared" si="15"/>
        <v>0.98498909787853794</v>
      </c>
      <c r="P23" s="13" t="str">
        <f t="shared" si="2"/>
        <v>Y</v>
      </c>
      <c r="Q23" s="15" t="str">
        <f t="shared" si="3"/>
        <v>Y</v>
      </c>
      <c r="R23" s="6" t="n">
        <f t="shared" si="4"/>
        <v>-29.072394087807599</v>
      </c>
      <c r="S23" s="9" t="n">
        <f t="shared" si="16"/>
        <v>0.38228096303535175</v>
      </c>
      <c r="T23" s="17"/>
      <c r="U23" s="11"/>
      <c r="V23" s="19"/>
      <c r="W23" s="20"/>
      <c r="X23" s="11"/>
      <c r="Y23" s="1"/>
      <c r="Z23" s="19"/>
      <c r="AA23" s="20"/>
      <c r="AB23" s="14"/>
      <c r="AC23" s="11" t="n">
        <v>48</v>
      </c>
      <c r="AD23" s="12" t="n">
        <v>3</v>
      </c>
      <c r="AE23" s="16" t="str">
        <f t="shared" si="5"/>
        <v>Kansas</v>
      </c>
      <c r="AF23" s="39" t="n">
        <f t="shared" si="17"/>
        <v>45</v>
      </c>
      <c r="AG23" s="1" t="n">
        <f t="shared" si="6"/>
        <v>1726.8098521951899</v>
      </c>
      <c r="AH23" s="1" t="n">
        <f t="shared" si="7"/>
        <v>1000</v>
      </c>
      <c r="AI23" s="1" t="n">
        <f t="shared" si="18"/>
        <v>726.80985219518993</v>
      </c>
      <c r="AJ23" s="1" t="n">
        <f t="shared" si="19"/>
        <v>2.8778812077451885</v>
      </c>
      <c r="AK23" s="1" t="n">
        <f t="shared" si="8"/>
        <v>1.5010902121462055E-2</v>
      </c>
      <c r="AL23" s="1" t="n">
        <v>51</v>
      </c>
      <c r="AM23" s="1" t="n">
        <f t="shared" si="20"/>
        <v>2.2031792494595597</v>
      </c>
      <c r="AN23" s="1" t="n">
        <f t="shared" si="9"/>
        <v>1729.0130314446494</v>
      </c>
      <c r="AO23" s="40" t="n">
        <f t="shared" si="10"/>
        <v>997.79682075054041</v>
      </c>
    </row>
    <row r="24" ht="14.65" customHeight="1">
      <c r="A24" s="33" t="n">
        <f>Schedule!A24</f>
        <v>1</v>
      </c>
      <c r="B24" s="34" t="s">
        <v>178</v>
      </c>
      <c r="C24" s="34" t="s">
        <v>298</v>
      </c>
      <c r="D24" s="6" t="str">
        <f>IF(OR(ISBLANK(B24), ISNA(VLOOKUP(B24, 'Betting Lines'!$B$2:$F$1048576, MATCH("spread", 'Betting Lines'!$B$1:$J$1, 0), FALSE))), "", VLOOKUP(B24, 'Betting Lines'!$B$2:$F$1048576, MATCH("spread", 'Betting Lines'!$B$1:$J$1, 0), FALSE))</f>
      </c>
      <c r="E24" s="10" t="n">
        <f>_xlfn.IFNA(IF(ISBLANK(B24),"",VLOOKUP(B24,Elo!$A$2:$AZ$1048576,MATCH(_xlfn.CONCAT("Week ", A24),Elo!$A$1:$AZ$1,0),FALSE)), "")</f>
        <v>1517.64489422632</v>
      </c>
      <c r="F24" s="10" t="n">
        <f>IFERROR(IF(ISBLANK(C24),"",VLOOKUP(C24,Elo!$A$2:$AZ$1048576,MATCH(_xlfn.CONCAT("Week ",A24),Elo!$A$1:$AZ$1,0),FALSE)),IF(ISBLANK(Schedule!D24),"", 1000))</f>
        <v>1000</v>
      </c>
      <c r="G24" s="34" t="n">
        <f>_xlfn.IFNA(IF(ISBLANK(B24),"",IF(VLOOKUP(Games!B24,Schedule!$C$2:$G$1048576,MATCH("neutral_site",Schedule!$C$1:$G$1,0),FALSE),0,50)),"")</f>
        <v>50</v>
      </c>
      <c r="H24" s="34" t="n">
        <f>_xlfn.IFNA(IF(VLOOKUP(Games!B24, 'Bye Weeks'!$A$2:$P$135, MATCH(Games!$A24, 'Bye Weeks'!$A$1:$P$1, 0), FALSE)="Y", 25, 0), 0)</f>
        <v>0</v>
      </c>
      <c r="I24" s="34" t="n">
        <f>_xlfn.IFNA(IF(VLOOKUP(Games!C24, 'Bye Weeks'!$A$2:$P$135, MATCH(Games!$A24, 'Bye Weeks'!$A$1:$P$1, 0), FALSE)="Y", 25, 0), 0)</f>
        <v>0</v>
      </c>
      <c r="J24" s="6" t="n">
        <f>IFERROR(_xlfn.IFNA(IF(ISBLANK(B24), "",IF(ABS(ROUND(Calc!O24, 1))&gt;70,R24,ROUND(Calc!O24, 1))), R24), R24)</f>
        <v>-20.705795769052802</v>
      </c>
      <c r="K24" s="2" t="str">
        <f t="shared" si="11"/>
        <v>Illinois</v>
      </c>
      <c r="L24" s="4" t="n">
        <f t="shared" si="12"/>
        <v>0.96330136263287514</v>
      </c>
      <c r="M24" s="4" t="n">
        <f t="shared" si="13"/>
        <v>3.6698637367124851E-2</v>
      </c>
      <c r="N24" s="34" t="str">
        <f t="shared" si="14"/>
        <v>Illinois</v>
      </c>
      <c r="O24" s="36" t="n">
        <f t="shared" si="15"/>
        <v>0.96330136263287514</v>
      </c>
      <c r="P24" s="13" t="str">
        <f t="shared" si="2"/>
        <v>Y</v>
      </c>
      <c r="Q24" s="15" t="str">
        <f t="shared" si="3"/>
        <v>Y</v>
      </c>
      <c r="R24" s="6" t="n">
        <f t="shared" si="4"/>
        <v>-20.705795769052802</v>
      </c>
      <c r="S24" s="9" t="n">
        <f t="shared" si="16"/>
        <v>0.53682400638168259</v>
      </c>
      <c r="T24" s="17"/>
      <c r="U24" s="11"/>
      <c r="V24" s="19"/>
      <c r="W24" s="20"/>
      <c r="X24" s="11"/>
      <c r="Y24" s="1"/>
      <c r="Z24" s="19"/>
      <c r="AA24" s="20"/>
      <c r="AB24" s="14"/>
      <c r="AC24" s="11" t="n">
        <v>45</v>
      </c>
      <c r="AD24" s="12" t="n">
        <v>0</v>
      </c>
      <c r="AE24" s="16" t="str">
        <f t="shared" si="5"/>
        <v>Illinois</v>
      </c>
      <c r="AF24" s="39" t="n">
        <f t="shared" si="17"/>
        <v>45</v>
      </c>
      <c r="AG24" s="1" t="n">
        <f t="shared" si="6"/>
        <v>1517.64489422632</v>
      </c>
      <c r="AH24" s="1" t="n">
        <f t="shared" si="7"/>
        <v>1000</v>
      </c>
      <c r="AI24" s="1" t="n">
        <f t="shared" si="18"/>
        <v>517.64489422632005</v>
      </c>
      <c r="AJ24" s="1" t="n">
        <f t="shared" si="19"/>
        <v>3.0993788372317623</v>
      </c>
      <c r="AK24" s="1" t="n">
        <f t="shared" si="8"/>
        <v>3.6698637367124864E-2</v>
      </c>
      <c r="AL24" s="1" t="n">
        <v>52</v>
      </c>
      <c r="AM24" s="1" t="n">
        <f t="shared" si="20"/>
        <v>5.9146349605672981</v>
      </c>
      <c r="AN24" s="1" t="n">
        <f t="shared" si="9"/>
        <v>1523.5595291868874</v>
      </c>
      <c r="AO24" s="40" t="n">
        <f t="shared" si="10"/>
        <v>994.08536503943265</v>
      </c>
    </row>
    <row r="25" ht="14.65" customHeight="1">
      <c r="A25" s="33" t="n">
        <f>Schedule!A25</f>
        <v>1</v>
      </c>
      <c r="B25" s="34" t="s">
        <v>164</v>
      </c>
      <c r="C25" s="34" t="s">
        <v>299</v>
      </c>
      <c r="D25" s="6" t="str">
        <f>IF(OR(ISBLANK(B25), ISNA(VLOOKUP(B25, 'Betting Lines'!$B$2:$F$1048576, MATCH("spread", 'Betting Lines'!$B$1:$J$1, 0), FALSE))), "", VLOOKUP(B25, 'Betting Lines'!$B$2:$F$1048576, MATCH("spread", 'Betting Lines'!$B$1:$J$1, 0), FALSE))</f>
      </c>
      <c r="E25" s="10" t="n">
        <f>_xlfn.IFNA(IF(ISBLANK(B25),"",VLOOKUP(B25,Elo!$A$2:$AZ$1048576,MATCH(_xlfn.CONCAT("Week ", A25),Elo!$A$1:$AZ$1,0),FALSE)), "")</f>
        <v>1591.81085197679</v>
      </c>
      <c r="F25" s="10" t="n">
        <f>IFERROR(IF(ISBLANK(C25),"",VLOOKUP(C25,Elo!$A$2:$AZ$1048576,MATCH(_xlfn.CONCAT("Week ",A25),Elo!$A$1:$AZ$1,0),FALSE)),IF(ISBLANK(Schedule!D25),"", 1000))</f>
        <v>1000</v>
      </c>
      <c r="G25" s="34" t="n">
        <f>_xlfn.IFNA(IF(ISBLANK(B25),"",IF(VLOOKUP(Games!B25,Schedule!$C$2:$G$1048576,MATCH("neutral_site",Schedule!$C$1:$G$1,0),FALSE),0,50)),"")</f>
        <v>50</v>
      </c>
      <c r="H25" s="34" t="n">
        <f>_xlfn.IFNA(IF(VLOOKUP(Games!B25, 'Bye Weeks'!$A$2:$P$135, MATCH(Games!$A25, 'Bye Weeks'!$A$1:$P$1, 0), FALSE)="Y", 25, 0), 0)</f>
        <v>0</v>
      </c>
      <c r="I25" s="34" t="n">
        <f>_xlfn.IFNA(IF(VLOOKUP(Games!C25, 'Bye Weeks'!$A$2:$P$135, MATCH(Games!$A25, 'Bye Weeks'!$A$1:$P$1, 0), FALSE)="Y", 25, 0), 0)</f>
        <v>0</v>
      </c>
      <c r="J25" s="6" t="n">
        <f>IFERROR(_xlfn.IFNA(IF(ISBLANK(B25), "",IF(ABS(ROUND(Calc!O25, 1))&gt;70,R25,ROUND(Calc!O25, 1))), R25), R25)</f>
        <v>-23.6724340790716</v>
      </c>
      <c r="K25" s="2" t="str">
        <f t="shared" si="11"/>
        <v>Utah</v>
      </c>
      <c r="L25" s="4" t="n">
        <f t="shared" si="12"/>
        <v>0.97574456809378474</v>
      </c>
      <c r="M25" s="4" t="n">
        <f t="shared" si="13"/>
        <v>2.425543190621518E-2</v>
      </c>
      <c r="N25" s="34" t="str">
        <f t="shared" si="14"/>
        <v>Utah</v>
      </c>
      <c r="O25" s="36" t="n">
        <f t="shared" si="15"/>
        <v>0.97574456809378474</v>
      </c>
      <c r="P25" s="13" t="str">
        <f t="shared" si="2"/>
        <v>Y</v>
      </c>
      <c r="Q25" s="15" t="str">
        <f t="shared" si="3"/>
        <v>Y</v>
      </c>
      <c r="R25" s="6" t="n">
        <f t="shared" si="4"/>
        <v>-23.6724340790716</v>
      </c>
      <c r="S25" s="9" t="n">
        <f t="shared" si="16"/>
        <v>0.46952058959252696</v>
      </c>
      <c r="T25" s="17"/>
      <c r="U25" s="11"/>
      <c r="V25" s="19"/>
      <c r="W25" s="20"/>
      <c r="X25" s="11"/>
      <c r="Y25" s="1"/>
      <c r="Z25" s="19"/>
      <c r="AA25" s="20"/>
      <c r="AB25" s="14"/>
      <c r="AC25" s="11" t="n">
        <v>49</v>
      </c>
      <c r="AD25" s="12" t="n">
        <v>0</v>
      </c>
      <c r="AE25" s="16" t="str">
        <f t="shared" si="5"/>
        <v>Utah</v>
      </c>
      <c r="AF25" s="39" t="n">
        <f t="shared" si="17"/>
        <v>49</v>
      </c>
      <c r="AG25" s="1" t="n">
        <f t="shared" si="6"/>
        <v>1591.81085197679</v>
      </c>
      <c r="AH25" s="1" t="n">
        <f t="shared" si="7"/>
        <v>1000</v>
      </c>
      <c r="AI25" s="1" t="n">
        <f t="shared" si="18"/>
        <v>591.81085197678999</v>
      </c>
      <c r="AJ25" s="1" t="n">
        <f t="shared" si="19"/>
        <v>3.0827484626503172</v>
      </c>
      <c r="AK25" s="1" t="n">
        <f t="shared" si="8"/>
        <v>2.4255431906215263E-2</v>
      </c>
      <c r="AL25" s="1" t="n">
        <v>53</v>
      </c>
      <c r="AM25" s="1" t="n">
        <f t="shared" si="20"/>
        <v>3.9629899572496416</v>
      </c>
      <c r="AN25" s="1" t="n">
        <f t="shared" si="9"/>
        <v>1595.7738419340396</v>
      </c>
      <c r="AO25" s="40" t="n">
        <f t="shared" si="10"/>
        <v>996.03701004275035</v>
      </c>
    </row>
    <row r="26" ht="14.65" customHeight="1">
      <c r="A26" s="33" t="n">
        <v>1</v>
      </c>
      <c r="B26" s="34" t="s">
        <v>184</v>
      </c>
      <c r="C26" s="34" t="s">
        <v>300</v>
      </c>
      <c r="D26" s="6" t="str">
        <f>IF(OR(ISBLANK(B26), ISNA(VLOOKUP(B26, 'Betting Lines'!$B$2:$F$1048576, MATCH("spread", 'Betting Lines'!$B$1:$J$1, 0), FALSE))), "", VLOOKUP(B26, 'Betting Lines'!$B$2:$F$1048576, MATCH("spread", 'Betting Lines'!$B$1:$J$1, 0), FALSE))</f>
      </c>
      <c r="E26" s="10" t="n">
        <f>_xlfn.IFNA(IF(ISBLANK(B26),"",VLOOKUP(B26,Elo!$A$2:$AZ$1048576,MATCH(_xlfn.CONCAT("Week ", A26),Elo!$A$1:$AZ$1,0),FALSE)), "")</f>
        <v>1481.5922066164901</v>
      </c>
      <c r="F26" s="10" t="n">
        <f>IFERROR(IF(ISBLANK(C26),"",VLOOKUP(C26,Elo!$A$2:$AZ$1048576,MATCH(_xlfn.CONCAT("Week ",A26),Elo!$A$1:$AZ$1,0),FALSE)),IF(ISBLANK(Schedule!D26),"", 1000))</f>
        <v>1000</v>
      </c>
      <c r="G26" s="34" t="n">
        <f>_xlfn.IFNA(IF(ISBLANK(B26),"",IF(VLOOKUP(Games!B26,Schedule!$C$2:$G$1048576,MATCH("neutral_site",Schedule!$C$1:$G$1,0),FALSE),0,50)),"")</f>
        <v>50</v>
      </c>
      <c r="H26" s="34" t="n">
        <f>_xlfn.IFNA(IF(VLOOKUP(Games!B26, 'Bye Weeks'!$A$2:$P$135, MATCH(Games!$A26, 'Bye Weeks'!$A$1:$P$1, 0), FALSE)="Y", 25, 0), 0)</f>
        <v>0</v>
      </c>
      <c r="I26" s="34" t="n">
        <f>_xlfn.IFNA(IF(VLOOKUP(Games!C26, 'Bye Weeks'!$A$2:$P$135, MATCH(Games!$A26, 'Bye Weeks'!$A$1:$P$1, 0), FALSE)="Y", 25, 0), 0)</f>
        <v>0</v>
      </c>
      <c r="J26" s="6" t="n">
        <f>IFERROR(_xlfn.IFNA(IF(ISBLANK(B26), "",IF(ABS(ROUND(Calc!O26, 1))&gt;70,R26,ROUND(Calc!O26, 1))), R26), R26)</f>
        <v>-19.263688264659603</v>
      </c>
      <c r="K26" s="2" t="str">
        <f t="shared" si="11"/>
        <v>San José State</v>
      </c>
      <c r="L26" s="4" t="n">
        <f t="shared" si="12"/>
        <v>0.9552161782197377</v>
      </c>
      <c r="M26" s="4" t="n">
        <f t="shared" si="13"/>
        <v>4.4783821780262259E-2</v>
      </c>
      <c r="N26" s="34" t="str">
        <f t="shared" si="14"/>
        <v>San José State</v>
      </c>
      <c r="O26" s="36" t="n">
        <f t="shared" si="15"/>
        <v>0.9552161782197377</v>
      </c>
      <c r="P26" s="13" t="str">
        <f t="shared" si="2"/>
        <v>Y</v>
      </c>
      <c r="Q26" s="15" t="str">
        <f t="shared" si="3"/>
        <v>Y</v>
      </c>
      <c r="R26" s="6" t="n">
        <f t="shared" si="4"/>
        <v>-19.263688264659603</v>
      </c>
      <c r="S26" s="9" t="n">
        <f t="shared" si="16"/>
        <v>0.57703229881375784</v>
      </c>
      <c r="T26" s="17"/>
      <c r="U26" s="11"/>
      <c r="V26" s="19"/>
      <c r="W26" s="20"/>
      <c r="X26" s="11"/>
      <c r="Y26" s="1"/>
      <c r="Z26" s="19"/>
      <c r="AA26" s="20"/>
      <c r="AB26" s="14"/>
      <c r="AC26" s="11" t="n">
        <v>42</v>
      </c>
      <c r="AD26" s="12" t="n">
        <v>24</v>
      </c>
      <c r="AE26" s="16" t="str">
        <f t="shared" si="5"/>
        <v>San José State</v>
      </c>
      <c r="AF26" s="39" t="n">
        <f t="shared" si="17"/>
        <v>18</v>
      </c>
      <c r="AG26" s="1" t="n">
        <f t="shared" si="6"/>
        <v>1481.5922066164901</v>
      </c>
      <c r="AH26" s="1" t="n">
        <f t="shared" si="7"/>
        <v>1000</v>
      </c>
      <c r="AI26" s="1" t="n">
        <f t="shared" si="18"/>
        <v>481.5922066164901</v>
      </c>
      <c r="AJ26" s="1" t="n">
        <f t="shared" si="19"/>
        <v>2.4156416244733632</v>
      </c>
      <c r="AK26" s="1" t="n">
        <f t="shared" si="8"/>
        <v>4.4783821780262301E-2</v>
      </c>
      <c r="AL26" s="1" t="n">
        <v>54</v>
      </c>
      <c r="AM26" s="1" t="n">
        <f t="shared" si="20"/>
        <v>5.8418098557515146</v>
      </c>
      <c r="AN26" s="1" t="n">
        <f t="shared" si="9"/>
        <v>1487.4340164722416</v>
      </c>
      <c r="AO26" s="40" t="n">
        <f t="shared" si="10"/>
        <v>994.15819014424847</v>
      </c>
    </row>
    <row r="27" ht="14.65" customHeight="1">
      <c r="A27" s="33" t="n">
        <f>Schedule!A27</f>
        <v>1</v>
      </c>
      <c r="B27" s="34" t="s">
        <v>224</v>
      </c>
      <c r="C27" s="34" t="s">
        <v>301</v>
      </c>
      <c r="D27" s="6" t="n">
        <v>-31.5</v>
      </c>
      <c r="E27" s="10" t="n">
        <f>_xlfn.IFNA(IF(ISBLANK(B27),"",VLOOKUP(B27,Elo!$A$2:$AZ$1048576,MATCH(_xlfn.CONCAT("Week ", A27),Elo!$A$1:$AZ$1,0),FALSE)), "")</f>
        <v>1333.3439284415699</v>
      </c>
      <c r="F27" s="10" t="n">
        <f>IFERROR(IF(ISBLANK(C27),"",VLOOKUP(C27,Elo!$A$2:$AZ$1048576,MATCH(_xlfn.CONCAT("Week ",A27),Elo!$A$1:$AZ$1,0),FALSE)),IF(ISBLANK(Schedule!D27),"", 1000))</f>
        <v>1000</v>
      </c>
      <c r="G27" s="34" t="n">
        <f>_xlfn.IFNA(IF(ISBLANK(B27),"",IF(VLOOKUP(Games!B27,Schedule!$C$2:$G$1048576,MATCH("neutral_site",Schedule!$C$1:$G$1,0),FALSE),0,50)),"")</f>
        <v>50</v>
      </c>
      <c r="H27" s="34" t="n">
        <f>_xlfn.IFNA(IF(VLOOKUP(Games!B27, 'Bye Weeks'!$A$2:$P$135, MATCH(Games!$A27, 'Bye Weeks'!$A$1:$P$1, 0), FALSE)="Y", 25, 0), 0)</f>
        <v>0</v>
      </c>
      <c r="I27" s="34" t="n">
        <f>_xlfn.IFNA(IF(VLOOKUP(Games!C27, 'Bye Weeks'!$A$2:$P$135, MATCH(Games!$A27, 'Bye Weeks'!$A$1:$P$1, 0), FALSE)="Y", 25, 0), 0)</f>
        <v>0</v>
      </c>
      <c r="J27" s="6" t="n">
        <f>IFERROR(_xlfn.IFNA(IF(ISBLANK(B27), "",IF(ABS(ROUND(Calc!O27, 1))&gt;70,R27,ROUND(Calc!O27, 1))), R27), R27)</f>
        <v>-13.333757137662797</v>
      </c>
      <c r="K27" s="2" t="str">
        <f t="shared" si="11"/>
        <v>Army</v>
      </c>
      <c r="L27" s="4" t="n">
        <f t="shared" si="12"/>
        <v>0.90085001167424639</v>
      </c>
      <c r="M27" s="4" t="n">
        <f t="shared" si="13"/>
        <v>9.9149988325753668E-2</v>
      </c>
      <c r="N27" s="34" t="str">
        <f t="shared" si="14"/>
        <v>Army</v>
      </c>
      <c r="O27" s="36" t="n">
        <f t="shared" si="15"/>
        <v>0.90085001167424639</v>
      </c>
      <c r="P27" s="13" t="str">
        <f t="shared" si="2"/>
        <v>N</v>
      </c>
      <c r="Q27" s="15" t="str">
        <f t="shared" si="3"/>
        <v>N</v>
      </c>
      <c r="R27" s="6" t="n">
        <f t="shared" si="4"/>
        <v>-13.333757137662797</v>
      </c>
      <c r="S27" s="9" t="n">
        <f t="shared" si="16"/>
        <v>0.75804443864035376</v>
      </c>
      <c r="T27" s="17"/>
      <c r="U27" s="11"/>
      <c r="V27" s="19"/>
      <c r="W27" s="20"/>
      <c r="X27" s="11"/>
      <c r="Y27" s="1"/>
      <c r="Z27" s="19"/>
      <c r="AA27" s="20"/>
      <c r="AB27" s="14"/>
      <c r="AC27" s="11" t="n">
        <v>42</v>
      </c>
      <c r="AD27" s="12" t="n">
        <v>7</v>
      </c>
      <c r="AE27" s="16" t="str">
        <f t="shared" si="5"/>
        <v>Army</v>
      </c>
      <c r="AF27" s="39" t="n">
        <f t="shared" si="17"/>
        <v>35</v>
      </c>
      <c r="AG27" s="1" t="n">
        <f t="shared" si="6"/>
        <v>1333.3439284415699</v>
      </c>
      <c r="AH27" s="1" t="n">
        <f t="shared" si="7"/>
        <v>1000</v>
      </c>
      <c r="AI27" s="1" t="n">
        <f t="shared" si="18"/>
        <v>333.34392844156991</v>
      </c>
      <c r="AJ27" s="1" t="n">
        <f t="shared" si="19"/>
        <v>3.1119902734459197</v>
      </c>
      <c r="AK27" s="1" t="n">
        <f t="shared" si="8"/>
        <v>9.9149988325753613E-2</v>
      </c>
      <c r="AL27" s="1" t="n">
        <v>55</v>
      </c>
      <c r="AM27" s="1" t="n">
        <f t="shared" si="20"/>
        <v>16.970458960511195</v>
      </c>
      <c r="AN27" s="1" t="n">
        <f t="shared" si="9"/>
        <v>1350.3143874020811</v>
      </c>
      <c r="AO27" s="40" t="n">
        <f t="shared" si="10"/>
        <v>983.02954103948878</v>
      </c>
    </row>
    <row r="28" ht="14.65" customHeight="1">
      <c r="A28" s="33" t="n">
        <v>1</v>
      </c>
      <c r="B28" s="34" t="s">
        <v>212</v>
      </c>
      <c r="C28" s="34" t="s">
        <v>226</v>
      </c>
      <c r="D28" s="6" t="str">
        <f>IF(OR(ISBLANK(B28), ISNA(VLOOKUP(B28, 'Betting Lines'!$B$2:$F$1048576, MATCH("spread", 'Betting Lines'!$B$1:$J$1, 0), FALSE))), "", VLOOKUP(B28, 'Betting Lines'!$B$2:$F$1048576, MATCH("spread", 'Betting Lines'!$B$1:$J$1, 0), FALSE))</f>
        <v>-11.5</v>
      </c>
      <c r="E28" s="10" t="n">
        <f>_xlfn.IFNA(IF(ISBLANK(B28),"",VLOOKUP(B28,Elo!$A$2:$AZ$1048576,MATCH(_xlfn.CONCAT("Week ", A28),Elo!$A$1:$AZ$1,0),FALSE)), "")</f>
        <v>1372.8579962194201</v>
      </c>
      <c r="F28" s="10" t="n">
        <f>IFERROR(IF(ISBLANK(C28),"",VLOOKUP(C28,Elo!$A$2:$AZ$1048576,MATCH(_xlfn.CONCAT("Week ",A28),Elo!$A$1:$AZ$1,0),FALSE)),IF(ISBLANK(Schedule!D28),"", 1000))</f>
        <v>1328.02060715938</v>
      </c>
      <c r="G28" s="34" t="n">
        <f>_xlfn.IFNA(IF(ISBLANK(B28),"",IF(VLOOKUP(Games!B28,Schedule!$C$2:$G$1048576,MATCH("neutral_site",Schedule!$C$1:$G$1,0),FALSE),0,50)),"")</f>
        <v>50</v>
      </c>
      <c r="H28" s="34" t="n">
        <f>_xlfn.IFNA(IF(VLOOKUP(Games!B28, 'Bye Weeks'!$A$2:$P$135, MATCH(Games!$A28, 'Bye Weeks'!$A$1:$P$1, 0), FALSE)="Y", 25, 0), 0)</f>
        <v>0</v>
      </c>
      <c r="I28" s="34" t="n">
        <f>_xlfn.IFNA(IF(VLOOKUP(Games!C28, 'Bye Weeks'!$A$2:$P$135, MATCH(Games!$A28, 'Bye Weeks'!$A$1:$P$1, 0), FALSE)="Y", 25, 0), 0)</f>
        <v>0</v>
      </c>
      <c r="J28" s="6" t="n">
        <f>IFERROR(_xlfn.IFNA(IF(ISBLANK(B28), "",IF(ABS(ROUND(Calc!O28, 1))&gt;70,R28,ROUND(Calc!O28, 1))), R28), R28)</f>
        <v>-7.2</v>
      </c>
      <c r="K28" s="2" t="str">
        <f t="shared" si="11"/>
        <v>Michigan State</v>
      </c>
      <c r="L28" s="4" t="n">
        <f t="shared" si="12"/>
        <v>0.63319031668955161</v>
      </c>
      <c r="M28" s="4" t="n">
        <f t="shared" si="13"/>
        <v>0.36680968331044828</v>
      </c>
      <c r="N28" s="34" t="str">
        <f t="shared" si="14"/>
        <v>Michigan State</v>
      </c>
      <c r="O28" s="36" t="n">
        <f t="shared" si="15"/>
        <v>0.63319031668955161</v>
      </c>
      <c r="P28" s="13" t="str">
        <f t="shared" si="2"/>
        <v>Y</v>
      </c>
      <c r="Q28" s="15" t="str">
        <f t="shared" si="3"/>
        <v>Y</v>
      </c>
      <c r="R28" s="6" t="n">
        <f t="shared" si="4"/>
        <v>-1.7934955624016038</v>
      </c>
      <c r="S28" s="9" t="n">
        <f t="shared" si="16"/>
        <v>1.545201668984701</v>
      </c>
      <c r="T28" s="17"/>
      <c r="U28" s="11"/>
      <c r="V28" s="19"/>
      <c r="W28" s="20"/>
      <c r="X28" s="11"/>
      <c r="Y28" s="1"/>
      <c r="Z28" s="19"/>
      <c r="AA28" s="20"/>
      <c r="AB28" s="14"/>
      <c r="AC28" s="11" t="n">
        <v>16</v>
      </c>
      <c r="AD28" s="12" t="n">
        <v>10</v>
      </c>
      <c r="AE28" s="16" t="str">
        <f t="shared" si="5"/>
        <v>Michigan State</v>
      </c>
      <c r="AF28" s="39" t="n">
        <f t="shared" si="17"/>
        <v>6</v>
      </c>
      <c r="AG28" s="1" t="n">
        <f t="shared" si="6"/>
        <v>1372.8579962194201</v>
      </c>
      <c r="AH28" s="1" t="n">
        <f t="shared" si="7"/>
        <v>1328.02060715938</v>
      </c>
      <c r="AI28" s="1" t="n">
        <f t="shared" si="18"/>
        <v>44.837389060040096</v>
      </c>
      <c r="AJ28" s="1" t="n">
        <f t="shared" si="19"/>
        <v>1.9070434004639569</v>
      </c>
      <c r="AK28" s="1" t="n">
        <f t="shared" si="8"/>
        <v>0.36680968331044839</v>
      </c>
      <c r="AL28" s="1" t="n">
        <v>56</v>
      </c>
      <c r="AM28" s="1" t="n">
        <f t="shared" si="20"/>
        <v>39.173231203874025</v>
      </c>
      <c r="AN28" s="1" t="n">
        <f t="shared" si="9"/>
        <v>1412.0312274232942</v>
      </c>
      <c r="AO28" s="40" t="n">
        <f t="shared" si="10"/>
        <v>1288.8473759555059</v>
      </c>
    </row>
    <row r="29" ht="14.65" customHeight="1">
      <c r="A29" s="33" t="n">
        <f>Schedule!A29</f>
        <v>1</v>
      </c>
      <c r="B29" s="34" t="s">
        <v>120</v>
      </c>
      <c r="C29" s="34" t="s">
        <v>247</v>
      </c>
      <c r="D29" s="6" t="str">
        <f>IF(OR(ISBLANK(B29), ISNA(VLOOKUP(B29, 'Betting Lines'!$B$2:$F$1048576, MATCH("spread", 'Betting Lines'!$B$1:$J$1, 0), FALSE))), "", VLOOKUP(B29, 'Betting Lines'!$B$2:$F$1048576, MATCH("spread", 'Betting Lines'!$B$1:$J$1, 0), FALSE))</f>
        <v>-42.5</v>
      </c>
      <c r="E29" s="10" t="n">
        <f>_xlfn.IFNA(IF(ISBLANK(B29),"",VLOOKUP(B29,Elo!$A$2:$AZ$1048576,MATCH(_xlfn.CONCAT("Week ", A29),Elo!$A$1:$AZ$1,0),FALSE)), "")</f>
        <v>1881.6808464527301</v>
      </c>
      <c r="F29" s="10" t="n">
        <f>IFERROR(IF(ISBLANK(C29),"",VLOOKUP(C29,Elo!$A$2:$AZ$1048576,MATCH(_xlfn.CONCAT("Week ",A29),Elo!$A$1:$AZ$1,0),FALSE)),IF(ISBLANK(Schedule!D29),"", 1000))</f>
        <v>1129.0343772571</v>
      </c>
      <c r="G29" s="34" t="n">
        <f>_xlfn.IFNA(IF(ISBLANK(B29),"",IF(VLOOKUP(Games!B29,Schedule!$C$2:$G$1048576,MATCH("neutral_site",Schedule!$C$1:$G$1,0),FALSE),0,50)),"")</f>
        <v>50</v>
      </c>
      <c r="H29" s="34" t="n">
        <f>_xlfn.IFNA(IF(VLOOKUP(Games!B29, 'Bye Weeks'!$A$2:$P$135, MATCH(Games!$A29, 'Bye Weeks'!$A$1:$P$1, 0), FALSE)="Y", 25, 0), 0)</f>
        <v>0</v>
      </c>
      <c r="I29" s="34" t="n">
        <f>_xlfn.IFNA(IF(VLOOKUP(Games!C29, 'Bye Weeks'!$A$2:$P$135, MATCH(Games!$A29, 'Bye Weeks'!$A$1:$P$1, 0), FALSE)="Y", 25, 0), 0)</f>
        <v>0</v>
      </c>
      <c r="J29" s="6" t="n">
        <f>IFERROR(_xlfn.IFNA(IF(ISBLANK(B29), "",IF(ABS(ROUND(Calc!O29, 1))&gt;70,R29,ROUND(Calc!O29, 1))), R29), R29)</f>
        <v>-30.105858767825204</v>
      </c>
      <c r="K29" s="2" t="str">
        <f t="shared" si="11"/>
        <v>Oklahoma</v>
      </c>
      <c r="L29" s="4" t="n">
        <f t="shared" si="12"/>
        <v>0.9902472415436423</v>
      </c>
      <c r="M29" s="4" t="n">
        <f t="shared" si="13"/>
        <v>9.7527584563576984E-3</v>
      </c>
      <c r="N29" s="34" t="str">
        <f t="shared" si="14"/>
        <v>Oklahoma</v>
      </c>
      <c r="O29" s="36" t="n">
        <f t="shared" si="15"/>
        <v>0.9902472415436423</v>
      </c>
      <c r="P29" s="13" t="str">
        <f t="shared" si="2"/>
        <v>Y</v>
      </c>
      <c r="Q29" s="15" t="str">
        <f t="shared" si="3"/>
        <v>Y</v>
      </c>
      <c r="R29" s="6" t="n">
        <f t="shared" si="4"/>
        <v>-30.105858767825204</v>
      </c>
      <c r="S29" s="9" t="n">
        <f t="shared" si="16"/>
        <v>0.36915377911985187</v>
      </c>
      <c r="T29" s="17"/>
      <c r="U29" s="11"/>
      <c r="V29" s="19"/>
      <c r="W29" s="20"/>
      <c r="X29" s="11"/>
      <c r="Y29" s="1"/>
      <c r="Z29" s="19"/>
      <c r="AA29" s="20"/>
      <c r="AB29" s="14"/>
      <c r="AC29" s="11" t="n">
        <v>51</v>
      </c>
      <c r="AD29" s="12" t="n">
        <v>3</v>
      </c>
      <c r="AE29" s="16" t="str">
        <f t="shared" si="5"/>
        <v>Oklahoma</v>
      </c>
      <c r="AF29" s="39" t="n">
        <f t="shared" si="17"/>
        <v>48</v>
      </c>
      <c r="AG29" s="1" t="n">
        <f t="shared" si="6"/>
        <v>1881.6808464527301</v>
      </c>
      <c r="AH29" s="1" t="n">
        <f t="shared" si="7"/>
        <v>1129.0343772571</v>
      </c>
      <c r="AI29" s="1" t="n">
        <f t="shared" si="18"/>
        <v>752.64646919563006</v>
      </c>
      <c r="AJ29" s="1" t="n">
        <f t="shared" si="19"/>
        <v>2.8997730494216154</v>
      </c>
      <c r="AK29" s="1" t="n">
        <f t="shared" si="8"/>
        <v>9.7527584563577019E-3</v>
      </c>
      <c r="AL29" s="1" t="n">
        <v>57</v>
      </c>
      <c r="AM29" s="1" t="n">
        <f t="shared" si="20"/>
        <v>1.6120048093680948</v>
      </c>
      <c r="AN29" s="1" t="n">
        <f t="shared" si="9"/>
        <v>1883.2928512620981</v>
      </c>
      <c r="AO29" s="40" t="n">
        <f t="shared" si="10"/>
        <v>1127.422372447732</v>
      </c>
    </row>
    <row r="30" ht="14.65" customHeight="1">
      <c r="A30" s="33" t="n">
        <f>Schedule!A30</f>
        <v>1</v>
      </c>
      <c r="B30" s="34" t="s">
        <v>157</v>
      </c>
      <c r="C30" s="34" t="s">
        <v>302</v>
      </c>
      <c r="D30" s="6" t="n">
        <v>-24.5</v>
      </c>
      <c r="E30" s="10" t="n">
        <f>_xlfn.IFNA(IF(ISBLANK(B30),"",VLOOKUP(B30,Elo!$A$2:$AZ$1048576,MATCH(_xlfn.CONCAT("Week ", A30),Elo!$A$1:$AZ$1,0),FALSE)), "")</f>
        <v>1609.5800322447801</v>
      </c>
      <c r="F30" s="10" t="n">
        <f>IFERROR(IF(ISBLANK(C30),"",VLOOKUP(C30,Elo!$A$2:$AZ$1048576,MATCH(_xlfn.CONCAT("Week ",A30),Elo!$A$1:$AZ$1,0),FALSE)),IF(ISBLANK(Schedule!D30),"", 1000))</f>
        <v>1000</v>
      </c>
      <c r="G30" s="34" t="n">
        <f>_xlfn.IFNA(IF(ISBLANK(B30),"",IF(VLOOKUP(Games!B30,Schedule!$C$2:$G$1048576,MATCH("neutral_site",Schedule!$C$1:$G$1,0),FALSE),0,50)),"")</f>
        <v>50</v>
      </c>
      <c r="H30" s="34" t="n">
        <f>_xlfn.IFNA(IF(VLOOKUP(Games!B30, 'Bye Weeks'!$A$2:$P$135, MATCH(Games!$A30, 'Bye Weeks'!$A$1:$P$1, 0), FALSE)="Y", 25, 0), 0)</f>
        <v>0</v>
      </c>
      <c r="I30" s="34" t="n">
        <f>_xlfn.IFNA(IF(VLOOKUP(Games!C30, 'Bye Weeks'!$A$2:$P$135, MATCH(Games!$A30, 'Bye Weeks'!$A$1:$P$1, 0), FALSE)="Y", 25, 0), 0)</f>
        <v>0</v>
      </c>
      <c r="J30" s="6" t="n">
        <f>IFERROR(_xlfn.IFNA(IF(ISBLANK(B30), "",IF(ABS(ROUND(Calc!O30, 1))&gt;70,R30,ROUND(Calc!O30, 1))), R30), R30)</f>
        <v>-24.383201289791206</v>
      </c>
      <c r="K30" s="2" t="str">
        <f t="shared" si="11"/>
        <v>Duke</v>
      </c>
      <c r="L30" s="4" t="n">
        <f t="shared" si="12"/>
        <v>0.9780511639917534</v>
      </c>
      <c r="M30" s="4" t="n">
        <f t="shared" si="13"/>
        <v>2.1948836008246646E-2</v>
      </c>
      <c r="N30" s="34" t="str">
        <f t="shared" si="14"/>
        <v>Duke</v>
      </c>
      <c r="O30" s="36" t="n">
        <f t="shared" si="15"/>
        <v>0.9780511639917534</v>
      </c>
      <c r="P30" s="13" t="str">
        <f t="shared" si="2"/>
        <v>N</v>
      </c>
      <c r="Q30" s="15" t="str">
        <f t="shared" si="3"/>
        <v>N</v>
      </c>
      <c r="R30" s="6" t="n">
        <f t="shared" si="4"/>
        <v>-24.383201289791206</v>
      </c>
      <c r="S30" s="9" t="n">
        <f t="shared" si="16"/>
        <v>0.41438955350647427</v>
      </c>
      <c r="T30" s="17"/>
      <c r="U30" s="11"/>
      <c r="V30" s="19"/>
      <c r="W30" s="20"/>
      <c r="X30" s="11"/>
      <c r="Y30" s="1"/>
      <c r="Z30" s="19"/>
      <c r="AA30" s="20"/>
      <c r="AB30" s="14"/>
      <c r="AC30" s="11" t="n">
        <v>26</v>
      </c>
      <c r="AD30" s="12" t="n">
        <v>3</v>
      </c>
      <c r="AE30" s="16" t="str">
        <f t="shared" si="5"/>
        <v>Duke</v>
      </c>
      <c r="AF30" s="39" t="n">
        <f t="shared" si="17"/>
        <v>23</v>
      </c>
      <c r="AG30" s="1" t="n">
        <f t="shared" si="6"/>
        <v>1609.5800322447801</v>
      </c>
      <c r="AH30" s="1" t="n">
        <f t="shared" si="7"/>
        <v>1000</v>
      </c>
      <c r="AI30" s="1" t="n">
        <f t="shared" si="18"/>
        <v>609.58003224478011</v>
      </c>
      <c r="AJ30" s="1" t="n">
        <f t="shared" si="19"/>
        <v>2.4885279460002723</v>
      </c>
      <c r="AK30" s="1" t="n">
        <f t="shared" si="8"/>
        <v>2.1948836008246597E-2</v>
      </c>
      <c r="AL30" s="1" t="n">
        <v>58</v>
      </c>
      <c r="AM30" s="1" t="n">
        <f t="shared" si="20"/>
        <v>3.1679769237445257</v>
      </c>
      <c r="AN30" s="1" t="n">
        <f t="shared" si="9"/>
        <v>1612.7480091685247</v>
      </c>
      <c r="AO30" s="40" t="n">
        <f t="shared" si="10"/>
        <v>996.8320230762555</v>
      </c>
    </row>
    <row r="31" ht="14.65" customHeight="1">
      <c r="A31" s="33" t="n">
        <f>Schedule!A31</f>
        <v>1</v>
      </c>
      <c r="B31" s="34" t="s">
        <v>155</v>
      </c>
      <c r="C31" s="34" t="s">
        <v>229</v>
      </c>
      <c r="D31" s="6" t="str">
        <f>IF(OR(ISBLANK(B31), ISNA(VLOOKUP(B31, 'Betting Lines'!$B$2:$F$1048576, MATCH("spread", 'Betting Lines'!$B$1:$J$1, 0), FALSE))), "", VLOOKUP(B31, 'Betting Lines'!$B$2:$F$1048576, MATCH("spread", 'Betting Lines'!$B$1:$J$1, 0), FALSE))</f>
        <v>-24</v>
      </c>
      <c r="E31" s="10" t="n">
        <f>_xlfn.IFNA(IF(ISBLANK(B31),"",VLOOKUP(B31,Elo!$A$2:$AZ$1048576,MATCH(_xlfn.CONCAT("Week ", A31),Elo!$A$1:$AZ$1,0),FALSE)), "")</f>
        <v>1618.9234953375901</v>
      </c>
      <c r="F31" s="10" t="n">
        <f>IFERROR(IF(ISBLANK(C31),"",VLOOKUP(C31,Elo!$A$2:$AZ$1048576,MATCH(_xlfn.CONCAT("Week ",A31),Elo!$A$1:$AZ$1,0),FALSE)),IF(ISBLANK(Schedule!D31),"", 1000))</f>
        <v>1315.8899863695499</v>
      </c>
      <c r="G31" s="34" t="n">
        <f>_xlfn.IFNA(IF(ISBLANK(B31),"",IF(VLOOKUP(Games!B31,Schedule!$C$2:$G$1048576,MATCH("neutral_site",Schedule!$C$1:$G$1,0),FALSE),0,50)),"")</f>
        <v>50</v>
      </c>
      <c r="H31" s="34" t="n">
        <f>_xlfn.IFNA(IF(VLOOKUP(Games!B31, 'Bye Weeks'!$A$2:$P$135, MATCH(Games!$A31, 'Bye Weeks'!$A$1:$P$1, 0), FALSE)="Y", 25, 0), 0)</f>
        <v>0</v>
      </c>
      <c r="I31" s="34" t="n">
        <f>_xlfn.IFNA(IF(VLOOKUP(Games!C31, 'Bye Weeks'!$A$2:$P$135, MATCH(Games!$A31, 'Bye Weeks'!$A$1:$P$1, 0), FALSE)="Y", 25, 0), 0)</f>
        <v>0</v>
      </c>
      <c r="J31" s="6" t="n">
        <f>IFERROR(_xlfn.IFNA(IF(ISBLANK(B31), "",IF(ABS(ROUND(Calc!O31, 1))&gt;70,R31,ROUND(Calc!O31, 1))), R31), R31)</f>
        <v>-49.4</v>
      </c>
      <c r="K31" s="2" t="str">
        <f t="shared" si="11"/>
        <v>Wisconsin</v>
      </c>
      <c r="L31" s="4" t="n">
        <f t="shared" si="12"/>
        <v>0.8841391172224492</v>
      </c>
      <c r="M31" s="4" t="n">
        <f t="shared" si="13"/>
        <v>0.11586088277755079</v>
      </c>
      <c r="N31" s="34" t="str">
        <f t="shared" si="14"/>
        <v>Wisconsin</v>
      </c>
      <c r="O31" s="36" t="n">
        <f t="shared" si="15"/>
        <v>0.8841391172224492</v>
      </c>
      <c r="P31" s="13" t="str">
        <f t="shared" si="2"/>
        <v>Y</v>
      </c>
      <c r="Q31" s="15" t="str">
        <f t="shared" si="3"/>
        <v>Y</v>
      </c>
      <c r="R31" s="6" t="n">
        <f t="shared" si="4"/>
        <v>-12.121340358721609</v>
      </c>
      <c r="S31" s="9" t="n">
        <f t="shared" si="16"/>
        <v>0.22494432071269491</v>
      </c>
      <c r="T31" s="17"/>
      <c r="U31" s="11"/>
      <c r="V31" s="19"/>
      <c r="W31" s="20"/>
      <c r="X31" s="11"/>
      <c r="Y31" s="1"/>
      <c r="Z31" s="19"/>
      <c r="AA31" s="20"/>
      <c r="AB31" s="14"/>
      <c r="AC31" s="11" t="n">
        <v>28</v>
      </c>
      <c r="AD31" s="12" t="n">
        <v>14</v>
      </c>
      <c r="AE31" s="16" t="str">
        <f t="shared" si="5"/>
        <v>Wisconsin</v>
      </c>
      <c r="AF31" s="39" t="n">
        <f t="shared" si="17"/>
        <v>14</v>
      </c>
      <c r="AG31" s="1" t="n">
        <f t="shared" si="6"/>
        <v>1618.9234953375901</v>
      </c>
      <c r="AH31" s="1" t="n">
        <f t="shared" si="7"/>
        <v>1315.8899863695499</v>
      </c>
      <c r="AI31" s="1" t="n">
        <f t="shared" si="18"/>
        <v>303.03350896804022</v>
      </c>
      <c r="AJ31" s="1" t="n">
        <f t="shared" si="19"/>
        <v>2.3801960385584806</v>
      </c>
      <c r="AK31" s="1" t="n">
        <f t="shared" si="8"/>
        <v>0.1158608827775508</v>
      </c>
      <c r="AL31" s="1" t="n">
        <v>59</v>
      </c>
      <c r="AM31" s="1" t="n">
        <f t="shared" si="20"/>
        <v>16.270525238449881</v>
      </c>
      <c r="AN31" s="1" t="n">
        <f t="shared" si="9"/>
        <v>1635.19402057604</v>
      </c>
      <c r="AO31" s="40" t="n">
        <f t="shared" si="10"/>
        <v>1299.6194611311</v>
      </c>
    </row>
    <row r="32" ht="14.65" customHeight="1">
      <c r="A32" s="33" t="n">
        <f>Schedule!A32</f>
        <v>1</v>
      </c>
      <c r="B32" s="34" t="s">
        <v>221</v>
      </c>
      <c r="C32" s="34" t="s">
        <v>145</v>
      </c>
      <c r="D32" s="6" t="str">
        <f>IF(OR(ISBLANK(B32), ISNA(VLOOKUP(B32, 'Betting Lines'!$B$2:$F$1048576, MATCH("spread", 'Betting Lines'!$B$1:$J$1, 0), FALSE))), "", VLOOKUP(B32, 'Betting Lines'!$B$2:$F$1048576, MATCH("spread", 'Betting Lines'!$B$1:$J$1, 0), FALSE))</f>
        <v>8.5</v>
      </c>
      <c r="E32" s="10" t="n">
        <f>_xlfn.IFNA(IF(ISBLANK(B32),"",VLOOKUP(B32,Elo!$A$2:$AZ$1048576,MATCH(_xlfn.CONCAT("Week ", A32),Elo!$A$1:$AZ$1,0),FALSE)), "")</f>
        <v>1348.9438646440799</v>
      </c>
      <c r="F32" s="10" t="n">
        <f>IFERROR(IF(ISBLANK(C32),"",VLOOKUP(C32,Elo!$A$2:$AZ$1048576,MATCH(_xlfn.CONCAT("Week ",A32),Elo!$A$1:$AZ$1,0),FALSE)),IF(ISBLANK(Schedule!D32),"", 1000))</f>
        <v>1668.36288069077</v>
      </c>
      <c r="G32" s="34" t="n">
        <f>_xlfn.IFNA(IF(ISBLANK(B32),"",IF(VLOOKUP(Games!B32,Schedule!$C$2:$G$1048576,MATCH("neutral_site",Schedule!$C$1:$G$1,0),FALSE),0,50)),"")</f>
        <v>50</v>
      </c>
      <c r="H32" s="34" t="n">
        <f>_xlfn.IFNA(IF(VLOOKUP(Games!B32, 'Bye Weeks'!$A$2:$P$135, MATCH(Games!$A32, 'Bye Weeks'!$A$1:$P$1, 0), FALSE)="Y", 25, 0), 0)</f>
        <v>0</v>
      </c>
      <c r="I32" s="34" t="n">
        <f>_xlfn.IFNA(IF(VLOOKUP(Games!C32, 'Bye Weeks'!$A$2:$P$135, MATCH(Games!$A32, 'Bye Weeks'!$A$1:$P$1, 0), FALSE)="Y", 25, 0), 0)</f>
        <v>0</v>
      </c>
      <c r="J32" s="6" t="n">
        <f>IFERROR(_xlfn.IFNA(IF(ISBLANK(B32), "",IF(ABS(ROUND(Calc!O32, 1))&gt;70,R32,ROUND(Calc!O32, 1))), R32), R32)</f>
        <v>20.6</v>
      </c>
      <c r="K32" s="2" t="str">
        <f t="shared" si="11"/>
        <v>TCU</v>
      </c>
      <c r="L32" s="4" t="n">
        <f t="shared" si="12"/>
        <v>0.17495624238828394</v>
      </c>
      <c r="M32" s="4" t="n">
        <f t="shared" si="13"/>
        <v>0.825043757611716</v>
      </c>
      <c r="N32" s="34" t="str">
        <f t="shared" si="14"/>
        <v>TCU</v>
      </c>
      <c r="O32" s="36" t="n">
        <f t="shared" si="15"/>
        <v>0.825043757611716</v>
      </c>
      <c r="P32" s="13" t="str">
        <f t="shared" si="2"/>
        <v>Y</v>
      </c>
      <c r="Q32" s="15" t="str">
        <f t="shared" si="3"/>
        <v>N</v>
      </c>
      <c r="R32" s="6" t="n">
        <f t="shared" si="4"/>
        <v>12.776760641867604</v>
      </c>
      <c r="S32" s="9" t="n">
        <f t="shared" si="16"/>
        <v>0.49052938319572609</v>
      </c>
      <c r="T32" s="17"/>
      <c r="U32" s="11"/>
      <c r="V32" s="19"/>
      <c r="W32" s="20"/>
      <c r="X32" s="11"/>
      <c r="Y32" s="1"/>
      <c r="Z32" s="19"/>
      <c r="AA32" s="20"/>
      <c r="AB32" s="14"/>
      <c r="AC32" s="11" t="n">
        <v>27</v>
      </c>
      <c r="AD32" s="12" t="n">
        <v>34</v>
      </c>
      <c r="AE32" s="16" t="str">
        <f t="shared" si="5"/>
        <v>TCU</v>
      </c>
      <c r="AF32" s="39" t="n">
        <f t="shared" si="17"/>
        <v>7</v>
      </c>
      <c r="AG32" s="1" t="n">
        <f t="shared" si="6"/>
        <v>1668.36288069077</v>
      </c>
      <c r="AH32" s="1" t="n">
        <f t="shared" si="7"/>
        <v>1348.9438646440799</v>
      </c>
      <c r="AI32" s="1" t="n">
        <f t="shared" si="18"/>
        <v>319.4190160466901</v>
      </c>
      <c r="AJ32" s="1" t="n">
        <f t="shared" si="19"/>
        <v>1.8158041050567582</v>
      </c>
      <c r="AK32" s="1" t="n">
        <f t="shared" si="8"/>
        <v>0.174956242388284</v>
      </c>
      <c r="AL32" s="1" t="n">
        <v>60</v>
      </c>
      <c r="AM32" s="1" t="n">
        <f t="shared" si="20"/>
        <v>19.061175788037076</v>
      </c>
      <c r="AN32" s="1" t="n">
        <f t="shared" si="9"/>
        <v>1329.8826888560429</v>
      </c>
      <c r="AO32" s="40" t="n">
        <f t="shared" si="10"/>
        <v>1687.424056478807</v>
      </c>
    </row>
    <row r="33" ht="14.65" customHeight="1">
      <c r="A33" s="33" t="n">
        <f>Schedule!A33</f>
        <v>1</v>
      </c>
      <c r="B33" s="34" t="s">
        <v>225</v>
      </c>
      <c r="C33" s="34" t="s">
        <v>303</v>
      </c>
      <c r="D33" s="6" t="str">
        <f>IF(OR(ISBLANK(B33), ISNA(VLOOKUP(B33, 'Betting Lines'!$B$2:$F$1048576, MATCH("spread", 'Betting Lines'!$B$1:$J$1, 0), FALSE))), "", VLOOKUP(B33, 'Betting Lines'!$B$2:$F$1048576, MATCH("spread", 'Betting Lines'!$B$1:$J$1, 0), FALSE))</f>
      </c>
      <c r="E33" s="10" t="n">
        <f>_xlfn.IFNA(IF(ISBLANK(B33),"",VLOOKUP(B33,Elo!$A$2:$AZ$1048576,MATCH(_xlfn.CONCAT("Week ", A33),Elo!$A$1:$AZ$1,0),FALSE)), "")</f>
        <v>1331.4892235140201</v>
      </c>
      <c r="F33" s="10" t="n">
        <f>IFERROR(IF(ISBLANK(C33),"",VLOOKUP(C33,Elo!$A$2:$AZ$1048576,MATCH(_xlfn.CONCAT("Week ",A33),Elo!$A$1:$AZ$1,0),FALSE)),IF(ISBLANK(Schedule!D33),"", 1000))</f>
        <v>1000</v>
      </c>
      <c r="G33" s="34" t="n">
        <f>_xlfn.IFNA(IF(ISBLANK(B33),"",IF(VLOOKUP(Games!B33,Schedule!$C$2:$G$1048576,MATCH("neutral_site",Schedule!$C$1:$G$1,0),FALSE),0,50)),"")</f>
        <v>50</v>
      </c>
      <c r="H33" s="34" t="n">
        <f>_xlfn.IFNA(IF(VLOOKUP(Games!B33, 'Bye Weeks'!$A$2:$P$135, MATCH(Games!$A33, 'Bye Weeks'!$A$1:$P$1, 0), FALSE)="Y", 25, 0), 0)</f>
        <v>0</v>
      </c>
      <c r="I33" s="34" t="n">
        <f>_xlfn.IFNA(IF(VLOOKUP(Games!C33, 'Bye Weeks'!$A$2:$P$135, MATCH(Games!$A33, 'Bye Weeks'!$A$1:$P$1, 0), FALSE)="Y", 25, 0), 0)</f>
        <v>0</v>
      </c>
      <c r="J33" s="6" t="n">
        <f>IFERROR(_xlfn.IFNA(IF(ISBLANK(B33), "",IF(ABS(ROUND(Calc!O33, 1))&gt;70,R33,ROUND(Calc!O33, 1))), R33), R33)</f>
        <v>-13.259568940560802</v>
      </c>
      <c r="K33" s="2" t="str">
        <f t="shared" si="11"/>
        <v>Utah State</v>
      </c>
      <c r="L33" s="4" t="n">
        <f t="shared" si="12"/>
        <v>0.89989230134640896</v>
      </c>
      <c r="M33" s="4" t="n">
        <f t="shared" si="13"/>
        <v>0.10010769865359107</v>
      </c>
      <c r="N33" s="34" t="str">
        <f t="shared" si="14"/>
        <v>Utah State</v>
      </c>
      <c r="O33" s="36" t="n">
        <f t="shared" si="15"/>
        <v>0.89989230134640896</v>
      </c>
      <c r="P33" s="13" t="str">
        <f t="shared" si="2"/>
        <v>Y</v>
      </c>
      <c r="Q33" s="15" t="str">
        <f t="shared" si="3"/>
        <v>Y</v>
      </c>
      <c r="R33" s="6" t="n">
        <f t="shared" si="4"/>
        <v>-13.259568940560802</v>
      </c>
      <c r="S33" s="9" t="n">
        <f t="shared" si="16"/>
        <v>0.83851784536091922</v>
      </c>
      <c r="T33" s="17"/>
      <c r="U33" s="11"/>
      <c r="V33" s="19"/>
      <c r="W33" s="20"/>
      <c r="X33" s="11"/>
      <c r="Y33" s="1"/>
      <c r="Z33" s="19"/>
      <c r="AA33" s="20"/>
      <c r="AB33" s="14"/>
      <c r="AC33" s="11" t="n">
        <v>36</v>
      </c>
      <c r="AD33" s="12" t="n">
        <v>14</v>
      </c>
      <c r="AE33" s="16" t="str">
        <f t="shared" si="5"/>
        <v>Utah State</v>
      </c>
      <c r="AF33" s="39" t="n">
        <f t="shared" si="17"/>
        <v>22</v>
      </c>
      <c r="AG33" s="1" t="n">
        <f t="shared" si="6"/>
        <v>1331.4892235140201</v>
      </c>
      <c r="AH33" s="1" t="n">
        <f t="shared" si="7"/>
        <v>1000</v>
      </c>
      <c r="AI33" s="1" t="n">
        <f t="shared" si="18"/>
        <v>331.48922351402007</v>
      </c>
      <c r="AJ33" s="1" t="n">
        <f t="shared" si="19"/>
        <v>2.7249127552945813</v>
      </c>
      <c r="AK33" s="1" t="n">
        <f t="shared" si="8"/>
        <v>0.10010769865359104</v>
      </c>
      <c r="AL33" s="1" t="n">
        <v>61</v>
      </c>
      <c r="AM33" s="1" t="n">
        <f t="shared" si="20"/>
        <v>16.639869442825741</v>
      </c>
      <c r="AN33" s="1" t="n">
        <f t="shared" si="9"/>
        <v>1348.1290929568459</v>
      </c>
      <c r="AO33" s="40" t="n">
        <f t="shared" si="10"/>
        <v>983.36013055717422</v>
      </c>
    </row>
    <row r="34" ht="14.65" customHeight="1">
      <c r="A34" s="33" t="n">
        <f>Schedule!A34</f>
        <v>1</v>
      </c>
      <c r="B34" s="34" t="s">
        <v>177</v>
      </c>
      <c r="C34" s="34" t="s">
        <v>307</v>
      </c>
      <c r="D34" s="6" t="str">
        <f>IF(OR(ISBLANK(B34), ISNA(VLOOKUP(B34, 'Betting Lines'!$B$2:$F$1048576, MATCH("spread", 'Betting Lines'!$B$1:$J$1, 0), FALSE))), "", VLOOKUP(B34, 'Betting Lines'!$B$2:$F$1048576, MATCH("spread", 'Betting Lines'!$B$1:$J$1, 0), FALSE))</f>
      </c>
      <c r="E34" s="10" t="n">
        <f>_xlfn.IFNA(IF(ISBLANK(B34),"",VLOOKUP(B34,Elo!$A$2:$AZ$1048576,MATCH(_xlfn.CONCAT("Week ", A34),Elo!$A$1:$AZ$1,0),FALSE)), "")</f>
        <v>1520.7578063209401</v>
      </c>
      <c r="F34" s="10" t="n">
        <f>IFERROR(IF(ISBLANK(C34),"",VLOOKUP(C34,Elo!$A$2:$AZ$1048576,MATCH(_xlfn.CONCAT("Week ",A34),Elo!$A$1:$AZ$1,0),FALSE)),IF(ISBLANK(Schedule!D34),"", 1000))</f>
        <v>1000</v>
      </c>
      <c r="G34" s="34" t="n">
        <f>_xlfn.IFNA(IF(ISBLANK(B34),"",IF(VLOOKUP(Games!B34,Schedule!$C$2:$G$1048576,MATCH("neutral_site",Schedule!$C$1:$G$1,0),FALSE),0,50)),"")</f>
        <v>50</v>
      </c>
      <c r="H34" s="34" t="n">
        <f>_xlfn.IFNA(IF(VLOOKUP(Games!B34, 'Bye Weeks'!$A$2:$P$135, MATCH(Games!$A34, 'Bye Weeks'!$A$1:$P$1, 0), FALSE)="Y", 25, 0), 0)</f>
        <v>0</v>
      </c>
      <c r="I34" s="34" t="n">
        <f>_xlfn.IFNA(IF(VLOOKUP(Games!C34, 'Bye Weeks'!$A$2:$P$135, MATCH(Games!$A34, 'Bye Weeks'!$A$1:$P$1, 0), FALSE)="Y", 25, 0), 0)</f>
        <v>0</v>
      </c>
      <c r="J34" s="6" t="n">
        <f>IFERROR(_xlfn.IFNA(IF(ISBLANK(B34), "",IF(ABS(ROUND(Calc!O34, 1))&gt;70,R34,ROUND(Calc!O34, 1))), R34), R34)</f>
        <v>-20.830312252837601</v>
      </c>
      <c r="K34" s="2" t="str">
        <f t="shared" si="11"/>
        <v>Iowa</v>
      </c>
      <c r="L34" s="4" t="n">
        <f t="shared" si="12"/>
        <v>0.96392961261658183</v>
      </c>
      <c r="M34" s="4" t="n">
        <f t="shared" si="13"/>
        <v>3.6070387383418175E-2</v>
      </c>
      <c r="N34" s="34" t="str">
        <f t="shared" si="14"/>
        <v>Iowa</v>
      </c>
      <c r="O34" s="36" t="n">
        <f t="shared" si="15"/>
        <v>0.96392961261658183</v>
      </c>
      <c r="P34" s="13" t="str">
        <f t="shared" ref="P34:P65" si="21">IF(OR(ISBLANK(B34), ISBLANK(D34)),"",IF(J34&lt;D34, "Y","N"))</f>
        <v>Y</v>
      </c>
      <c r="Q34" s="15" t="str">
        <f t="shared" ref="Q34:Q65" si="22">IF(OR(ISBLANK(B34),ISBLANK(D34)),"",IF(AND(D34&lt;0,K34&lt;&gt;B34),"Y",IF(AND(B34=K34,J34&lt;D34),"Y","N")))</f>
        <v>Y</v>
      </c>
      <c r="R34" s="6" t="n">
        <f t="shared" ref="R34:R65" si="23">IF(ISBLANK(B34), "", (F34-E34)/25)</f>
        <v>-20.830312252837601</v>
      </c>
      <c r="S34" s="9" t="n">
        <f t="shared" si="16"/>
        <v>0.53361351477741736</v>
      </c>
      <c r="T34" s="17"/>
      <c r="U34" s="11"/>
      <c r="V34" s="19"/>
      <c r="W34" s="20"/>
      <c r="X34" s="11"/>
      <c r="Y34" s="1"/>
      <c r="Z34" s="19"/>
      <c r="AA34" s="20"/>
      <c r="AB34" s="14"/>
      <c r="AC34" s="11" t="n">
        <v>40</v>
      </c>
      <c r="AD34" s="12" t="n">
        <v>0</v>
      </c>
      <c r="AE34" s="16" t="str">
        <f t="shared" ref="AE34:AE65" si="24">IF(ISBLANK(AC34), "", IF(AC34&gt;AD34, B34, C34))</f>
        <v>Iowa</v>
      </c>
      <c r="AF34" s="39" t="n">
        <f t="shared" si="17"/>
        <v>40</v>
      </c>
      <c r="AG34" s="1" t="n">
        <f t="shared" ref="AG34:AG65" si="25">IF(ISBLANK(AC34), "", IF(AE34=B34, E34, IF(AE34=C34, F34, "NA")))</f>
        <v>1520.7578063209401</v>
      </c>
      <c r="AH34" s="1" t="n">
        <f t="shared" ref="AH34:AH65" si="26">IF(ISBLANK(AC34), "", IF(AE34=B34, F34, IF(AE34=C34, E34, "NA")))</f>
        <v>1000</v>
      </c>
      <c r="AI34" s="1" t="n">
        <f t="shared" si="18"/>
        <v>520.75780632094006</v>
      </c>
      <c r="AJ34" s="1" t="n">
        <f t="shared" si="19"/>
        <v>3.0027878732054121</v>
      </c>
      <c r="AK34" s="1" t="n">
        <f t="shared" ref="AK34:AK65" si="27">IFERROR(1-IF(AE34=B34, L34, IF(AE34=C34, M34, "")), "")</f>
        <v>3.6070387383418168E-2</v>
      </c>
      <c r="AL34" s="1" t="n">
        <v>62</v>
      </c>
      <c r="AM34" s="1" t="n">
        <f t="shared" si="20"/>
        <v>6.7153267526384735</v>
      </c>
      <c r="AN34" s="1" t="n">
        <f t="shared" ref="AN34:AN65" si="28">IF(ISBLANK(AC34), E34,IF(AE34=B34, E34+AM34, E34-AM34))</f>
        <v>1527.4731330735785</v>
      </c>
      <c r="AO34" s="40" t="n">
        <f t="shared" ref="AO34:AO65" si="29">IF(ISBLANK(AC34), F34,IF(AE34=C34, F34+AM34, F34-AM34))</f>
        <v>993.28467324736152</v>
      </c>
    </row>
    <row r="35" ht="14.65" customHeight="1">
      <c r="A35" s="33" t="n">
        <f>Schedule!A35</f>
        <v>1</v>
      </c>
      <c r="B35" s="34" t="s">
        <v>180</v>
      </c>
      <c r="C35" s="34" t="s">
        <v>304</v>
      </c>
      <c r="D35" s="6" t="str">
        <f>IF(OR(ISBLANK(B35), ISNA(VLOOKUP(B35, 'Betting Lines'!$B$2:$F$1048576, MATCH("spread", 'Betting Lines'!$B$1:$J$1, 0), FALSE))), "", VLOOKUP(B35, 'Betting Lines'!$B$2:$F$1048576, MATCH("spread", 'Betting Lines'!$B$1:$J$1, 0), FALSE))</f>
      </c>
      <c r="E35" s="10" t="n">
        <f>_xlfn.IFNA(IF(ISBLANK(B35),"",VLOOKUP(B35,Elo!$A$2:$AZ$1048576,MATCH(_xlfn.CONCAT("Week ", A35),Elo!$A$1:$AZ$1,0),FALSE)), "")</f>
        <v>1509.9526714001299</v>
      </c>
      <c r="F35" s="10" t="n">
        <f>IFERROR(IF(ISBLANK(C35),"",VLOOKUP(C35,Elo!$A$2:$AZ$1048576,MATCH(_xlfn.CONCAT("Week ",A35),Elo!$A$1:$AZ$1,0),FALSE)),IF(ISBLANK(Schedule!D35),"", 1000))</f>
        <v>1000</v>
      </c>
      <c r="G35" s="34" t="n">
        <f>_xlfn.IFNA(IF(ISBLANK(B35),"",IF(VLOOKUP(Games!B35,Schedule!$C$2:$G$1048576,MATCH("neutral_site",Schedule!$C$1:$G$1,0),FALSE),0,50)),"")</f>
        <v>50</v>
      </c>
      <c r="H35" s="34" t="n">
        <f>_xlfn.IFNA(IF(VLOOKUP(Games!B35, 'Bye Weeks'!$A$2:$P$135, MATCH(Games!$A35, 'Bye Weeks'!$A$1:$P$1, 0), FALSE)="Y", 25, 0), 0)</f>
        <v>0</v>
      </c>
      <c r="I35" s="34" t="n">
        <f>_xlfn.IFNA(IF(VLOOKUP(Games!C35, 'Bye Weeks'!$A$2:$P$135, MATCH(Games!$A35, 'Bye Weeks'!$A$1:$P$1, 0), FALSE)="Y", 25, 0), 0)</f>
        <v>0</v>
      </c>
      <c r="J35" s="6" t="n">
        <f>IFERROR(_xlfn.IFNA(IF(ISBLANK(B35), "",IF(ABS(ROUND(Calc!O35, 1))&gt;70,R35,ROUND(Calc!O35, 1))), R35), R35)</f>
        <v>-20.398106856005196</v>
      </c>
      <c r="K35" s="2" t="str">
        <f t="shared" si="11"/>
        <v>Purdue</v>
      </c>
      <c r="L35" s="4" t="n">
        <f t="shared" si="12"/>
        <v>0.96170346324261458</v>
      </c>
      <c r="M35" s="4" t="n">
        <f t="shared" si="13"/>
        <v>3.8296536757385466E-2</v>
      </c>
      <c r="N35" s="34" t="str">
        <f t="shared" si="14"/>
        <v>Purdue</v>
      </c>
      <c r="O35" s="36" t="n">
        <f t="shared" si="15"/>
        <v>0.96170346324261458</v>
      </c>
      <c r="P35" s="13" t="str">
        <f t="shared" si="21"/>
        <v>Y</v>
      </c>
      <c r="Q35" s="15" t="str">
        <f t="shared" si="22"/>
        <v>Y</v>
      </c>
      <c r="R35" s="6" t="n">
        <f t="shared" si="23"/>
        <v>-20.398106856005196</v>
      </c>
      <c r="S35" s="9" t="n">
        <f t="shared" si="16"/>
        <v>0.54492553322711357</v>
      </c>
      <c r="T35" s="17"/>
      <c r="U35" s="11"/>
      <c r="V35" s="19"/>
      <c r="W35" s="20"/>
      <c r="X35" s="11"/>
      <c r="Y35" s="1"/>
      <c r="Z35" s="19"/>
      <c r="AA35" s="20"/>
      <c r="AB35" s="14"/>
      <c r="AC35" s="11" t="n">
        <v>49</v>
      </c>
      <c r="AD35" s="12" t="n">
        <v>0</v>
      </c>
      <c r="AE35" s="16" t="str">
        <f t="shared" si="24"/>
        <v>Purdue</v>
      </c>
      <c r="AF35" s="39" t="n">
        <f t="shared" si="17"/>
        <v>49</v>
      </c>
      <c r="AG35" s="1" t="n">
        <f t="shared" si="25"/>
        <v>1509.9526714001299</v>
      </c>
      <c r="AH35" s="1" t="n">
        <f t="shared" si="26"/>
        <v>1000</v>
      </c>
      <c r="AI35" s="1" t="n">
        <f t="shared" si="18"/>
        <v>509.95267140012993</v>
      </c>
      <c r="AJ35" s="1" t="n">
        <f t="shared" si="19"/>
        <v>3.1758674986361641</v>
      </c>
      <c r="AK35" s="1" t="n">
        <f t="shared" si="27"/>
        <v>3.8296536757385424E-2</v>
      </c>
      <c r="AL35" s="1" t="n">
        <v>63</v>
      </c>
      <c r="AM35" s="1" t="n">
        <f t="shared" si="20"/>
        <v>7.6623577630806503</v>
      </c>
      <c r="AN35" s="1" t="n">
        <f t="shared" si="28"/>
        <v>1517.6150291632107</v>
      </c>
      <c r="AO35" s="40" t="n">
        <f t="shared" si="29"/>
        <v>992.33764223691935</v>
      </c>
    </row>
    <row r="36" ht="14.65" customHeight="1">
      <c r="A36" s="33" t="n">
        <f>Schedule!A36</f>
        <v>1</v>
      </c>
      <c r="B36" s="34" t="s">
        <v>139</v>
      </c>
      <c r="C36" s="34" t="s">
        <v>114</v>
      </c>
      <c r="D36" s="6" t="n">
        <v>7.5</v>
      </c>
      <c r="E36" s="10" t="n">
        <f>_xlfn.IFNA(IF(ISBLANK(B36),"",VLOOKUP(B36,Elo!$A$2:$AZ$1048576,MATCH(_xlfn.CONCAT("Week ", A36),Elo!$A$1:$AZ$1,0),FALSE)), "")</f>
        <v>1686.5806772625001</v>
      </c>
      <c r="F36" s="10" t="n">
        <f>IFERROR(IF(ISBLANK(C36),"",VLOOKUP(C36,Elo!$A$2:$AZ$1048576,MATCH(_xlfn.CONCAT("Week ",A36),Elo!$A$1:$AZ$1,0),FALSE)),IF(ISBLANK(Schedule!D36),"", 1000))</f>
        <v>1946.3140758110801</v>
      </c>
      <c r="G36" s="34" t="n">
        <f>_xlfn.IFNA(IF(ISBLANK(B36),"",IF(VLOOKUP(Games!B36,Schedule!$C$2:$G$1048576,MATCH("neutral_site",Schedule!$C$1:$G$1,0),FALSE),0,50)),"")</f>
        <v>50</v>
      </c>
      <c r="H36" s="34" t="n">
        <f>_xlfn.IFNA(IF(VLOOKUP(Games!B36, 'Bye Weeks'!$A$2:$P$135, MATCH(Games!$A36, 'Bye Weeks'!$A$1:$P$1, 0), FALSE)="Y", 25, 0), 0)</f>
        <v>0</v>
      </c>
      <c r="I36" s="34" t="n">
        <f>_xlfn.IFNA(IF(VLOOKUP(Games!C36, 'Bye Weeks'!$A$2:$P$135, MATCH(Games!$A36, 'Bye Weeks'!$A$1:$P$1, 0), FALSE)="Y", 25, 0), 0)</f>
        <v>0</v>
      </c>
      <c r="J36" s="6" t="n">
        <f>IFERROR(_xlfn.IFNA(IF(ISBLANK(B36), "",IF(ABS(ROUND(Calc!O36, 1))&gt;70,R36,ROUND(Calc!O36, 1))), R36), R36)</f>
        <v>35.799999999999997</v>
      </c>
      <c r="K36" s="2" t="str">
        <f t="shared" si="11"/>
        <v>Penn State</v>
      </c>
      <c r="L36" s="4" t="n">
        <f t="shared" si="12"/>
        <v>0.2301751478889896</v>
      </c>
      <c r="M36" s="4" t="n">
        <f t="shared" si="13"/>
        <v>0.76982485211101037</v>
      </c>
      <c r="N36" s="34" t="str">
        <f t="shared" si="14"/>
        <v>Penn State</v>
      </c>
      <c r="O36" s="36" t="n">
        <f t="shared" si="15"/>
        <v>0.76982485211101037</v>
      </c>
      <c r="P36" s="13" t="str">
        <f t="shared" si="21"/>
        <v>N</v>
      </c>
      <c r="Q36" s="15" t="str">
        <f t="shared" si="22"/>
        <v>N</v>
      </c>
      <c r="R36" s="6" t="n">
        <f t="shared" si="23"/>
        <v>10.3893359419432</v>
      </c>
      <c r="S36" s="9" t="n">
        <f t="shared" si="16"/>
        <v>0.28220173232746576</v>
      </c>
      <c r="T36" s="17" t="s">
        <v>2</v>
      </c>
      <c r="U36" s="11"/>
      <c r="V36" s="19"/>
      <c r="W36" s="20"/>
      <c r="X36" s="11" t="s">
        <v>114</v>
      </c>
      <c r="Y36" s="1"/>
      <c r="Z36" s="19" t="n">
        <v>4</v>
      </c>
      <c r="AA36" s="20" t="n">
        <v>-110</v>
      </c>
      <c r="AB36" s="14"/>
      <c r="AC36" s="11" t="n">
        <v>12</v>
      </c>
      <c r="AD36" s="12" t="n">
        <v>34</v>
      </c>
      <c r="AE36" s="16" t="str">
        <f t="shared" si="24"/>
        <v>Penn State</v>
      </c>
      <c r="AF36" s="39" t="n">
        <f t="shared" si="17"/>
        <v>22</v>
      </c>
      <c r="AG36" s="1" t="n">
        <f t="shared" si="25"/>
        <v>1946.3140758110801</v>
      </c>
      <c r="AH36" s="1" t="n">
        <f t="shared" si="26"/>
        <v>1686.5806772625001</v>
      </c>
      <c r="AI36" s="1" t="n">
        <f t="shared" si="18"/>
        <v>259.73339854858</v>
      </c>
      <c r="AJ36" s="1" t="n">
        <f t="shared" si="19"/>
        <v>2.8044044444469054</v>
      </c>
      <c r="AK36" s="1" t="n">
        <f t="shared" si="27"/>
        <v>0.23017514788898963</v>
      </c>
      <c r="AL36" s="1" t="n">
        <v>64</v>
      </c>
      <c r="AM36" s="1" t="n">
        <f t="shared" si="20"/>
        <v>41.312269295430802</v>
      </c>
      <c r="AN36" s="1" t="n">
        <f t="shared" si="28"/>
        <v>1645.2684079670694</v>
      </c>
      <c r="AO36" s="40" t="n">
        <f t="shared" si="29"/>
        <v>1987.6263451065108</v>
      </c>
    </row>
    <row r="37" ht="14.65" customHeight="1">
      <c r="A37" s="33" t="n">
        <f>Schedule!A37</f>
        <v>1</v>
      </c>
      <c r="B37" s="34" t="s">
        <v>147</v>
      </c>
      <c r="C37" s="34" t="s">
        <v>244</v>
      </c>
      <c r="D37" s="6" t="str">
        <f>IF(OR(ISBLANK(B37), ISNA(VLOOKUP(B37, 'Betting Lines'!$B$2:$F$1048576, MATCH("spread", 'Betting Lines'!$B$1:$J$1, 0), FALSE))), "", VLOOKUP(B37, 'Betting Lines'!$B$2:$F$1048576, MATCH("spread", 'Betting Lines'!$B$1:$J$1, 0), FALSE))</f>
        <v>-20.5</v>
      </c>
      <c r="E37" s="10" t="n">
        <f>_xlfn.IFNA(IF(ISBLANK(B37),"",VLOOKUP(B37,Elo!$A$2:$AZ$1048576,MATCH(_xlfn.CONCAT("Week ", A37),Elo!$A$1:$AZ$1,0),FALSE)), "")</f>
        <v>1650.6994647767399</v>
      </c>
      <c r="F37" s="10" t="n">
        <f>IFERROR(IF(ISBLANK(C37),"",VLOOKUP(C37,Elo!$A$2:$AZ$1048576,MATCH(_xlfn.CONCAT("Week ",A37),Elo!$A$1:$AZ$1,0),FALSE)),IF(ISBLANK(Schedule!D37),"", 1000))</f>
        <v>1179.0470355012101</v>
      </c>
      <c r="G37" s="34" t="n">
        <f>_xlfn.IFNA(IF(ISBLANK(B37),"",IF(VLOOKUP(Games!B37,Schedule!$C$2:$G$1048576,MATCH("neutral_site",Schedule!$C$1:$G$1,0),FALSE),0,50)),"")</f>
        <v>50</v>
      </c>
      <c r="H37" s="34" t="n">
        <f>_xlfn.IFNA(IF(VLOOKUP(Games!B37, 'Bye Weeks'!$A$2:$P$135, MATCH(Games!$A37, 'Bye Weeks'!$A$1:$P$1, 0), FALSE)="Y", 25, 0), 0)</f>
        <v>0</v>
      </c>
      <c r="I37" s="34" t="n">
        <f>_xlfn.IFNA(IF(VLOOKUP(Games!C37, 'Bye Weeks'!$A$2:$P$135, MATCH(Games!$A37, 'Bye Weeks'!$A$1:$P$1, 0), FALSE)="Y", 25, 0), 0)</f>
        <v>0</v>
      </c>
      <c r="J37" s="6" t="n">
        <f>IFERROR(_xlfn.IFNA(IF(ISBLANK(B37), "",IF(ABS(ROUND(Calc!O37, 1))&gt;70,R37,ROUND(Calc!O37, 1))), R37), R37)</f>
        <v>-50.1</v>
      </c>
      <c r="K37" s="2" t="str">
        <f t="shared" si="11"/>
        <v>Maryland</v>
      </c>
      <c r="L37" s="4" t="n">
        <f t="shared" si="12"/>
        <v>0.95270374029961113</v>
      </c>
      <c r="M37" s="4" t="n">
        <f t="shared" si="13"/>
        <v>4.7296259700388976E-2</v>
      </c>
      <c r="N37" s="34" t="str">
        <f t="shared" si="14"/>
        <v>Maryland</v>
      </c>
      <c r="O37" s="36" t="n">
        <f t="shared" si="15"/>
        <v>0.95270374029961113</v>
      </c>
      <c r="P37" s="13" t="str">
        <f t="shared" si="21"/>
        <v>Y</v>
      </c>
      <c r="Q37" s="15" t="str">
        <f t="shared" si="22"/>
        <v>Y</v>
      </c>
      <c r="R37" s="6" t="n">
        <f t="shared" si="23"/>
        <v>-18.866097171021192</v>
      </c>
      <c r="S37" s="9" t="n">
        <f t="shared" si="16"/>
        <v>0.22180075863445797</v>
      </c>
      <c r="T37" s="17"/>
      <c r="U37" s="11"/>
      <c r="V37" s="19"/>
      <c r="W37" s="20"/>
      <c r="X37" s="11"/>
      <c r="Y37" s="1"/>
      <c r="Z37" s="19"/>
      <c r="AA37" s="20"/>
      <c r="AB37" s="14"/>
      <c r="AC37" s="11" t="n">
        <v>50</v>
      </c>
      <c r="AD37" s="12" t="n">
        <v>7</v>
      </c>
      <c r="AE37" s="16" t="str">
        <f t="shared" si="24"/>
        <v>Maryland</v>
      </c>
      <c r="AF37" s="39" t="n">
        <f t="shared" si="17"/>
        <v>43</v>
      </c>
      <c r="AG37" s="1" t="n">
        <f t="shared" si="25"/>
        <v>1650.6994647767399</v>
      </c>
      <c r="AH37" s="1" t="n">
        <f t="shared" si="26"/>
        <v>1179.0470355012101</v>
      </c>
      <c r="AI37" s="1" t="n">
        <f t="shared" si="18"/>
        <v>471.65242927552981</v>
      </c>
      <c r="AJ37" s="1" t="n">
        <f t="shared" si="19"/>
        <v>3.1161303406812229</v>
      </c>
      <c r="AK37" s="1" t="n">
        <f t="shared" si="27"/>
        <v>4.7296259700388865E-2</v>
      </c>
      <c r="AL37" s="1" t="n">
        <v>65</v>
      </c>
      <c r="AM37" s="1" t="n">
        <f t="shared" si="20"/>
        <v>9.579785140452822</v>
      </c>
      <c r="AN37" s="1" t="n">
        <f t="shared" si="28"/>
        <v>1660.2792499171926</v>
      </c>
      <c r="AO37" s="40" t="n">
        <f t="shared" si="29"/>
        <v>1169.4672503607574</v>
      </c>
    </row>
    <row r="38" ht="14.65" customHeight="1">
      <c r="A38" s="33" t="n">
        <f>Schedule!A38</f>
        <v>1</v>
      </c>
      <c r="B38" s="34" t="s">
        <v>192</v>
      </c>
      <c r="C38" s="34" t="s">
        <v>248</v>
      </c>
      <c r="D38" s="6" t="str">
        <f>IF(OR(ISBLANK(B38), ISNA(VLOOKUP(B38, 'Betting Lines'!$B$2:$F$1048576, MATCH("spread", 'Betting Lines'!$B$1:$J$1, 0), FALSE))), "", VLOOKUP(B38, 'Betting Lines'!$B$2:$F$1048576, MATCH("spread", 'Betting Lines'!$B$1:$J$1, 0), FALSE))</f>
        <v>-23.5</v>
      </c>
      <c r="E38" s="10" t="n">
        <f>_xlfn.IFNA(IF(ISBLANK(B38),"",VLOOKUP(B38,Elo!$A$2:$AZ$1048576,MATCH(_xlfn.CONCAT("Week ", A38),Elo!$A$1:$AZ$1,0),FALSE)), "")</f>
        <v>1457.2675721461101</v>
      </c>
      <c r="F38" s="10" t="n">
        <f>IFERROR(IF(ISBLANK(C38),"",VLOOKUP(C38,Elo!$A$2:$AZ$1048576,MATCH(_xlfn.CONCAT("Week ",A38),Elo!$A$1:$AZ$1,0),FALSE)),IF(ISBLANK(Schedule!D38),"", 1000))</f>
        <v>1112.78472566856</v>
      </c>
      <c r="G38" s="34" t="n">
        <f>_xlfn.IFNA(IF(ISBLANK(B38),"",IF(VLOOKUP(Games!B38,Schedule!$C$2:$G$1048576,MATCH("neutral_site",Schedule!$C$1:$G$1,0),FALSE),0,50)),"")</f>
        <v>50</v>
      </c>
      <c r="H38" s="34" t="n">
        <f>_xlfn.IFNA(IF(VLOOKUP(Games!B38, 'Bye Weeks'!$A$2:$P$135, MATCH(Games!$A38, 'Bye Weeks'!$A$1:$P$1, 0), FALSE)="Y", 25, 0), 0)</f>
        <v>0</v>
      </c>
      <c r="I38" s="34" t="n">
        <f>_xlfn.IFNA(IF(VLOOKUP(Games!C38, 'Bye Weeks'!$A$2:$P$135, MATCH(Games!$A38, 'Bye Weeks'!$A$1:$P$1, 0), FALSE)="Y", 25, 0), 0)</f>
        <v>0</v>
      </c>
      <c r="J38" s="6" t="n">
        <f>IFERROR(_xlfn.IFNA(IF(ISBLANK(B38), "",IF(ABS(ROUND(Calc!O38, 1))&gt;70,R38,ROUND(Calc!O38, 1))), R38), R38)</f>
        <v>-64.3</v>
      </c>
      <c r="K38" s="2" t="str">
        <f t="shared" si="11"/>
        <v>Pittsburgh</v>
      </c>
      <c r="L38" s="4" t="n">
        <f t="shared" si="12"/>
        <v>0.90643185034289142</v>
      </c>
      <c r="M38" s="4" t="n">
        <f t="shared" si="13"/>
        <v>9.3568149657108676E-2</v>
      </c>
      <c r="N38" s="34" t="str">
        <f t="shared" si="14"/>
        <v>Pittsburgh</v>
      </c>
      <c r="O38" s="36" t="n">
        <f t="shared" si="15"/>
        <v>0.90643185034289142</v>
      </c>
      <c r="P38" s="13" t="str">
        <f t="shared" si="21"/>
        <v>Y</v>
      </c>
      <c r="Q38" s="15" t="str">
        <f t="shared" si="22"/>
        <v>Y</v>
      </c>
      <c r="R38" s="6" t="n">
        <f t="shared" si="23"/>
        <v>-13.779313859102004</v>
      </c>
      <c r="S38" s="9" t="n">
        <f t="shared" si="16"/>
        <v>0.17281070150878836</v>
      </c>
      <c r="T38" s="17"/>
      <c r="U38" s="11"/>
      <c r="V38" s="19"/>
      <c r="W38" s="20"/>
      <c r="X38" s="11"/>
      <c r="Y38" s="1"/>
      <c r="Z38" s="19"/>
      <c r="AA38" s="20"/>
      <c r="AB38" s="14"/>
      <c r="AC38" s="11" t="n">
        <v>55</v>
      </c>
      <c r="AD38" s="12" t="n">
        <v>24</v>
      </c>
      <c r="AE38" s="16" t="str">
        <f t="shared" si="24"/>
        <v>Pittsburgh</v>
      </c>
      <c r="AF38" s="39" t="n">
        <f t="shared" si="17"/>
        <v>31</v>
      </c>
      <c r="AG38" s="1" t="n">
        <f t="shared" si="25"/>
        <v>1457.2675721461101</v>
      </c>
      <c r="AH38" s="1" t="n">
        <f t="shared" si="26"/>
        <v>1112.78472566856</v>
      </c>
      <c r="AI38" s="1" t="n">
        <f t="shared" si="18"/>
        <v>344.48284647755008</v>
      </c>
      <c r="AJ38" s="1" t="n">
        <f t="shared" si="19"/>
        <v>2.9965299222647639</v>
      </c>
      <c r="AK38" s="1" t="n">
        <f t="shared" si="27"/>
        <v>9.3568149657108579E-2</v>
      </c>
      <c r="AL38" s="1" t="n">
        <v>66</v>
      </c>
      <c r="AM38" s="1" t="n">
        <f t="shared" si="20"/>
        <v>18.505064174419243</v>
      </c>
      <c r="AN38" s="1" t="n">
        <f t="shared" si="28"/>
        <v>1475.7726363205293</v>
      </c>
      <c r="AO38" s="40" t="n">
        <f t="shared" si="29"/>
        <v>1094.2796614941408</v>
      </c>
    </row>
    <row r="39" ht="14.65" customHeight="1">
      <c r="A39" s="33" t="n">
        <f>Schedule!A39</f>
        <v>1</v>
      </c>
      <c r="B39" s="34" t="s">
        <v>108</v>
      </c>
      <c r="C39" s="34" t="s">
        <v>128</v>
      </c>
      <c r="D39" s="6" t="n">
        <v>-11.5</v>
      </c>
      <c r="E39" s="10" t="n">
        <f>_xlfn.IFNA(IF(ISBLANK(B39),"",VLOOKUP(B39,Elo!$A$2:$AZ$1048576,MATCH(_xlfn.CONCAT("Week ", A39),Elo!$A$1:$AZ$1,0),FALSE)), "")</f>
        <v>2158.2725114569398</v>
      </c>
      <c r="F39" s="10" t="n">
        <f>IFERROR(IF(ISBLANK(C39),"",VLOOKUP(C39,Elo!$A$2:$AZ$1048576,MATCH(_xlfn.CONCAT("Week ",A39),Elo!$A$1:$AZ$1,0),FALSE)),IF(ISBLANK(Schedule!D39),"", 1000))</f>
        <v>1767.5709170121299</v>
      </c>
      <c r="G39" s="34" t="n">
        <f>_xlfn.IFNA(IF(ISBLANK(B39),"",IF(VLOOKUP(Games!B39,Schedule!$C$2:$G$1048576,MATCH("neutral_site",Schedule!$C$1:$G$1,0),FALSE),0,50)),"")</f>
        <v>0</v>
      </c>
      <c r="H39" s="34" t="n">
        <f>_xlfn.IFNA(IF(VLOOKUP(Games!B39, 'Bye Weeks'!$A$2:$P$135, MATCH(Games!$A39, 'Bye Weeks'!$A$1:$P$1, 0), FALSE)="Y", 25, 0), 0)</f>
        <v>0</v>
      </c>
      <c r="I39" s="34" t="n">
        <f>_xlfn.IFNA(IF(VLOOKUP(Games!C39, 'Bye Weeks'!$A$2:$P$135, MATCH(Games!$A39, 'Bye Weeks'!$A$1:$P$1, 0), FALSE)="Y", 25, 0), 0)</f>
        <v>0</v>
      </c>
      <c r="J39" s="6" t="n">
        <f>IFERROR(_xlfn.IFNA(IF(ISBLANK(B39), "",IF(ABS(ROUND(Calc!O39, 1))&gt;70,R39,ROUND(Calc!O39, 1))), R39), R39)</f>
        <v>-46.3</v>
      </c>
      <c r="K39" s="2" t="str">
        <f t="shared" si="11"/>
        <v>Georgia</v>
      </c>
      <c r="L39" s="4" t="n">
        <f t="shared" si="12"/>
        <v>0.90456934995981964</v>
      </c>
      <c r="M39" s="4" t="n">
        <f t="shared" si="13"/>
        <v>9.5430650040180434E-2</v>
      </c>
      <c r="N39" s="34" t="str">
        <f t="shared" si="14"/>
        <v>Georgia</v>
      </c>
      <c r="O39" s="36" t="n">
        <f t="shared" si="15"/>
        <v>0.90456934995981964</v>
      </c>
      <c r="P39" s="13" t="str">
        <f t="shared" si="21"/>
        <v>Y</v>
      </c>
      <c r="Q39" s="15" t="str">
        <f t="shared" si="22"/>
        <v>Y</v>
      </c>
      <c r="R39" s="6" t="n">
        <f t="shared" si="23"/>
        <v>-15.628063777792395</v>
      </c>
      <c r="S39" s="9" t="n">
        <f t="shared" si="16"/>
        <v>0.21818967379563622</v>
      </c>
      <c r="T39" s="17" t="s">
        <v>2</v>
      </c>
      <c r="U39" s="11"/>
      <c r="V39" s="19"/>
      <c r="W39" s="20"/>
      <c r="X39" s="11" t="s">
        <v>108</v>
      </c>
      <c r="Y39" s="1"/>
      <c r="Z39" s="19" t="n">
        <v>3</v>
      </c>
      <c r="AA39" s="20" t="n">
        <v>-110</v>
      </c>
      <c r="AB39" s="14"/>
      <c r="AC39" s="11" t="n">
        <v>34</v>
      </c>
      <c r="AD39" s="12" t="n">
        <v>3</v>
      </c>
      <c r="AE39" s="16" t="str">
        <f t="shared" si="24"/>
        <v>Georgia</v>
      </c>
      <c r="AF39" s="39" t="n">
        <f t="shared" si="17"/>
        <v>31</v>
      </c>
      <c r="AG39" s="1" t="n">
        <f t="shared" si="25"/>
        <v>2158.2725114569398</v>
      </c>
      <c r="AH39" s="1" t="n">
        <f t="shared" si="26"/>
        <v>1767.5709170121299</v>
      </c>
      <c r="AI39" s="1" t="n">
        <f t="shared" si="18"/>
        <v>390.70159444480987</v>
      </c>
      <c r="AJ39" s="1" t="n">
        <f t="shared" si="19"/>
        <v>2.9430710980024557</v>
      </c>
      <c r="AK39" s="1" t="n">
        <f t="shared" si="27"/>
        <v>9.5430650040180365E-2</v>
      </c>
      <c r="AL39" s="1" t="n">
        <v>67</v>
      </c>
      <c r="AM39" s="1" t="n">
        <f t="shared" si="20"/>
        <v>18.817565595788395</v>
      </c>
      <c r="AN39" s="1" t="n">
        <f t="shared" si="28"/>
        <v>2177.0900770527282</v>
      </c>
      <c r="AO39" s="40" t="n">
        <f t="shared" si="29"/>
        <v>1748.7533514163415</v>
      </c>
    </row>
    <row r="40" ht="14.65" customHeight="1">
      <c r="A40" s="33" t="n">
        <f>Schedule!A40</f>
        <v>1</v>
      </c>
      <c r="B40" s="34" t="s">
        <v>234</v>
      </c>
      <c r="C40" s="34" t="s">
        <v>144</v>
      </c>
      <c r="D40" s="6" t="str">
        <f>IF(OR(ISBLANK(B40), ISNA(VLOOKUP(B40, 'Betting Lines'!$B$2:$F$1048576, MATCH("spread", 'Betting Lines'!$B$1:$J$1, 0), FALSE))), "", VLOOKUP(B40, 'Betting Lines'!$B$2:$F$1048576, MATCH("spread", 'Betting Lines'!$B$1:$J$1, 0), FALSE))</f>
        <v>13.5</v>
      </c>
      <c r="E40" s="10" t="n">
        <f>_xlfn.IFNA(IF(ISBLANK(B40),"",VLOOKUP(B40,Elo!$A$2:$AZ$1048576,MATCH(_xlfn.CONCAT("Week ", A40),Elo!$A$1:$AZ$1,0),FALSE)), "")</f>
        <v>1260.6792465635599</v>
      </c>
      <c r="F40" s="10" t="n">
        <f>IFERROR(IF(ISBLANK(C40),"",VLOOKUP(C40,Elo!$A$2:$AZ$1048576,MATCH(_xlfn.CONCAT("Week ",A40),Elo!$A$1:$AZ$1,0),FALSE)),IF(ISBLANK(Schedule!D40),"", 1000))</f>
        <v>1673.90260631614</v>
      </c>
      <c r="G40" s="34" t="n">
        <f>_xlfn.IFNA(IF(ISBLANK(B40),"",IF(VLOOKUP(Games!B40,Schedule!$C$2:$G$1048576,MATCH("neutral_site",Schedule!$C$1:$G$1,0),FALSE),0,50)),"")</f>
        <v>50</v>
      </c>
      <c r="H40" s="34" t="n">
        <f>_xlfn.IFNA(IF(VLOOKUP(Games!B40, 'Bye Weeks'!$A$2:$P$135, MATCH(Games!$A40, 'Bye Weeks'!$A$1:$P$1, 0), FALSE)="Y", 25, 0), 0)</f>
        <v>0</v>
      </c>
      <c r="I40" s="34" t="n">
        <f>_xlfn.IFNA(IF(VLOOKUP(Games!C40, 'Bye Weeks'!$A$2:$P$135, MATCH(Games!$A40, 'Bye Weeks'!$A$1:$P$1, 0), FALSE)="Y", 25, 0), 0)</f>
        <v>0</v>
      </c>
      <c r="J40" s="6" t="n">
        <f>IFERROR(_xlfn.IFNA(IF(ISBLANK(B40), "",IF(ABS(ROUND(Calc!O40, 1))&gt;70,R40,ROUND(Calc!O40, 1))), R40), R40)</f>
        <v>21.8</v>
      </c>
      <c r="K40" s="2" t="str">
        <f t="shared" si="11"/>
        <v>Virginia Tech</v>
      </c>
      <c r="L40" s="4" t="n">
        <f t="shared" si="12"/>
        <v>0.10998623238796065</v>
      </c>
      <c r="M40" s="4" t="n">
        <f t="shared" si="13"/>
        <v>0.89001376761203932</v>
      </c>
      <c r="N40" s="34" t="str">
        <f t="shared" si="14"/>
        <v>Virginia Tech</v>
      </c>
      <c r="O40" s="36" t="n">
        <f t="shared" si="15"/>
        <v>0.89001376761203932</v>
      </c>
      <c r="P40" s="13" t="str">
        <f t="shared" si="21"/>
        <v>Y</v>
      </c>
      <c r="Q40" s="15" t="str">
        <f t="shared" si="22"/>
        <v>N</v>
      </c>
      <c r="R40" s="6" t="n">
        <f t="shared" si="23"/>
        <v>16.528934390103203</v>
      </c>
      <c r="S40" s="9" t="n">
        <f t="shared" si="16"/>
        <v>0.46351537402478205</v>
      </c>
      <c r="T40" s="17" t="s">
        <v>2</v>
      </c>
      <c r="U40" s="11"/>
      <c r="V40" s="19"/>
      <c r="W40" s="20"/>
      <c r="X40" s="11" t="s">
        <v>144</v>
      </c>
      <c r="Y40" s="1"/>
      <c r="Z40" s="19" t="n">
        <v>3</v>
      </c>
      <c r="AA40" s="20" t="n">
        <v>-101</v>
      </c>
      <c r="AB40" s="14"/>
      <c r="AC40" s="11" t="n">
        <v>34</v>
      </c>
      <c r="AD40" s="12" t="n">
        <v>27</v>
      </c>
      <c r="AE40" s="16" t="str">
        <f t="shared" si="24"/>
        <v>Vanderbilt</v>
      </c>
      <c r="AF40" s="39" t="n">
        <f t="shared" si="17"/>
        <v>7</v>
      </c>
      <c r="AG40" s="1" t="n">
        <f t="shared" si="25"/>
        <v>1260.6792465635599</v>
      </c>
      <c r="AH40" s="1" t="n">
        <f t="shared" si="26"/>
        <v>1673.90260631614</v>
      </c>
      <c r="AI40" s="1" t="n">
        <f t="shared" si="18"/>
        <v>-413.22335975258011</v>
      </c>
      <c r="AJ40" s="1" t="n">
        <f t="shared" si="19"/>
        <v>2.5603487803949339</v>
      </c>
      <c r="AK40" s="1" t="n">
        <f t="shared" si="27"/>
        <v>0.89001376761203932</v>
      </c>
      <c r="AL40" s="1" t="n">
        <v>68</v>
      </c>
      <c r="AM40" s="1" t="n">
        <f t="shared" si="20"/>
        <v>154.95470518193258</v>
      </c>
      <c r="AN40" s="1" t="n">
        <f t="shared" si="28"/>
        <v>1415.6339517454926</v>
      </c>
      <c r="AO40" s="40" t="n">
        <f t="shared" si="29"/>
        <v>1518.9479011342073</v>
      </c>
    </row>
    <row r="41" ht="14.65" customHeight="1">
      <c r="A41" s="33" t="n">
        <f>Schedule!A41</f>
        <v>1</v>
      </c>
      <c r="B41" s="34" t="s">
        <v>163</v>
      </c>
      <c r="C41" s="34" t="s">
        <v>306</v>
      </c>
      <c r="D41" s="6" t="n">
        <v>-37.5</v>
      </c>
      <c r="E41" s="10" t="n">
        <f>_xlfn.IFNA(IF(ISBLANK(B41),"",VLOOKUP(B41,Elo!$A$2:$AZ$1048576,MATCH(_xlfn.CONCAT("Week ", A41),Elo!$A$1:$AZ$1,0),FALSE)), "")</f>
        <v>1594.64320359563</v>
      </c>
      <c r="F41" s="10" t="n">
        <f>IFERROR(IF(ISBLANK(C41),"",VLOOKUP(C41,Elo!$A$2:$AZ$1048576,MATCH(_xlfn.CONCAT("Week ",A41),Elo!$A$1:$AZ$1,0),FALSE)),IF(ISBLANK(Schedule!D41),"", 1000))</f>
        <v>1000</v>
      </c>
      <c r="G41" s="34" t="n">
        <f>_xlfn.IFNA(IF(ISBLANK(B41),"",IF(VLOOKUP(Games!B41,Schedule!$C$2:$G$1048576,MATCH("neutral_site",Schedule!$C$1:$G$1,0),FALSE),0,50)),"")</f>
        <v>50</v>
      </c>
      <c r="H41" s="34" t="n">
        <f>_xlfn.IFNA(IF(VLOOKUP(Games!B41, 'Bye Weeks'!$A$2:$P$135, MATCH(Games!$A41, 'Bye Weeks'!$A$1:$P$1, 0), FALSE)="Y", 25, 0), 0)</f>
        <v>0</v>
      </c>
      <c r="I41" s="34" t="n">
        <f>_xlfn.IFNA(IF(VLOOKUP(Games!C41, 'Bye Weeks'!$A$2:$P$135, MATCH(Games!$A41, 'Bye Weeks'!$A$1:$P$1, 0), FALSE)="Y", 25, 0), 0)</f>
        <v>0</v>
      </c>
      <c r="J41" s="6" t="n">
        <f>IFERROR(_xlfn.IFNA(IF(ISBLANK(B41), "",IF(ABS(ROUND(Calc!O41, 1))&gt;70,R41,ROUND(Calc!O41, 1))), R41), R41)</f>
        <v>-23.7857281438252</v>
      </c>
      <c r="K41" s="2" t="str">
        <f t="shared" si="11"/>
        <v>Louisville</v>
      </c>
      <c r="L41" s="4" t="n">
        <f t="shared" si="12"/>
        <v>0.97612746581420196</v>
      </c>
      <c r="M41" s="4" t="n">
        <f t="shared" si="13"/>
        <v>2.387253418579819E-2</v>
      </c>
      <c r="N41" s="34" t="str">
        <f t="shared" si="14"/>
        <v>Louisville</v>
      </c>
      <c r="O41" s="36" t="n">
        <f t="shared" si="15"/>
        <v>0.97612746581420196</v>
      </c>
      <c r="P41" s="13" t="str">
        <f t="shared" si="21"/>
        <v>N</v>
      </c>
      <c r="Q41" s="15" t="str">
        <f t="shared" si="22"/>
        <v>N</v>
      </c>
      <c r="R41" s="6" t="n">
        <f t="shared" si="23"/>
        <v>-23.7857281438252</v>
      </c>
      <c r="S41" s="9" t="n">
        <f t="shared" si="16"/>
        <v>0.42480297296901398</v>
      </c>
      <c r="T41" s="17"/>
      <c r="U41" s="11"/>
      <c r="V41" s="19"/>
      <c r="W41" s="20"/>
      <c r="X41" s="11"/>
      <c r="Y41" s="1"/>
      <c r="Z41" s="19"/>
      <c r="AA41" s="20"/>
      <c r="AB41" s="14"/>
      <c r="AC41" s="11" t="n">
        <v>62</v>
      </c>
      <c r="AD41" s="12" t="n">
        <v>0</v>
      </c>
      <c r="AE41" s="16" t="str">
        <f t="shared" si="24"/>
        <v>Louisville</v>
      </c>
      <c r="AF41" s="39" t="n">
        <f t="shared" si="17"/>
        <v>62</v>
      </c>
      <c r="AG41" s="1" t="n">
        <f t="shared" si="25"/>
        <v>1594.64320359563</v>
      </c>
      <c r="AH41" s="1" t="n">
        <f t="shared" si="26"/>
        <v>1000</v>
      </c>
      <c r="AI41" s="1" t="n">
        <f t="shared" si="18"/>
        <v>594.64320359562998</v>
      </c>
      <c r="AJ41" s="1" t="n">
        <f t="shared" si="19"/>
        <v>3.2615599681326084</v>
      </c>
      <c r="AK41" s="1" t="n">
        <f t="shared" si="27"/>
        <v>2.3872534185798044E-2</v>
      </c>
      <c r="AL41" s="1" t="n">
        <v>69</v>
      </c>
      <c r="AM41" s="1" t="n">
        <f t="shared" si="20"/>
        <v>5.3724574268410494</v>
      </c>
      <c r="AN41" s="1" t="n">
        <f t="shared" si="28"/>
        <v>1600.015661022471</v>
      </c>
      <c r="AO41" s="40" t="n">
        <f t="shared" si="29"/>
        <v>994.62754257315896</v>
      </c>
    </row>
    <row r="42" ht="14.65" customHeight="1">
      <c r="A42" s="33" t="n">
        <f>Schedule!A42</f>
        <v>1</v>
      </c>
      <c r="B42" s="34" t="s">
        <v>237</v>
      </c>
      <c r="C42" s="34" t="s">
        <v>305</v>
      </c>
      <c r="D42" s="6" t="n">
        <v>-31.5</v>
      </c>
      <c r="E42" s="10" t="n">
        <f>_xlfn.IFNA(IF(ISBLANK(B42),"",VLOOKUP(B42,Elo!$A$2:$AZ$1048576,MATCH(_xlfn.CONCAT("Week ", A42),Elo!$A$1:$AZ$1,0),FALSE)), "")</f>
        <v>1249.7733184091001</v>
      </c>
      <c r="F42" s="10" t="n">
        <f>IFERROR(IF(ISBLANK(C42),"",VLOOKUP(C42,Elo!$A$2:$AZ$1048576,MATCH(_xlfn.CONCAT("Week ",A42),Elo!$A$1:$AZ$1,0),FALSE)),IF(ISBLANK(Schedule!D42),"", 1000))</f>
        <v>1000</v>
      </c>
      <c r="G42" s="34" t="n">
        <f>_xlfn.IFNA(IF(ISBLANK(B42),"",IF(VLOOKUP(Games!B42,Schedule!$C$2:$G$1048576,MATCH("neutral_site",Schedule!$C$1:$G$1,0),FALSE),0,50)),"")</f>
        <v>50</v>
      </c>
      <c r="H42" s="34" t="n">
        <f>_xlfn.IFNA(IF(VLOOKUP(Games!B42, 'Bye Weeks'!$A$2:$P$135, MATCH(Games!$A42, 'Bye Weeks'!$A$1:$P$1, 0), FALSE)="Y", 25, 0), 0)</f>
        <v>0</v>
      </c>
      <c r="I42" s="34" t="n">
        <f>_xlfn.IFNA(IF(VLOOKUP(Games!C42, 'Bye Weeks'!$A$2:$P$135, MATCH(Games!$A42, 'Bye Weeks'!$A$1:$P$1, 0), FALSE)="Y", 25, 0), 0)</f>
        <v>0</v>
      </c>
      <c r="J42" s="6" t="n">
        <f>IFERROR(_xlfn.IFNA(IF(ISBLANK(B42), "",IF(ABS(ROUND(Calc!O42, 1))&gt;70,R42,ROUND(Calc!O42, 1))), R42), R42)</f>
        <v>-9.9909327363640017</v>
      </c>
      <c r="K42" s="2" t="str">
        <f t="shared" si="11"/>
        <v>Navy</v>
      </c>
      <c r="L42" s="4" t="n">
        <f t="shared" si="12"/>
        <v>0.84885310037888273</v>
      </c>
      <c r="M42" s="4" t="n">
        <f t="shared" si="13"/>
        <v>0.15114689962111727</v>
      </c>
      <c r="N42" s="34" t="str">
        <f t="shared" si="14"/>
        <v>Navy</v>
      </c>
      <c r="O42" s="36" t="n">
        <f t="shared" si="15"/>
        <v>0.84885310037888273</v>
      </c>
      <c r="P42" s="13" t="str">
        <f t="shared" si="21"/>
        <v>N</v>
      </c>
      <c r="Q42" s="15" t="str">
        <f t="shared" si="22"/>
        <v>N</v>
      </c>
      <c r="R42" s="6" t="n">
        <f t="shared" si="23"/>
        <v>-9.9909327363640017</v>
      </c>
      <c r="S42" s="9" t="n">
        <f t="shared" si="16"/>
        <v>1.0119294726035168</v>
      </c>
      <c r="T42" s="17"/>
      <c r="U42" s="11"/>
      <c r="V42" s="19"/>
      <c r="W42" s="20"/>
      <c r="X42" s="11"/>
      <c r="Y42" s="1"/>
      <c r="Z42" s="19"/>
      <c r="AA42" s="20"/>
      <c r="AB42" s="14"/>
      <c r="AC42" s="11" t="n">
        <v>49</v>
      </c>
      <c r="AD42" s="12" t="n">
        <v>21</v>
      </c>
      <c r="AE42" s="16" t="str">
        <f t="shared" si="24"/>
        <v>Navy</v>
      </c>
      <c r="AF42" s="39" t="n">
        <f t="shared" si="17"/>
        <v>28</v>
      </c>
      <c r="AG42" s="1" t="n">
        <f t="shared" si="25"/>
        <v>1249.7733184091001</v>
      </c>
      <c r="AH42" s="1" t="n">
        <f t="shared" si="26"/>
        <v>1000</v>
      </c>
      <c r="AI42" s="1" t="n">
        <f t="shared" si="18"/>
        <v>249.77331840910006</v>
      </c>
      <c r="AJ42" s="1" t="n">
        <f t="shared" si="19"/>
        <v>3.0239740021256671</v>
      </c>
      <c r="AK42" s="1" t="n">
        <f t="shared" si="27"/>
        <v>0.15114689962111727</v>
      </c>
      <c r="AL42" s="1" t="n">
        <v>70</v>
      </c>
      <c r="AM42" s="1" t="n">
        <f t="shared" si="20"/>
        <v>31.994500646930952</v>
      </c>
      <c r="AN42" s="1" t="n">
        <f t="shared" si="28"/>
        <v>1281.7678190560309</v>
      </c>
      <c r="AO42" s="40" t="n">
        <f t="shared" si="29"/>
        <v>968.00549935306901</v>
      </c>
    </row>
    <row r="43" ht="14.65" customHeight="1">
      <c r="A43" s="33" t="n">
        <f>Schedule!A43</f>
        <v>1</v>
      </c>
      <c r="B43" s="34" t="s">
        <v>127</v>
      </c>
      <c r="C43" s="34" t="s">
        <v>308</v>
      </c>
      <c r="D43" s="6" t="n">
        <v>-38.5</v>
      </c>
      <c r="E43" s="10" t="n">
        <f>_xlfn.IFNA(IF(ISBLANK(B43),"",VLOOKUP(B43,Elo!$A$2:$AZ$1048576,MATCH(_xlfn.CONCAT("Week ", A43),Elo!$A$1:$AZ$1,0),FALSE)), "")</f>
        <v>1772.1982376352801</v>
      </c>
      <c r="F43" s="10" t="n">
        <f>IFERROR(IF(ISBLANK(C43),"",VLOOKUP(C43,Elo!$A$2:$AZ$1048576,MATCH(_xlfn.CONCAT("Week ",A43),Elo!$A$1:$AZ$1,0),FALSE)),IF(ISBLANK(Schedule!D43),"", 1000))</f>
        <v>1000</v>
      </c>
      <c r="G43" s="34" t="n">
        <f>_xlfn.IFNA(IF(ISBLANK(B43),"",IF(VLOOKUP(Games!B43,Schedule!$C$2:$G$1048576,MATCH("neutral_site",Schedule!$C$1:$G$1,0),FALSE),0,50)),"")</f>
        <v>50</v>
      </c>
      <c r="H43" s="34" t="n">
        <f>_xlfn.IFNA(IF(VLOOKUP(Games!B43, 'Bye Weeks'!$A$2:$P$135, MATCH(Games!$A43, 'Bye Weeks'!$A$1:$P$1, 0), FALSE)="Y", 25, 0), 0)</f>
        <v>0</v>
      </c>
      <c r="I43" s="34" t="n">
        <f>_xlfn.IFNA(IF(VLOOKUP(Games!C43, 'Bye Weeks'!$A$2:$P$135, MATCH(Games!$A43, 'Bye Weeks'!$A$1:$P$1, 0), FALSE)="Y", 25, 0), 0)</f>
        <v>0</v>
      </c>
      <c r="J43" s="6" t="n">
        <f>IFERROR(_xlfn.IFNA(IF(ISBLANK(B43), "",IF(ABS(ROUND(Calc!O43, 1))&gt;70,R43,ROUND(Calc!O43, 1))), R43), R43)</f>
        <v>-30.887929505411204</v>
      </c>
      <c r="K43" s="2" t="str">
        <f t="shared" si="11"/>
        <v>Tennessee</v>
      </c>
      <c r="L43" s="4" t="n">
        <f t="shared" si="12"/>
        <v>0.99127633172591501</v>
      </c>
      <c r="M43" s="4" t="n">
        <f t="shared" si="13"/>
        <v>8.7236682740849877E-3</v>
      </c>
      <c r="N43" s="34" t="str">
        <f t="shared" si="14"/>
        <v>Tennessee</v>
      </c>
      <c r="O43" s="36" t="n">
        <f t="shared" si="15"/>
        <v>0.99127633172591501</v>
      </c>
      <c r="P43" s="13" t="str">
        <f t="shared" si="21"/>
        <v>N</v>
      </c>
      <c r="Q43" s="15" t="str">
        <f t="shared" si="22"/>
        <v>N</v>
      </c>
      <c r="R43" s="6" t="n">
        <f t="shared" si="23"/>
        <v>-30.887929505411204</v>
      </c>
      <c r="S43" s="9" t="n">
        <f t="shared" si="16"/>
        <v>0.32709447044465934</v>
      </c>
      <c r="T43" s="17"/>
      <c r="U43" s="11"/>
      <c r="V43" s="19"/>
      <c r="W43" s="20"/>
      <c r="X43" s="11"/>
      <c r="Y43" s="1"/>
      <c r="Z43" s="19"/>
      <c r="AA43" s="20"/>
      <c r="AB43" s="14"/>
      <c r="AC43" s="11" t="n">
        <v>69</v>
      </c>
      <c r="AD43" s="12" t="n">
        <v>3</v>
      </c>
      <c r="AE43" s="16" t="str">
        <f t="shared" si="24"/>
        <v>Tennessee</v>
      </c>
      <c r="AF43" s="39" t="n">
        <f t="shared" si="17"/>
        <v>66</v>
      </c>
      <c r="AG43" s="1" t="n">
        <f t="shared" si="25"/>
        <v>1772.1982376352801</v>
      </c>
      <c r="AH43" s="1" t="n">
        <f t="shared" si="26"/>
        <v>1000</v>
      </c>
      <c r="AI43" s="1" t="n">
        <f t="shared" si="18"/>
        <v>772.19823763528007</v>
      </c>
      <c r="AJ43" s="1" t="n">
        <f t="shared" si="19"/>
        <v>3.1122835770267478</v>
      </c>
      <c r="AK43" s="1" t="n">
        <f t="shared" si="27"/>
        <v>8.7236682740849947E-3</v>
      </c>
      <c r="AL43" s="1" t="n">
        <v>71</v>
      </c>
      <c r="AM43" s="1" t="n">
        <f t="shared" si="20"/>
        <v>1.9276875945613441</v>
      </c>
      <c r="AN43" s="1" t="n">
        <f t="shared" si="28"/>
        <v>1774.1259252298414</v>
      </c>
      <c r="AO43" s="40" t="n">
        <f t="shared" si="29"/>
        <v>998.07231240543865</v>
      </c>
    </row>
    <row r="44" ht="14.65" customHeight="1">
      <c r="A44" s="33" t="n">
        <f>Schedule!A44</f>
        <v>1</v>
      </c>
      <c r="B44" s="34" t="s">
        <v>150</v>
      </c>
      <c r="C44" s="34" t="s">
        <v>309</v>
      </c>
      <c r="D44" s="6" t="n">
        <v>-12.5</v>
      </c>
      <c r="E44" s="10" t="n">
        <f>_xlfn.IFNA(IF(ISBLANK(B44),"",VLOOKUP(B44,Elo!$A$2:$AZ$1048576,MATCH(_xlfn.CONCAT("Week ", A44),Elo!$A$1:$AZ$1,0),FALSE)), "")</f>
        <v>1648.9480606638299</v>
      </c>
      <c r="F44" s="10" t="n">
        <f>IFERROR(IF(ISBLANK(C44),"",VLOOKUP(C44,Elo!$A$2:$AZ$1048576,MATCH(_xlfn.CONCAT("Week ",A44),Elo!$A$1:$AZ$1,0),FALSE)),IF(ISBLANK(Schedule!D44),"", 1000))</f>
        <v>1000</v>
      </c>
      <c r="G44" s="34" t="n">
        <f>_xlfn.IFNA(IF(ISBLANK(B44),"",IF(VLOOKUP(Games!B44,Schedule!$C$2:$G$1048576,MATCH("neutral_site",Schedule!$C$1:$G$1,0),FALSE),0,50)),"")</f>
        <v>50</v>
      </c>
      <c r="H44" s="34" t="n">
        <f>_xlfn.IFNA(IF(VLOOKUP(Games!B44, 'Bye Weeks'!$A$2:$P$135, MATCH(Games!$A44, 'Bye Weeks'!$A$1:$P$1, 0), FALSE)="Y", 25, 0), 0)</f>
        <v>0</v>
      </c>
      <c r="I44" s="34" t="n">
        <f>_xlfn.IFNA(IF(VLOOKUP(Games!C44, 'Bye Weeks'!$A$2:$P$135, MATCH(Games!$A44, 'Bye Weeks'!$A$1:$P$1, 0), FALSE)="Y", 25, 0), 0)</f>
        <v>0</v>
      </c>
      <c r="J44" s="6" t="n">
        <f>IFERROR(_xlfn.IFNA(IF(ISBLANK(B44), "",IF(ABS(ROUND(Calc!O44, 1))&gt;70,R44,ROUND(Calc!O44, 1))), R44), R44)</f>
        <v>-25.957922426553196</v>
      </c>
      <c r="K44" s="2" t="str">
        <f t="shared" si="11"/>
        <v>Oklahoma State</v>
      </c>
      <c r="L44" s="4" t="n">
        <f t="shared" si="12"/>
        <v>0.98242365139445431</v>
      </c>
      <c r="M44" s="4" t="n">
        <f t="shared" si="13"/>
        <v>1.7576348605545661E-2</v>
      </c>
      <c r="N44" s="34" t="str">
        <f t="shared" si="14"/>
        <v>Oklahoma State</v>
      </c>
      <c r="O44" s="36" t="n">
        <f t="shared" si="15"/>
        <v>0.98242365139445431</v>
      </c>
      <c r="P44" s="13" t="str">
        <f t="shared" si="21"/>
        <v>Y</v>
      </c>
      <c r="Q44" s="15" t="str">
        <f t="shared" si="22"/>
        <v>Y</v>
      </c>
      <c r="R44" s="6" t="n">
        <f t="shared" si="23"/>
        <v>-25.957922426553196</v>
      </c>
      <c r="S44" s="9" t="n">
        <f t="shared" si="16"/>
        <v>0.38924118216356324</v>
      </c>
      <c r="T44" s="17" t="s">
        <v>2</v>
      </c>
      <c r="U44" s="11"/>
      <c r="V44" s="19"/>
      <c r="W44" s="20"/>
      <c r="X44" s="11" t="s">
        <v>150</v>
      </c>
      <c r="Y44" s="1"/>
      <c r="Z44" s="19" t="n">
        <v>4</v>
      </c>
      <c r="AA44" s="20" t="n">
        <v>-110</v>
      </c>
      <c r="AB44" s="14"/>
      <c r="AC44" s="11" t="n">
        <v>44</v>
      </c>
      <c r="AD44" s="12" t="n">
        <v>20</v>
      </c>
      <c r="AE44" s="16" t="str">
        <f t="shared" si="24"/>
        <v>Oklahoma State</v>
      </c>
      <c r="AF44" s="39" t="n">
        <f t="shared" si="17"/>
        <v>24</v>
      </c>
      <c r="AG44" s="1" t="n">
        <f t="shared" si="25"/>
        <v>1648.9480606638299</v>
      </c>
      <c r="AH44" s="1" t="n">
        <f t="shared" si="26"/>
        <v>1000</v>
      </c>
      <c r="AI44" s="1" t="n">
        <f t="shared" si="18"/>
        <v>648.94806066382989</v>
      </c>
      <c r="AJ44" s="1" t="n">
        <f t="shared" si="19"/>
        <v>2.4856637130337798</v>
      </c>
      <c r="AK44" s="1" t="n">
        <f t="shared" si="27"/>
        <v>1.7576348605545689E-2</v>
      </c>
      <c r="AL44" s="1" t="n">
        <v>72</v>
      </c>
      <c r="AM44" s="1" t="n">
        <f t="shared" si="20"/>
        <v>3.1456002194234491</v>
      </c>
      <c r="AN44" s="1" t="n">
        <f t="shared" si="28"/>
        <v>1652.0936608832533</v>
      </c>
      <c r="AO44" s="40" t="n">
        <f t="shared" si="29"/>
        <v>996.8543997805765</v>
      </c>
    </row>
    <row r="45" ht="14.65" customHeight="1">
      <c r="A45" s="33" t="n">
        <f>Schedule!A45</f>
        <v>1</v>
      </c>
      <c r="B45" s="34" t="s">
        <v>208</v>
      </c>
      <c r="C45" s="34" t="s">
        <v>310</v>
      </c>
      <c r="D45" s="6" t="n">
        <v>-31.5</v>
      </c>
      <c r="E45" s="10" t="n">
        <f>_xlfn.IFNA(IF(ISBLANK(B45),"",VLOOKUP(B45,Elo!$A$2:$AZ$1048576,MATCH(_xlfn.CONCAT("Week ", A45),Elo!$A$1:$AZ$1,0),FALSE)), "")</f>
        <v>1402.5080547847799</v>
      </c>
      <c r="F45" s="10" t="n">
        <f>IFERROR(IF(ISBLANK(C45),"",VLOOKUP(C45,Elo!$A$2:$AZ$1048576,MATCH(_xlfn.CONCAT("Week ",A45),Elo!$A$1:$AZ$1,0),FALSE)),IF(ISBLANK(Schedule!D45),"", 1000))</f>
        <v>1000</v>
      </c>
      <c r="G45" s="34" t="n">
        <f>_xlfn.IFNA(IF(ISBLANK(B45),"",IF(VLOOKUP(Games!B45,Schedule!$C$2:$G$1048576,MATCH("neutral_site",Schedule!$C$1:$G$1,0),FALSE),0,50)),"")</f>
        <v>50</v>
      </c>
      <c r="H45" s="34" t="n">
        <f>_xlfn.IFNA(IF(VLOOKUP(Games!B45, 'Bye Weeks'!$A$2:$P$135, MATCH(Games!$A45, 'Bye Weeks'!$A$1:$P$1, 0), FALSE)="Y", 25, 0), 0)</f>
        <v>0</v>
      </c>
      <c r="I45" s="34" t="n">
        <f>_xlfn.IFNA(IF(VLOOKUP(Games!C45, 'Bye Weeks'!$A$2:$P$135, MATCH(Games!$A45, 'Bye Weeks'!$A$1:$P$1, 0), FALSE)="Y", 25, 0), 0)</f>
        <v>0</v>
      </c>
      <c r="J45" s="6" t="n">
        <f>IFERROR(_xlfn.IFNA(IF(ISBLANK(B45), "",IF(ABS(ROUND(Calc!O45, 1))&gt;70,R45,ROUND(Calc!O45, 1))), R45), R45)</f>
        <v>-16.100322191391196</v>
      </c>
      <c r="K45" s="2" t="str">
        <f t="shared" si="11"/>
        <v>Cincinnati</v>
      </c>
      <c r="L45" s="4" t="n">
        <f t="shared" si="12"/>
        <v>0.93117279373430939</v>
      </c>
      <c r="M45" s="4" t="n">
        <f t="shared" si="13"/>
        <v>6.8827206265690569E-2</v>
      </c>
      <c r="N45" s="34" t="str">
        <f t="shared" si="14"/>
        <v>Cincinnati</v>
      </c>
      <c r="O45" s="36" t="n">
        <f t="shared" si="15"/>
        <v>0.93117279373430939</v>
      </c>
      <c r="P45" s="13" t="str">
        <f t="shared" si="21"/>
        <v>N</v>
      </c>
      <c r="Q45" s="15" t="str">
        <f t="shared" si="22"/>
        <v>N</v>
      </c>
      <c r="R45" s="6" t="n">
        <f t="shared" si="23"/>
        <v>-16.100322191391196</v>
      </c>
      <c r="S45" s="9" t="n">
        <f t="shared" si="16"/>
        <v>0.6277065107747688</v>
      </c>
      <c r="T45" s="17"/>
      <c r="U45" s="11"/>
      <c r="V45" s="19"/>
      <c r="W45" s="20"/>
      <c r="X45" s="11"/>
      <c r="Y45" s="1"/>
      <c r="Z45" s="19"/>
      <c r="AA45" s="20"/>
      <c r="AB45" s="14"/>
      <c r="AC45" s="11" t="n">
        <v>38</v>
      </c>
      <c r="AD45" s="12" t="n">
        <v>20</v>
      </c>
      <c r="AE45" s="16" t="str">
        <f t="shared" si="24"/>
        <v>Cincinnati</v>
      </c>
      <c r="AF45" s="39" t="n">
        <f t="shared" si="17"/>
        <v>18</v>
      </c>
      <c r="AG45" s="1" t="n">
        <f t="shared" si="25"/>
        <v>1402.5080547847799</v>
      </c>
      <c r="AH45" s="1" t="n">
        <f t="shared" si="26"/>
        <v>1000</v>
      </c>
      <c r="AI45" s="1" t="n">
        <f t="shared" si="18"/>
        <v>402.50805478477992</v>
      </c>
      <c r="AJ45" s="1" t="n">
        <f t="shared" si="19"/>
        <v>2.4890473411817591</v>
      </c>
      <c r="AK45" s="1" t="n">
        <f t="shared" si="27"/>
        <v>6.882720626569061E-2</v>
      </c>
      <c r="AL45" s="1" t="n">
        <v>73</v>
      </c>
      <c r="AM45" s="1" t="n">
        <f t="shared" si="20"/>
        <v>12.505934757230758</v>
      </c>
      <c r="AN45" s="1" t="n">
        <f t="shared" si="28"/>
        <v>1415.0139895420107</v>
      </c>
      <c r="AO45" s="40" t="n">
        <f t="shared" si="29"/>
        <v>987.49406524276924</v>
      </c>
    </row>
    <row r="46" ht="14.65" customHeight="1">
      <c r="A46" s="33" t="n">
        <f>Schedule!A46</f>
        <v>1</v>
      </c>
      <c r="B46" s="34" t="s">
        <v>176</v>
      </c>
      <c r="C46" s="34" t="s">
        <v>311</v>
      </c>
      <c r="D46" s="6" t="n">
        <v>-27.5</v>
      </c>
      <c r="E46" s="10" t="n">
        <f>_xlfn.IFNA(IF(ISBLANK(B46),"",VLOOKUP(B46,Elo!$A$2:$AZ$1048576,MATCH(_xlfn.CONCAT("Week ", A46),Elo!$A$1:$AZ$1,0),FALSE)), "")</f>
        <v>1520.9785482769501</v>
      </c>
      <c r="F46" s="10" t="n">
        <f>IFERROR(IF(ISBLANK(C46),"",VLOOKUP(C46,Elo!$A$2:$AZ$1048576,MATCH(_xlfn.CONCAT("Week ",A46),Elo!$A$1:$AZ$1,0),FALSE)),IF(ISBLANK(Schedule!D46),"", 1000))</f>
        <v>1000</v>
      </c>
      <c r="G46" s="34" t="n">
        <f>_xlfn.IFNA(IF(ISBLANK(B46),"",IF(VLOOKUP(Games!B46,Schedule!$C$2:$G$1048576,MATCH("neutral_site",Schedule!$C$1:$G$1,0),FALSE),0,50)),"")</f>
        <v>50</v>
      </c>
      <c r="H46" s="34" t="n">
        <f>_xlfn.IFNA(IF(VLOOKUP(Games!B46, 'Bye Weeks'!$A$2:$P$135, MATCH(Games!$A46, 'Bye Weeks'!$A$1:$P$1, 0), FALSE)="Y", 25, 0), 0)</f>
        <v>0</v>
      </c>
      <c r="I46" s="34" t="n">
        <f>_xlfn.IFNA(IF(VLOOKUP(Games!C46, 'Bye Weeks'!$A$2:$P$135, MATCH(Games!$A46, 'Bye Weeks'!$A$1:$P$1, 0), FALSE)="Y", 25, 0), 0)</f>
        <v>0</v>
      </c>
      <c r="J46" s="6" t="n">
        <f>IFERROR(_xlfn.IFNA(IF(ISBLANK(B46), "",IF(ABS(ROUND(Calc!O46, 1))&gt;70,R46,ROUND(Calc!O46, 1))), R46), R46)</f>
        <v>-20.839141931078004</v>
      </c>
      <c r="K46" s="2" t="str">
        <f t="shared" si="11"/>
        <v>Washington State</v>
      </c>
      <c r="L46" s="4" t="n">
        <f t="shared" si="12"/>
        <v>0.96397376769983545</v>
      </c>
      <c r="M46" s="4" t="n">
        <f t="shared" si="13"/>
        <v>3.6026232300164558E-2</v>
      </c>
      <c r="N46" s="34" t="str">
        <f t="shared" si="14"/>
        <v>Washington State</v>
      </c>
      <c r="O46" s="36" t="n">
        <f t="shared" si="15"/>
        <v>0.96397376769983545</v>
      </c>
      <c r="P46" s="13" t="str">
        <f t="shared" si="21"/>
        <v>N</v>
      </c>
      <c r="Q46" s="15" t="str">
        <f t="shared" si="22"/>
        <v>N</v>
      </c>
      <c r="R46" s="6" t="n">
        <f t="shared" si="23"/>
        <v>-20.839141931078004</v>
      </c>
      <c r="S46" s="9" t="n">
        <f t="shared" si="16"/>
        <v>0.48489755523391737</v>
      </c>
      <c r="T46" s="17"/>
      <c r="U46" s="11"/>
      <c r="V46" s="19"/>
      <c r="W46" s="20"/>
      <c r="X46" s="11"/>
      <c r="Y46" s="1"/>
      <c r="Z46" s="19"/>
      <c r="AA46" s="20"/>
      <c r="AB46" s="14"/>
      <c r="AC46" s="11" t="n">
        <v>70</v>
      </c>
      <c r="AD46" s="12" t="n">
        <v>30</v>
      </c>
      <c r="AE46" s="16" t="str">
        <f t="shared" si="24"/>
        <v>Washington State</v>
      </c>
      <c r="AF46" s="39" t="n">
        <f t="shared" si="17"/>
        <v>40</v>
      </c>
      <c r="AG46" s="1" t="n">
        <f t="shared" si="25"/>
        <v>1520.9785482769501</v>
      </c>
      <c r="AH46" s="1" t="n">
        <f t="shared" si="26"/>
        <v>1000</v>
      </c>
      <c r="AI46" s="1" t="n">
        <f t="shared" si="18"/>
        <v>520.97854827695005</v>
      </c>
      <c r="AJ46" s="1" t="n">
        <f t="shared" si="19"/>
        <v>3.002544269201612</v>
      </c>
      <c r="AK46" s="1" t="n">
        <f t="shared" si="27"/>
        <v>3.6026232300164551E-2</v>
      </c>
      <c r="AL46" s="1" t="n">
        <v>74</v>
      </c>
      <c r="AM46" s="1" t="n">
        <f t="shared" si="20"/>
        <v>8.004606442700096</v>
      </c>
      <c r="AN46" s="1" t="n">
        <f t="shared" si="28"/>
        <v>1528.9831547196502</v>
      </c>
      <c r="AO46" s="40" t="n">
        <f t="shared" si="29"/>
        <v>991.99539355729985</v>
      </c>
    </row>
    <row r="47" ht="14.65" customHeight="1">
      <c r="A47" s="33" t="n">
        <f>Schedule!A47</f>
        <v>1</v>
      </c>
      <c r="B47" s="34" t="s">
        <v>210</v>
      </c>
      <c r="C47" s="34" t="s">
        <v>246</v>
      </c>
      <c r="D47" s="6" t="str">
        <f>IF(OR(ISBLANK(B47), ISNA(VLOOKUP(B47, 'Betting Lines'!$B$2:$F$1048576, MATCH("spread", 'Betting Lines'!$B$1:$J$1, 0), FALSE))), "", VLOOKUP(B47, 'Betting Lines'!$B$2:$F$1048576, MATCH("spread", 'Betting Lines'!$B$1:$J$1, 0), FALSE))</f>
        <v>-20.5</v>
      </c>
      <c r="E47" s="10" t="n">
        <f>_xlfn.IFNA(IF(ISBLANK(B47),"",VLOOKUP(B47,Elo!$A$2:$AZ$1048576,MATCH(_xlfn.CONCAT("Week ", A47),Elo!$A$1:$AZ$1,0),FALSE)), "")</f>
        <v>1389.0361708652699</v>
      </c>
      <c r="F47" s="10" t="n">
        <f>IFERROR(IF(ISBLANK(C47),"",VLOOKUP(C47,Elo!$A$2:$AZ$1048576,MATCH(_xlfn.CONCAT("Week ",A47),Elo!$A$1:$AZ$1,0),FALSE)),IF(ISBLANK(Schedule!D47),"", 1000))</f>
        <v>1154.1577130845101</v>
      </c>
      <c r="G47" s="34" t="n">
        <f>_xlfn.IFNA(IF(ISBLANK(B47),"",IF(VLOOKUP(Games!B47,Schedule!$C$2:$G$1048576,MATCH("neutral_site",Schedule!$C$1:$G$1,0),FALSE),0,50)),"")</f>
        <v>50</v>
      </c>
      <c r="H47" s="34" t="n">
        <f>_xlfn.IFNA(IF(VLOOKUP(Games!B47, 'Bye Weeks'!$A$2:$P$135, MATCH(Games!$A47, 'Bye Weeks'!$A$1:$P$1, 0), FALSE)="Y", 25, 0), 0)</f>
        <v>0</v>
      </c>
      <c r="I47" s="34" t="n">
        <f>_xlfn.IFNA(IF(VLOOKUP(Games!C47, 'Bye Weeks'!$A$2:$P$135, MATCH(Games!$A47, 'Bye Weeks'!$A$1:$P$1, 0), FALSE)="Y", 25, 0), 0)</f>
        <v>0</v>
      </c>
      <c r="J47" s="6" t="n">
        <f>IFERROR(_xlfn.IFNA(IF(ISBLANK(B47), "",IF(ABS(ROUND(Calc!O47, 1))&gt;70,R47,ROUND(Calc!O47, 1))), R47), R47)</f>
        <v>-42.6</v>
      </c>
      <c r="K47" s="2" t="str">
        <f t="shared" si="11"/>
        <v>Indiana</v>
      </c>
      <c r="L47" s="4" t="n">
        <f t="shared" si="12"/>
        <v>0.83752027199209444</v>
      </c>
      <c r="M47" s="4" t="n">
        <f t="shared" si="13"/>
        <v>0.16247972800790561</v>
      </c>
      <c r="N47" s="34" t="str">
        <f t="shared" si="14"/>
        <v>Indiana</v>
      </c>
      <c r="O47" s="36" t="n">
        <f t="shared" si="15"/>
        <v>0.83752027199209444</v>
      </c>
      <c r="P47" s="13" t="str">
        <f t="shared" si="21"/>
        <v>Y</v>
      </c>
      <c r="Q47" s="15" t="str">
        <f t="shared" si="22"/>
        <v>Y</v>
      </c>
      <c r="R47" s="6" t="n">
        <f t="shared" si="23"/>
        <v>-9.3951383112303937</v>
      </c>
      <c r="S47" s="9" t="n">
        <f t="shared" si="16"/>
        <v>0.26085935665649213</v>
      </c>
      <c r="T47" s="17"/>
      <c r="U47" s="11"/>
      <c r="V47" s="19"/>
      <c r="W47" s="20"/>
      <c r="X47" s="11"/>
      <c r="Y47" s="1"/>
      <c r="Z47" s="19"/>
      <c r="AA47" s="20"/>
      <c r="AB47" s="14"/>
      <c r="AC47" s="11" t="n">
        <v>21</v>
      </c>
      <c r="AD47" s="12" t="n">
        <v>7</v>
      </c>
      <c r="AE47" s="16" t="str">
        <f t="shared" si="24"/>
        <v>Indiana</v>
      </c>
      <c r="AF47" s="39" t="n">
        <f t="shared" si="17"/>
        <v>14</v>
      </c>
      <c r="AG47" s="1" t="n">
        <f t="shared" si="25"/>
        <v>1389.0361708652699</v>
      </c>
      <c r="AH47" s="1" t="n">
        <f t="shared" si="26"/>
        <v>1154.1577130845101</v>
      </c>
      <c r="AI47" s="1" t="n">
        <f t="shared" si="18"/>
        <v>234.87845778075985</v>
      </c>
      <c r="AJ47" s="1" t="n">
        <f t="shared" si="19"/>
        <v>2.4468204658785906</v>
      </c>
      <c r="AK47" s="1" t="n">
        <f t="shared" si="27"/>
        <v>0.16247972800790556</v>
      </c>
      <c r="AL47" s="1" t="n">
        <v>75</v>
      </c>
      <c r="AM47" s="1" t="n">
        <f t="shared" si="20"/>
        <v>29.816904283509761</v>
      </c>
      <c r="AN47" s="1" t="n">
        <f t="shared" si="28"/>
        <v>1418.8530751487797</v>
      </c>
      <c r="AO47" s="40" t="n">
        <f t="shared" si="29"/>
        <v>1124.3408088010003</v>
      </c>
    </row>
    <row r="48" ht="14.65" customHeight="1">
      <c r="A48" s="33" t="n">
        <f>Schedule!A48</f>
        <v>1</v>
      </c>
      <c r="B48" s="34" t="s">
        <v>249</v>
      </c>
      <c r="C48" s="34" t="s">
        <v>240</v>
      </c>
      <c r="D48" s="6" t="str">
        <f>IF(OR(ISBLANK(B48), ISNA(VLOOKUP(B48, 'Betting Lines'!$B$2:$F$1048576, MATCH("spread", 'Betting Lines'!$B$1:$J$1, 0), FALSE))), "", VLOOKUP(B48, 'Betting Lines'!$B$2:$F$1048576, MATCH("spread", 'Betting Lines'!$B$1:$J$1, 0), FALSE))</f>
        <v>-2.5</v>
      </c>
      <c r="E48" s="10" t="n">
        <f>_xlfn.IFNA(IF(ISBLANK(B48),"",VLOOKUP(B48,Elo!$A$2:$AZ$1048576,MATCH(_xlfn.CONCAT("Week ", A48),Elo!$A$1:$AZ$1,0),FALSE)), "")</f>
        <v>1104.5954282694099</v>
      </c>
      <c r="F48" s="10" t="n">
        <f>IFERROR(IF(ISBLANK(C48),"",VLOOKUP(C48,Elo!$A$2:$AZ$1048576,MATCH(_xlfn.CONCAT("Week ",A48),Elo!$A$1:$AZ$1,0),FALSE)),IF(ISBLANK(Schedule!D48),"", 1000))</f>
        <v>1199.42098005189</v>
      </c>
      <c r="G48" s="34" t="n">
        <f>_xlfn.IFNA(IF(ISBLANK(B48),"",IF(VLOOKUP(Games!B48,Schedule!$C$2:$G$1048576,MATCH("neutral_site",Schedule!$C$1:$G$1,0),FALSE),0,50)),"")</f>
        <v>50</v>
      </c>
      <c r="H48" s="34" t="n">
        <f>_xlfn.IFNA(IF(VLOOKUP(Games!B48, 'Bye Weeks'!$A$2:$P$135, MATCH(Games!$A48, 'Bye Weeks'!$A$1:$P$1, 0), FALSE)="Y", 25, 0), 0)</f>
        <v>0</v>
      </c>
      <c r="I48" s="34" t="n">
        <f>_xlfn.IFNA(IF(VLOOKUP(Games!C48, 'Bye Weeks'!$A$2:$P$135, MATCH(Games!$A48, 'Bye Weeks'!$A$1:$P$1, 0), FALSE)="Y", 25, 0), 0)</f>
        <v>0</v>
      </c>
      <c r="J48" s="6" t="n">
        <f>IFERROR(_xlfn.IFNA(IF(ISBLANK(B48), "",IF(ABS(ROUND(Calc!O48, 1))&gt;70,R48,ROUND(Calc!O48, 1))), R48), R48)</f>
        <v>3.7</v>
      </c>
      <c r="K48" s="2" t="str">
        <f t="shared" si="11"/>
        <v>Eastern Michigan</v>
      </c>
      <c r="L48" s="4" t="n">
        <f t="shared" si="12"/>
        <v>0.43584641201037899</v>
      </c>
      <c r="M48" s="4" t="n">
        <f t="shared" si="13"/>
        <v>0.56415358798962101</v>
      </c>
      <c r="N48" s="34" t="str">
        <f t="shared" si="14"/>
        <v>Eastern Michigan</v>
      </c>
      <c r="O48" s="36" t="n">
        <f t="shared" si="15"/>
        <v>0.56415358798962101</v>
      </c>
      <c r="P48" s="13" t="str">
        <f t="shared" si="21"/>
        <v>Y</v>
      </c>
      <c r="Q48" s="15" t="str">
        <f t="shared" si="22"/>
        <v>N</v>
      </c>
      <c r="R48" s="6" t="n">
        <f t="shared" si="23"/>
        <v>3.7930220712992013</v>
      </c>
      <c r="S48" s="9" t="n">
        <f t="shared" si="16"/>
        <v>2.7371273712737128</v>
      </c>
      <c r="T48" s="17" t="s">
        <v>37</v>
      </c>
      <c r="U48" s="11" t="s">
        <v>240</v>
      </c>
      <c r="V48" s="19" t="n">
        <v>2.5</v>
      </c>
      <c r="W48" s="20" t="n">
        <v>110</v>
      </c>
      <c r="X48" s="11"/>
      <c r="Y48" s="1"/>
      <c r="Z48" s="19"/>
      <c r="AA48" s="20"/>
      <c r="AB48" s="14"/>
      <c r="AC48" s="11" t="n">
        <v>14</v>
      </c>
      <c r="AD48" s="12" t="n">
        <v>28</v>
      </c>
      <c r="AE48" s="16" t="str">
        <f t="shared" si="24"/>
        <v>Eastern Michigan</v>
      </c>
      <c r="AF48" s="39" t="n">
        <f t="shared" si="17"/>
        <v>14</v>
      </c>
      <c r="AG48" s="1" t="n">
        <f t="shared" si="25"/>
        <v>1199.42098005189</v>
      </c>
      <c r="AH48" s="1" t="n">
        <f t="shared" si="26"/>
        <v>1104.5954282694099</v>
      </c>
      <c r="AI48" s="1" t="n">
        <f t="shared" si="18"/>
        <v>94.825551782480034</v>
      </c>
      <c r="AJ48" s="1" t="n">
        <f t="shared" si="19"/>
        <v>2.5961496017844481</v>
      </c>
      <c r="AK48" s="1" t="n">
        <f t="shared" si="27"/>
        <v>0.43584641201037899</v>
      </c>
      <c r="AL48" s="1" t="n">
        <v>76</v>
      </c>
      <c r="AM48" s="1" t="n">
        <f t="shared" si="20"/>
        <v>85.995709162474384</v>
      </c>
      <c r="AN48" s="1" t="n">
        <f t="shared" si="28"/>
        <v>1018.5997191069355</v>
      </c>
      <c r="AO48" s="40" t="n">
        <f t="shared" si="29"/>
        <v>1285.4166892143644</v>
      </c>
    </row>
    <row r="49" ht="14.65" customHeight="1">
      <c r="A49" s="33" t="n">
        <f>Schedule!A49</f>
        <v>1</v>
      </c>
      <c r="B49" s="34" t="s">
        <v>115</v>
      </c>
      <c r="C49" s="34" t="s">
        <v>207</v>
      </c>
      <c r="D49" s="6" t="n">
        <v>-36.5</v>
      </c>
      <c r="E49" s="10" t="n">
        <f>_xlfn.IFNA(IF(ISBLANK(B49),"",VLOOKUP(B49,Elo!$A$2:$AZ$1048576,MATCH(_xlfn.CONCAT("Week ", A49),Elo!$A$1:$AZ$1,0),FALSE)), "")</f>
        <v>1929.8903193317799</v>
      </c>
      <c r="F49" s="10" t="n">
        <f>IFERROR(IF(ISBLANK(C49),"",VLOOKUP(C49,Elo!$A$2:$AZ$1048576,MATCH(_xlfn.CONCAT("Week ",A49),Elo!$A$1:$AZ$1,0),FALSE)),IF(ISBLANK(Schedule!D49),"", 1000))</f>
        <v>1402.82738438965</v>
      </c>
      <c r="G49" s="34" t="n">
        <f>_xlfn.IFNA(IF(ISBLANK(B49),"",IF(VLOOKUP(Games!B49,Schedule!$C$2:$G$1048576,MATCH("neutral_site",Schedule!$C$1:$G$1,0),FALSE),0,50)),"")</f>
        <v>50</v>
      </c>
      <c r="H49" s="34" t="n">
        <f>_xlfn.IFNA(IF(VLOOKUP(Games!B49, 'Bye Weeks'!$A$2:$P$135, MATCH(Games!$A49, 'Bye Weeks'!$A$1:$P$1, 0), FALSE)="Y", 25, 0), 0)</f>
        <v>0</v>
      </c>
      <c r="I49" s="34" t="n">
        <f>_xlfn.IFNA(IF(VLOOKUP(Games!C49, 'Bye Weeks'!$A$2:$P$135, MATCH(Games!$A49, 'Bye Weeks'!$A$1:$P$1, 0), FALSE)="Y", 25, 0), 0)</f>
        <v>0</v>
      </c>
      <c r="J49" s="6" t="n">
        <f>IFERROR(_xlfn.IFNA(IF(ISBLANK(B49), "",IF(ABS(ROUND(Calc!O49, 1))&gt;70,R49,ROUND(Calc!O49, 1))), R49), R49)</f>
        <v>-21.082517397685198</v>
      </c>
      <c r="K49" s="2" t="str">
        <f t="shared" si="11"/>
        <v>Texas</v>
      </c>
      <c r="L49" s="4" t="n">
        <f t="shared" si="12"/>
        <v>0.9651705416324482</v>
      </c>
      <c r="M49" s="4" t="n">
        <f t="shared" si="13"/>
        <v>3.4829458367551761E-2</v>
      </c>
      <c r="N49" s="34" t="str">
        <f t="shared" si="14"/>
        <v>Texas</v>
      </c>
      <c r="O49" s="36" t="n">
        <f t="shared" si="15"/>
        <v>0.9651705416324482</v>
      </c>
      <c r="P49" s="13" t="str">
        <f t="shared" si="21"/>
        <v>N</v>
      </c>
      <c r="Q49" s="15" t="str">
        <f t="shared" si="22"/>
        <v>N</v>
      </c>
      <c r="R49" s="6" t="n">
        <f t="shared" si="23"/>
        <v>-21.082517397685198</v>
      </c>
      <c r="S49" s="9" t="n">
        <f t="shared" si="16"/>
        <v>0.47929726711766674</v>
      </c>
      <c r="T49" s="17" t="s">
        <v>2</v>
      </c>
      <c r="U49" s="11"/>
      <c r="V49" s="19"/>
      <c r="W49" s="20"/>
      <c r="X49" s="11" t="s">
        <v>207</v>
      </c>
      <c r="Y49" s="1"/>
      <c r="Z49" s="19" t="n">
        <v>3</v>
      </c>
      <c r="AA49" s="20" t="n">
        <v>-110</v>
      </c>
      <c r="AB49" s="14"/>
      <c r="AC49" s="11" t="n">
        <v>52</v>
      </c>
      <c r="AD49" s="12" t="n">
        <v>0</v>
      </c>
      <c r="AE49" s="16" t="str">
        <f t="shared" si="24"/>
        <v>Texas</v>
      </c>
      <c r="AF49" s="39" t="n">
        <f t="shared" si="17"/>
        <v>52</v>
      </c>
      <c r="AG49" s="1" t="n">
        <f t="shared" si="25"/>
        <v>1929.8903193317799</v>
      </c>
      <c r="AH49" s="1" t="n">
        <f t="shared" si="26"/>
        <v>1402.82738438965</v>
      </c>
      <c r="AI49" s="1" t="n">
        <f t="shared" si="18"/>
        <v>527.06293494212991</v>
      </c>
      <c r="AJ49" s="1" t="n">
        <f t="shared" si="19"/>
        <v>3.2029485267453217</v>
      </c>
      <c r="AK49" s="1" t="n">
        <f t="shared" si="27"/>
        <v>3.4829458367551802E-2</v>
      </c>
      <c r="AL49" s="1" t="n">
        <v>77</v>
      </c>
      <c r="AM49" s="1" t="n">
        <f t="shared" si="20"/>
        <v>8.5898861021579425</v>
      </c>
      <c r="AN49" s="1" t="n">
        <f t="shared" si="28"/>
        <v>1938.4802054339377</v>
      </c>
      <c r="AO49" s="40" t="n">
        <f t="shared" si="29"/>
        <v>1394.2374982874921</v>
      </c>
    </row>
    <row r="50" ht="14.65" customHeight="1">
      <c r="A50" s="33" t="n">
        <f>Schedule!A50</f>
        <v>1</v>
      </c>
      <c r="B50" s="34" t="s">
        <v>133</v>
      </c>
      <c r="C50" s="34" t="s">
        <v>314</v>
      </c>
      <c r="D50" s="6" t="n">
        <v>-28.5</v>
      </c>
      <c r="E50" s="10" t="n">
        <f>_xlfn.IFNA(IF(ISBLANK(B50),"",VLOOKUP(B50,Elo!$A$2:$AZ$1048576,MATCH(_xlfn.CONCAT("Week ", A50),Elo!$A$1:$AZ$1,0),FALSE)), "")</f>
        <v>1715.6444468361401</v>
      </c>
      <c r="F50" s="10" t="n">
        <f>IFERROR(IF(ISBLANK(C50),"",VLOOKUP(C50,Elo!$A$2:$AZ$1048576,MATCH(_xlfn.CONCAT("Week ",A50),Elo!$A$1:$AZ$1,0),FALSE)),IF(ISBLANK(Schedule!D50),"", 1000))</f>
        <v>1000</v>
      </c>
      <c r="G50" s="34" t="n">
        <f>_xlfn.IFNA(IF(ISBLANK(B50),"",IF(VLOOKUP(Games!B50,Schedule!$C$2:$G$1048576,MATCH("neutral_site",Schedule!$C$1:$G$1,0),FALSE),0,50)),"")</f>
        <v>50</v>
      </c>
      <c r="H50" s="34" t="n">
        <f>_xlfn.IFNA(IF(VLOOKUP(Games!B50, 'Bye Weeks'!$A$2:$P$135, MATCH(Games!$A50, 'Bye Weeks'!$A$1:$P$1, 0), FALSE)="Y", 25, 0), 0)</f>
        <v>0</v>
      </c>
      <c r="I50" s="34" t="n">
        <f>_xlfn.IFNA(IF(VLOOKUP(Games!C50, 'Bye Weeks'!$A$2:$P$135, MATCH(Games!$A50, 'Bye Weeks'!$A$1:$P$1, 0), FALSE)="Y", 25, 0), 0)</f>
        <v>0</v>
      </c>
      <c r="J50" s="6" t="n">
        <f>IFERROR(_xlfn.IFNA(IF(ISBLANK(B50), "",IF(ABS(ROUND(Calc!O50, 1))&gt;70,R50,ROUND(Calc!O50, 1))), R50), R50)</f>
        <v>-28.625777873445603</v>
      </c>
      <c r="K50" s="2" t="str">
        <f t="shared" si="11"/>
        <v>Iowa State</v>
      </c>
      <c r="L50" s="4" t="n">
        <f t="shared" si="12"/>
        <v>0.98795995186459507</v>
      </c>
      <c r="M50" s="4" t="n">
        <f t="shared" si="13"/>
        <v>1.2040048135404824E-2</v>
      </c>
      <c r="N50" s="34" t="str">
        <f t="shared" si="14"/>
        <v>Iowa State</v>
      </c>
      <c r="O50" s="36" t="n">
        <f t="shared" si="15"/>
        <v>0.98795995186459507</v>
      </c>
      <c r="P50" s="13" t="str">
        <f t="shared" si="21"/>
        <v>Y</v>
      </c>
      <c r="Q50" s="15" t="str">
        <f t="shared" si="22"/>
        <v>Y</v>
      </c>
      <c r="R50" s="6" t="n">
        <f t="shared" si="23"/>
        <v>-28.625777873445603</v>
      </c>
      <c r="S50" s="9" t="n">
        <f t="shared" si="16"/>
        <v>0.35295213866516739</v>
      </c>
      <c r="T50" s="17"/>
      <c r="U50" s="11"/>
      <c r="V50" s="19"/>
      <c r="W50" s="20"/>
      <c r="X50" s="11"/>
      <c r="Y50" s="1"/>
      <c r="Z50" s="19"/>
      <c r="AA50" s="20"/>
      <c r="AB50" s="14"/>
      <c r="AC50" s="11" t="n">
        <v>21</v>
      </c>
      <c r="AD50" s="12" t="n">
        <v>3</v>
      </c>
      <c r="AE50" s="16" t="str">
        <f t="shared" si="24"/>
        <v>Iowa State</v>
      </c>
      <c r="AF50" s="39" t="n">
        <f t="shared" si="17"/>
        <v>18</v>
      </c>
      <c r="AG50" s="1" t="n">
        <f t="shared" si="25"/>
        <v>1715.6444468361401</v>
      </c>
      <c r="AH50" s="1" t="n">
        <f t="shared" si="26"/>
        <v>1000</v>
      </c>
      <c r="AI50" s="1" t="n">
        <f t="shared" si="18"/>
        <v>715.64444683614011</v>
      </c>
      <c r="AJ50" s="1" t="n">
        <f t="shared" si="19"/>
        <v>2.2217269191363171</v>
      </c>
      <c r="AK50" s="1" t="n">
        <f t="shared" si="27"/>
        <v>1.2040048135404935E-2</v>
      </c>
      <c r="AL50" s="1" t="n">
        <v>78</v>
      </c>
      <c r="AM50" s="1" t="n">
        <f t="shared" si="20"/>
        <v>2.0864765259098408</v>
      </c>
      <c r="AN50" s="1" t="n">
        <f t="shared" si="28"/>
        <v>1717.7309233620499</v>
      </c>
      <c r="AO50" s="40" t="n">
        <f t="shared" si="29"/>
        <v>997.9135234740902</v>
      </c>
    </row>
    <row r="51" ht="14.65" customHeight="1">
      <c r="A51" s="33" t="n">
        <f>Schedule!A51</f>
        <v>1</v>
      </c>
      <c r="B51" s="34" t="s">
        <v>174</v>
      </c>
      <c r="C51" s="34" t="s">
        <v>238</v>
      </c>
      <c r="D51" s="6" t="str">
        <f>IF(OR(ISBLANK(B51), ISNA(VLOOKUP(B51, 'Betting Lines'!$B$2:$F$1048576, MATCH("spread", 'Betting Lines'!$B$1:$J$1, 0), FALSE))), "", VLOOKUP(B51, 'Betting Lines'!$B$2:$F$1048576, MATCH("spread", 'Betting Lines'!$B$1:$J$1, 0), FALSE))</f>
        <v>-27.5</v>
      </c>
      <c r="E51" s="10" t="n">
        <f>_xlfn.IFNA(IF(ISBLANK(B51),"",VLOOKUP(B51,Elo!$A$2:$AZ$1048576,MATCH(_xlfn.CONCAT("Week ", A51),Elo!$A$1:$AZ$1,0),FALSE)), "")</f>
        <v>1526.8517655099199</v>
      </c>
      <c r="F51" s="10" t="n">
        <f>IFERROR(IF(ISBLANK(C51),"",VLOOKUP(C51,Elo!$A$2:$AZ$1048576,MATCH(_xlfn.CONCAT("Week ",A51),Elo!$A$1:$AZ$1,0),FALSE)),IF(ISBLANK(Schedule!D51),"", 1000))</f>
        <v>1243.95606044638</v>
      </c>
      <c r="G51" s="34" t="n">
        <f>_xlfn.IFNA(IF(ISBLANK(B51),"",IF(VLOOKUP(Games!B51,Schedule!$C$2:$G$1048576,MATCH("neutral_site",Schedule!$C$1:$G$1,0),FALSE),0,50)),"")</f>
        <v>50</v>
      </c>
      <c r="H51" s="34" t="n">
        <f>_xlfn.IFNA(IF(VLOOKUP(Games!B51, 'Bye Weeks'!$A$2:$P$135, MATCH(Games!$A51, 'Bye Weeks'!$A$1:$P$1, 0), FALSE)="Y", 25, 0), 0)</f>
        <v>0</v>
      </c>
      <c r="I51" s="34" t="n">
        <f>_xlfn.IFNA(IF(VLOOKUP(Games!C51, 'Bye Weeks'!$A$2:$P$135, MATCH(Games!$A51, 'Bye Weeks'!$A$1:$P$1, 0), FALSE)="Y", 25, 0), 0)</f>
        <v>0</v>
      </c>
      <c r="J51" s="6" t="n">
        <f>IFERROR(_xlfn.IFNA(IF(ISBLANK(B51), "",IF(ABS(ROUND(Calc!O51, 1))&gt;70,R51,ROUND(Calc!O51, 1))), R51), R51)</f>
        <v>-42.7</v>
      </c>
      <c r="K51" s="2" t="str">
        <f t="shared" si="11"/>
        <v>Nebraska</v>
      </c>
      <c r="L51" s="4" t="n">
        <f t="shared" si="12"/>
        <v>0.87172545954058944</v>
      </c>
      <c r="M51" s="4" t="n">
        <f t="shared" si="13"/>
        <v>0.12827454045941056</v>
      </c>
      <c r="N51" s="34" t="str">
        <f t="shared" si="14"/>
        <v>Nebraska</v>
      </c>
      <c r="O51" s="36" t="n">
        <f t="shared" si="15"/>
        <v>0.87172545954058944</v>
      </c>
      <c r="P51" s="13" t="str">
        <f t="shared" si="21"/>
        <v>Y</v>
      </c>
      <c r="Q51" s="15" t="str">
        <f t="shared" si="22"/>
        <v>Y</v>
      </c>
      <c r="R51" s="6" t="n">
        <f t="shared" si="23"/>
        <v>-11.315828202541597</v>
      </c>
      <c r="S51" s="9" t="n">
        <f t="shared" si="16"/>
        <v>0.26024830171000235</v>
      </c>
      <c r="T51" s="17"/>
      <c r="U51" s="11"/>
      <c r="V51" s="19"/>
      <c r="W51" s="20"/>
      <c r="X51" s="11"/>
      <c r="Y51" s="1"/>
      <c r="Z51" s="19"/>
      <c r="AA51" s="20"/>
      <c r="AB51" s="14"/>
      <c r="AC51" s="11" t="n">
        <v>40</v>
      </c>
      <c r="AD51" s="12" t="n">
        <v>7</v>
      </c>
      <c r="AE51" s="16" t="str">
        <f t="shared" si="24"/>
        <v>Nebraska</v>
      </c>
      <c r="AF51" s="39" t="n">
        <f t="shared" si="17"/>
        <v>33</v>
      </c>
      <c r="AG51" s="1" t="n">
        <f t="shared" si="25"/>
        <v>1526.8517655099199</v>
      </c>
      <c r="AH51" s="1" t="n">
        <f t="shared" si="26"/>
        <v>1243.95606044638</v>
      </c>
      <c r="AI51" s="1" t="n">
        <f t="shared" si="18"/>
        <v>282.89570506353994</v>
      </c>
      <c r="AJ51" s="1" t="n">
        <f t="shared" si="19"/>
        <v>3.1245747206917094</v>
      </c>
      <c r="AK51" s="1" t="n">
        <f t="shared" si="27"/>
        <v>0.12827454045941056</v>
      </c>
      <c r="AL51" s="1" t="n">
        <v>79</v>
      </c>
      <c r="AM51" s="1" t="n">
        <f t="shared" si="20"/>
        <v>31.663467527797788</v>
      </c>
      <c r="AN51" s="1" t="n">
        <f t="shared" si="28"/>
        <v>1558.5152330377177</v>
      </c>
      <c r="AO51" s="40" t="n">
        <f t="shared" si="29"/>
        <v>1212.2925929185822</v>
      </c>
    </row>
    <row r="52" ht="14.65" customHeight="1">
      <c r="A52" s="33" t="n">
        <f>Schedule!A52</f>
        <v>1</v>
      </c>
      <c r="B52" s="34" t="s">
        <v>118</v>
      </c>
      <c r="C52" s="34" t="s">
        <v>243</v>
      </c>
      <c r="D52" s="6" t="str">
        <f>IF(OR(ISBLANK(B52), ISNA(VLOOKUP(B52, 'Betting Lines'!$B$2:$F$1048576, MATCH("spread", 'Betting Lines'!$B$1:$J$1, 0), FALSE))), "", VLOOKUP(B52, 'Betting Lines'!$B$2:$F$1048576, MATCH("spread", 'Betting Lines'!$B$1:$J$1, 0), FALSE))</f>
        <v>-50.5</v>
      </c>
      <c r="E52" s="10" t="n">
        <f>_xlfn.IFNA(IF(ISBLANK(B52),"",VLOOKUP(B52,Elo!$A$2:$AZ$1048576,MATCH(_xlfn.CONCAT("Week ", A52),Elo!$A$1:$AZ$1,0),FALSE)), "")</f>
        <v>1904.8904941309299</v>
      </c>
      <c r="F52" s="10" t="n">
        <f>IFERROR(IF(ISBLANK(C52),"",VLOOKUP(C52,Elo!$A$2:$AZ$1048576,MATCH(_xlfn.CONCAT("Week ",A52),Elo!$A$1:$AZ$1,0),FALSE)),IF(ISBLANK(Schedule!D52),"", 1000))</f>
        <v>1187.9013852286</v>
      </c>
      <c r="G52" s="34" t="n">
        <f>_xlfn.IFNA(IF(ISBLANK(B52),"",IF(VLOOKUP(Games!B52,Schedule!$C$2:$G$1048576,MATCH("neutral_site",Schedule!$C$1:$G$1,0),FALSE),0,50)),"")</f>
        <v>50</v>
      </c>
      <c r="H52" s="34" t="n">
        <f>_xlfn.IFNA(IF(VLOOKUP(Games!B52, 'Bye Weeks'!$A$2:$P$135, MATCH(Games!$A52, 'Bye Weeks'!$A$1:$P$1, 0), FALSE)="Y", 25, 0), 0)</f>
        <v>0</v>
      </c>
      <c r="I52" s="34" t="n">
        <f>_xlfn.IFNA(IF(VLOOKUP(Games!C52, 'Bye Weeks'!$A$2:$P$135, MATCH(Games!$A52, 'Bye Weeks'!$A$1:$P$1, 0), FALSE)="Y", 25, 0), 0)</f>
        <v>0</v>
      </c>
      <c r="J52" s="6" t="n">
        <f>IFERROR(_xlfn.IFNA(IF(ISBLANK(B52), "",IF(ABS(ROUND(Calc!O52, 1))&gt;70,R52,ROUND(Calc!O52, 1))), R52), R52)</f>
        <v>-28.679564356093195</v>
      </c>
      <c r="K52" s="2" t="str">
        <f t="shared" si="11"/>
        <v>Ohio State</v>
      </c>
      <c r="L52" s="4" t="n">
        <f t="shared" si="12"/>
        <v>0.98805167882258937</v>
      </c>
      <c r="M52" s="4" t="n">
        <f t="shared" si="13"/>
        <v>1.1948321177410723E-2</v>
      </c>
      <c r="N52" s="34" t="str">
        <f t="shared" si="14"/>
        <v>Ohio State</v>
      </c>
      <c r="O52" s="36" t="n">
        <f t="shared" si="15"/>
        <v>0.98805167882258937</v>
      </c>
      <c r="P52" s="13" t="str">
        <f t="shared" si="21"/>
        <v>Y</v>
      </c>
      <c r="Q52" s="15" t="str">
        <f t="shared" si="22"/>
        <v>Y</v>
      </c>
      <c r="R52" s="6" t="n">
        <f t="shared" si="23"/>
        <v>-28.679564356093195</v>
      </c>
      <c r="S52" s="9" t="n">
        <f t="shared" si="16"/>
        <v>0.38751896826917687</v>
      </c>
      <c r="T52" s="17"/>
      <c r="U52" s="11"/>
      <c r="V52" s="19"/>
      <c r="W52" s="20"/>
      <c r="X52" s="11"/>
      <c r="Y52" s="1"/>
      <c r="Z52" s="19"/>
      <c r="AA52" s="20"/>
      <c r="AB52" s="14"/>
      <c r="AC52" s="11" t="n">
        <v>52</v>
      </c>
      <c r="AD52" s="12" t="n">
        <v>6</v>
      </c>
      <c r="AE52" s="16" t="str">
        <f t="shared" si="24"/>
        <v>Ohio State</v>
      </c>
      <c r="AF52" s="39" t="n">
        <f t="shared" si="17"/>
        <v>46</v>
      </c>
      <c r="AG52" s="1" t="n">
        <f t="shared" si="25"/>
        <v>1904.8904941309299</v>
      </c>
      <c r="AH52" s="1" t="n">
        <f t="shared" si="26"/>
        <v>1187.9013852286</v>
      </c>
      <c r="AI52" s="1" t="n">
        <f t="shared" si="18"/>
        <v>716.98910890232992</v>
      </c>
      <c r="AJ52" s="1" t="n">
        <f t="shared" si="19"/>
        <v>2.9037903151272078</v>
      </c>
      <c r="AK52" s="1" t="n">
        <f t="shared" si="27"/>
        <v>1.1948321177410626E-2</v>
      </c>
      <c r="AL52" s="1" t="n">
        <v>80</v>
      </c>
      <c r="AM52" s="1" t="n">
        <f t="shared" si="20"/>
        <v>2.7756335453595433</v>
      </c>
      <c r="AN52" s="1" t="n">
        <f t="shared" si="28"/>
        <v>1907.6661276762895</v>
      </c>
      <c r="AO52" s="40" t="n">
        <f t="shared" si="29"/>
        <v>1185.1257516832404</v>
      </c>
    </row>
    <row r="53" ht="14.65" customHeight="1">
      <c r="A53" s="33" t="n">
        <f>Schedule!A53</f>
        <v>1</v>
      </c>
      <c r="B53" s="34" t="s">
        <v>200</v>
      </c>
      <c r="C53" s="34" t="s">
        <v>313</v>
      </c>
      <c r="D53" s="6" t="n">
        <v>-35.5</v>
      </c>
      <c r="E53" s="10" t="n">
        <f>_xlfn.IFNA(IF(ISBLANK(B53),"",VLOOKUP(B53,Elo!$A$2:$AZ$1048576,MATCH(_xlfn.CONCAT("Week ", A53),Elo!$A$1:$AZ$1,0),FALSE)), "")</f>
        <v>1428.0662163114901</v>
      </c>
      <c r="F53" s="10" t="n">
        <f>IFERROR(IF(ISBLANK(C53),"",VLOOKUP(C53,Elo!$A$2:$AZ$1048576,MATCH(_xlfn.CONCAT("Week ",A53),Elo!$A$1:$AZ$1,0),FALSE)),IF(ISBLANK(Schedule!D53),"", 1000))</f>
        <v>1000</v>
      </c>
      <c r="G53" s="34" t="n">
        <f>_xlfn.IFNA(IF(ISBLANK(B53),"",IF(VLOOKUP(Games!B53,Schedule!$C$2:$G$1048576,MATCH("neutral_site",Schedule!$C$1:$G$1,0),FALSE),0,50)),"")</f>
        <v>50</v>
      </c>
      <c r="H53" s="34" t="n">
        <f>_xlfn.IFNA(IF(VLOOKUP(Games!B53, 'Bye Weeks'!$A$2:$P$135, MATCH(Games!$A53, 'Bye Weeks'!$A$1:$P$1, 0), FALSE)="Y", 25, 0), 0)</f>
        <v>0</v>
      </c>
      <c r="I53" s="34" t="n">
        <f>_xlfn.IFNA(IF(VLOOKUP(Games!C53, 'Bye Weeks'!$A$2:$P$135, MATCH(Games!$A53, 'Bye Weeks'!$A$1:$P$1, 0), FALSE)="Y", 25, 0), 0)</f>
        <v>0</v>
      </c>
      <c r="J53" s="6" t="n">
        <f>IFERROR(_xlfn.IFNA(IF(ISBLANK(B53), "",IF(ABS(ROUND(Calc!O53, 1))&gt;70,R53,ROUND(Calc!O53, 1))), R53), R53)</f>
        <v>-17.122648652459603</v>
      </c>
      <c r="K53" s="2" t="str">
        <f t="shared" si="11"/>
        <v>Northern Illinois</v>
      </c>
      <c r="L53" s="4" t="n">
        <f t="shared" si="12"/>
        <v>0.9400245318313204</v>
      </c>
      <c r="M53" s="4" t="n">
        <f t="shared" si="13"/>
        <v>5.9975468168679623E-2</v>
      </c>
      <c r="N53" s="34" t="str">
        <f t="shared" si="14"/>
        <v>Northern Illinois</v>
      </c>
      <c r="O53" s="36" t="n">
        <f t="shared" si="15"/>
        <v>0.9400245318313204</v>
      </c>
      <c r="P53" s="13" t="str">
        <f t="shared" si="21"/>
        <v>N</v>
      </c>
      <c r="Q53" s="15" t="str">
        <f t="shared" si="22"/>
        <v>N</v>
      </c>
      <c r="R53" s="6" t="n">
        <f t="shared" si="23"/>
        <v>-17.122648652459603</v>
      </c>
      <c r="S53" s="9" t="n">
        <f t="shared" si="16"/>
        <v>0.59020670646144113</v>
      </c>
      <c r="T53" s="17"/>
      <c r="U53" s="11"/>
      <c r="V53" s="19"/>
      <c r="W53" s="20"/>
      <c r="X53" s="11"/>
      <c r="Y53" s="1"/>
      <c r="Z53" s="19"/>
      <c r="AA53" s="20"/>
      <c r="AB53" s="14"/>
      <c r="AC53" s="11" t="n">
        <v>54</v>
      </c>
      <c r="AD53" s="12" t="n">
        <v>15</v>
      </c>
      <c r="AE53" s="16" t="str">
        <f t="shared" si="24"/>
        <v>Northern Illinois</v>
      </c>
      <c r="AF53" s="39" t="n">
        <f t="shared" si="17"/>
        <v>39</v>
      </c>
      <c r="AG53" s="1" t="n">
        <f t="shared" si="25"/>
        <v>1428.0662163114901</v>
      </c>
      <c r="AH53" s="1" t="n">
        <f t="shared" si="26"/>
        <v>1000</v>
      </c>
      <c r="AI53" s="1" t="n">
        <f t="shared" si="18"/>
        <v>428.06621631149005</v>
      </c>
      <c r="AJ53" s="1" t="n">
        <f t="shared" si="19"/>
        <v>3.0880252364572733</v>
      </c>
      <c r="AK53" s="1" t="n">
        <f t="shared" si="27"/>
        <v>5.9975468168679602E-2</v>
      </c>
      <c r="AL53" s="1" t="n">
        <v>81</v>
      </c>
      <c r="AM53" s="1" t="n">
        <f t="shared" si="20"/>
        <v>15.001666501131023</v>
      </c>
      <c r="AN53" s="1" t="n">
        <f t="shared" si="28"/>
        <v>1443.0678828126211</v>
      </c>
      <c r="AO53" s="40" t="n">
        <f t="shared" si="29"/>
        <v>984.99833349886899</v>
      </c>
    </row>
    <row r="54" ht="14.65" customHeight="1">
      <c r="A54" s="33" t="n">
        <f>Schedule!A54</f>
        <v>1</v>
      </c>
      <c r="B54" s="34" t="s">
        <v>185</v>
      </c>
      <c r="C54" s="34" t="s">
        <v>181</v>
      </c>
      <c r="D54" s="6" t="str">
        <f>IF(OR(ISBLANK(B54), ISNA(VLOOKUP(B54, 'Betting Lines'!$B$2:$F$1048576, MATCH("spread", 'Betting Lines'!$B$1:$J$1, 0), FALSE))), "", VLOOKUP(B54, 'Betting Lines'!$B$2:$F$1048576, MATCH("spread", 'Betting Lines'!$B$1:$J$1, 0), FALSE))</f>
        <v>-4</v>
      </c>
      <c r="E54" s="10" t="n">
        <f>_xlfn.IFNA(IF(ISBLANK(B54),"",VLOOKUP(B54,Elo!$A$2:$AZ$1048576,MATCH(_xlfn.CONCAT("Week ", A54),Elo!$A$1:$AZ$1,0),FALSE)), "")</f>
        <v>1479.5427378219799</v>
      </c>
      <c r="F54" s="10" t="n">
        <f>IFERROR(IF(ISBLANK(C54),"",VLOOKUP(C54,Elo!$A$2:$AZ$1048576,MATCH(_xlfn.CONCAT("Week ",A54),Elo!$A$1:$AZ$1,0),FALSE)),IF(ISBLANK(Schedule!D54),"", 1000))</f>
        <v>1500.8354405469399</v>
      </c>
      <c r="G54" s="34" t="n">
        <f>_xlfn.IFNA(IF(ISBLANK(B54),"",IF(VLOOKUP(Games!B54,Schedule!$C$2:$G$1048576,MATCH("neutral_site",Schedule!$C$1:$G$1,0),FALSE),0,50)),"")</f>
        <v>0</v>
      </c>
      <c r="H54" s="34" t="n">
        <f>_xlfn.IFNA(IF(VLOOKUP(Games!B54, 'Bye Weeks'!$A$2:$P$135, MATCH(Games!$A54, 'Bye Weeks'!$A$1:$P$1, 0), FALSE)="Y", 25, 0), 0)</f>
        <v>0</v>
      </c>
      <c r="I54" s="34" t="n">
        <f>_xlfn.IFNA(IF(VLOOKUP(Games!C54, 'Bye Weeks'!$A$2:$P$135, MATCH(Games!$A54, 'Bye Weeks'!$A$1:$P$1, 0), FALSE)="Y", 25, 0), 0)</f>
        <v>0</v>
      </c>
      <c r="J54" s="6" t="n">
        <f>IFERROR(_xlfn.IFNA(IF(ISBLANK(B54), "",IF(ABS(ROUND(Calc!O54, 1))&gt;70,R54,ROUND(Calc!O54, 1))), R54), R54)</f>
        <v>-16.5</v>
      </c>
      <c r="K54" s="2" t="str">
        <f t="shared" si="11"/>
        <v>Northwestern</v>
      </c>
      <c r="L54" s="4" t="n">
        <f t="shared" si="12"/>
        <v>0.46939564352475099</v>
      </c>
      <c r="M54" s="4" t="n">
        <f t="shared" si="13"/>
        <v>0.53060435647524895</v>
      </c>
      <c r="N54" s="34" t="str">
        <f t="shared" si="14"/>
        <v>Miami (OH)</v>
      </c>
      <c r="O54" s="36" t="n">
        <f t="shared" si="15"/>
        <v>0.53060435647524895</v>
      </c>
      <c r="P54" s="13" t="str">
        <f t="shared" si="21"/>
        <v>Y</v>
      </c>
      <c r="Q54" s="15" t="str">
        <f t="shared" si="22"/>
        <v>Y</v>
      </c>
      <c r="R54" s="6" t="n">
        <f t="shared" si="23"/>
        <v>0.85170810899840033</v>
      </c>
      <c r="S54" s="9" t="n">
        <f t="shared" si="16"/>
        <v>0.6737416616130989</v>
      </c>
      <c r="T54" s="17"/>
      <c r="U54" s="11"/>
      <c r="V54" s="19"/>
      <c r="W54" s="20"/>
      <c r="X54" s="11"/>
      <c r="Y54" s="1"/>
      <c r="Z54" s="19"/>
      <c r="AA54" s="20"/>
      <c r="AB54" s="14"/>
      <c r="AC54" s="11" t="n">
        <v>13</v>
      </c>
      <c r="AD54" s="12" t="n">
        <v>6</v>
      </c>
      <c r="AE54" s="16" t="str">
        <f t="shared" si="24"/>
        <v>Northwestern</v>
      </c>
      <c r="AF54" s="39" t="n">
        <f t="shared" si="17"/>
        <v>7</v>
      </c>
      <c r="AG54" s="1" t="n">
        <f t="shared" si="25"/>
        <v>1479.5427378219799</v>
      </c>
      <c r="AH54" s="1" t="n">
        <f t="shared" si="26"/>
        <v>1500.8354405469399</v>
      </c>
      <c r="AI54" s="1" t="n">
        <f t="shared" si="18"/>
        <v>-21.292702724960009</v>
      </c>
      <c r="AJ54" s="1" t="n">
        <f t="shared" si="19"/>
        <v>2.0997641112311927</v>
      </c>
      <c r="AK54" s="1" t="n">
        <f t="shared" si="27"/>
        <v>0.53060435647524895</v>
      </c>
      <c r="AL54" s="1" t="n">
        <v>82</v>
      </c>
      <c r="AM54" s="1" t="n">
        <f t="shared" si="20"/>
        <v>91.359806769151291</v>
      </c>
      <c r="AN54" s="1" t="n">
        <f t="shared" si="28"/>
        <v>1570.9025445911311</v>
      </c>
      <c r="AO54" s="40" t="n">
        <f t="shared" si="29"/>
        <v>1409.4756337777887</v>
      </c>
    </row>
    <row r="55" ht="14.65" customHeight="1">
      <c r="A55" s="33" t="n">
        <f>Schedule!A55</f>
        <v>1</v>
      </c>
      <c r="B55" s="34" t="s">
        <v>171</v>
      </c>
      <c r="C55" s="34" t="s">
        <v>251</v>
      </c>
      <c r="D55" s="6" t="str">
        <f>IF(OR(ISBLANK(B55), ISNA(VLOOKUP(B55, 'Betting Lines'!$B$2:$F$1048576, MATCH("spread", 'Betting Lines'!$B$1:$J$1, 0), FALSE))), "", VLOOKUP(B55, 'Betting Lines'!$B$2:$F$1048576, MATCH("spread", 'Betting Lines'!$B$1:$J$1, 0), FALSE))</f>
        <v>-24</v>
      </c>
      <c r="E55" s="10" t="n">
        <f>_xlfn.IFNA(IF(ISBLANK(B55),"",VLOOKUP(B55,Elo!$A$2:$AZ$1048576,MATCH(_xlfn.CONCAT("Week ", A55),Elo!$A$1:$AZ$1,0),FALSE)), "")</f>
        <v>1545.58176013767</v>
      </c>
      <c r="F55" s="10" t="n">
        <f>IFERROR(IF(ISBLANK(C55),"",VLOOKUP(C55,Elo!$A$2:$AZ$1048576,MATCH(_xlfn.CONCAT("Week ",A55),Elo!$A$1:$AZ$1,0),FALSE)),IF(ISBLANK(Schedule!D55),"", 1000))</f>
        <v>1089.1400000000001</v>
      </c>
      <c r="G55" s="34" t="n">
        <f>_xlfn.IFNA(IF(ISBLANK(B55),"",IF(VLOOKUP(Games!B55,Schedule!$C$2:$G$1048576,MATCH("neutral_site",Schedule!$C$1:$G$1,0),FALSE),0,50)),"")</f>
        <v>50</v>
      </c>
      <c r="H55" s="34" t="n">
        <f>_xlfn.IFNA(IF(VLOOKUP(Games!B55, 'Bye Weeks'!$A$2:$P$135, MATCH(Games!$A55, 'Bye Weeks'!$A$1:$P$1, 0), FALSE)="Y", 25, 0), 0)</f>
        <v>0</v>
      </c>
      <c r="I55" s="34" t="n">
        <f>_xlfn.IFNA(IF(VLOOKUP(Games!C55, 'Bye Weeks'!$A$2:$P$135, MATCH(Games!$A55, 'Bye Weeks'!$A$1:$P$1, 0), FALSE)="Y", 25, 0), 0)</f>
        <v>0</v>
      </c>
      <c r="J55" s="6" t="n">
        <f>IFERROR(_xlfn.IFNA(IF(ISBLANK(B55), "",IF(ABS(ROUND(Calc!O55, 1))&gt;70,R55,ROUND(Calc!O55, 1))), R55), R55)</f>
        <v>-18.257670405506797</v>
      </c>
      <c r="K55" s="2" t="str">
        <f t="shared" si="11"/>
        <v>UT San Antonio</v>
      </c>
      <c r="L55" s="4" t="n">
        <f t="shared" si="12"/>
        <v>0.94859824845739149</v>
      </c>
      <c r="M55" s="4" t="n">
        <f t="shared" si="13"/>
        <v>5.1401751542608544E-2</v>
      </c>
      <c r="N55" s="34" t="str">
        <f t="shared" si="14"/>
        <v>UT San Antonio</v>
      </c>
      <c r="O55" s="36" t="n">
        <f t="shared" si="15"/>
        <v>0.94859824845739149</v>
      </c>
      <c r="P55" s="13" t="str">
        <f t="shared" si="21"/>
        <v>Y</v>
      </c>
      <c r="Q55" s="15" t="str">
        <f t="shared" si="22"/>
        <v>Y</v>
      </c>
      <c r="R55" s="6" t="n">
        <f t="shared" si="23"/>
        <v>-18.257670405506797</v>
      </c>
      <c r="S55" s="9" t="n">
        <f t="shared" si="16"/>
        <v>0.60884484173098707</v>
      </c>
      <c r="T55" s="17"/>
      <c r="U55" s="11"/>
      <c r="V55" s="19"/>
      <c r="W55" s="20"/>
      <c r="X55" s="11"/>
      <c r="Y55" s="1"/>
      <c r="Z55" s="19"/>
      <c r="AA55" s="20"/>
      <c r="AB55" s="14"/>
      <c r="AC55" s="11" t="n">
        <v>28</v>
      </c>
      <c r="AD55" s="12" t="n">
        <v>16</v>
      </c>
      <c r="AE55" s="16" t="str">
        <f t="shared" si="24"/>
        <v>UT San Antonio</v>
      </c>
      <c r="AF55" s="39" t="n">
        <f t="shared" si="17"/>
        <v>12</v>
      </c>
      <c r="AG55" s="1" t="n">
        <f t="shared" si="25"/>
        <v>1545.58176013767</v>
      </c>
      <c r="AH55" s="1" t="n">
        <f t="shared" si="26"/>
        <v>1089.1400000000001</v>
      </c>
      <c r="AI55" s="1" t="n">
        <f t="shared" si="18"/>
        <v>456.44176013766992</v>
      </c>
      <c r="AJ55" s="1" t="n">
        <f t="shared" si="19"/>
        <v>2.1242282330793274</v>
      </c>
      <c r="AK55" s="1" t="n">
        <f t="shared" si="27"/>
        <v>5.1401751542608509E-2</v>
      </c>
      <c r="AL55" s="1" t="n">
        <v>83</v>
      </c>
      <c r="AM55" s="1" t="n">
        <f t="shared" si="20"/>
        <v>9.0626913040926436</v>
      </c>
      <c r="AN55" s="1" t="n">
        <f t="shared" si="28"/>
        <v>1554.6444514417626</v>
      </c>
      <c r="AO55" s="40" t="n">
        <f t="shared" si="29"/>
        <v>1080.0773086959075</v>
      </c>
    </row>
    <row r="56" ht="14.65" customHeight="1">
      <c r="A56" s="33" t="n">
        <f>Schedule!A56</f>
        <v>1</v>
      </c>
      <c r="B56" s="34" t="s">
        <v>219</v>
      </c>
      <c r="C56" s="34" t="s">
        <v>196</v>
      </c>
      <c r="D56" s="6" t="str">
        <f>IF(OR(ISBLANK(B56), ISNA(VLOOKUP(B56, 'Betting Lines'!$B$2:$F$1048576, MATCH("spread", 'Betting Lines'!$B$1:$J$1, 0), FALSE))), "", VLOOKUP(B56, 'Betting Lines'!$B$2:$F$1048576, MATCH("spread", 'Betting Lines'!$B$1:$J$1, 0), FALSE))</f>
        <v>-17.5</v>
      </c>
      <c r="E56" s="10" t="n">
        <f>_xlfn.IFNA(IF(ISBLANK(B56),"",VLOOKUP(B56,Elo!$A$2:$AZ$1048576,MATCH(_xlfn.CONCAT("Week ", A56),Elo!$A$1:$AZ$1,0),FALSE)), "")</f>
        <v>1354.1941274865201</v>
      </c>
      <c r="F56" s="10" t="n">
        <f>IFERROR(IF(ISBLANK(C56),"",VLOOKUP(C56,Elo!$A$2:$AZ$1048576,MATCH(_xlfn.CONCAT("Week ",A56),Elo!$A$1:$AZ$1,0),FALSE)),IF(ISBLANK(Schedule!D56),"", 1000))</f>
        <v>1436.3052224491501</v>
      </c>
      <c r="G56" s="34" t="n">
        <f>_xlfn.IFNA(IF(ISBLANK(B56),"",IF(VLOOKUP(Games!B56,Schedule!$C$2:$G$1048576,MATCH("neutral_site",Schedule!$C$1:$G$1,0),FALSE),0,50)),"")</f>
        <v>50</v>
      </c>
      <c r="H56" s="34" t="n">
        <f>_xlfn.IFNA(IF(VLOOKUP(Games!B56, 'Bye Weeks'!$A$2:$P$135, MATCH(Games!$A56, 'Bye Weeks'!$A$1:$P$1, 0), FALSE)="Y", 25, 0), 0)</f>
        <v>0</v>
      </c>
      <c r="I56" s="34" t="n">
        <f>_xlfn.IFNA(IF(VLOOKUP(Games!C56, 'Bye Weeks'!$A$2:$P$135, MATCH(Games!$A56, 'Bye Weeks'!$A$1:$P$1, 0), FALSE)="Y", 25, 0), 0)</f>
        <v>0</v>
      </c>
      <c r="J56" s="6" t="n">
        <f>IFERROR(_xlfn.IFNA(IF(ISBLANK(B56), "",IF(ABS(ROUND(Calc!O56, 1))&gt;70,R56,ROUND(Calc!O56, 1))), R56), R56)</f>
        <v>-12.5</v>
      </c>
      <c r="K56" s="2" t="str">
        <f t="shared" si="11"/>
        <v>Syracuse</v>
      </c>
      <c r="L56" s="4" t="n">
        <f t="shared" si="12"/>
        <v>0.4539195519992581</v>
      </c>
      <c r="M56" s="4" t="n">
        <f t="shared" si="13"/>
        <v>0.54608044800074185</v>
      </c>
      <c r="N56" s="34" t="str">
        <f t="shared" si="14"/>
        <v>Ohio</v>
      </c>
      <c r="O56" s="36" t="n">
        <f t="shared" si="15"/>
        <v>0.54608044800074185</v>
      </c>
      <c r="P56" s="13" t="str">
        <f t="shared" si="21"/>
        <v>Y</v>
      </c>
      <c r="Q56" s="15" t="str">
        <f t="shared" si="22"/>
        <v>Y</v>
      </c>
      <c r="R56" s="6" t="n">
        <f t="shared" si="23"/>
        <v>3.2844437985051993</v>
      </c>
      <c r="S56" s="9" t="n">
        <f t="shared" si="16"/>
        <v>0.88951160928743001</v>
      </c>
      <c r="T56" s="17"/>
      <c r="U56" s="11"/>
      <c r="V56" s="19"/>
      <c r="W56" s="20"/>
      <c r="X56" s="11"/>
      <c r="Y56" s="1"/>
      <c r="Z56" s="19"/>
      <c r="AA56" s="20"/>
      <c r="AB56" s="14"/>
      <c r="AC56" s="11" t="n">
        <v>38</v>
      </c>
      <c r="AD56" s="12" t="n">
        <v>22</v>
      </c>
      <c r="AE56" s="16" t="str">
        <f t="shared" si="24"/>
        <v>Syracuse</v>
      </c>
      <c r="AF56" s="39" t="n">
        <f t="shared" si="17"/>
        <v>16</v>
      </c>
      <c r="AG56" s="1" t="n">
        <f t="shared" si="25"/>
        <v>1354.1941274865201</v>
      </c>
      <c r="AH56" s="1" t="n">
        <f t="shared" si="26"/>
        <v>1436.3052224491501</v>
      </c>
      <c r="AI56" s="1" t="n">
        <f t="shared" si="18"/>
        <v>-82.111094962629977</v>
      </c>
      <c r="AJ56" s="1" t="n">
        <f t="shared" si="19"/>
        <v>2.9430577506206319</v>
      </c>
      <c r="AK56" s="1" t="n">
        <f t="shared" si="27"/>
        <v>0.54608044800074196</v>
      </c>
      <c r="AL56" s="1" t="n">
        <v>84</v>
      </c>
      <c r="AM56" s="1" t="n">
        <f t="shared" si="20"/>
        <v>135.00028877588153</v>
      </c>
      <c r="AN56" s="1" t="n">
        <f t="shared" si="28"/>
        <v>1489.1944162624015</v>
      </c>
      <c r="AO56" s="40" t="n">
        <f t="shared" si="29"/>
        <v>1301.3049336732686</v>
      </c>
    </row>
    <row r="57" ht="14.65" customHeight="1">
      <c r="A57" s="33" t="n">
        <v>1</v>
      </c>
      <c r="B57" s="34" t="s">
        <v>143</v>
      </c>
      <c r="C57" s="34" t="s">
        <v>146</v>
      </c>
      <c r="D57" s="6" t="str">
        <f>IF(OR(ISBLANK(B57), ISNA(VLOOKUP(B57, 'Betting Lines'!$B$2:$F$1048576, MATCH("spread", 'Betting Lines'!$B$1:$J$1, 0), FALSE))), "", VLOOKUP(B57, 'Betting Lines'!$B$2:$F$1048576, MATCH("spread", 'Betting Lines'!$B$1:$J$1, 0), FALSE))</f>
        <v>2.5</v>
      </c>
      <c r="E57" s="10" t="n">
        <f>_xlfn.IFNA(IF(ISBLANK(B57),"",VLOOKUP(B57,Elo!$A$2:$AZ$1048576,MATCH(_xlfn.CONCAT("Week ", A57),Elo!$A$1:$AZ$1,0),FALSE)), "")</f>
        <v>1674.0057140070201</v>
      </c>
      <c r="F57" s="10" t="n">
        <f>IFERROR(IF(ISBLANK(C57),"",VLOOKUP(C57,Elo!$A$2:$AZ$1048576,MATCH(_xlfn.CONCAT("Week ",A57),Elo!$A$1:$AZ$1,0),FALSE)),IF(ISBLANK(Schedule!D57),"", 1000))</f>
        <v>1657.4210284573401</v>
      </c>
      <c r="G57" s="34" t="n">
        <f>_xlfn.IFNA(IF(ISBLANK(B57),"",IF(VLOOKUP(Games!B57,Schedule!$C$2:$G$1048576,MATCH("neutral_site",Schedule!$C$1:$G$1,0),FALSE),0,50)),"")</f>
        <v>50</v>
      </c>
      <c r="H57" s="34" t="n">
        <f>_xlfn.IFNA(IF(VLOOKUP(Games!B57, 'Bye Weeks'!$A$2:$P$135, MATCH(Games!$A57, 'Bye Weeks'!$A$1:$P$1, 0), FALSE)="Y", 25, 0), 0)</f>
        <v>0</v>
      </c>
      <c r="I57" s="34" t="n">
        <f>_xlfn.IFNA(IF(VLOOKUP(Games!C57, 'Bye Weeks'!$A$2:$P$135, MATCH(Games!$A57, 'Bye Weeks'!$A$1:$P$1, 0), FALSE)="Y", 25, 0), 0)</f>
        <v>0</v>
      </c>
      <c r="J57" s="6" t="n">
        <f>IFERROR(_xlfn.IFNA(IF(ISBLANK(B57), "",IF(ABS(ROUND(Calc!O57, 1))&gt;70,R57,ROUND(Calc!O57, 1))), R57), R57)</f>
        <v>0.7</v>
      </c>
      <c r="K57" s="2" t="str">
        <f t="shared" si="11"/>
        <v>Miami</v>
      </c>
      <c r="L57" s="4" t="n">
        <f t="shared" si="12"/>
        <v>0.59466691018927809</v>
      </c>
      <c r="M57" s="4" t="n">
        <f t="shared" si="13"/>
        <v>0.40533308981072197</v>
      </c>
      <c r="N57" s="34" t="str">
        <f t="shared" si="14"/>
        <v>Florida</v>
      </c>
      <c r="O57" s="36" t="n">
        <f t="shared" si="15"/>
        <v>0.59466691018927809</v>
      </c>
      <c r="P57" s="13" t="str">
        <f t="shared" si="21"/>
        <v>Y</v>
      </c>
      <c r="Q57" s="15" t="str">
        <f t="shared" si="22"/>
        <v>N</v>
      </c>
      <c r="R57" s="6" t="n">
        <f t="shared" si="23"/>
        <v>-0.66338742198719958</v>
      </c>
      <c r="S57" s="9" t="n">
        <f t="shared" si="16"/>
        <v>14.637681159420291</v>
      </c>
      <c r="T57" s="17"/>
      <c r="U57" s="11"/>
      <c r="V57" s="19"/>
      <c r="W57" s="20"/>
      <c r="X57" s="11"/>
      <c r="Y57" s="1"/>
      <c r="Z57" s="19"/>
      <c r="AA57" s="20"/>
      <c r="AB57" s="14"/>
      <c r="AC57" s="11" t="n">
        <v>17</v>
      </c>
      <c r="AD57" s="12" t="n">
        <v>41</v>
      </c>
      <c r="AE57" s="16" t="str">
        <f t="shared" si="24"/>
        <v>Miami</v>
      </c>
      <c r="AF57" s="39" t="n">
        <f t="shared" si="17"/>
        <v>24</v>
      </c>
      <c r="AG57" s="1" t="n">
        <f t="shared" si="25"/>
        <v>1657.4210284573401</v>
      </c>
      <c r="AH57" s="1" t="n">
        <f t="shared" si="26"/>
        <v>1674.0057140070201</v>
      </c>
      <c r="AI57" s="1" t="n">
        <f t="shared" si="18"/>
        <v>-16.584685549679989</v>
      </c>
      <c r="AJ57" s="1" t="n">
        <f t="shared" si="19"/>
        <v>3.2433256137038828</v>
      </c>
      <c r="AK57" s="1" t="n">
        <f t="shared" si="27"/>
        <v>0.59466691018927809</v>
      </c>
      <c r="AL57" s="1" t="n">
        <v>85</v>
      </c>
      <c r="AM57" s="1" t="n">
        <f t="shared" si="20"/>
        <v>163.93936582231774</v>
      </c>
      <c r="AN57" s="1" t="n">
        <f t="shared" si="28"/>
        <v>1510.0663481847023</v>
      </c>
      <c r="AO57" s="40" t="n">
        <f t="shared" si="29"/>
        <v>1821.3603942796578</v>
      </c>
    </row>
    <row r="58" ht="14.65" customHeight="1">
      <c r="A58" s="33" t="n">
        <v>1</v>
      </c>
      <c r="B58" s="34" t="s">
        <v>137</v>
      </c>
      <c r="C58" s="34" t="s">
        <v>315</v>
      </c>
      <c r="D58" s="6" t="n">
        <v>-34.5</v>
      </c>
      <c r="E58" s="10" t="n">
        <f>_xlfn.IFNA(IF(ISBLANK(B58),"",VLOOKUP(B58,Elo!$A$2:$AZ$1048576,MATCH(_xlfn.CONCAT("Week ", A58),Elo!$A$1:$AZ$1,0),FALSE)), "")</f>
        <v>1692.71584847636</v>
      </c>
      <c r="F58" s="10" t="n">
        <f>IFERROR(IF(ISBLANK(C58),"",VLOOKUP(C58,Elo!$A$2:$AZ$1048576,MATCH(_xlfn.CONCAT("Week ",A58),Elo!$A$1:$AZ$1,0),FALSE)),IF(ISBLANK(Schedule!D58),"", 1000))</f>
        <v>1000</v>
      </c>
      <c r="G58" s="34" t="n">
        <f>_xlfn.IFNA(IF(ISBLANK(B58),"",IF(VLOOKUP(Games!B58,Schedule!$C$2:$G$1048576,MATCH("neutral_site",Schedule!$C$1:$G$1,0),FALSE),0,50)),"")</f>
        <v>50</v>
      </c>
      <c r="H58" s="34" t="n">
        <f>_xlfn.IFNA(IF(VLOOKUP(Games!B58, 'Bye Weeks'!$A$2:$P$135, MATCH(Games!$A58, 'Bye Weeks'!$A$1:$P$1, 0), FALSE)="Y", 25, 0), 0)</f>
        <v>0</v>
      </c>
      <c r="I58" s="34" t="n">
        <f>_xlfn.IFNA(IF(VLOOKUP(Games!C58, 'Bye Weeks'!$A$2:$P$135, MATCH(Games!$A58, 'Bye Weeks'!$A$1:$P$1, 0), FALSE)="Y", 25, 0), 0)</f>
        <v>0</v>
      </c>
      <c r="J58" s="6" t="n">
        <f>IFERROR(_xlfn.IFNA(IF(ISBLANK(B58), "",IF(ABS(ROUND(Calc!O58, 1))&gt;70,R58,ROUND(Calc!O58, 1))), R58), R58)</f>
        <v>-27.708633939054398</v>
      </c>
      <c r="K58" s="2" t="str">
        <f t="shared" si="11"/>
        <v>Appalachian State</v>
      </c>
      <c r="L58" s="4" t="n">
        <f t="shared" si="12"/>
        <v>0.98628447064828917</v>
      </c>
      <c r="M58" s="4" t="n">
        <f t="shared" si="13"/>
        <v>1.3715529351710777E-2</v>
      </c>
      <c r="N58" s="34" t="str">
        <f t="shared" si="14"/>
        <v>Appalachian State</v>
      </c>
      <c r="O58" s="36" t="n">
        <f t="shared" si="15"/>
        <v>0.98628447064828917</v>
      </c>
      <c r="P58" s="13" t="str">
        <f t="shared" si="21"/>
        <v>N</v>
      </c>
      <c r="Q58" s="15" t="str">
        <f t="shared" si="22"/>
        <v>N</v>
      </c>
      <c r="R58" s="6" t="n">
        <f t="shared" si="23"/>
        <v>-27.708633939054398</v>
      </c>
      <c r="S58" s="9" t="n">
        <f t="shared" si="16"/>
        <v>0.36463892126316189</v>
      </c>
      <c r="T58" s="17"/>
      <c r="U58" s="11"/>
      <c r="V58" s="19"/>
      <c r="W58" s="20"/>
      <c r="X58" s="11"/>
      <c r="Y58" s="1"/>
      <c r="Z58" s="19"/>
      <c r="AA58" s="20"/>
      <c r="AB58" s="14"/>
      <c r="AC58" s="11" t="n">
        <v>38</v>
      </c>
      <c r="AD58" s="12" t="n">
        <v>10</v>
      </c>
      <c r="AE58" s="16" t="str">
        <f t="shared" si="24"/>
        <v>Appalachian State</v>
      </c>
      <c r="AF58" s="39" t="n">
        <f t="shared" si="17"/>
        <v>28</v>
      </c>
      <c r="AG58" s="1" t="n">
        <f t="shared" si="25"/>
        <v>1692.71584847636</v>
      </c>
      <c r="AH58" s="1" t="n">
        <f t="shared" si="26"/>
        <v>1000</v>
      </c>
      <c r="AI58" s="1" t="n">
        <f t="shared" si="18"/>
        <v>692.71584847635995</v>
      </c>
      <c r="AJ58" s="1" t="n">
        <f t="shared" si="19"/>
        <v>2.5609327752921818</v>
      </c>
      <c r="AK58" s="1" t="n">
        <f t="shared" si="27"/>
        <v>1.3715529351710831E-2</v>
      </c>
      <c r="AL58" s="1" t="n">
        <v>86</v>
      </c>
      <c r="AM58" s="1" t="n">
        <f t="shared" si="20"/>
        <v>3.0207111836659246</v>
      </c>
      <c r="AN58" s="1" t="n">
        <f t="shared" si="28"/>
        <v>1695.7365596600259</v>
      </c>
      <c r="AO58" s="40" t="n">
        <f t="shared" si="29"/>
        <v>996.97928881633402</v>
      </c>
    </row>
    <row r="59" ht="14.65" customHeight="1">
      <c r="A59" s="33" t="n">
        <f>Schedule!A59</f>
        <v>1</v>
      </c>
      <c r="B59" s="34" t="s">
        <v>193</v>
      </c>
      <c r="C59" s="34" t="s">
        <v>312</v>
      </c>
      <c r="D59" s="6" t="n">
        <v>-29.5</v>
      </c>
      <c r="E59" s="10" t="n">
        <f>_xlfn.IFNA(IF(ISBLANK(B59),"",VLOOKUP(B59,Elo!$A$2:$AZ$1048576,MATCH(_xlfn.CONCAT("Week ", A59),Elo!$A$1:$AZ$1,0),FALSE)), "")</f>
        <v>1450.0603068717701</v>
      </c>
      <c r="F59" s="10" t="n">
        <f>IFERROR(IF(ISBLANK(C59),"",VLOOKUP(C59,Elo!$A$2:$AZ$1048576,MATCH(_xlfn.CONCAT("Week ",A59),Elo!$A$1:$AZ$1,0),FALSE)),IF(ISBLANK(Schedule!D59),"", 1000))</f>
        <v>1000</v>
      </c>
      <c r="G59" s="34" t="n">
        <f>_xlfn.IFNA(IF(ISBLANK(B59),"",IF(VLOOKUP(Games!B59,Schedule!$C$2:$G$1048576,MATCH("neutral_site",Schedule!$C$1:$G$1,0),FALSE),0,50)),"")</f>
        <v>50</v>
      </c>
      <c r="H59" s="34" t="n">
        <f>_xlfn.IFNA(IF(VLOOKUP(Games!B59, 'Bye Weeks'!$A$2:$P$135, MATCH(Games!$A59, 'Bye Weeks'!$A$1:$P$1, 0), FALSE)="Y", 25, 0), 0)</f>
        <v>0</v>
      </c>
      <c r="I59" s="34" t="n">
        <f>_xlfn.IFNA(IF(VLOOKUP(Games!C59, 'Bye Weeks'!$A$2:$P$135, MATCH(Games!$A59, 'Bye Weeks'!$A$1:$P$1, 0), FALSE)="Y", 25, 0), 0)</f>
        <v>0</v>
      </c>
      <c r="J59" s="6" t="n">
        <f>IFERROR(_xlfn.IFNA(IF(ISBLANK(B59), "",IF(ABS(ROUND(Calc!O59, 1))&gt;70,R59,ROUND(Calc!O59, 1))), R59), R59)</f>
        <v>-18.002412274870803</v>
      </c>
      <c r="K59" s="2" t="str">
        <f t="shared" si="11"/>
        <v>Air Force</v>
      </c>
      <c r="L59" s="4" t="n">
        <f t="shared" si="12"/>
        <v>0.94677728063592437</v>
      </c>
      <c r="M59" s="4" t="n">
        <f t="shared" si="13"/>
        <v>5.3222719364075723E-2</v>
      </c>
      <c r="N59" s="34" t="str">
        <f t="shared" si="14"/>
        <v>Air Force</v>
      </c>
      <c r="O59" s="36" t="n">
        <f t="shared" si="15"/>
        <v>0.94677728063592437</v>
      </c>
      <c r="P59" s="13" t="str">
        <f t="shared" si="21"/>
        <v>N</v>
      </c>
      <c r="Q59" s="15" t="str">
        <f t="shared" si="22"/>
        <v>N</v>
      </c>
      <c r="R59" s="6" t="n">
        <f t="shared" si="23"/>
        <v>-18.002412274870803</v>
      </c>
      <c r="S59" s="9" t="n">
        <f t="shared" si="16"/>
        <v>0.56134774179814784</v>
      </c>
      <c r="T59" s="17"/>
      <c r="U59" s="11"/>
      <c r="V59" s="19"/>
      <c r="W59" s="20"/>
      <c r="X59" s="11"/>
      <c r="Y59" s="1"/>
      <c r="Z59" s="19"/>
      <c r="AA59" s="20"/>
      <c r="AB59" s="14"/>
      <c r="AC59" s="11" t="n">
        <v>21</v>
      </c>
      <c r="AD59" s="12" t="n">
        <v>6</v>
      </c>
      <c r="AE59" s="16" t="str">
        <f t="shared" si="24"/>
        <v>Air Force</v>
      </c>
      <c r="AF59" s="39" t="n">
        <f t="shared" si="17"/>
        <v>15</v>
      </c>
      <c r="AG59" s="1" t="n">
        <f t="shared" si="25"/>
        <v>1450.0603068717701</v>
      </c>
      <c r="AH59" s="1" t="n">
        <f t="shared" si="26"/>
        <v>1000</v>
      </c>
      <c r="AI59" s="1" t="n">
        <f t="shared" si="18"/>
        <v>450.06030687177008</v>
      </c>
      <c r="AJ59" s="1" t="n">
        <f t="shared" si="19"/>
        <v>2.3017193884647202</v>
      </c>
      <c r="AK59" s="1" t="n">
        <f t="shared" si="27"/>
        <v>5.3222719364075632E-2</v>
      </c>
      <c r="AL59" s="1" t="n">
        <v>87</v>
      </c>
      <c r="AM59" s="1" t="n">
        <f t="shared" si="20"/>
        <v>10.657827560838534</v>
      </c>
      <c r="AN59" s="1" t="n">
        <f t="shared" si="28"/>
        <v>1460.7181344326086</v>
      </c>
      <c r="AO59" s="40" t="n">
        <f t="shared" si="29"/>
        <v>989.34217243916146</v>
      </c>
    </row>
    <row r="60" ht="14.65" customHeight="1">
      <c r="A60" s="33" t="n">
        <f>Schedule!A60</f>
        <v>1</v>
      </c>
      <c r="B60" s="34" t="s">
        <v>209</v>
      </c>
      <c r="C60" s="34" t="s">
        <v>148</v>
      </c>
      <c r="D60" s="6" t="str">
        <f>IF(OR(ISBLANK(B60), ISNA(VLOOKUP(B60, 'Betting Lines'!$B$2:$F$1048576, MATCH("spread", 'Betting Lines'!$B$1:$J$1, 0), FALSE))), "", VLOOKUP(B60, 'Betting Lines'!$B$2:$F$1048576, MATCH("spread", 'Betting Lines'!$B$1:$J$1, 0), FALSE))</f>
        <v>12</v>
      </c>
      <c r="E60" s="10" t="n">
        <f>_xlfn.IFNA(IF(ISBLANK(B60),"",VLOOKUP(B60,Elo!$A$2:$AZ$1048576,MATCH(_xlfn.CONCAT("Week ", A60),Elo!$A$1:$AZ$1,0),FALSE)), "")</f>
        <v>1390.78250201623</v>
      </c>
      <c r="F60" s="10" t="n">
        <f>IFERROR(IF(ISBLANK(C60),"",VLOOKUP(C60,Elo!$A$2:$AZ$1048576,MATCH(_xlfn.CONCAT("Week ",A60),Elo!$A$1:$AZ$1,0),FALSE)),IF(ISBLANK(Schedule!D60),"", 1000))</f>
        <v>1650.1956948458501</v>
      </c>
      <c r="G60" s="34" t="n">
        <f>_xlfn.IFNA(IF(ISBLANK(B60),"",IF(VLOOKUP(Games!B60,Schedule!$C$2:$G$1048576,MATCH("neutral_site",Schedule!$C$1:$G$1,0),FALSE),0,50)),"")</f>
        <v>50</v>
      </c>
      <c r="H60" s="34" t="n">
        <f>_xlfn.IFNA(IF(VLOOKUP(Games!B60, 'Bye Weeks'!$A$2:$P$135, MATCH(Games!$A60, 'Bye Weeks'!$A$1:$P$1, 0), FALSE)="Y", 25, 0), 0)</f>
        <v>0</v>
      </c>
      <c r="I60" s="34" t="n">
        <f>_xlfn.IFNA(IF(VLOOKUP(Games!C60, 'Bye Weeks'!$A$2:$P$135, MATCH(Games!$A60, 'Bye Weeks'!$A$1:$P$1, 0), FALSE)="Y", 25, 0), 0)</f>
        <v>0</v>
      </c>
      <c r="J60" s="6" t="n">
        <f>IFERROR(_xlfn.IFNA(IF(ISBLANK(B60), "",IF(ABS(ROUND(Calc!O60, 1))&gt;70,R60,ROUND(Calc!O60, 1))), R60), R60)</f>
        <v>23.7</v>
      </c>
      <c r="K60" s="2" t="str">
        <f t="shared" si="11"/>
        <v>Boise State</v>
      </c>
      <c r="L60" s="4" t="n">
        <f t="shared" si="12"/>
        <v>0.23050192457876878</v>
      </c>
      <c r="M60" s="4" t="n">
        <f t="shared" si="13"/>
        <v>0.76949807542123116</v>
      </c>
      <c r="N60" s="34" t="str">
        <f t="shared" si="14"/>
        <v>Boise State</v>
      </c>
      <c r="O60" s="36" t="n">
        <f t="shared" si="15"/>
        <v>0.76949807542123116</v>
      </c>
      <c r="P60" s="13" t="str">
        <f t="shared" si="21"/>
        <v>Y</v>
      </c>
      <c r="Q60" s="15" t="str">
        <f t="shared" si="22"/>
        <v>N</v>
      </c>
      <c r="R60" s="6" t="n">
        <f t="shared" si="23"/>
        <v>10.376527713184805</v>
      </c>
      <c r="S60" s="9" t="n">
        <f t="shared" si="16"/>
        <v>0.42634022794428028</v>
      </c>
      <c r="T60" s="17"/>
      <c r="U60" s="11"/>
      <c r="V60" s="19"/>
      <c r="W60" s="20"/>
      <c r="X60" s="11"/>
      <c r="Y60" s="1"/>
      <c r="Z60" s="19"/>
      <c r="AA60" s="20"/>
      <c r="AB60" s="14"/>
      <c r="AC60" s="11" t="n">
        <v>45</v>
      </c>
      <c r="AD60" s="12" t="n">
        <v>56</v>
      </c>
      <c r="AE60" s="16" t="str">
        <f t="shared" si="24"/>
        <v>Boise State</v>
      </c>
      <c r="AF60" s="39" t="n">
        <f t="shared" si="17"/>
        <v>11</v>
      </c>
      <c r="AG60" s="1" t="n">
        <f t="shared" si="25"/>
        <v>1650.1956948458501</v>
      </c>
      <c r="AH60" s="1" t="n">
        <f t="shared" si="26"/>
        <v>1390.78250201623</v>
      </c>
      <c r="AI60" s="1" t="n">
        <f t="shared" si="18"/>
        <v>259.41319282962013</v>
      </c>
      <c r="AJ60" s="1" t="n">
        <f t="shared" si="19"/>
        <v>2.2228044663141406</v>
      </c>
      <c r="AK60" s="1" t="n">
        <f t="shared" si="27"/>
        <v>0.23050192457876884</v>
      </c>
      <c r="AL60" s="1" t="n">
        <v>88</v>
      </c>
      <c r="AM60" s="1" t="n">
        <f t="shared" si="20"/>
        <v>45.087742255396947</v>
      </c>
      <c r="AN60" s="1" t="n">
        <f t="shared" si="28"/>
        <v>1345.694759760833</v>
      </c>
      <c r="AO60" s="40" t="n">
        <f t="shared" si="29"/>
        <v>1695.283437101247</v>
      </c>
    </row>
    <row r="61" ht="14.65" customHeight="1">
      <c r="A61" s="33" t="n">
        <f>Schedule!A61</f>
        <v>1</v>
      </c>
      <c r="B61" s="34" t="s">
        <v>168</v>
      </c>
      <c r="C61" s="34" t="s">
        <v>214</v>
      </c>
      <c r="D61" s="6" t="str">
        <f>IF(OR(ISBLANK(B61), ISNA(VLOOKUP(B61, 'Betting Lines'!$B$2:$F$1048576, MATCH("spread", 'Betting Lines'!$B$1:$J$1, 0), FALSE))), "", VLOOKUP(B61, 'Betting Lines'!$B$2:$F$1048576, MATCH("spread", 'Betting Lines'!$B$1:$J$1, 0), FALSE))</f>
        <v>-20</v>
      </c>
      <c r="E61" s="10" t="n">
        <f>_xlfn.IFNA(IF(ISBLANK(B61),"",VLOOKUP(B61,Elo!$A$2:$AZ$1048576,MATCH(_xlfn.CONCAT("Week ", A61),Elo!$A$1:$AZ$1,0),FALSE)), "")</f>
        <v>1551.56570204067</v>
      </c>
      <c r="F61" s="10" t="n">
        <f>IFERROR(IF(ISBLANK(C61),"",VLOOKUP(C61,Elo!$A$2:$AZ$1048576,MATCH(_xlfn.CONCAT("Week ",A61),Elo!$A$1:$AZ$1,0),FALSE)),IF(ISBLANK(Schedule!D61),"", 1000))</f>
        <v>1370.13403074644</v>
      </c>
      <c r="G61" s="34" t="n">
        <f>_xlfn.IFNA(IF(ISBLANK(B61),"",IF(VLOOKUP(Games!B61,Schedule!$C$2:$G$1048576,MATCH("neutral_site",Schedule!$C$1:$G$1,0),FALSE),0,50)),"")</f>
        <v>50</v>
      </c>
      <c r="H61" s="34" t="n">
        <f>_xlfn.IFNA(IF(VLOOKUP(Games!B61, 'Bye Weeks'!$A$2:$P$135, MATCH(Games!$A61, 'Bye Weeks'!$A$1:$P$1, 0), FALSE)="Y", 25, 0), 0)</f>
        <v>0</v>
      </c>
      <c r="I61" s="34" t="n">
        <f>_xlfn.IFNA(IF(VLOOKUP(Games!C61, 'Bye Weeks'!$A$2:$P$135, MATCH(Games!$A61, 'Bye Weeks'!$A$1:$P$1, 0), FALSE)="Y", 25, 0), 0)</f>
        <v>0</v>
      </c>
      <c r="J61" s="6" t="n">
        <f>IFERROR(_xlfn.IFNA(IF(ISBLANK(B61), "",IF(ABS(ROUND(Calc!O61, 1))&gt;70,R61,ROUND(Calc!O61, 1))), R61), R61)</f>
        <v>-37.700000000000003</v>
      </c>
      <c r="K61" s="2" t="str">
        <f t="shared" si="11"/>
        <v>South Carolina</v>
      </c>
      <c r="L61" s="4" t="n">
        <f t="shared" si="12"/>
        <v>0.79120889876425871</v>
      </c>
      <c r="M61" s="4" t="n">
        <f t="shared" si="13"/>
        <v>0.20879110123574121</v>
      </c>
      <c r="N61" s="34" t="str">
        <f t="shared" si="14"/>
        <v>South Carolina</v>
      </c>
      <c r="O61" s="36" t="n">
        <f t="shared" si="15"/>
        <v>0.79120889876425871</v>
      </c>
      <c r="P61" s="13" t="str">
        <f t="shared" si="21"/>
        <v>Y</v>
      </c>
      <c r="Q61" s="15" t="str">
        <f t="shared" si="22"/>
        <v>Y</v>
      </c>
      <c r="R61" s="6" t="n">
        <f t="shared" si="23"/>
        <v>-7.2572668517691996</v>
      </c>
      <c r="S61" s="9" t="n">
        <f t="shared" si="16"/>
        <v>0.2947731493764924</v>
      </c>
      <c r="T61" s="17"/>
      <c r="U61" s="11"/>
      <c r="V61" s="19"/>
      <c r="W61" s="20"/>
      <c r="X61" s="11"/>
      <c r="Y61" s="1"/>
      <c r="Z61" s="19"/>
      <c r="AA61" s="20"/>
      <c r="AB61" s="14"/>
      <c r="AC61" s="11" t="n">
        <v>23</v>
      </c>
      <c r="AD61" s="12" t="n">
        <v>19</v>
      </c>
      <c r="AE61" s="16" t="str">
        <f t="shared" si="24"/>
        <v>South Carolina</v>
      </c>
      <c r="AF61" s="39" t="n">
        <f t="shared" si="17"/>
        <v>4</v>
      </c>
      <c r="AG61" s="1" t="n">
        <f t="shared" si="25"/>
        <v>1551.56570204067</v>
      </c>
      <c r="AH61" s="1" t="n">
        <f t="shared" si="26"/>
        <v>1370.13403074644</v>
      </c>
      <c r="AI61" s="1" t="n">
        <f t="shared" si="18"/>
        <v>181.43167129423</v>
      </c>
      <c r="AJ61" s="1" t="n">
        <f t="shared" si="19"/>
        <v>1.4868213310654141</v>
      </c>
      <c r="AK61" s="1" t="n">
        <f t="shared" si="27"/>
        <v>0.20879110123574129</v>
      </c>
      <c r="AL61" s="1" t="n">
        <v>89</v>
      </c>
      <c r="AM61" s="1" t="n">
        <f t="shared" si="20"/>
        <v>27.628720611800528</v>
      </c>
      <c r="AN61" s="1" t="n">
        <f t="shared" si="28"/>
        <v>1579.1944226524704</v>
      </c>
      <c r="AO61" s="40" t="n">
        <f t="shared" si="29"/>
        <v>1342.5053101346396</v>
      </c>
    </row>
    <row r="62" ht="14.65" customHeight="1">
      <c r="A62" s="33" t="n">
        <f>Schedule!A62</f>
        <v>1</v>
      </c>
      <c r="B62" s="34" t="s">
        <v>154</v>
      </c>
      <c r="C62" s="34" t="s">
        <v>218</v>
      </c>
      <c r="D62" s="6" t="str">
        <f>IF(OR(ISBLANK(B62), ISNA(VLOOKUP(B62, 'Betting Lines'!$B$2:$F$1048576, MATCH("spread", 'Betting Lines'!$B$1:$J$1, 0), FALSE))), "", VLOOKUP(B62, 'Betting Lines'!$B$2:$F$1048576, MATCH("spread", 'Betting Lines'!$B$1:$J$1, 0), FALSE))</f>
        <v>-6</v>
      </c>
      <c r="E62" s="10" t="n">
        <f>_xlfn.IFNA(IF(ISBLANK(B62),"",VLOOKUP(B62,Elo!$A$2:$AZ$1048576,MATCH(_xlfn.CONCAT("Week ", A62),Elo!$A$1:$AZ$1,0),FALSE)), "")</f>
        <v>1621.2663058405501</v>
      </c>
      <c r="F62" s="10" t="n">
        <f>IFERROR(IF(ISBLANK(C62),"",VLOOKUP(C62,Elo!$A$2:$AZ$1048576,MATCH(_xlfn.CONCAT("Week ",A62),Elo!$A$1:$AZ$1,0),FALSE)),IF(ISBLANK(Schedule!D62),"", 1000))</f>
        <v>1357.7995310553299</v>
      </c>
      <c r="G62" s="34" t="n">
        <f>_xlfn.IFNA(IF(ISBLANK(B62),"",IF(VLOOKUP(Games!B62,Schedule!$C$2:$G$1048576,MATCH("neutral_site",Schedule!$C$1:$G$1,0),FALSE),0,50)),"")</f>
        <v>50</v>
      </c>
      <c r="H62" s="34" t="n">
        <f>_xlfn.IFNA(IF(VLOOKUP(Games!B62, 'Bye Weeks'!$A$2:$P$135, MATCH(Games!$A62, 'Bye Weeks'!$A$1:$P$1, 0), FALSE)="Y", 25, 0), 0)</f>
        <v>0</v>
      </c>
      <c r="I62" s="34" t="n">
        <f>_xlfn.IFNA(IF(VLOOKUP(Games!C62, 'Bye Weeks'!$A$2:$P$135, MATCH(Games!$A62, 'Bye Weeks'!$A$1:$P$1, 0), FALSE)="Y", 25, 0), 0)</f>
        <v>0</v>
      </c>
      <c r="J62" s="6" t="n">
        <f>IFERROR(_xlfn.IFNA(IF(ISBLANK(B62), "",IF(ABS(ROUND(Calc!O62, 1))&gt;70,R62,ROUND(Calc!O62, 1))), R62), R62)</f>
        <v>-21.2</v>
      </c>
      <c r="K62" s="2" t="str">
        <f t="shared" si="11"/>
        <v>South Alabama</v>
      </c>
      <c r="L62" s="4" t="n">
        <f t="shared" si="12"/>
        <v>0.85869095779635407</v>
      </c>
      <c r="M62" s="4" t="n">
        <f t="shared" si="13"/>
        <v>0.14130904220364585</v>
      </c>
      <c r="N62" s="34" t="str">
        <f t="shared" si="14"/>
        <v>South Alabama</v>
      </c>
      <c r="O62" s="36" t="n">
        <f t="shared" si="15"/>
        <v>0.85869095779635407</v>
      </c>
      <c r="P62" s="13" t="str">
        <f t="shared" si="21"/>
        <v>Y</v>
      </c>
      <c r="Q62" s="15" t="str">
        <f t="shared" si="22"/>
        <v>Y</v>
      </c>
      <c r="R62" s="6" t="n">
        <f t="shared" si="23"/>
        <v>-10.538670991408807</v>
      </c>
      <c r="S62" s="9" t="n">
        <f t="shared" si="16"/>
        <v>0.52430391694195388</v>
      </c>
      <c r="T62" s="17"/>
      <c r="U62" s="11"/>
      <c r="V62" s="19"/>
      <c r="W62" s="20"/>
      <c r="X62" s="11"/>
      <c r="Y62" s="1"/>
      <c r="Z62" s="19"/>
      <c r="AA62" s="20"/>
      <c r="AB62" s="14"/>
      <c r="AC62" s="11" t="n">
        <v>38</v>
      </c>
      <c r="AD62" s="12" t="n">
        <v>52</v>
      </c>
      <c r="AE62" s="16" t="str">
        <f t="shared" si="24"/>
        <v>North Texas</v>
      </c>
      <c r="AF62" s="39" t="n">
        <f t="shared" si="17"/>
        <v>14</v>
      </c>
      <c r="AG62" s="1" t="n">
        <f t="shared" si="25"/>
        <v>1357.7995310553299</v>
      </c>
      <c r="AH62" s="1" t="n">
        <f t="shared" si="26"/>
        <v>1621.2663058405501</v>
      </c>
      <c r="AI62" s="1" t="n">
        <f t="shared" si="18"/>
        <v>-263.4667747852202</v>
      </c>
      <c r="AJ62" s="1" t="n">
        <f t="shared" si="19"/>
        <v>3.076482429969202</v>
      </c>
      <c r="AK62" s="1" t="n">
        <f t="shared" si="27"/>
        <v>0.85869095779635418</v>
      </c>
      <c r="AL62" s="1" t="n">
        <v>90</v>
      </c>
      <c r="AM62" s="1" t="n">
        <f t="shared" si="20"/>
        <v>237.75728799905181</v>
      </c>
      <c r="AN62" s="1" t="n">
        <f t="shared" si="28"/>
        <v>1383.5090178414982</v>
      </c>
      <c r="AO62" s="40" t="n">
        <f t="shared" si="29"/>
        <v>1595.5568190543818</v>
      </c>
    </row>
    <row r="63" ht="14.65" customHeight="1">
      <c r="A63" s="33" t="n">
        <f>Schedule!A63</f>
        <v>1</v>
      </c>
      <c r="B63" s="34" t="s">
        <v>175</v>
      </c>
      <c r="C63" s="34" t="s">
        <v>317</v>
      </c>
      <c r="D63" s="6" t="n">
        <v>-20.5</v>
      </c>
      <c r="E63" s="10" t="n">
        <f>_xlfn.IFNA(IF(ISBLANK(B63),"",VLOOKUP(B63,Elo!$A$2:$AZ$1048576,MATCH(_xlfn.CONCAT("Week ", A63),Elo!$A$1:$AZ$1,0),FALSE)), "")</f>
        <v>1524.46898827274</v>
      </c>
      <c r="F63" s="10" t="n">
        <f>IFERROR(IF(ISBLANK(C63),"",VLOOKUP(C63,Elo!$A$2:$AZ$1048576,MATCH(_xlfn.CONCAT("Week ",A63),Elo!$A$1:$AZ$1,0),FALSE)),IF(ISBLANK(Schedule!D63),"", 1000))</f>
        <v>1000</v>
      </c>
      <c r="G63" s="34" t="n">
        <f>_xlfn.IFNA(IF(ISBLANK(B63),"",IF(VLOOKUP(Games!B63,Schedule!$C$2:$G$1048576,MATCH("neutral_site",Schedule!$C$1:$G$1,0),FALSE),0,50)),"")</f>
        <v>50</v>
      </c>
      <c r="H63" s="34" t="n">
        <f>_xlfn.IFNA(IF(VLOOKUP(Games!B63, 'Bye Weeks'!$A$2:$P$135, MATCH(Games!$A63, 'Bye Weeks'!$A$1:$P$1, 0), FALSE)="Y", 25, 0), 0)</f>
        <v>0</v>
      </c>
      <c r="I63" s="34" t="n">
        <f>_xlfn.IFNA(IF(VLOOKUP(Games!C63, 'Bye Weeks'!$A$2:$P$135, MATCH(Games!$A63, 'Bye Weeks'!$A$1:$P$1, 0), FALSE)="Y", 25, 0), 0)</f>
        <v>0</v>
      </c>
      <c r="J63" s="6" t="n">
        <f>IFERROR(_xlfn.IFNA(IF(ISBLANK(B63), "",IF(ABS(ROUND(Calc!O63, 1))&gt;70,R63,ROUND(Calc!O63, 1))), R63), R63)</f>
        <v>-20.978759530909603</v>
      </c>
      <c r="K63" s="2" t="str">
        <f t="shared" si="11"/>
        <v>California</v>
      </c>
      <c r="L63" s="4" t="n">
        <f t="shared" si="12"/>
        <v>0.9646650819878112</v>
      </c>
      <c r="M63" s="4" t="n">
        <f t="shared" si="13"/>
        <v>3.5334918012188875E-2</v>
      </c>
      <c r="N63" s="34" t="str">
        <f t="shared" si="14"/>
        <v>California</v>
      </c>
      <c r="O63" s="36" t="n">
        <f t="shared" si="15"/>
        <v>0.9646650819878112</v>
      </c>
      <c r="P63" s="13" t="str">
        <f t="shared" si="21"/>
        <v>Y</v>
      </c>
      <c r="Q63" s="15" t="str">
        <f t="shared" si="22"/>
        <v>Y</v>
      </c>
      <c r="R63" s="6" t="n">
        <f t="shared" si="23"/>
        <v>-20.978759530909603</v>
      </c>
      <c r="S63" s="9" t="n">
        <f t="shared" si="16"/>
        <v>0.48166893158900537</v>
      </c>
      <c r="T63" s="17"/>
      <c r="U63" s="11"/>
      <c r="V63" s="19"/>
      <c r="W63" s="20"/>
      <c r="X63" s="11"/>
      <c r="Y63" s="1"/>
      <c r="Z63" s="19"/>
      <c r="AA63" s="20"/>
      <c r="AB63" s="14"/>
      <c r="AC63" s="11" t="n">
        <v>31</v>
      </c>
      <c r="AD63" s="12" t="n">
        <v>13</v>
      </c>
      <c r="AE63" s="16" t="str">
        <f t="shared" si="24"/>
        <v>California</v>
      </c>
      <c r="AF63" s="39" t="n">
        <f t="shared" si="17"/>
        <v>18</v>
      </c>
      <c r="AG63" s="1" t="n">
        <f t="shared" si="25"/>
        <v>1524.46898827274</v>
      </c>
      <c r="AH63" s="1" t="n">
        <f t="shared" si="26"/>
        <v>1000</v>
      </c>
      <c r="AI63" s="1" t="n">
        <f t="shared" si="18"/>
        <v>524.46898827274003</v>
      </c>
      <c r="AJ63" s="1" t="n">
        <f t="shared" si="19"/>
        <v>2.3776250645719208</v>
      </c>
      <c r="AK63" s="1" t="n">
        <f t="shared" si="27"/>
        <v>3.5334918012188798E-2</v>
      </c>
      <c r="AL63" s="1" t="n">
        <v>91</v>
      </c>
      <c r="AM63" s="1" t="n">
        <f t="shared" si="20"/>
        <v>7.6451999915540263</v>
      </c>
      <c r="AN63" s="1" t="n">
        <f t="shared" si="28"/>
        <v>1532.1141882642942</v>
      </c>
      <c r="AO63" s="40" t="n">
        <f t="shared" si="29"/>
        <v>992.35480000844598</v>
      </c>
    </row>
    <row r="64" ht="14.65" customHeight="1">
      <c r="A64" s="33" t="n">
        <f>Schedule!A64</f>
        <v>1</v>
      </c>
      <c r="B64" s="34" t="s">
        <v>222</v>
      </c>
      <c r="C64" s="34" t="s">
        <v>316</v>
      </c>
      <c r="D64" s="6" t="n">
        <v>-32.5</v>
      </c>
      <c r="E64" s="10" t="n">
        <f>_xlfn.IFNA(IF(ISBLANK(B64),"",VLOOKUP(B64,Elo!$A$2:$AZ$1048576,MATCH(_xlfn.CONCAT("Week ", A64),Elo!$A$1:$AZ$1,0),FALSE)), "")</f>
        <v>1348.9431632113999</v>
      </c>
      <c r="F64" s="10" t="n">
        <f>IFERROR(IF(ISBLANK(C64),"",VLOOKUP(C64,Elo!$A$2:$AZ$1048576,MATCH(_xlfn.CONCAT("Week ",A64),Elo!$A$1:$AZ$1,0),FALSE)),IF(ISBLANK(Schedule!D64),"", 1000))</f>
        <v>1000</v>
      </c>
      <c r="G64" s="34" t="n">
        <f>_xlfn.IFNA(IF(ISBLANK(B64),"",IF(VLOOKUP(Games!B64,Schedule!$C$2:$G$1048576,MATCH("neutral_site",Schedule!$C$1:$G$1,0),FALSE),0,50)),"")</f>
        <v>50</v>
      </c>
      <c r="H64" s="34" t="n">
        <f>_xlfn.IFNA(IF(VLOOKUP(Games!B64, 'Bye Weeks'!$A$2:$P$135, MATCH(Games!$A64, 'Bye Weeks'!$A$1:$P$1, 0), FALSE)="Y", 25, 0), 0)</f>
        <v>0</v>
      </c>
      <c r="I64" s="34" t="n">
        <f>_xlfn.IFNA(IF(VLOOKUP(Games!C64, 'Bye Weeks'!$A$2:$P$135, MATCH(Games!$A64, 'Bye Weeks'!$A$1:$P$1, 0), FALSE)="Y", 25, 0), 0)</f>
        <v>0</v>
      </c>
      <c r="J64" s="6" t="n">
        <f>IFERROR(_xlfn.IFNA(IF(ISBLANK(B64), "",IF(ABS(ROUND(Calc!O64, 1))&gt;70,R64,ROUND(Calc!O64, 1))), R64), R64)</f>
        <v>-13.957726528455996</v>
      </c>
      <c r="K64" s="2" t="str">
        <f t="shared" si="11"/>
        <v>Marshall</v>
      </c>
      <c r="L64" s="4" t="n">
        <f t="shared" si="12"/>
        <v>0.90858687593012633</v>
      </c>
      <c r="M64" s="4" t="n">
        <f t="shared" si="13"/>
        <v>9.1413124069873758E-2</v>
      </c>
      <c r="N64" s="34" t="str">
        <f t="shared" si="14"/>
        <v>Marshall</v>
      </c>
      <c r="O64" s="36" t="n">
        <f t="shared" si="15"/>
        <v>0.90858687593012633</v>
      </c>
      <c r="P64" s="13" t="str">
        <f t="shared" si="21"/>
        <v>N</v>
      </c>
      <c r="Q64" s="15" t="str">
        <f t="shared" si="22"/>
        <v>N</v>
      </c>
      <c r="R64" s="6" t="n">
        <f t="shared" si="23"/>
        <v>-13.957726528455996</v>
      </c>
      <c r="S64" s="9" t="n">
        <f t="shared" si="16"/>
        <v>0.72413235084542937</v>
      </c>
      <c r="T64" s="17"/>
      <c r="U64" s="11"/>
      <c r="V64" s="19"/>
      <c r="W64" s="20"/>
      <c r="X64" s="11"/>
      <c r="Y64" s="1"/>
      <c r="Z64" s="19"/>
      <c r="AA64" s="20"/>
      <c r="AB64" s="14"/>
      <c r="AC64" s="11" t="n">
        <v>45</v>
      </c>
      <c r="AD64" s="12" t="n">
        <v>3</v>
      </c>
      <c r="AE64" s="16" t="str">
        <f t="shared" si="24"/>
        <v>Marshall</v>
      </c>
      <c r="AF64" s="39" t="n">
        <f t="shared" si="17"/>
        <v>42</v>
      </c>
      <c r="AG64" s="1" t="n">
        <f t="shared" si="25"/>
        <v>1348.9431632113999</v>
      </c>
      <c r="AH64" s="1" t="n">
        <f t="shared" si="26"/>
        <v>1000</v>
      </c>
      <c r="AI64" s="1" t="n">
        <f t="shared" si="18"/>
        <v>348.94316321139991</v>
      </c>
      <c r="AJ64" s="1" t="n">
        <f t="shared" si="19"/>
        <v>3.2463023789438532</v>
      </c>
      <c r="AK64" s="1" t="n">
        <f t="shared" si="27"/>
        <v>9.1413124069873675E-2</v>
      </c>
      <c r="AL64" s="1" t="n">
        <v>92</v>
      </c>
      <c r="AM64" s="1" t="n">
        <f t="shared" si="20"/>
        <v>27.301427076394287</v>
      </c>
      <c r="AN64" s="1" t="n">
        <f t="shared" si="28"/>
        <v>1376.2445902877942</v>
      </c>
      <c r="AO64" s="40" t="n">
        <f t="shared" si="29"/>
        <v>972.69857292360575</v>
      </c>
    </row>
    <row r="65" ht="14.65" customHeight="1">
      <c r="A65" s="33" t="n">
        <f>Schedule!A65</f>
        <v>1</v>
      </c>
      <c r="B65" s="34" t="s">
        <v>215</v>
      </c>
      <c r="C65" s="34" t="s">
        <v>318</v>
      </c>
      <c r="D65" s="6" t="n">
        <v>-19.5</v>
      </c>
      <c r="E65" s="10" t="n">
        <f>_xlfn.IFNA(IF(ISBLANK(B65),"",VLOOKUP(B65,Elo!$A$2:$AZ$1048576,MATCH(_xlfn.CONCAT("Week ", A65),Elo!$A$1:$AZ$1,0),FALSE)), "")</f>
        <v>1361.62023418331</v>
      </c>
      <c r="F65" s="10" t="n">
        <f>IFERROR(IF(ISBLANK(C65),"",VLOOKUP(C65,Elo!$A$2:$AZ$1048576,MATCH(_xlfn.CONCAT("Week ",A65),Elo!$A$1:$AZ$1,0),FALSE)),IF(ISBLANK(Schedule!D65),"", 1000))</f>
        <v>1000</v>
      </c>
      <c r="G65" s="34" t="n">
        <f>_xlfn.IFNA(IF(ISBLANK(B65),"",IF(VLOOKUP(Games!B65,Schedule!$C$2:$G$1048576,MATCH("neutral_site",Schedule!$C$1:$G$1,0),FALSE),0,50)),"")</f>
        <v>50</v>
      </c>
      <c r="H65" s="34" t="n">
        <f>_xlfn.IFNA(IF(VLOOKUP(Games!B65, 'Bye Weeks'!$A$2:$P$135, MATCH(Games!$A65, 'Bye Weeks'!$A$1:$P$1, 0), FALSE)="Y", 25, 0), 0)</f>
        <v>0</v>
      </c>
      <c r="I65" s="34" t="n">
        <f>_xlfn.IFNA(IF(VLOOKUP(Games!C65, 'Bye Weeks'!$A$2:$P$135, MATCH(Games!$A65, 'Bye Weeks'!$A$1:$P$1, 0), FALSE)="Y", 25, 0), 0)</f>
        <v>0</v>
      </c>
      <c r="J65" s="6" t="n">
        <f>IFERROR(_xlfn.IFNA(IF(ISBLANK(B65), "",IF(ABS(ROUND(Calc!O65, 1))&gt;70,R65,ROUND(Calc!O65, 1))), R65), R65)</f>
        <v>-14.4648093673324</v>
      </c>
      <c r="K65" s="2" t="str">
        <f t="shared" si="11"/>
        <v>Virginia</v>
      </c>
      <c r="L65" s="4" t="n">
        <f t="shared" si="12"/>
        <v>0.91446992703545049</v>
      </c>
      <c r="M65" s="4" t="n">
        <f t="shared" si="13"/>
        <v>8.553007296454955E-2</v>
      </c>
      <c r="N65" s="34" t="str">
        <f t="shared" si="14"/>
        <v>Virginia</v>
      </c>
      <c r="O65" s="36" t="n">
        <f t="shared" si="15"/>
        <v>0.91446992703545049</v>
      </c>
      <c r="P65" s="13" t="str">
        <f t="shared" si="21"/>
        <v>N</v>
      </c>
      <c r="Q65" s="15" t="str">
        <f t="shared" si="22"/>
        <v>N</v>
      </c>
      <c r="R65" s="6" t="n">
        <f t="shared" si="23"/>
        <v>-14.4648093673324</v>
      </c>
      <c r="S65" s="9" t="n">
        <f t="shared" si="16"/>
        <v>0.69872938088175762</v>
      </c>
      <c r="T65" s="17"/>
      <c r="U65" s="11"/>
      <c r="V65" s="19"/>
      <c r="W65" s="20"/>
      <c r="X65" s="11"/>
      <c r="Y65" s="1"/>
      <c r="Z65" s="19"/>
      <c r="AA65" s="20"/>
      <c r="AB65" s="14"/>
      <c r="AC65" s="11" t="n">
        <v>34</v>
      </c>
      <c r="AD65" s="12" t="n">
        <v>13</v>
      </c>
      <c r="AE65" s="16" t="str">
        <f t="shared" si="24"/>
        <v>Virginia</v>
      </c>
      <c r="AF65" s="39" t="n">
        <f t="shared" si="17"/>
        <v>21</v>
      </c>
      <c r="AG65" s="1" t="n">
        <f t="shared" si="25"/>
        <v>1361.62023418331</v>
      </c>
      <c r="AH65" s="1" t="n">
        <f t="shared" si="26"/>
        <v>1000</v>
      </c>
      <c r="AI65" s="1" t="n">
        <f t="shared" si="18"/>
        <v>361.62023418331</v>
      </c>
      <c r="AJ65" s="1" t="n">
        <f t="shared" si="19"/>
        <v>2.6546844480077079</v>
      </c>
      <c r="AK65" s="1" t="n">
        <f t="shared" si="27"/>
        <v>8.5530072964549508E-2</v>
      </c>
      <c r="AL65" s="1" t="n">
        <v>93</v>
      </c>
      <c r="AM65" s="1" t="n">
        <f t="shared" si="20"/>
        <v>21.116147971843731</v>
      </c>
      <c r="AN65" s="1" t="n">
        <f t="shared" si="28"/>
        <v>1382.7363821551537</v>
      </c>
      <c r="AO65" s="40" t="n">
        <f t="shared" si="29"/>
        <v>978.8838520281563</v>
      </c>
    </row>
    <row r="66" ht="14.65" customHeight="1">
      <c r="A66" s="33" t="n">
        <f>Schedule!A66</f>
        <v>1</v>
      </c>
      <c r="B66" s="34" t="s">
        <v>140</v>
      </c>
      <c r="C66" s="34" t="s">
        <v>320</v>
      </c>
      <c r="D66" s="6" t="n">
        <v>-39.5</v>
      </c>
      <c r="E66" s="10" t="n">
        <f>_xlfn.IFNA(IF(ISBLANK(B66),"",VLOOKUP(B66,Elo!$A$2:$AZ$1048576,MATCH(_xlfn.CONCAT("Week ", A66),Elo!$A$1:$AZ$1,0),FALSE)), "")</f>
        <v>1686.07410211058</v>
      </c>
      <c r="F66" s="10" t="n">
        <f>IFERROR(IF(ISBLANK(C66),"",VLOOKUP(C66,Elo!$A$2:$AZ$1048576,MATCH(_xlfn.CONCAT("Week ",A66),Elo!$A$1:$AZ$1,0),FALSE)),IF(ISBLANK(Schedule!D66),"", 1000))</f>
        <v>1000</v>
      </c>
      <c r="G66" s="34" t="n">
        <f>_xlfn.IFNA(IF(ISBLANK(B66),"",IF(VLOOKUP(Games!B66,Schedule!$C$2:$G$1048576,MATCH("neutral_site",Schedule!$C$1:$G$1,0),FALSE),0,50)),"")</f>
        <v>50</v>
      </c>
      <c r="H66" s="34" t="n">
        <f>_xlfn.IFNA(IF(VLOOKUP(Games!B66, 'Bye Weeks'!$A$2:$P$135, MATCH(Games!$A66, 'Bye Weeks'!$A$1:$P$1, 0), FALSE)="Y", 25, 0), 0)</f>
        <v>0</v>
      </c>
      <c r="I66" s="34" t="n">
        <f>_xlfn.IFNA(IF(VLOOKUP(Games!C66, 'Bye Weeks'!$A$2:$P$135, MATCH(Games!$A66, 'Bye Weeks'!$A$1:$P$1, 0), FALSE)="Y", 25, 0), 0)</f>
        <v>0</v>
      </c>
      <c r="J66" s="6" t="n">
        <f>IFERROR(_xlfn.IFNA(IF(ISBLANK(B66), "",IF(ABS(ROUND(Calc!O66, 1))&gt;70,R66,ROUND(Calc!O66, 1))), R66), R66)</f>
        <v>-27.442964084423203</v>
      </c>
      <c r="K66" s="2" t="str">
        <f t="shared" si="11"/>
        <v>Liberty</v>
      </c>
      <c r="L66" s="4" t="n">
        <f t="shared" si="12"/>
        <v>0.98575754504433444</v>
      </c>
      <c r="M66" s="4" t="n">
        <f t="shared" si="13"/>
        <v>1.4242454955665614E-2</v>
      </c>
      <c r="N66" s="34" t="str">
        <f t="shared" si="14"/>
        <v>Liberty</v>
      </c>
      <c r="O66" s="36" t="n">
        <f t="shared" si="15"/>
        <v>0.98575754504433444</v>
      </c>
      <c r="P66" s="13" t="str">
        <f t="shared" ref="P66:P101" si="30">IF(OR(ISBLANK(B66), ISBLANK(D66)),"",IF(J66&lt;D66, "Y","N"))</f>
        <v>N</v>
      </c>
      <c r="Q66" s="15" t="str">
        <f t="shared" ref="Q66:Q101" si="31">IF(OR(ISBLANK(B66),ISBLANK(D66)),"",IF(AND(D66&lt;0,K66&lt;&gt;B66),"Y",IF(AND(B66=K66,J66&lt;D66),"Y","N")))</f>
        <v>N</v>
      </c>
      <c r="R66" s="6" t="n">
        <f t="shared" ref="R66:R101" si="32">IF(ISBLANK(B66), "", (F66-E66)/25)</f>
        <v>-27.442964084423203</v>
      </c>
      <c r="S66" s="9" t="n">
        <f t="shared" si="16"/>
        <v>0.36817020460923922</v>
      </c>
      <c r="T66" s="17"/>
      <c r="U66" s="11"/>
      <c r="V66" s="19"/>
      <c r="W66" s="20"/>
      <c r="X66" s="11"/>
      <c r="Y66" s="1"/>
      <c r="Z66" s="19"/>
      <c r="AA66" s="20"/>
      <c r="AB66" s="14"/>
      <c r="AC66" s="11" t="n">
        <v>42</v>
      </c>
      <c r="AD66" s="12" t="n">
        <v>24</v>
      </c>
      <c r="AE66" s="16" t="str">
        <f t="shared" ref="AE66:AE97" si="33">IF(ISBLANK(AC66), "", IF(AC66&gt;AD66, B66, C66))</f>
        <v>Liberty</v>
      </c>
      <c r="AF66" s="39" t="n">
        <f t="shared" si="17"/>
        <v>18</v>
      </c>
      <c r="AG66" s="1" t="n">
        <f t="shared" ref="AG66:AG101" si="34">IF(ISBLANK(AC66), "", IF(AE66=B66, E66, IF(AE66=C66, F66, "NA")))</f>
        <v>1686.07410211058</v>
      </c>
      <c r="AH66" s="1" t="n">
        <f t="shared" ref="AH66:AH101" si="35">IF(ISBLANK(AC66), "", IF(AE66=B66, F66, IF(AE66=C66, E66, "NA")))</f>
        <v>1000</v>
      </c>
      <c r="AI66" s="1" t="n">
        <f t="shared" si="18"/>
        <v>686.07410211058004</v>
      </c>
      <c r="AJ66" s="1" t="n">
        <f t="shared" si="19"/>
        <v>2.2444904479164243</v>
      </c>
      <c r="AK66" s="1" t="n">
        <f t="shared" ref="AK66:AK101" si="36">IFERROR(1-IF(AE66=B66, L66, IF(AE66=C66, M66, "")), "")</f>
        <v>1.4242454955665562E-2</v>
      </c>
      <c r="AL66" s="1" t="n">
        <v>94</v>
      </c>
      <c r="AM66" s="1" t="n">
        <f t="shared" si="20"/>
        <v>3.0049030856699019</v>
      </c>
      <c r="AN66" s="1" t="n">
        <f t="shared" ref="AN66:AN97" si="37">IF(ISBLANK(AC66), E66,IF(AE66=B66, E66+AM66, E66-AM66))</f>
        <v>1689.0790051962499</v>
      </c>
      <c r="AO66" s="40" t="n">
        <f t="shared" ref="AO66:AO101" si="38">IF(ISBLANK(AC66), F66,IF(AE66=C66, F66+AM66, F66-AM66))</f>
        <v>996.99509691433013</v>
      </c>
    </row>
    <row r="67" ht="14.65" customHeight="1">
      <c r="A67" s="33" t="n">
        <f>Schedule!A67</f>
        <v>1</v>
      </c>
      <c r="B67" s="34" t="s">
        <v>223</v>
      </c>
      <c r="C67" s="34" t="s">
        <v>321</v>
      </c>
      <c r="D67" s="6" t="n">
        <v>-33.5</v>
      </c>
      <c r="E67" s="10" t="n">
        <f>_xlfn.IFNA(IF(ISBLANK(B67),"",VLOOKUP(B67,Elo!$A$2:$AZ$1048576,MATCH(_xlfn.CONCAT("Week ", A67),Elo!$A$1:$AZ$1,0),FALSE)), "")</f>
        <v>1339.2165012668099</v>
      </c>
      <c r="F67" s="10" t="n">
        <f>IFERROR(IF(ISBLANK(C67),"",VLOOKUP(C67,Elo!$A$2:$AZ$1048576,MATCH(_xlfn.CONCAT("Week ",A67),Elo!$A$1:$AZ$1,0),FALSE)),IF(ISBLANK(Schedule!D67),"", 1000))</f>
        <v>1000</v>
      </c>
      <c r="G67" s="34" t="n">
        <f>_xlfn.IFNA(IF(ISBLANK(B67),"",IF(VLOOKUP(Games!B67,Schedule!$C$2:$G$1048576,MATCH("neutral_site",Schedule!$C$1:$G$1,0),FALSE),0,50)),"")</f>
        <v>50</v>
      </c>
      <c r="H67" s="34" t="n">
        <f>_xlfn.IFNA(IF(VLOOKUP(Games!B67, 'Bye Weeks'!$A$2:$P$135, MATCH(Games!$A67, 'Bye Weeks'!$A$1:$P$1, 0), FALSE)="Y", 25, 0), 0)</f>
        <v>0</v>
      </c>
      <c r="I67" s="34" t="n">
        <f>_xlfn.IFNA(IF(VLOOKUP(Games!C67, 'Bye Weeks'!$A$2:$P$135, MATCH(Games!$A67, 'Bye Weeks'!$A$1:$P$1, 0), FALSE)="Y", 25, 0), 0)</f>
        <v>0</v>
      </c>
      <c r="J67" s="6" t="n">
        <f>IFERROR(_xlfn.IFNA(IF(ISBLANK(B67), "",IF(ABS(ROUND(Calc!O67, 1))&gt;70,R67,ROUND(Calc!O67, 1))), R67), R67)</f>
        <v>-13.568660050672397</v>
      </c>
      <c r="K67" s="2" t="str">
        <f t="shared" ref="K67:K101" si="39">IF(ISNUMBER(J67),IF(OR(ISBLANK(B67), N67=""), "",IF(J67&gt;0,C67,B67)), "")</f>
        <v>East Carolina</v>
      </c>
      <c r="L67" s="4" t="n">
        <f t="shared" ref="L67:L101" si="40">IF(ISBLANK(B67), "",1/(1+10^((((F67+I67)-(E67+G67+H67))/400))))</f>
        <v>0.90382882251586749</v>
      </c>
      <c r="M67" s="4" t="n">
        <f t="shared" ref="M67:M101" si="41">IF(ISBLANK(C67), "", 1/(1+10^(((E67+G67+H67)-(F67+I67))/400)))</f>
        <v>9.6171177484132522E-2</v>
      </c>
      <c r="N67" s="34" t="str">
        <f t="shared" ref="N67:N101" si="42">IFERROR(IF(ISBLANK(B67), "", IF(L67&gt;M67, B67, C67)), "")</f>
        <v>East Carolina</v>
      </c>
      <c r="O67" s="36" t="n">
        <f t="shared" ref="O67:O101" si="43">IFERROR(IF(ISBLANK(B67), "", IF(L67&gt;M67, L67, M67)),"")</f>
        <v>0.90382882251586749</v>
      </c>
      <c r="P67" s="13" t="str">
        <f t="shared" si="30"/>
        <v>N</v>
      </c>
      <c r="Q67" s="15" t="str">
        <f t="shared" si="31"/>
        <v>N</v>
      </c>
      <c r="R67" s="6" t="n">
        <f t="shared" si="32"/>
        <v>-13.568660050672397</v>
      </c>
      <c r="S67" s="9" t="n">
        <f t="shared" ref="S67:S101" si="44">((((1/COUNTA($J$2:$J$102))+1)/(ABS(J67)-(1/COUNTA($R$2:$R$101))))*10)*IF(AND(D67&lt;0, K67=C67), 1.15, IF(AND(D67&gt;0, K67=B67), 1.1, 1))</f>
        <v>0.74491136751371856</v>
      </c>
      <c r="T67" s="17"/>
      <c r="U67" s="11"/>
      <c r="V67" s="19"/>
      <c r="W67" s="20"/>
      <c r="X67" s="11"/>
      <c r="Y67" s="1"/>
      <c r="Z67" s="19"/>
      <c r="AA67" s="20"/>
      <c r="AB67" s="14"/>
      <c r="AC67" s="11" t="n">
        <v>42</v>
      </c>
      <c r="AD67" s="12" t="n">
        <v>3</v>
      </c>
      <c r="AE67" s="16" t="str">
        <f t="shared" si="33"/>
        <v>East Carolina</v>
      </c>
      <c r="AF67" s="39" t="n">
        <f t="shared" ref="AF67:AF101" si="45">IF(ISBLANK(AC67), "",ABS(AC67-AD67))</f>
        <v>39</v>
      </c>
      <c r="AG67" s="1" t="n">
        <f t="shared" si="34"/>
        <v>1339.2165012668099</v>
      </c>
      <c r="AH67" s="1" t="n">
        <f t="shared" si="35"/>
        <v>1000</v>
      </c>
      <c r="AI67" s="1" t="n">
        <f t="shared" ref="AI67:AI101" si="46">IF(ISBLANK(AC67), "",AG67-AH67)</f>
        <v>339.21650126680993</v>
      </c>
      <c r="AJ67" s="1" t="n">
        <f t="shared" ref="AJ67:AJ101" si="47">IFERROR(LN(AF67+1)*(2.2/((AI67*0.001)+2.2)), "")</f>
        <v>3.1960783158906838</v>
      </c>
      <c r="AK67" s="1" t="n">
        <f t="shared" si="36"/>
        <v>9.6171177484132508E-2</v>
      </c>
      <c r="AL67" s="1" t="n">
        <v>95</v>
      </c>
      <c r="AM67" s="1" t="n">
        <f t="shared" ref="AM67:AM101" si="48">IFERROR(AJ67*AK67*AL67, "")</f>
        <v>29.200208422217475</v>
      </c>
      <c r="AN67" s="1" t="n">
        <f t="shared" si="37"/>
        <v>1368.4167096890274</v>
      </c>
      <c r="AO67" s="40" t="n">
        <f t="shared" si="38"/>
        <v>970.79979157778257</v>
      </c>
    </row>
    <row r="68" ht="14.65" customHeight="1">
      <c r="A68" s="33" t="n">
        <f>Schedule!A68</f>
        <v>1</v>
      </c>
      <c r="B68" s="34" t="s">
        <v>201</v>
      </c>
      <c r="C68" s="34" t="s">
        <v>319</v>
      </c>
      <c r="D68" s="6" t="n">
        <v>-24.5</v>
      </c>
      <c r="E68" s="10" t="n">
        <f>_xlfn.IFNA(IF(ISBLANK(B68),"",VLOOKUP(B68,Elo!$A$2:$AZ$1048576,MATCH(_xlfn.CONCAT("Week ", A68),Elo!$A$1:$AZ$1,0),FALSE)), "")</f>
        <v>1425.80351524306</v>
      </c>
      <c r="F68" s="10" t="n">
        <f>IFERROR(IF(ISBLANK(C68),"",VLOOKUP(C68,Elo!$A$2:$AZ$1048576,MATCH(_xlfn.CONCAT("Week ",A68),Elo!$A$1:$AZ$1,0),FALSE)),IF(ISBLANK(Schedule!D68),"", 1000))</f>
        <v>1000</v>
      </c>
      <c r="G68" s="34" t="n">
        <f>_xlfn.IFNA(IF(ISBLANK(B68),"",IF(VLOOKUP(Games!B68,Schedule!$C$2:$G$1048576,MATCH("neutral_site",Schedule!$C$1:$G$1,0),FALSE),0,50)),"")</f>
        <v>50</v>
      </c>
      <c r="H68" s="34" t="n">
        <f>_xlfn.IFNA(IF(VLOOKUP(Games!B68, 'Bye Weeks'!$A$2:$P$135, MATCH(Games!$A68, 'Bye Weeks'!$A$1:$P$1, 0), FALSE)="Y", 25, 0), 0)</f>
        <v>0</v>
      </c>
      <c r="I68" s="34" t="n">
        <f>_xlfn.IFNA(IF(VLOOKUP(Games!C68, 'Bye Weeks'!$A$2:$P$135, MATCH(Games!$A68, 'Bye Weeks'!$A$1:$P$1, 0), FALSE)="Y", 25, 0), 0)</f>
        <v>0</v>
      </c>
      <c r="J68" s="6" t="n">
        <f>IFERROR(_xlfn.IFNA(IF(ISBLANK(B68), "",IF(ABS(ROUND(Calc!O68, 1))&gt;70,R68,ROUND(Calc!O68, 1))), R68), R68)</f>
        <v>-17.032140609722401</v>
      </c>
      <c r="K68" s="2" t="str">
        <f t="shared" si="39"/>
        <v>Mississippi State</v>
      </c>
      <c r="L68" s="4" t="n">
        <f t="shared" si="40"/>
        <v>0.93928597178746076</v>
      </c>
      <c r="M68" s="4" t="n">
        <f t="shared" si="41"/>
        <v>6.0714028212539156E-2</v>
      </c>
      <c r="N68" s="34" t="str">
        <f t="shared" si="42"/>
        <v>Mississippi State</v>
      </c>
      <c r="O68" s="36" t="n">
        <f t="shared" si="43"/>
        <v>0.93928597178746076</v>
      </c>
      <c r="P68" s="13" t="str">
        <f t="shared" si="30"/>
        <v>N</v>
      </c>
      <c r="Q68" s="15" t="str">
        <f t="shared" si="31"/>
        <v>N</v>
      </c>
      <c r="R68" s="6" t="n">
        <f t="shared" si="32"/>
        <v>-17.032140609722401</v>
      </c>
      <c r="S68" s="9" t="n">
        <f t="shared" si="44"/>
        <v>0.59334488132657448</v>
      </c>
      <c r="T68" s="17"/>
      <c r="U68" s="11"/>
      <c r="V68" s="19"/>
      <c r="W68" s="20"/>
      <c r="X68" s="11"/>
      <c r="Y68" s="1"/>
      <c r="Z68" s="19"/>
      <c r="AA68" s="20"/>
      <c r="AB68" s="14"/>
      <c r="AC68" s="11" t="n">
        <v>56</v>
      </c>
      <c r="AD68" s="12" t="n">
        <v>7</v>
      </c>
      <c r="AE68" s="16" t="str">
        <f t="shared" si="33"/>
        <v>Mississippi State</v>
      </c>
      <c r="AF68" s="39" t="n">
        <f t="shared" si="45"/>
        <v>49</v>
      </c>
      <c r="AG68" s="1" t="n">
        <f t="shared" si="34"/>
        <v>1425.80351524306</v>
      </c>
      <c r="AH68" s="1" t="n">
        <f t="shared" si="35"/>
        <v>1000</v>
      </c>
      <c r="AI68" s="1" t="n">
        <f t="shared" si="46"/>
        <v>425.80351524306002</v>
      </c>
      <c r="AJ68" s="1" t="n">
        <f t="shared" si="47"/>
        <v>3.2776445617429442</v>
      </c>
      <c r="AK68" s="1" t="n">
        <f t="shared" si="36"/>
        <v>6.0714028212539239E-2</v>
      </c>
      <c r="AL68" s="1" t="n">
        <v>96</v>
      </c>
      <c r="AM68" s="1" t="n">
        <f t="shared" si="48"/>
        <v>19.103904421664346</v>
      </c>
      <c r="AN68" s="1" t="n">
        <f t="shared" si="37"/>
        <v>1444.9074196647243</v>
      </c>
      <c r="AO68" s="40" t="n">
        <f t="shared" si="38"/>
        <v>980.89609557833569</v>
      </c>
    </row>
    <row r="69" ht="14.65" customHeight="1">
      <c r="A69" s="33" t="n">
        <f>Schedule!A69</f>
        <v>1</v>
      </c>
      <c r="B69" s="34" t="s">
        <v>166</v>
      </c>
      <c r="C69" s="34" t="s">
        <v>322</v>
      </c>
      <c r="D69" s="6" t="n">
        <v>-27.5</v>
      </c>
      <c r="E69" s="10" t="n">
        <f>_xlfn.IFNA(IF(ISBLANK(B69),"",VLOOKUP(B69,Elo!$A$2:$AZ$1048576,MATCH(_xlfn.CONCAT("Week ", A69),Elo!$A$1:$AZ$1,0),FALSE)), "")</f>
        <v>1589.69435626634</v>
      </c>
      <c r="F69" s="10" t="n">
        <f>IFERROR(IF(ISBLANK(C69),"",VLOOKUP(C69,Elo!$A$2:$AZ$1048576,MATCH(_xlfn.CONCAT("Week ",A69),Elo!$A$1:$AZ$1,0),FALSE)),IF(ISBLANK(Schedule!D69),"", 1000))</f>
        <v>1000</v>
      </c>
      <c r="G69" s="34" t="n">
        <f>_xlfn.IFNA(IF(ISBLANK(B69),"",IF(VLOOKUP(Games!B69,Schedule!$C$2:$G$1048576,MATCH("neutral_site",Schedule!$C$1:$G$1,0),FALSE),0,50)),"")</f>
        <v>50</v>
      </c>
      <c r="H69" s="34" t="n">
        <f>_xlfn.IFNA(IF(VLOOKUP(Games!B69, 'Bye Weeks'!$A$2:$P$135, MATCH(Games!$A69, 'Bye Weeks'!$A$1:$P$1, 0), FALSE)="Y", 25, 0), 0)</f>
        <v>0</v>
      </c>
      <c r="I69" s="34" t="n">
        <f>_xlfn.IFNA(IF(VLOOKUP(Games!C69, 'Bye Weeks'!$A$2:$P$135, MATCH(Games!$A69, 'Bye Weeks'!$A$1:$P$1, 0), FALSE)="Y", 25, 0), 0)</f>
        <v>0</v>
      </c>
      <c r="J69" s="6" t="n">
        <f>IFERROR(_xlfn.IFNA(IF(ISBLANK(B69), "",IF(ABS(ROUND(Calc!O69, 1))&gt;70,R69,ROUND(Calc!O69, 1))), R69), R69)</f>
        <v>-23.587774250653602</v>
      </c>
      <c r="K69" s="2" t="str">
        <f t="shared" si="39"/>
        <v>Oregon State</v>
      </c>
      <c r="L69" s="4" t="n">
        <f t="shared" si="40"/>
        <v>0.97545454175300605</v>
      </c>
      <c r="M69" s="4" t="n">
        <f t="shared" si="41"/>
        <v>2.4545458246993945E-2</v>
      </c>
      <c r="N69" s="34" t="str">
        <f t="shared" si="42"/>
        <v>Oregon State</v>
      </c>
      <c r="O69" s="36" t="n">
        <f t="shared" si="43"/>
        <v>0.97545454175300605</v>
      </c>
      <c r="P69" s="13" t="str">
        <f t="shared" si="30"/>
        <v>N</v>
      </c>
      <c r="Q69" s="15" t="str">
        <f t="shared" si="31"/>
        <v>N</v>
      </c>
      <c r="R69" s="6" t="n">
        <f t="shared" si="32"/>
        <v>-23.587774250653602</v>
      </c>
      <c r="S69" s="9" t="n">
        <f t="shared" si="44"/>
        <v>0.42836952685302848</v>
      </c>
      <c r="T69" s="17"/>
      <c r="U69" s="11"/>
      <c r="V69" s="19"/>
      <c r="W69" s="20"/>
      <c r="X69" s="11"/>
      <c r="Y69" s="1"/>
      <c r="Z69" s="19"/>
      <c r="AA69" s="20"/>
      <c r="AB69" s="14"/>
      <c r="AC69" s="11" t="n">
        <v>38</v>
      </c>
      <c r="AD69" s="12" t="n">
        <v>15</v>
      </c>
      <c r="AE69" s="16" t="str">
        <f t="shared" si="33"/>
        <v>Oregon State</v>
      </c>
      <c r="AF69" s="39" t="n">
        <f t="shared" si="45"/>
        <v>23</v>
      </c>
      <c r="AG69" s="1" t="n">
        <f t="shared" si="34"/>
        <v>1589.69435626634</v>
      </c>
      <c r="AH69" s="1" t="n">
        <f t="shared" si="35"/>
        <v>1000</v>
      </c>
      <c r="AI69" s="1" t="n">
        <f t="shared" si="46"/>
        <v>589.69435626634004</v>
      </c>
      <c r="AJ69" s="1" t="n">
        <f t="shared" si="47"/>
        <v>2.5062668285005345</v>
      </c>
      <c r="AK69" s="1" t="n">
        <f t="shared" si="36"/>
        <v>2.4545458246993945E-2</v>
      </c>
      <c r="AL69" s="1" t="n">
        <v>97</v>
      </c>
      <c r="AM69" s="1" t="n">
        <f t="shared" si="48"/>
        <v>5.9671943760942234</v>
      </c>
      <c r="AN69" s="1" t="n">
        <f t="shared" si="37"/>
        <v>1595.6615506424343</v>
      </c>
      <c r="AO69" s="40" t="n">
        <f t="shared" si="38"/>
        <v>994.0328056239058</v>
      </c>
    </row>
    <row r="70" ht="14.65" customHeight="1">
      <c r="A70" s="33" t="n">
        <f>Schedule!A70</f>
        <v>1</v>
      </c>
      <c r="B70" s="34" t="s">
        <v>191</v>
      </c>
      <c r="C70" s="34" t="s">
        <v>323</v>
      </c>
      <c r="D70" s="6" t="n">
        <v>-12.5</v>
      </c>
      <c r="E70" s="10" t="n">
        <f>_xlfn.IFNA(IF(ISBLANK(B70),"",VLOOKUP(B70,Elo!$A$2:$AZ$1048576,MATCH(_xlfn.CONCAT("Week ", A70),Elo!$A$1:$AZ$1,0),FALSE)), "")</f>
        <v>1462.67018557917</v>
      </c>
      <c r="F70" s="10" t="n">
        <f>IFERROR(IF(ISBLANK(C70),"",VLOOKUP(C70,Elo!$A$2:$AZ$1048576,MATCH(_xlfn.CONCAT("Week ",A70),Elo!$A$1:$AZ$1,0),FALSE)),IF(ISBLANK(Schedule!D70),"", 1000))</f>
        <v>1000</v>
      </c>
      <c r="G70" s="34" t="n">
        <f>_xlfn.IFNA(IF(ISBLANK(B70),"",IF(VLOOKUP(Games!B70,Schedule!$C$2:$G$1048576,MATCH("neutral_site",Schedule!$C$1:$G$1,0),FALSE),0,50)),"")</f>
        <v>50</v>
      </c>
      <c r="H70" s="34" t="n">
        <f>_xlfn.IFNA(IF(VLOOKUP(Games!B70, 'Bye Weeks'!$A$2:$P$135, MATCH(Games!$A70, 'Bye Weeks'!$A$1:$P$1, 0), FALSE)="Y", 25, 0), 0)</f>
        <v>0</v>
      </c>
      <c r="I70" s="34" t="n">
        <f>_xlfn.IFNA(IF(VLOOKUP(Games!C70, 'Bye Weeks'!$A$2:$P$135, MATCH(Games!$A70, 'Bye Weeks'!$A$1:$P$1, 0), FALSE)="Y", 25, 0), 0)</f>
        <v>0</v>
      </c>
      <c r="J70" s="6" t="n">
        <f>IFERROR(_xlfn.IFNA(IF(ISBLANK(B70), "",IF(ABS(ROUND(Calc!O70, 1))&gt;70,R70,ROUND(Calc!O70, 1))), R70), R70)</f>
        <v>-18.506807423166801</v>
      </c>
      <c r="K70" s="2" t="str">
        <f t="shared" si="39"/>
        <v>Arkansas State</v>
      </c>
      <c r="L70" s="4" t="n">
        <f t="shared" si="40"/>
        <v>0.95031860652169164</v>
      </c>
      <c r="M70" s="4" t="n">
        <f t="shared" si="41"/>
        <v>4.9681393478308418E-2</v>
      </c>
      <c r="N70" s="34" t="str">
        <f t="shared" si="42"/>
        <v>Arkansas State</v>
      </c>
      <c r="O70" s="36" t="n">
        <f t="shared" si="43"/>
        <v>0.95031860652169164</v>
      </c>
      <c r="P70" s="13" t="str">
        <f t="shared" si="30"/>
        <v>Y</v>
      </c>
      <c r="Q70" s="15" t="str">
        <f t="shared" si="31"/>
        <v>Y</v>
      </c>
      <c r="R70" s="6" t="n">
        <f t="shared" si="32"/>
        <v>-18.506807423166801</v>
      </c>
      <c r="S70" s="9" t="n">
        <f t="shared" si="44"/>
        <v>0.54604017703887631</v>
      </c>
      <c r="T70" s="17"/>
      <c r="U70" s="11"/>
      <c r="V70" s="19"/>
      <c r="W70" s="20"/>
      <c r="X70" s="11"/>
      <c r="Y70" s="1"/>
      <c r="Z70" s="19"/>
      <c r="AA70" s="20"/>
      <c r="AB70" s="14"/>
      <c r="AC70" s="11" t="n">
        <v>34</v>
      </c>
      <c r="AD70" s="12" t="n">
        <v>31</v>
      </c>
      <c r="AE70" s="16" t="str">
        <f t="shared" si="33"/>
        <v>Arkansas State</v>
      </c>
      <c r="AF70" s="39" t="n">
        <f t="shared" si="45"/>
        <v>3</v>
      </c>
      <c r="AG70" s="1" t="n">
        <f t="shared" si="34"/>
        <v>1462.67018557917</v>
      </c>
      <c r="AH70" s="1" t="n">
        <f t="shared" si="35"/>
        <v>1000</v>
      </c>
      <c r="AI70" s="1" t="n">
        <f t="shared" si="46"/>
        <v>462.67018557917004</v>
      </c>
      <c r="AJ70" s="1" t="n">
        <f t="shared" si="47"/>
        <v>1.1454094506264856</v>
      </c>
      <c r="AK70" s="1" t="n">
        <f t="shared" si="36"/>
        <v>4.9681393478308356E-2</v>
      </c>
      <c r="AL70" s="1" t="n">
        <v>98</v>
      </c>
      <c r="AM70" s="1" t="n">
        <f t="shared" si="48"/>
        <v>5.5767426858140485</v>
      </c>
      <c r="AN70" s="1" t="n">
        <f t="shared" si="37"/>
        <v>1468.246928264984</v>
      </c>
      <c r="AO70" s="40" t="n">
        <f t="shared" si="38"/>
        <v>994.423257314186</v>
      </c>
    </row>
    <row r="71" ht="14.65" customHeight="1">
      <c r="A71" s="33" t="n">
        <f>Schedule!A71</f>
        <v>1</v>
      </c>
      <c r="B71" s="34" t="s">
        <v>124</v>
      </c>
      <c r="C71" s="34" t="s">
        <v>324</v>
      </c>
      <c r="D71" s="6" t="n">
        <v>-42.5</v>
      </c>
      <c r="E71" s="10" t="n">
        <f>_xlfn.IFNA(IF(ISBLANK(B71),"",VLOOKUP(B71,Elo!$A$2:$AZ$1048576,MATCH(_xlfn.CONCAT("Week ", A71),Elo!$A$1:$AZ$1,0),FALSE)), "")</f>
        <v>1828.56000355839</v>
      </c>
      <c r="F71" s="10" t="n">
        <f>IFERROR(IF(ISBLANK(C71),"",VLOOKUP(C71,Elo!$A$2:$AZ$1048576,MATCH(_xlfn.CONCAT("Week ",A71),Elo!$A$1:$AZ$1,0),FALSE)),IF(ISBLANK(Schedule!D71),"", 1000))</f>
        <v>1000</v>
      </c>
      <c r="G71" s="34" t="n">
        <f>_xlfn.IFNA(IF(ISBLANK(B71),"",IF(VLOOKUP(Games!B71,Schedule!$C$2:$G$1048576,MATCH("neutral_site",Schedule!$C$1:$G$1,0),FALSE),0,50)),"")</f>
        <v>50</v>
      </c>
      <c r="H71" s="34" t="n">
        <f>_xlfn.IFNA(IF(VLOOKUP(Games!B71, 'Bye Weeks'!$A$2:$P$135, MATCH(Games!$A71, 'Bye Weeks'!$A$1:$P$1, 0), FALSE)="Y", 25, 0), 0)</f>
        <v>0</v>
      </c>
      <c r="I71" s="34" t="n">
        <f>_xlfn.IFNA(IF(VLOOKUP(Games!C71, 'Bye Weeks'!$A$2:$P$135, MATCH(Games!$A71, 'Bye Weeks'!$A$1:$P$1, 0), FALSE)="Y", 25, 0), 0)</f>
        <v>0</v>
      </c>
      <c r="J71" s="6" t="n">
        <f>IFERROR(_xlfn.IFNA(IF(ISBLANK(B71), "",IF(ABS(ROUND(Calc!O71, 1))&gt;70,R71,ROUND(Calc!O71, 1))), R71), R71)</f>
        <v>-33.142400142335603</v>
      </c>
      <c r="K71" s="2" t="str">
        <f t="shared" si="39"/>
        <v>Ole Miss</v>
      </c>
      <c r="L71" s="4" t="n">
        <f t="shared" si="40"/>
        <v>0.99367812766227892</v>
      </c>
      <c r="M71" s="4" t="n">
        <f t="shared" si="41"/>
        <v>6.3218723377209953E-3</v>
      </c>
      <c r="N71" s="34" t="str">
        <f t="shared" si="42"/>
        <v>Ole Miss</v>
      </c>
      <c r="O71" s="36" t="n">
        <f t="shared" si="43"/>
        <v>0.99367812766227892</v>
      </c>
      <c r="P71" s="13" t="str">
        <f t="shared" si="30"/>
        <v>N</v>
      </c>
      <c r="Q71" s="15" t="str">
        <f t="shared" si="31"/>
        <v>N</v>
      </c>
      <c r="R71" s="6" t="n">
        <f t="shared" si="32"/>
        <v>-33.142400142335603</v>
      </c>
      <c r="S71" s="9" t="n">
        <f t="shared" si="44"/>
        <v>0.30483755950703123</v>
      </c>
      <c r="T71" s="17"/>
      <c r="U71" s="11"/>
      <c r="V71" s="19"/>
      <c r="W71" s="20"/>
      <c r="X71" s="11"/>
      <c r="Y71" s="1"/>
      <c r="Z71" s="19"/>
      <c r="AA71" s="20"/>
      <c r="AB71" s="14"/>
      <c r="AC71" s="11" t="n">
        <v>76</v>
      </c>
      <c r="AD71" s="12" t="n">
        <v>0</v>
      </c>
      <c r="AE71" s="16" t="str">
        <f t="shared" si="33"/>
        <v>Ole Miss</v>
      </c>
      <c r="AF71" s="39" t="n">
        <f t="shared" si="45"/>
        <v>76</v>
      </c>
      <c r="AG71" s="1" t="n">
        <f t="shared" si="34"/>
        <v>1828.56000355839</v>
      </c>
      <c r="AH71" s="1" t="n">
        <f t="shared" si="35"/>
        <v>1000</v>
      </c>
      <c r="AI71" s="1" t="n">
        <f t="shared" si="46"/>
        <v>828.56000355839001</v>
      </c>
      <c r="AJ71" s="1" t="n">
        <f t="shared" si="47"/>
        <v>3.1554177288380942</v>
      </c>
      <c r="AK71" s="1" t="n">
        <f t="shared" si="36"/>
        <v>6.3218723377210795E-3</v>
      </c>
      <c r="AL71" s="1" t="n">
        <v>99</v>
      </c>
      <c r="AM71" s="1" t="n">
        <f t="shared" si="48"/>
        <v>1.9748666573357261</v>
      </c>
      <c r="AN71" s="1" t="n">
        <f t="shared" si="37"/>
        <v>1830.5348702157257</v>
      </c>
      <c r="AO71" s="40" t="n">
        <f t="shared" si="38"/>
        <v>998.02513334266428</v>
      </c>
    </row>
    <row r="72" ht="14.65" customHeight="1">
      <c r="A72" s="33" t="n">
        <f>Schedule!A72</f>
        <v>1</v>
      </c>
      <c r="B72" s="34" t="s">
        <v>134</v>
      </c>
      <c r="C72" s="34" t="s">
        <v>325</v>
      </c>
      <c r="D72" s="6" t="n">
        <v>-36.5</v>
      </c>
      <c r="E72" s="10" t="n">
        <f>_xlfn.IFNA(IF(ISBLANK(B72),"",VLOOKUP(B72,Elo!$A$2:$AZ$1048576,MATCH(_xlfn.CONCAT("Week ", A72),Elo!$A$1:$AZ$1,0),FALSE)), "")</f>
        <v>1706.8433033961401</v>
      </c>
      <c r="F72" s="10" t="n">
        <f>IFERROR(IF(ISBLANK(C72),"",VLOOKUP(C72,Elo!$A$2:$AZ$1048576,MATCH(_xlfn.CONCAT("Week ",A72),Elo!$A$1:$AZ$1,0),FALSE)),IF(ISBLANK(Schedule!D72),"", 1000))</f>
        <v>1000</v>
      </c>
      <c r="G72" s="34" t="n">
        <f>_xlfn.IFNA(IF(ISBLANK(B72),"",IF(VLOOKUP(Games!B72,Schedule!$C$2:$G$1048576,MATCH("neutral_site",Schedule!$C$1:$G$1,0),FALSE),0,50)),"")</f>
        <v>50</v>
      </c>
      <c r="H72" s="34" t="n">
        <f>_xlfn.IFNA(IF(VLOOKUP(Games!B72, 'Bye Weeks'!$A$2:$P$135, MATCH(Games!$A72, 'Bye Weeks'!$A$1:$P$1, 0), FALSE)="Y", 25, 0), 0)</f>
        <v>0</v>
      </c>
      <c r="I72" s="34" t="n">
        <f>_xlfn.IFNA(IF(VLOOKUP(Games!C72, 'Bye Weeks'!$A$2:$P$135, MATCH(Games!$A72, 'Bye Weeks'!$A$1:$P$1, 0), FALSE)="Y", 25, 0), 0)</f>
        <v>0</v>
      </c>
      <c r="J72" s="6" t="n">
        <f>IFERROR(_xlfn.IFNA(IF(ISBLANK(B72), "",IF(ABS(ROUND(Calc!O72, 1))&gt;70,R72,ROUND(Calc!O72, 1))), R72), R72)</f>
        <v>-28.273732135845602</v>
      </c>
      <c r="K72" s="2" t="str">
        <f t="shared" si="39"/>
        <v>Memphis</v>
      </c>
      <c r="L72" s="4" t="n">
        <f t="shared" si="40"/>
        <v>0.98734216512841411</v>
      </c>
      <c r="M72" s="4" t="n">
        <f t="shared" si="41"/>
        <v>1.2657834871585994E-2</v>
      </c>
      <c r="N72" s="34" t="str">
        <f t="shared" si="42"/>
        <v>Memphis</v>
      </c>
      <c r="O72" s="36" t="n">
        <f t="shared" si="43"/>
        <v>0.98734216512841411</v>
      </c>
      <c r="P72" s="13" t="str">
        <f t="shared" si="30"/>
        <v>N</v>
      </c>
      <c r="Q72" s="15" t="str">
        <f t="shared" si="31"/>
        <v>N</v>
      </c>
      <c r="R72" s="6" t="n">
        <f t="shared" si="32"/>
        <v>-28.273732135845602</v>
      </c>
      <c r="S72" s="9" t="n">
        <f t="shared" si="44"/>
        <v>0.35734841921993138</v>
      </c>
      <c r="T72" s="17"/>
      <c r="U72" s="11"/>
      <c r="V72" s="19"/>
      <c r="W72" s="20"/>
      <c r="X72" s="11"/>
      <c r="Y72" s="1"/>
      <c r="Z72" s="19"/>
      <c r="AA72" s="20"/>
      <c r="AB72" s="14"/>
      <c r="AC72" s="11" t="n">
        <v>40</v>
      </c>
      <c r="AD72" s="12" t="n">
        <v>0</v>
      </c>
      <c r="AE72" s="16" t="str">
        <f t="shared" si="33"/>
        <v>Memphis</v>
      </c>
      <c r="AF72" s="39" t="n">
        <f t="shared" si="45"/>
        <v>40</v>
      </c>
      <c r="AG72" s="1" t="n">
        <f t="shared" si="34"/>
        <v>1706.8433033961401</v>
      </c>
      <c r="AH72" s="1" t="n">
        <f t="shared" si="35"/>
        <v>1000</v>
      </c>
      <c r="AI72" s="1" t="n">
        <f t="shared" si="46"/>
        <v>706.84330339614007</v>
      </c>
      <c r="AJ72" s="1" t="n">
        <f t="shared" si="47"/>
        <v>2.8105603550093052</v>
      </c>
      <c r="AK72" s="1" t="n">
        <f t="shared" si="36"/>
        <v>1.2657834871585893E-2</v>
      </c>
      <c r="AL72" s="1" t="n">
        <v>100</v>
      </c>
      <c r="AM72" s="1" t="n">
        <f t="shared" si="48"/>
        <v>3.557560887033361</v>
      </c>
      <c r="AN72" s="1" t="n">
        <f t="shared" si="37"/>
        <v>1710.4008642831734</v>
      </c>
      <c r="AO72" s="40" t="n">
        <f t="shared" si="38"/>
        <v>996.44243911296667</v>
      </c>
    </row>
    <row r="73" ht="14.65" customHeight="1">
      <c r="A73" s="33" t="n">
        <f>Schedule!A73</f>
        <v>1</v>
      </c>
      <c r="B73" s="34" t="s">
        <v>211</v>
      </c>
      <c r="C73" s="34" t="s">
        <v>326</v>
      </c>
      <c r="D73" s="6" t="n">
        <v>-24.5</v>
      </c>
      <c r="E73" s="10" t="n">
        <f>_xlfn.IFNA(IF(ISBLANK(B73),"",VLOOKUP(B73,Elo!$A$2:$AZ$1048576,MATCH(_xlfn.CONCAT("Week ", A73),Elo!$A$1:$AZ$1,0),FALSE)), "")</f>
        <v>1385.28787775879</v>
      </c>
      <c r="F73" s="10" t="n">
        <f>IFERROR(IF(ISBLANK(C73),"",VLOOKUP(C73,Elo!$A$2:$AZ$1048576,MATCH(_xlfn.CONCAT("Week ",A73),Elo!$A$1:$AZ$1,0),FALSE)),IF(ISBLANK(Schedule!D73),"", 1000))</f>
        <v>1000</v>
      </c>
      <c r="G73" s="34" t="n">
        <f>_xlfn.IFNA(IF(ISBLANK(B73),"",IF(VLOOKUP(Games!B73,Schedule!$C$2:$G$1048576,MATCH("neutral_site",Schedule!$C$1:$G$1,0),FALSE),0,50)),"")</f>
        <v>50</v>
      </c>
      <c r="H73" s="34" t="n">
        <f>_xlfn.IFNA(IF(VLOOKUP(Games!B73, 'Bye Weeks'!$A$2:$P$135, MATCH(Games!$A73, 'Bye Weeks'!$A$1:$P$1, 0), FALSE)="Y", 25, 0), 0)</f>
        <v>0</v>
      </c>
      <c r="I73" s="34" t="n">
        <f>_xlfn.IFNA(IF(VLOOKUP(Games!C73, 'Bye Weeks'!$A$2:$P$135, MATCH(Games!$A73, 'Bye Weeks'!$A$1:$P$1, 0), FALSE)="Y", 25, 0), 0)</f>
        <v>0</v>
      </c>
      <c r="J73" s="6" t="n">
        <f>IFERROR(_xlfn.IFNA(IF(ISBLANK(B73), "",IF(ABS(ROUND(Calc!O73, 1))&gt;70,R73,ROUND(Calc!O73, 1))), R73), R73)</f>
        <v>-15.411515110351601</v>
      </c>
      <c r="K73" s="2" t="str">
        <f t="shared" si="39"/>
        <v>Middle Tennessee</v>
      </c>
      <c r="L73" s="4" t="n">
        <f t="shared" si="40"/>
        <v>0.9245417332593856</v>
      </c>
      <c r="M73" s="4" t="n">
        <f t="shared" si="41"/>
        <v>7.5458266740614441E-2</v>
      </c>
      <c r="N73" s="34" t="str">
        <f t="shared" si="42"/>
        <v>Middle Tennessee</v>
      </c>
      <c r="O73" s="36" t="n">
        <f t="shared" si="43"/>
        <v>0.9245417332593856</v>
      </c>
      <c r="P73" s="13" t="str">
        <f t="shared" si="30"/>
        <v>N</v>
      </c>
      <c r="Q73" s="15" t="str">
        <f t="shared" si="31"/>
        <v>N</v>
      </c>
      <c r="R73" s="6" t="n">
        <f t="shared" si="32"/>
        <v>-15.411515110351601</v>
      </c>
      <c r="S73" s="9" t="n">
        <f t="shared" si="44"/>
        <v>0.65577963775860137</v>
      </c>
      <c r="T73" s="17"/>
      <c r="U73" s="11"/>
      <c r="V73" s="19"/>
      <c r="W73" s="20"/>
      <c r="X73" s="11"/>
      <c r="Y73" s="1"/>
      <c r="Z73" s="19"/>
      <c r="AA73" s="20"/>
      <c r="AB73" s="14"/>
      <c r="AC73" s="11" t="n">
        <v>32</v>
      </c>
      <c r="AD73" s="12" t="n">
        <v>25</v>
      </c>
      <c r="AE73" s="16" t="str">
        <f t="shared" si="33"/>
        <v>Middle Tennessee</v>
      </c>
      <c r="AF73" s="39" t="n">
        <f t="shared" si="45"/>
        <v>7</v>
      </c>
      <c r="AG73" s="1" t="n">
        <f t="shared" si="34"/>
        <v>1385.28787775879</v>
      </c>
      <c r="AH73" s="1" t="n">
        <f t="shared" si="35"/>
        <v>1000</v>
      </c>
      <c r="AI73" s="1" t="n">
        <f t="shared" si="46"/>
        <v>385.28787775879005</v>
      </c>
      <c r="AJ73" s="1" t="n">
        <f t="shared" si="47"/>
        <v>1.7695404179365706</v>
      </c>
      <c r="AK73" s="1" t="n">
        <f t="shared" si="36"/>
        <v>7.5458266740614399E-2</v>
      </c>
      <c r="AL73" s="1" t="n">
        <v>101</v>
      </c>
      <c r="AM73" s="1" t="n">
        <f t="shared" si="48"/>
        <v>13.486171739360557</v>
      </c>
      <c r="AN73" s="1" t="n">
        <f t="shared" si="37"/>
        <v>1398.7740494981506</v>
      </c>
      <c r="AO73" s="40" t="n">
        <f t="shared" si="38"/>
        <v>986.51382826063946</v>
      </c>
    </row>
    <row r="74" ht="14.65" customHeight="1">
      <c r="A74" s="33" t="n">
        <f>Schedule!A74</f>
        <v>1</v>
      </c>
      <c r="B74" s="34" t="s">
        <v>113</v>
      </c>
      <c r="C74" s="34" t="s">
        <v>195</v>
      </c>
      <c r="D74" s="6" t="n">
        <v>-32.5</v>
      </c>
      <c r="E74" s="10" t="n">
        <f>_xlfn.IFNA(IF(ISBLANK(B74),"",VLOOKUP(B74,Elo!$A$2:$AZ$1048576,MATCH(_xlfn.CONCAT("Week ", A74),Elo!$A$1:$AZ$1,0),FALSE)), "")</f>
        <v>1972.8701292461001</v>
      </c>
      <c r="F74" s="10" t="n">
        <f>IFERROR(IF(ISBLANK(C74),"",VLOOKUP(C74,Elo!$A$2:$AZ$1048576,MATCH(_xlfn.CONCAT("Week ",A74),Elo!$A$1:$AZ$1,0),FALSE)),IF(ISBLANK(Schedule!D74),"", 1000))</f>
        <v>1443.12595833975</v>
      </c>
      <c r="G74" s="34" t="n">
        <f>_xlfn.IFNA(IF(ISBLANK(B74),"",IF(VLOOKUP(Games!B74,Schedule!$C$2:$G$1048576,MATCH("neutral_site",Schedule!$C$1:$G$1,0),FALSE),0,50)),"")</f>
        <v>50</v>
      </c>
      <c r="H74" s="34" t="n">
        <f>_xlfn.IFNA(IF(VLOOKUP(Games!B74, 'Bye Weeks'!$A$2:$P$135, MATCH(Games!$A74, 'Bye Weeks'!$A$1:$P$1, 0), FALSE)="Y", 25, 0), 0)</f>
        <v>0</v>
      </c>
      <c r="I74" s="34" t="n">
        <f>_xlfn.IFNA(IF(VLOOKUP(Games!C74, 'Bye Weeks'!$A$2:$P$135, MATCH(Games!$A74, 'Bye Weeks'!$A$1:$P$1, 0), FALSE)="Y", 25, 0), 0)</f>
        <v>0</v>
      </c>
      <c r="J74" s="6" t="n">
        <f>IFERROR(_xlfn.IFNA(IF(ISBLANK(B74), "",IF(ABS(ROUND(Calc!O74, 1))&gt;70,R74,ROUND(Calc!O74, 1))), R74), R74)</f>
        <v>-21.189766836254002</v>
      </c>
      <c r="K74" s="2" t="str">
        <f t="shared" si="39"/>
        <v>Alabama</v>
      </c>
      <c r="L74" s="4" t="n">
        <f t="shared" si="40"/>
        <v>0.96568568250892706</v>
      </c>
      <c r="M74" s="4" t="n">
        <f t="shared" si="41"/>
        <v>3.4314317491073026E-2</v>
      </c>
      <c r="N74" s="34" t="str">
        <f t="shared" si="42"/>
        <v>Alabama</v>
      </c>
      <c r="O74" s="36" t="n">
        <f t="shared" si="43"/>
        <v>0.96568568250892706</v>
      </c>
      <c r="P74" s="13" t="str">
        <f t="shared" si="30"/>
        <v>N</v>
      </c>
      <c r="Q74" s="15" t="str">
        <f t="shared" si="31"/>
        <v>N</v>
      </c>
      <c r="R74" s="6" t="n">
        <f t="shared" si="32"/>
        <v>-21.189766836254002</v>
      </c>
      <c r="S74" s="9" t="n">
        <f t="shared" si="44"/>
        <v>0.47687021665939905</v>
      </c>
      <c r="T74" s="17"/>
      <c r="U74" s="11"/>
      <c r="V74" s="19"/>
      <c r="W74" s="20"/>
      <c r="X74" s="11"/>
      <c r="Y74" s="1"/>
      <c r="Z74" s="19"/>
      <c r="AA74" s="20"/>
      <c r="AB74" s="14"/>
      <c r="AC74" s="11" t="n">
        <v>63</v>
      </c>
      <c r="AD74" s="12" t="n">
        <v>0</v>
      </c>
      <c r="AE74" s="16" t="str">
        <f t="shared" si="33"/>
        <v>Alabama</v>
      </c>
      <c r="AF74" s="39" t="n">
        <f t="shared" si="45"/>
        <v>63</v>
      </c>
      <c r="AG74" s="1" t="n">
        <f t="shared" si="34"/>
        <v>1972.8701292461001</v>
      </c>
      <c r="AH74" s="1" t="n">
        <f t="shared" si="35"/>
        <v>1443.12595833975</v>
      </c>
      <c r="AI74" s="1" t="n">
        <f t="shared" si="46"/>
        <v>529.74417090635006</v>
      </c>
      <c r="AJ74" s="1" t="n">
        <f t="shared" si="47"/>
        <v>3.3517949707182186</v>
      </c>
      <c r="AK74" s="1" t="n">
        <f t="shared" si="36"/>
        <v>3.4314317491072943E-2</v>
      </c>
      <c r="AL74" s="1" t="n">
        <v>102</v>
      </c>
      <c r="AM74" s="1" t="n">
        <f t="shared" si="48"/>
        <v>11.731484792601062</v>
      </c>
      <c r="AN74" s="1" t="n">
        <f t="shared" si="37"/>
        <v>1984.6016140387012</v>
      </c>
      <c r="AO74" s="40" t="n">
        <f t="shared" si="38"/>
        <v>1431.3944735471489</v>
      </c>
    </row>
    <row r="75" ht="14.65" customHeight="1">
      <c r="A75" s="33" t="n">
        <f>Schedule!A75</f>
        <v>1</v>
      </c>
      <c r="B75" s="34" t="s">
        <v>186</v>
      </c>
      <c r="C75" s="34" t="s">
        <v>179</v>
      </c>
      <c r="D75" s="6" t="str">
        <f>IF(OR(ISBLANK(B75), ISNA(VLOOKUP(B75, 'Betting Lines'!$B$2:$F$1048576, MATCH("spread", 'Betting Lines'!$B$1:$J$1, 0), FALSE))), "", VLOOKUP(B75, 'Betting Lines'!$B$2:$F$1048576, MATCH("spread", 'Betting Lines'!$B$1:$J$1, 0), FALSE))</f>
        <v>-1.5</v>
      </c>
      <c r="E75" s="10" t="n">
        <f>_xlfn.IFNA(IF(ISBLANK(B75),"",VLOOKUP(B75,Elo!$A$2:$AZ$1048576,MATCH(_xlfn.CONCAT("Week ", A75),Elo!$A$1:$AZ$1,0),FALSE)), "")</f>
        <v>1477.59868695249</v>
      </c>
      <c r="F75" s="10" t="n">
        <f>IFERROR(IF(ISBLANK(C75),"",VLOOKUP(C75,Elo!$A$2:$AZ$1048576,MATCH(_xlfn.CONCAT("Week ",A75),Elo!$A$1:$AZ$1,0),FALSE)),IF(ISBLANK(Schedule!D75),"", 1000))</f>
        <v>1510.3767419297701</v>
      </c>
      <c r="G75" s="34" t="n">
        <f>_xlfn.IFNA(IF(ISBLANK(B75),"",IF(VLOOKUP(Games!B75,Schedule!$C$2:$G$1048576,MATCH("neutral_site",Schedule!$C$1:$G$1,0),FALSE),0,50)),"")</f>
        <v>50</v>
      </c>
      <c r="H75" s="34" t="n">
        <f>_xlfn.IFNA(IF(VLOOKUP(Games!B75, 'Bye Weeks'!$A$2:$P$135, MATCH(Games!$A75, 'Bye Weeks'!$A$1:$P$1, 0), FALSE)="Y", 25, 0), 0)</f>
        <v>0</v>
      </c>
      <c r="I75" s="34" t="n">
        <f>_xlfn.IFNA(IF(VLOOKUP(Games!C75, 'Bye Weeks'!$A$2:$P$135, MATCH(Games!$A75, 'Bye Weeks'!$A$1:$P$1, 0), FALSE)="Y", 25, 0), 0)</f>
        <v>0</v>
      </c>
      <c r="J75" s="6" t="n">
        <f>IFERROR(_xlfn.IFNA(IF(ISBLANK(B75), "",IF(ABS(ROUND(Calc!O75, 1))&gt;70,R75,ROUND(Calc!O75, 1))), R75), R75)</f>
        <v>4.3</v>
      </c>
      <c r="K75" s="2" t="str">
        <f t="shared" si="39"/>
        <v>UNLV</v>
      </c>
      <c r="L75" s="4" t="n">
        <f t="shared" si="40"/>
        <v>0.52476409220898812</v>
      </c>
      <c r="M75" s="4" t="n">
        <f t="shared" si="41"/>
        <v>0.47523590779101199</v>
      </c>
      <c r="N75" s="34" t="str">
        <f t="shared" si="42"/>
        <v>Houston</v>
      </c>
      <c r="O75" s="36" t="n">
        <f t="shared" si="43"/>
        <v>0.52476409220898812</v>
      </c>
      <c r="P75" s="13" t="str">
        <f t="shared" si="30"/>
        <v>Y</v>
      </c>
      <c r="Q75" s="15" t="str">
        <f t="shared" si="31"/>
        <v>N</v>
      </c>
      <c r="R75" s="6" t="n">
        <f t="shared" si="32"/>
        <v>1.3111221990912054</v>
      </c>
      <c r="S75" s="9" t="n">
        <f t="shared" si="44"/>
        <v>2.3543123543123543</v>
      </c>
      <c r="T75" s="17"/>
      <c r="U75" s="11"/>
      <c r="V75" s="19"/>
      <c r="W75" s="20"/>
      <c r="X75" s="11"/>
      <c r="Y75" s="1"/>
      <c r="Z75" s="19"/>
      <c r="AA75" s="20"/>
      <c r="AB75" s="14"/>
      <c r="AC75" s="11" t="n">
        <v>7</v>
      </c>
      <c r="AD75" s="12" t="n">
        <v>27</v>
      </c>
      <c r="AE75" s="16" t="str">
        <f t="shared" si="33"/>
        <v>UNLV</v>
      </c>
      <c r="AF75" s="39" t="n">
        <f t="shared" si="45"/>
        <v>20</v>
      </c>
      <c r="AG75" s="1" t="n">
        <f t="shared" si="34"/>
        <v>1510.3767419297701</v>
      </c>
      <c r="AH75" s="1" t="n">
        <f t="shared" si="35"/>
        <v>1477.59868695249</v>
      </c>
      <c r="AI75" s="1" t="n">
        <f t="shared" si="46"/>
        <v>32.778054977280135</v>
      </c>
      <c r="AJ75" s="1" t="n">
        <f t="shared" si="47"/>
        <v>2.9998276577739325</v>
      </c>
      <c r="AK75" s="1" t="n">
        <f t="shared" si="36"/>
        <v>0.52476409220898801</v>
      </c>
      <c r="AL75" s="1" t="n">
        <v>103</v>
      </c>
      <c r="AM75" s="1" t="n">
        <f t="shared" si="48"/>
        <v>162.14278927436069</v>
      </c>
      <c r="AN75" s="1" t="n">
        <f t="shared" si="37"/>
        <v>1315.4558976781293</v>
      </c>
      <c r="AO75" s="40" t="n">
        <f t="shared" si="38"/>
        <v>1672.5195312041308</v>
      </c>
    </row>
    <row r="76" ht="14.65" customHeight="1">
      <c r="A76" s="33" t="n">
        <f>Schedule!A76</f>
        <v>1</v>
      </c>
      <c r="B76" s="34" t="s">
        <v>197</v>
      </c>
      <c r="C76" s="34" t="s">
        <v>328</v>
      </c>
      <c r="D76" s="6" t="n">
        <v>-30.5</v>
      </c>
      <c r="E76" s="10" t="n">
        <f>_xlfn.IFNA(IF(ISBLANK(B76),"",VLOOKUP(B76,Elo!$A$2:$AZ$1048576,MATCH(_xlfn.CONCAT("Week ", A76),Elo!$A$1:$AZ$1,0),FALSE)), "")</f>
        <v>1432.8476367916801</v>
      </c>
      <c r="F76" s="10" t="n">
        <f>IFERROR(IF(ISBLANK(C76),"",VLOOKUP(C76,Elo!$A$2:$AZ$1048576,MATCH(_xlfn.CONCAT("Week ",A76),Elo!$A$1:$AZ$1,0),FALSE)),IF(ISBLANK(Schedule!D76),"", 1000))</f>
        <v>1000</v>
      </c>
      <c r="G76" s="34" t="n">
        <f>_xlfn.IFNA(IF(ISBLANK(B76),"",IF(VLOOKUP(Games!B76,Schedule!$C$2:$G$1048576,MATCH("neutral_site",Schedule!$C$1:$G$1,0),FALSE),0,50)),"")</f>
        <v>50</v>
      </c>
      <c r="H76" s="34" t="n">
        <f>_xlfn.IFNA(IF(VLOOKUP(Games!B76, 'Bye Weeks'!$A$2:$P$135, MATCH(Games!$A76, 'Bye Weeks'!$A$1:$P$1, 0), FALSE)="Y", 25, 0), 0)</f>
        <v>0</v>
      </c>
      <c r="I76" s="34" t="n">
        <f>_xlfn.IFNA(IF(VLOOKUP(Games!C76, 'Bye Weeks'!$A$2:$P$135, MATCH(Games!$A76, 'Bye Weeks'!$A$1:$P$1, 0), FALSE)="Y", 25, 0), 0)</f>
        <v>0</v>
      </c>
      <c r="J76" s="6" t="n">
        <f>IFERROR(_xlfn.IFNA(IF(ISBLANK(B76), "",IF(ABS(ROUND(Calc!O76, 1))&gt;70,R76,ROUND(Calc!O76, 1))), R76), R76)</f>
        <v>-17.313905471667205</v>
      </c>
      <c r="K76" s="2" t="str">
        <f t="shared" si="39"/>
        <v>Baylor</v>
      </c>
      <c r="L76" s="4" t="n">
        <f t="shared" si="40"/>
        <v>0.94155763055451192</v>
      </c>
      <c r="M76" s="4" t="n">
        <f t="shared" si="41"/>
        <v>5.8442369445488071E-2</v>
      </c>
      <c r="N76" s="34" t="str">
        <f t="shared" si="42"/>
        <v>Baylor</v>
      </c>
      <c r="O76" s="36" t="n">
        <f t="shared" si="43"/>
        <v>0.94155763055451192</v>
      </c>
      <c r="P76" s="13" t="str">
        <f t="shared" si="30"/>
        <v>N</v>
      </c>
      <c r="Q76" s="15" t="str">
        <f t="shared" si="31"/>
        <v>N</v>
      </c>
      <c r="R76" s="6" t="n">
        <f t="shared" si="32"/>
        <v>-17.313905471667205</v>
      </c>
      <c r="S76" s="9" t="n">
        <f t="shared" si="44"/>
        <v>0.58368326251766567</v>
      </c>
      <c r="T76" s="17"/>
      <c r="U76" s="11"/>
      <c r="V76" s="19"/>
      <c r="W76" s="20"/>
      <c r="X76" s="11"/>
      <c r="Y76" s="1"/>
      <c r="Z76" s="19"/>
      <c r="AA76" s="20"/>
      <c r="AB76" s="14"/>
      <c r="AC76" s="11" t="n">
        <v>45</v>
      </c>
      <c r="AD76" s="12" t="n">
        <v>3</v>
      </c>
      <c r="AE76" s="16" t="str">
        <f t="shared" si="33"/>
        <v>Baylor</v>
      </c>
      <c r="AF76" s="39" t="n">
        <f t="shared" si="45"/>
        <v>42</v>
      </c>
      <c r="AG76" s="1" t="n">
        <f t="shared" si="34"/>
        <v>1432.8476367916801</v>
      </c>
      <c r="AH76" s="1" t="n">
        <f t="shared" si="35"/>
        <v>1000</v>
      </c>
      <c r="AI76" s="1" t="n">
        <f t="shared" si="46"/>
        <v>432.84763679168009</v>
      </c>
      <c r="AJ76" s="1" t="n">
        <f t="shared" si="47"/>
        <v>3.1428481234140464</v>
      </c>
      <c r="AK76" s="1" t="n">
        <f t="shared" si="36"/>
        <v>5.8442369445488085E-2</v>
      </c>
      <c r="AL76" s="1" t="n">
        <v>104</v>
      </c>
      <c r="AM76" s="1" t="n">
        <f t="shared" si="48"/>
        <v>19.102251078520755</v>
      </c>
      <c r="AN76" s="1" t="n">
        <f t="shared" si="37"/>
        <v>1451.9498878702009</v>
      </c>
      <c r="AO76" s="40" t="n">
        <f t="shared" si="38"/>
        <v>980.89774892147921</v>
      </c>
    </row>
    <row r="77" ht="14.65" customHeight="1">
      <c r="A77" s="33" t="n">
        <f>Schedule!A77</f>
        <v>1</v>
      </c>
      <c r="B77" s="34" t="s">
        <v>213</v>
      </c>
      <c r="C77" s="34" t="s">
        <v>231</v>
      </c>
      <c r="D77" s="6" t="str">
        <f>IF(OR(ISBLANK(B77), ISNA(VLOOKUP(B77, 'Betting Lines'!$B$2:$F$1048576, MATCH("spread", 'Betting Lines'!$B$1:$J$1, 0), FALSE))), "", VLOOKUP(B77, 'Betting Lines'!$B$2:$F$1048576, MATCH("spread", 'Betting Lines'!$B$1:$J$1, 0), FALSE))</f>
        <v>-10.5</v>
      </c>
      <c r="E77" s="10" t="n">
        <f>_xlfn.IFNA(IF(ISBLANK(B77),"",VLOOKUP(B77,Elo!$A$2:$AZ$1048576,MATCH(_xlfn.CONCAT("Week ", A77),Elo!$A$1:$AZ$1,0),FALSE)), "")</f>
        <v>1370.9087134836</v>
      </c>
      <c r="F77" s="10" t="n">
        <f>IFERROR(IF(ISBLANK(C77),"",VLOOKUP(C77,Elo!$A$2:$AZ$1048576,MATCH(_xlfn.CONCAT("Week ",A77),Elo!$A$1:$AZ$1,0),FALSE)),IF(ISBLANK(Schedule!D77),"", 1000))</f>
        <v>1304.4626563869101</v>
      </c>
      <c r="G77" s="34" t="n">
        <f>_xlfn.IFNA(IF(ISBLANK(B77),"",IF(VLOOKUP(Games!B77,Schedule!$C$2:$G$1048576,MATCH("neutral_site",Schedule!$C$1:$G$1,0),FALSE),0,50)),"")</f>
        <v>50</v>
      </c>
      <c r="H77" s="34" t="n">
        <f>_xlfn.IFNA(IF(VLOOKUP(Games!B77, 'Bye Weeks'!$A$2:$P$135, MATCH(Games!$A77, 'Bye Weeks'!$A$1:$P$1, 0), FALSE)="Y", 25, 0), 0)</f>
        <v>0</v>
      </c>
      <c r="I77" s="34" t="n">
        <f>_xlfn.IFNA(IF(VLOOKUP(Games!C77, 'Bye Weeks'!$A$2:$P$135, MATCH(Games!$A77, 'Bye Weeks'!$A$1:$P$1, 0), FALSE)="Y", 25, 0), 0)</f>
        <v>0</v>
      </c>
      <c r="J77" s="6" t="n">
        <f>IFERROR(_xlfn.IFNA(IF(ISBLANK(B77), "",IF(ABS(ROUND(Calc!O77, 1))&gt;70,R77,ROUND(Calc!O77, 1))), R77), R77)</f>
        <v>-15.7</v>
      </c>
      <c r="K77" s="2" t="str">
        <f t="shared" si="39"/>
        <v>Rice</v>
      </c>
      <c r="L77" s="4" t="n">
        <f t="shared" si="40"/>
        <v>0.66157422404750521</v>
      </c>
      <c r="M77" s="4" t="n">
        <f t="shared" si="41"/>
        <v>0.33842577595249473</v>
      </c>
      <c r="N77" s="34" t="str">
        <f t="shared" si="42"/>
        <v>Rice</v>
      </c>
      <c r="O77" s="36" t="n">
        <f t="shared" si="43"/>
        <v>0.66157422404750521</v>
      </c>
      <c r="P77" s="13" t="str">
        <f t="shared" si="30"/>
        <v>Y</v>
      </c>
      <c r="Q77" s="15" t="str">
        <f t="shared" si="31"/>
        <v>Y</v>
      </c>
      <c r="R77" s="6" t="n">
        <f t="shared" si="32"/>
        <v>-2.6578422838675944</v>
      </c>
      <c r="S77" s="9" t="n">
        <f t="shared" si="44"/>
        <v>0.70809432759719571</v>
      </c>
      <c r="T77" s="17"/>
      <c r="U77" s="11"/>
      <c r="V77" s="19"/>
      <c r="W77" s="20"/>
      <c r="X77" s="11"/>
      <c r="Y77" s="1"/>
      <c r="Z77" s="19"/>
      <c r="AA77" s="20"/>
      <c r="AB77" s="14"/>
      <c r="AC77" s="11" t="n">
        <v>14</v>
      </c>
      <c r="AD77" s="12" t="n">
        <v>34</v>
      </c>
      <c r="AE77" s="16" t="str">
        <f t="shared" si="33"/>
        <v>Sam Houston State</v>
      </c>
      <c r="AF77" s="39" t="n">
        <f t="shared" si="45"/>
        <v>20</v>
      </c>
      <c r="AG77" s="1" t="n">
        <f t="shared" si="34"/>
        <v>1304.4626563869101</v>
      </c>
      <c r="AH77" s="1" t="n">
        <f t="shared" si="35"/>
        <v>1370.9087134836</v>
      </c>
      <c r="AI77" s="1" t="n">
        <f t="shared" si="46"/>
        <v>-66.446057096689856</v>
      </c>
      <c r="AJ77" s="1" t="n">
        <f t="shared" si="47"/>
        <v>3.1393391225332956</v>
      </c>
      <c r="AK77" s="1" t="n">
        <f t="shared" si="36"/>
        <v>0.66157422404750532</v>
      </c>
      <c r="AL77" s="1" t="n">
        <v>105</v>
      </c>
      <c r="AM77" s="1" t="n">
        <f t="shared" si="48"/>
        <v>218.07511362125382</v>
      </c>
      <c r="AN77" s="1" t="n">
        <f t="shared" si="37"/>
        <v>1152.8335998623461</v>
      </c>
      <c r="AO77" s="40" t="n">
        <f t="shared" si="38"/>
        <v>1522.537770008164</v>
      </c>
    </row>
    <row r="78" ht="14.65" customHeight="1">
      <c r="A78" s="33" t="n">
        <f>Schedule!A78</f>
        <v>1</v>
      </c>
      <c r="B78" s="34" t="s">
        <v>160</v>
      </c>
      <c r="C78" s="34" t="s">
        <v>245</v>
      </c>
      <c r="D78" s="6" t="str">
        <f>IF(OR(ISBLANK(B78), ISNA(VLOOKUP(B78, 'Betting Lines'!$B$2:$F$1048576, MATCH("spread", 'Betting Lines'!$B$1:$J$1, 0), FALSE))), "", VLOOKUP(B78, 'Betting Lines'!$B$2:$F$1048576, MATCH("spread", 'Betting Lines'!$B$1:$J$1, 0), FALSE))</f>
        <v>-15.5</v>
      </c>
      <c r="E78" s="10" t="n">
        <f>_xlfn.IFNA(IF(ISBLANK(B78),"",VLOOKUP(B78,Elo!$A$2:$AZ$1048576,MATCH(_xlfn.CONCAT("Week ", A78),Elo!$A$1:$AZ$1,0),FALSE)), "")</f>
        <v>1606.67468205416</v>
      </c>
      <c r="F78" s="10" t="n">
        <f>IFERROR(IF(ISBLANK(C78),"",VLOOKUP(C78,Elo!$A$2:$AZ$1048576,MATCH(_xlfn.CONCAT("Week ",A78),Elo!$A$1:$AZ$1,0),FALSE)),IF(ISBLANK(Schedule!D78),"", 1000))</f>
        <v>1162.1087083107443</v>
      </c>
      <c r="G78" s="34" t="n">
        <f>_xlfn.IFNA(IF(ISBLANK(B78),"",IF(VLOOKUP(Games!B78,Schedule!$C$2:$G$1048576,MATCH("neutral_site",Schedule!$C$1:$G$1,0),FALSE),0,50)),"")</f>
        <v>50</v>
      </c>
      <c r="H78" s="34" t="n">
        <f>_xlfn.IFNA(IF(VLOOKUP(Games!B78, 'Bye Weeks'!$A$2:$P$135, MATCH(Games!$A78, 'Bye Weeks'!$A$1:$P$1, 0), FALSE)="Y", 25, 0), 0)</f>
        <v>0</v>
      </c>
      <c r="I78" s="34" t="n">
        <f>_xlfn.IFNA(IF(VLOOKUP(Games!C78, 'Bye Weeks'!$A$2:$P$135, MATCH(Games!$A78, 'Bye Weeks'!$A$1:$P$1, 0), FALSE)="Y", 25, 0), 0)</f>
        <v>0</v>
      </c>
      <c r="J78" s="6" t="n">
        <f>IFERROR(_xlfn.IFNA(IF(ISBLANK(B78), "",IF(ABS(ROUND(Calc!O78, 1))&gt;70,R78,ROUND(Calc!O78, 1))), R78), R78)</f>
        <v>-55.3</v>
      </c>
      <c r="K78" s="2" t="str">
        <f t="shared" si="39"/>
        <v>Troy</v>
      </c>
      <c r="L78" s="4" t="n">
        <f t="shared" si="40"/>
        <v>0.94516084102782238</v>
      </c>
      <c r="M78" s="4" t="n">
        <f t="shared" si="41"/>
        <v>5.483915897217758E-2</v>
      </c>
      <c r="N78" s="34" t="str">
        <f t="shared" si="42"/>
        <v>Troy</v>
      </c>
      <c r="O78" s="36" t="n">
        <f t="shared" si="43"/>
        <v>0.94516084102782238</v>
      </c>
      <c r="P78" s="13" t="str">
        <f t="shared" si="30"/>
        <v>Y</v>
      </c>
      <c r="Q78" s="15" t="str">
        <f t="shared" si="31"/>
        <v>Y</v>
      </c>
      <c r="R78" s="6" t="n">
        <f t="shared" si="32"/>
        <v>-17.782638949736629</v>
      </c>
      <c r="S78" s="9" t="n">
        <f t="shared" si="44"/>
        <v>0.20094049556881899</v>
      </c>
      <c r="T78" s="17"/>
      <c r="U78" s="11"/>
      <c r="V78" s="19"/>
      <c r="W78" s="20"/>
      <c r="X78" s="11"/>
      <c r="Y78" s="1"/>
      <c r="Z78" s="19"/>
      <c r="AA78" s="20"/>
      <c r="AB78" s="14"/>
      <c r="AC78" s="11" t="n">
        <v>26</v>
      </c>
      <c r="AD78" s="12" t="n">
        <v>28</v>
      </c>
      <c r="AE78" s="16" t="str">
        <f t="shared" si="33"/>
        <v>Nevada</v>
      </c>
      <c r="AF78" s="39" t="n">
        <f t="shared" si="45"/>
        <v>2</v>
      </c>
      <c r="AG78" s="1" t="n">
        <f t="shared" si="34"/>
        <v>1162.1087083107443</v>
      </c>
      <c r="AH78" s="1" t="n">
        <f t="shared" si="35"/>
        <v>1606.67468205416</v>
      </c>
      <c r="AI78" s="1" t="n">
        <f t="shared" si="46"/>
        <v>-444.56597374341573</v>
      </c>
      <c r="AJ78" s="1" t="n">
        <f t="shared" si="47"/>
        <v>1.3768372943208329</v>
      </c>
      <c r="AK78" s="1" t="n">
        <f t="shared" si="36"/>
        <v>0.94516084102782238</v>
      </c>
      <c r="AL78" s="1" t="n">
        <v>106</v>
      </c>
      <c r="AM78" s="1" t="n">
        <f t="shared" si="48"/>
        <v>137.94126567622749</v>
      </c>
      <c r="AN78" s="1" t="n">
        <f t="shared" si="37"/>
        <v>1468.7334163779326</v>
      </c>
      <c r="AO78" s="40" t="n">
        <f t="shared" si="38"/>
        <v>1300.0499739869717</v>
      </c>
    </row>
    <row r="79" ht="14.65" customHeight="1">
      <c r="A79" s="33" t="n">
        <f>Schedule!A79</f>
        <v>1</v>
      </c>
      <c r="B79" s="34" t="s">
        <v>125</v>
      </c>
      <c r="C79" s="34" t="s">
        <v>327</v>
      </c>
      <c r="D79" s="6" t="n">
        <v>-36.5</v>
      </c>
      <c r="E79" s="10" t="n">
        <f>_xlfn.IFNA(IF(ISBLANK(B79),"",VLOOKUP(B79,Elo!$A$2:$AZ$1048576,MATCH(_xlfn.CONCAT("Week ", A79),Elo!$A$1:$AZ$1,0),FALSE)), "")</f>
        <v>1807.96104279825</v>
      </c>
      <c r="F79" s="10" t="n">
        <f>IFERROR(IF(ISBLANK(C79),"",VLOOKUP(C79,Elo!$A$2:$AZ$1048576,MATCH(_xlfn.CONCAT("Week ",A79),Elo!$A$1:$AZ$1,0),FALSE)),IF(ISBLANK(Schedule!D79),"", 1000))</f>
        <v>1000</v>
      </c>
      <c r="G79" s="34" t="n">
        <f>_xlfn.IFNA(IF(ISBLANK(B79),"",IF(VLOOKUP(Games!B79,Schedule!$C$2:$G$1048576,MATCH("neutral_site",Schedule!$C$1:$G$1,0),FALSE),0,50)),"")</f>
        <v>50</v>
      </c>
      <c r="H79" s="34" t="n">
        <f>_xlfn.IFNA(IF(VLOOKUP(Games!B79, 'Bye Weeks'!$A$2:$P$135, MATCH(Games!$A79, 'Bye Weeks'!$A$1:$P$1, 0), FALSE)="Y", 25, 0), 0)</f>
        <v>0</v>
      </c>
      <c r="I79" s="34" t="n">
        <f>_xlfn.IFNA(IF(VLOOKUP(Games!C79, 'Bye Weeks'!$A$2:$P$135, MATCH(Games!$A79, 'Bye Weeks'!$A$1:$P$1, 0), FALSE)="Y", 25, 0), 0)</f>
        <v>0</v>
      </c>
      <c r="J79" s="6" t="n">
        <f>IFERROR(_xlfn.IFNA(IF(ISBLANK(B79), "",IF(ABS(ROUND(Calc!O79, 1))&gt;70,R79,ROUND(Calc!O79, 1))), R79), R79)</f>
        <v>-32.318441711929999</v>
      </c>
      <c r="K79" s="2" t="str">
        <f t="shared" si="39"/>
        <v>Kansas State</v>
      </c>
      <c r="L79" s="4" t="n">
        <f t="shared" si="40"/>
        <v>0.99288790395590631</v>
      </c>
      <c r="M79" s="4" t="n">
        <f t="shared" si="41"/>
        <v>7.1120960440936212E-3</v>
      </c>
      <c r="N79" s="34" t="str">
        <f t="shared" si="42"/>
        <v>Kansas State</v>
      </c>
      <c r="O79" s="36" t="n">
        <f t="shared" si="43"/>
        <v>0.99288790395590631</v>
      </c>
      <c r="P79" s="13" t="str">
        <f t="shared" si="30"/>
        <v>N</v>
      </c>
      <c r="Q79" s="15" t="str">
        <f t="shared" si="31"/>
        <v>N</v>
      </c>
      <c r="R79" s="6" t="n">
        <f t="shared" si="32"/>
        <v>-32.318441711929999</v>
      </c>
      <c r="S79" s="9" t="n">
        <f t="shared" si="44"/>
        <v>0.3126117963241335</v>
      </c>
      <c r="T79" s="17"/>
      <c r="U79" s="11"/>
      <c r="V79" s="19"/>
      <c r="W79" s="20"/>
      <c r="X79" s="11"/>
      <c r="Y79" s="1"/>
      <c r="Z79" s="19"/>
      <c r="AA79" s="20"/>
      <c r="AB79" s="14"/>
      <c r="AC79" s="11" t="n">
        <v>41</v>
      </c>
      <c r="AD79" s="12" t="n">
        <v>6</v>
      </c>
      <c r="AE79" s="16" t="str">
        <f t="shared" si="33"/>
        <v>Kansas State</v>
      </c>
      <c r="AF79" s="39" t="n">
        <f t="shared" si="45"/>
        <v>35</v>
      </c>
      <c r="AG79" s="1" t="n">
        <f t="shared" si="34"/>
        <v>1807.96104279825</v>
      </c>
      <c r="AH79" s="1" t="n">
        <f t="shared" si="35"/>
        <v>1000</v>
      </c>
      <c r="AI79" s="1" t="n">
        <f t="shared" si="46"/>
        <v>807.96104279824999</v>
      </c>
      <c r="AJ79" s="1" t="n">
        <f t="shared" si="47"/>
        <v>2.6209587000732375</v>
      </c>
      <c r="AK79" s="1" t="n">
        <f t="shared" si="36"/>
        <v>7.1120960440936853E-3</v>
      </c>
      <c r="AL79" s="1" t="n">
        <v>107</v>
      </c>
      <c r="AM79" s="1" t="n">
        <f t="shared" si="48"/>
        <v>1.9945345702700465</v>
      </c>
      <c r="AN79" s="1" t="n">
        <f t="shared" si="37"/>
        <v>1809.9555773685199</v>
      </c>
      <c r="AO79" s="40" t="n">
        <f t="shared" si="38"/>
        <v>998.00546542972995</v>
      </c>
    </row>
    <row r="80" ht="14.65" customHeight="1">
      <c r="A80" s="33" t="n">
        <f>Schedule!A80</f>
        <v>1</v>
      </c>
      <c r="B80" s="34" t="s">
        <v>172</v>
      </c>
      <c r="C80" s="34" t="s">
        <v>329</v>
      </c>
      <c r="D80" s="6" t="str">
        <f>IF(OR(ISBLANK(B80), ISNA(VLOOKUP(B80, 'Betting Lines'!$B$2:$F$1048576, MATCH("spread", 'Betting Lines'!$B$1:$J$1, 0), FALSE))), "", VLOOKUP(B80, 'Betting Lines'!$B$2:$F$1048576, MATCH("spread", 'Betting Lines'!$B$1:$J$1, 0), FALSE))</f>
      </c>
      <c r="E80" s="10" t="n">
        <f>_xlfn.IFNA(IF(ISBLANK(B80),"",VLOOKUP(B80,Elo!$A$2:$AZ$1048576,MATCH(_xlfn.CONCAT("Week ", A80),Elo!$A$1:$AZ$1,0),FALSE)), "")</f>
        <v>1532.4393644862901</v>
      </c>
      <c r="F80" s="10" t="n">
        <f>IFERROR(IF(ISBLANK(C80),"",VLOOKUP(C80,Elo!$A$2:$AZ$1048576,MATCH(_xlfn.CONCAT("Week ",A80),Elo!$A$1:$AZ$1,0),FALSE)),IF(ISBLANK(Schedule!D80),"", 1000))</f>
        <v>1000</v>
      </c>
      <c r="G80" s="34" t="n">
        <f>_xlfn.IFNA(IF(ISBLANK(B80),"",IF(VLOOKUP(Games!B80,Schedule!$C$2:$G$1048576,MATCH("neutral_site",Schedule!$C$1:$G$1,0),FALSE),0,50)),"")</f>
        <v>50</v>
      </c>
      <c r="H80" s="34" t="n">
        <f>_xlfn.IFNA(IF(VLOOKUP(Games!B80, 'Bye Weeks'!$A$2:$P$135, MATCH(Games!$A80, 'Bye Weeks'!$A$1:$P$1, 0), FALSE)="Y", 25, 0), 0)</f>
        <v>0</v>
      </c>
      <c r="I80" s="34" t="n">
        <f>_xlfn.IFNA(IF(VLOOKUP(Games!C80, 'Bye Weeks'!$A$2:$P$135, MATCH(Games!$A80, 'Bye Weeks'!$A$1:$P$1, 0), FALSE)="Y", 25, 0), 0)</f>
        <v>0</v>
      </c>
      <c r="J80" s="6" t="n">
        <f>IFERROR(_xlfn.IFNA(IF(ISBLANK(B80), "",IF(ABS(ROUND(Calc!O80, 1))&gt;70,R80,ROUND(Calc!O80, 1))), R80), R80)</f>
        <v>-21.297574579451602</v>
      </c>
      <c r="K80" s="2" t="str">
        <f t="shared" si="39"/>
        <v>South Florida</v>
      </c>
      <c r="L80" s="4" t="n">
        <f t="shared" si="40"/>
        <v>0.96619609543935114</v>
      </c>
      <c r="M80" s="4" t="n">
        <f t="shared" si="41"/>
        <v>3.3803904560648773E-2</v>
      </c>
      <c r="N80" s="34" t="str">
        <f t="shared" si="42"/>
        <v>South Florida</v>
      </c>
      <c r="O80" s="36" t="n">
        <f t="shared" si="43"/>
        <v>0.96619609543935114</v>
      </c>
      <c r="P80" s="13" t="str">
        <f t="shared" si="30"/>
        <v>Y</v>
      </c>
      <c r="Q80" s="15" t="str">
        <f t="shared" si="31"/>
        <v>Y</v>
      </c>
      <c r="R80" s="6" t="n">
        <f t="shared" si="32"/>
        <v>-21.297574579451602</v>
      </c>
      <c r="S80" s="9" t="n">
        <f t="shared" si="44"/>
        <v>0.52190069650885573</v>
      </c>
      <c r="T80" s="17"/>
      <c r="U80" s="11"/>
      <c r="V80" s="19"/>
      <c r="W80" s="20"/>
      <c r="X80" s="11"/>
      <c r="Y80" s="1"/>
      <c r="Z80" s="19"/>
      <c r="AA80" s="20"/>
      <c r="AB80" s="14"/>
      <c r="AC80" s="11" t="n">
        <v>48</v>
      </c>
      <c r="AD80" s="12" t="n">
        <v>3</v>
      </c>
      <c r="AE80" s="16" t="str">
        <f t="shared" si="33"/>
        <v>South Florida</v>
      </c>
      <c r="AF80" s="39" t="n">
        <f t="shared" si="45"/>
        <v>45</v>
      </c>
      <c r="AG80" s="1" t="n">
        <f t="shared" si="34"/>
        <v>1532.4393644862901</v>
      </c>
      <c r="AH80" s="1" t="n">
        <f t="shared" si="35"/>
        <v>1000</v>
      </c>
      <c r="AI80" s="1" t="n">
        <f t="shared" si="46"/>
        <v>532.43936448629006</v>
      </c>
      <c r="AJ80" s="1" t="n">
        <f t="shared" si="47"/>
        <v>3.0825976165292035</v>
      </c>
      <c r="AK80" s="1" t="n">
        <f t="shared" si="36"/>
        <v>3.3803904560648856E-2</v>
      </c>
      <c r="AL80" s="1" t="n">
        <v>108</v>
      </c>
      <c r="AM80" s="1" t="n">
        <f t="shared" si="48"/>
        <v>11.254014247827978</v>
      </c>
      <c r="AN80" s="1" t="n">
        <f t="shared" si="37"/>
        <v>1543.6933787341181</v>
      </c>
      <c r="AO80" s="40" t="n">
        <f t="shared" si="38"/>
        <v>988.74598575217203</v>
      </c>
    </row>
    <row r="81" ht="14.65" customHeight="1">
      <c r="A81" s="33" t="n">
        <f>Schedule!A81</f>
        <v>1</v>
      </c>
      <c r="B81" s="34" t="s">
        <v>110</v>
      </c>
      <c r="C81" s="34" t="s">
        <v>330</v>
      </c>
      <c r="D81" s="6" t="n">
        <v>-44.5</v>
      </c>
      <c r="E81" s="10" t="n">
        <f>_xlfn.IFNA(IF(ISBLANK(B81),"",VLOOKUP(B81,Elo!$A$2:$AZ$1048576,MATCH(_xlfn.CONCAT("Week ", A81),Elo!$A$1:$AZ$1,0),FALSE)), "")</f>
        <v>2003.0247602574</v>
      </c>
      <c r="F81" s="10" t="n">
        <f>IFERROR(IF(ISBLANK(C81),"",VLOOKUP(C81,Elo!$A$2:$AZ$1048576,MATCH(_xlfn.CONCAT("Week ",A81),Elo!$A$1:$AZ$1,0),FALSE)),IF(ISBLANK(Schedule!D81),"", 1000))</f>
        <v>1000</v>
      </c>
      <c r="G81" s="34" t="n">
        <f>_xlfn.IFNA(IF(ISBLANK(B81),"",IF(VLOOKUP(Games!B81,Schedule!$C$2:$G$1048576,MATCH("neutral_site",Schedule!$C$1:$G$1,0),FALSE),0,50)),"")</f>
        <v>50</v>
      </c>
      <c r="H81" s="34" t="n">
        <f>_xlfn.IFNA(IF(VLOOKUP(Games!B81, 'Bye Weeks'!$A$2:$P$135, MATCH(Games!$A81, 'Bye Weeks'!$A$1:$P$1, 0), FALSE)="Y", 25, 0), 0)</f>
        <v>0</v>
      </c>
      <c r="I81" s="34" t="n">
        <f>_xlfn.IFNA(IF(VLOOKUP(Games!C81, 'Bye Weeks'!$A$2:$P$135, MATCH(Games!$A81, 'Bye Weeks'!$A$1:$P$1, 0), FALSE)="Y", 25, 0), 0)</f>
        <v>0</v>
      </c>
      <c r="J81" s="6" t="n">
        <f>IFERROR(_xlfn.IFNA(IF(ISBLANK(B81), "",IF(ABS(ROUND(Calc!O81, 1))&gt;70,R81,ROUND(Calc!O81, 1))), R81), R81)</f>
        <v>-40.120990410296002</v>
      </c>
      <c r="K81" s="2" t="str">
        <f t="shared" si="39"/>
        <v>Oregon</v>
      </c>
      <c r="L81" s="4" t="n">
        <f t="shared" si="40"/>
        <v>0.99767497739746613</v>
      </c>
      <c r="M81" s="4" t="n">
        <f t="shared" si="41"/>
        <v>2.3250226025337425E-3</v>
      </c>
      <c r="N81" s="34" t="str">
        <f t="shared" si="42"/>
        <v>Oregon</v>
      </c>
      <c r="O81" s="36" t="n">
        <f t="shared" si="43"/>
        <v>0.99767497739746613</v>
      </c>
      <c r="P81" s="13" t="str">
        <f t="shared" si="30"/>
        <v>N</v>
      </c>
      <c r="Q81" s="15" t="str">
        <f t="shared" si="31"/>
        <v>N</v>
      </c>
      <c r="R81" s="6" t="n">
        <f t="shared" si="32"/>
        <v>-40.120990410296002</v>
      </c>
      <c r="S81" s="9" t="n">
        <f t="shared" si="44"/>
        <v>0.25180131172745746</v>
      </c>
      <c r="T81" s="17"/>
      <c r="U81" s="11"/>
      <c r="V81" s="19"/>
      <c r="W81" s="20"/>
      <c r="X81" s="11"/>
      <c r="Y81" s="1"/>
      <c r="Z81" s="19"/>
      <c r="AA81" s="20"/>
      <c r="AB81" s="14"/>
      <c r="AC81" s="11" t="n">
        <v>24</v>
      </c>
      <c r="AD81" s="12" t="n">
        <v>14</v>
      </c>
      <c r="AE81" s="16" t="str">
        <f t="shared" si="33"/>
        <v>Oregon</v>
      </c>
      <c r="AF81" s="39" t="n">
        <f t="shared" si="45"/>
        <v>10</v>
      </c>
      <c r="AG81" s="1" t="n">
        <f t="shared" si="34"/>
        <v>2003.0247602574</v>
      </c>
      <c r="AH81" s="1" t="n">
        <f t="shared" si="35"/>
        <v>1000</v>
      </c>
      <c r="AI81" s="1" t="n">
        <f t="shared" si="46"/>
        <v>1003.0247602574</v>
      </c>
      <c r="AJ81" s="1" t="n">
        <f t="shared" si="47"/>
        <v>1.6469961973483085</v>
      </c>
      <c r="AK81" s="1" t="n">
        <f t="shared" si="36"/>
        <v>2.3250226025338661E-3</v>
      </c>
      <c r="AL81" s="1" t="n">
        <v>109</v>
      </c>
      <c r="AM81" s="1" t="n">
        <f t="shared" si="48"/>
        <v>0.41739406897831383</v>
      </c>
      <c r="AN81" s="1" t="n">
        <f t="shared" si="37"/>
        <v>2003.4421543263784</v>
      </c>
      <c r="AO81" s="40" t="n">
        <f t="shared" si="38"/>
        <v>999.5826059310217</v>
      </c>
    </row>
    <row r="82" ht="14.65" customHeight="1">
      <c r="A82" s="33" t="n">
        <f>Schedule!A82</f>
        <v>1</v>
      </c>
      <c r="B82" s="34" t="s">
        <v>112</v>
      </c>
      <c r="C82" s="34" t="s">
        <v>165</v>
      </c>
      <c r="D82" s="6" t="str">
        <f>IF(OR(ISBLANK(B82), ISNA(VLOOKUP(B82, 'Betting Lines'!$B$2:$F$1048576, MATCH("spread", 'Betting Lines'!$B$1:$J$1, 0), FALSE))), "", VLOOKUP(B82, 'Betting Lines'!$B$2:$F$1048576, MATCH("spread", 'Betting Lines'!$B$1:$J$1, 0), FALSE))</f>
        <v>-21</v>
      </c>
      <c r="E82" s="10" t="n">
        <f>_xlfn.IFNA(IF(ISBLANK(B82),"",VLOOKUP(B82,Elo!$A$2:$AZ$1048576,MATCH(_xlfn.CONCAT("Week ", A82),Elo!$A$1:$AZ$1,0),FALSE)), "")</f>
        <v>1981.7734188787001</v>
      </c>
      <c r="F82" s="10" t="n">
        <f>IFERROR(IF(ISBLANK(C82),"",VLOOKUP(C82,Elo!$A$2:$AZ$1048576,MATCH(_xlfn.CONCAT("Week ",A82),Elo!$A$1:$AZ$1,0),FALSE)),IF(ISBLANK(Schedule!D82),"", 1000))</f>
        <v>1590.4549955011701</v>
      </c>
      <c r="G82" s="34" t="n">
        <f>_xlfn.IFNA(IF(ISBLANK(B82),"",IF(VLOOKUP(Games!B82,Schedule!$C$2:$G$1048576,MATCH("neutral_site",Schedule!$C$1:$G$1,0),FALSE),0,50)),"")</f>
        <v>50</v>
      </c>
      <c r="H82" s="34" t="n">
        <f>_xlfn.IFNA(IF(VLOOKUP(Games!B82, 'Bye Weeks'!$A$2:$P$135, MATCH(Games!$A82, 'Bye Weeks'!$A$1:$P$1, 0), FALSE)="Y", 25, 0), 0)</f>
        <v>0</v>
      </c>
      <c r="I82" s="34" t="n">
        <f>_xlfn.IFNA(IF(VLOOKUP(Games!C82, 'Bye Weeks'!$A$2:$P$135, MATCH(Games!$A82, 'Bye Weeks'!$A$1:$P$1, 0), FALSE)="Y", 25, 0), 0)</f>
        <v>0</v>
      </c>
      <c r="J82" s="6" t="n">
        <f>IFERROR(_xlfn.IFNA(IF(ISBLANK(B82), "",IF(ABS(ROUND(Calc!O82, 1))&gt;70,R82,ROUND(Calc!O82, 1))), R82), R82)</f>
        <v>-67.8</v>
      </c>
      <c r="K82" s="2" t="str">
        <f t="shared" si="39"/>
        <v>Michigan</v>
      </c>
      <c r="L82" s="4" t="n">
        <f t="shared" si="40"/>
        <v>0.92692816398884148</v>
      </c>
      <c r="M82" s="4" t="n">
        <f t="shared" si="41"/>
        <v>7.3071836011158645E-2</v>
      </c>
      <c r="N82" s="34" t="str">
        <f t="shared" si="42"/>
        <v>Michigan</v>
      </c>
      <c r="O82" s="36" t="n">
        <f t="shared" si="43"/>
        <v>0.92692816398884148</v>
      </c>
      <c r="P82" s="13" t="str">
        <f t="shared" si="30"/>
        <v>Y</v>
      </c>
      <c r="Q82" s="15" t="str">
        <f t="shared" si="31"/>
        <v>Y</v>
      </c>
      <c r="R82" s="6" t="n">
        <f t="shared" si="32"/>
        <v>-15.652736935101203</v>
      </c>
      <c r="S82" s="9" t="n">
        <f t="shared" si="44"/>
        <v>0.16388847912671489</v>
      </c>
      <c r="T82" s="17"/>
      <c r="U82" s="11"/>
      <c r="V82" s="19"/>
      <c r="W82" s="20"/>
      <c r="X82" s="11"/>
      <c r="Y82" s="1"/>
      <c r="Z82" s="19"/>
      <c r="AA82" s="20"/>
      <c r="AB82" s="14"/>
      <c r="AC82" s="11" t="n">
        <v>30</v>
      </c>
      <c r="AD82" s="12" t="n">
        <v>10</v>
      </c>
      <c r="AE82" s="16" t="str">
        <f t="shared" si="33"/>
        <v>Michigan</v>
      </c>
      <c r="AF82" s="39" t="n">
        <f t="shared" si="45"/>
        <v>20</v>
      </c>
      <c r="AG82" s="1" t="n">
        <f t="shared" si="34"/>
        <v>1981.7734188787001</v>
      </c>
      <c r="AH82" s="1" t="n">
        <f t="shared" si="35"/>
        <v>1590.4549955011701</v>
      </c>
      <c r="AI82" s="1" t="n">
        <f t="shared" si="46"/>
        <v>391.31842337753005</v>
      </c>
      <c r="AJ82" s="1" t="n">
        <f t="shared" si="47"/>
        <v>2.5847650765595258</v>
      </c>
      <c r="AK82" s="1" t="n">
        <f t="shared" si="36"/>
        <v>7.307183601115852E-2</v>
      </c>
      <c r="AL82" s="1" t="n">
        <v>110</v>
      </c>
      <c r="AM82" s="1" t="n">
        <f t="shared" si="48"/>
        <v>20.776088278189999</v>
      </c>
      <c r="AN82" s="1" t="n">
        <f t="shared" si="37"/>
        <v>2002.5495071568901</v>
      </c>
      <c r="AO82" s="40" t="n">
        <f t="shared" si="38"/>
        <v>1569.6789072229801</v>
      </c>
    </row>
    <row r="83" ht="14.65" customHeight="1">
      <c r="A83" s="33" t="n">
        <f>Schedule!A83</f>
        <v>1</v>
      </c>
      <c r="B83" s="34" t="s">
        <v>152</v>
      </c>
      <c r="C83" s="34" t="s">
        <v>332</v>
      </c>
      <c r="D83" s="6" t="n">
        <v>-48.5</v>
      </c>
      <c r="E83" s="10" t="n">
        <f>_xlfn.IFNA(IF(ISBLANK(B83),"",VLOOKUP(B83,Elo!$A$2:$AZ$1048576,MATCH(_xlfn.CONCAT("Week ", A83),Elo!$A$1:$AZ$1,0),FALSE)), "")</f>
        <v>1636.14046511078</v>
      </c>
      <c r="F83" s="10" t="n">
        <f>IFERROR(IF(ISBLANK(C83),"",VLOOKUP(C83,Elo!$A$2:$AZ$1048576,MATCH(_xlfn.CONCAT("Week ",A83),Elo!$A$1:$AZ$1,0),FALSE)),IF(ISBLANK(Schedule!D83),"", 1000))</f>
        <v>1000</v>
      </c>
      <c r="G83" s="34" t="n">
        <f>_xlfn.IFNA(IF(ISBLANK(B83),"",IF(VLOOKUP(Games!B83,Schedule!$C$2:$G$1048576,MATCH("neutral_site",Schedule!$C$1:$G$1,0),FALSE),0,50)),"")</f>
        <v>50</v>
      </c>
      <c r="H83" s="34" t="n">
        <f>_xlfn.IFNA(IF(VLOOKUP(Games!B83, 'Bye Weeks'!$A$2:$P$135, MATCH(Games!$A83, 'Bye Weeks'!$A$1:$P$1, 0), FALSE)="Y", 25, 0), 0)</f>
        <v>0</v>
      </c>
      <c r="I83" s="34" t="n">
        <f>_xlfn.IFNA(IF(VLOOKUP(Games!C83, 'Bye Weeks'!$A$2:$P$135, MATCH(Games!$A83, 'Bye Weeks'!$A$1:$P$1, 0), FALSE)="Y", 25, 0), 0)</f>
        <v>0</v>
      </c>
      <c r="J83" s="6" t="n">
        <f>IFERROR(_xlfn.IFNA(IF(ISBLANK(B83), "",IF(ABS(ROUND(Calc!O83, 1))&gt;70,R83,ROUND(Calc!O83, 1))), R83), R83)</f>
        <v>-25.445618604431203</v>
      </c>
      <c r="K83" s="2" t="str">
        <f t="shared" si="39"/>
        <v>Auburn</v>
      </c>
      <c r="L83" s="4" t="n">
        <f t="shared" si="40"/>
        <v>0.98110425598210493</v>
      </c>
      <c r="M83" s="4" t="n">
        <f t="shared" si="41"/>
        <v>1.8895744017895014E-2</v>
      </c>
      <c r="N83" s="34" t="str">
        <f t="shared" si="42"/>
        <v>Auburn</v>
      </c>
      <c r="O83" s="36" t="n">
        <f t="shared" si="43"/>
        <v>0.98110425598210493</v>
      </c>
      <c r="P83" s="13" t="str">
        <f t="shared" si="30"/>
        <v>N</v>
      </c>
      <c r="Q83" s="15" t="str">
        <f t="shared" si="31"/>
        <v>N</v>
      </c>
      <c r="R83" s="6" t="n">
        <f t="shared" si="32"/>
        <v>-25.445618604431203</v>
      </c>
      <c r="S83" s="9" t="n">
        <f t="shared" si="44"/>
        <v>0.39708096575408053</v>
      </c>
      <c r="T83" s="17"/>
      <c r="U83" s="11"/>
      <c r="V83" s="19"/>
      <c r="W83" s="20"/>
      <c r="X83" s="11"/>
      <c r="Y83" s="1"/>
      <c r="Z83" s="19"/>
      <c r="AA83" s="20"/>
      <c r="AB83" s="14"/>
      <c r="AC83" s="11" t="n">
        <v>73</v>
      </c>
      <c r="AD83" s="12" t="n">
        <v>3</v>
      </c>
      <c r="AE83" s="16" t="str">
        <f t="shared" si="33"/>
        <v>Auburn</v>
      </c>
      <c r="AF83" s="39" t="n">
        <f t="shared" si="45"/>
        <v>70</v>
      </c>
      <c r="AG83" s="1" t="n">
        <f t="shared" si="34"/>
        <v>1636.14046511078</v>
      </c>
      <c r="AH83" s="1" t="n">
        <f t="shared" si="35"/>
        <v>1000</v>
      </c>
      <c r="AI83" s="1" t="n">
        <f t="shared" si="46"/>
        <v>636.14046511078004</v>
      </c>
      <c r="AJ83" s="1" t="n">
        <f t="shared" si="47"/>
        <v>3.3065695598841192</v>
      </c>
      <c r="AK83" s="1" t="n">
        <f t="shared" si="36"/>
        <v>1.8895744017895066E-2</v>
      </c>
      <c r="AL83" s="1" t="n">
        <v>111</v>
      </c>
      <c r="AM83" s="1" t="n">
        <f t="shared" si="48"/>
        <v>6.9352902098837035</v>
      </c>
      <c r="AN83" s="1" t="n">
        <f t="shared" si="37"/>
        <v>1643.0757553206638</v>
      </c>
      <c r="AO83" s="40" t="n">
        <f t="shared" si="38"/>
        <v>993.06470979011624</v>
      </c>
    </row>
    <row r="84" ht="14.65" customHeight="1">
      <c r="A84" s="33" t="n">
        <f>Schedule!A84</f>
        <v>1</v>
      </c>
      <c r="B84" s="34" t="s">
        <v>158</v>
      </c>
      <c r="C84" s="34" t="s">
        <v>331</v>
      </c>
      <c r="D84" s="6" t="n">
        <v>-31.5</v>
      </c>
      <c r="E84" s="10" t="n">
        <f>_xlfn.IFNA(IF(ISBLANK(B84),"",VLOOKUP(B84,Elo!$A$2:$AZ$1048576,MATCH(_xlfn.CONCAT("Week ", A84),Elo!$A$1:$AZ$1,0),FALSE)), "")</f>
        <v>1609.2667379074601</v>
      </c>
      <c r="F84" s="10" t="n">
        <f>IFERROR(IF(ISBLANK(C84),"",VLOOKUP(C84,Elo!$A$2:$AZ$1048576,MATCH(_xlfn.CONCAT("Week ",A84),Elo!$A$1:$AZ$1,0),FALSE)),IF(ISBLANK(Schedule!D84),"", 1000))</f>
        <v>1000</v>
      </c>
      <c r="G84" s="34" t="n">
        <f>_xlfn.IFNA(IF(ISBLANK(B84),"",IF(VLOOKUP(Games!B84,Schedule!$C$2:$G$1048576,MATCH("neutral_site",Schedule!$C$1:$G$1,0),FALSE),0,50)),"")</f>
        <v>50</v>
      </c>
      <c r="H84" s="34" t="n">
        <f>_xlfn.IFNA(IF(VLOOKUP(Games!B84, 'Bye Weeks'!$A$2:$P$135, MATCH(Games!$A84, 'Bye Weeks'!$A$1:$P$1, 0), FALSE)="Y", 25, 0), 0)</f>
        <v>0</v>
      </c>
      <c r="I84" s="34" t="n">
        <f>_xlfn.IFNA(IF(VLOOKUP(Games!C84, 'Bye Weeks'!$A$2:$P$135, MATCH(Games!$A84, 'Bye Weeks'!$A$1:$P$1, 0), FALSE)="Y", 25, 0), 0)</f>
        <v>0</v>
      </c>
      <c r="J84" s="6" t="n">
        <f>IFERROR(_xlfn.IFNA(IF(ISBLANK(B84), "",IF(ABS(ROUND(Calc!O84, 1))&gt;70,R84,ROUND(Calc!O84, 1))), R84), R84)</f>
        <v>-24.370669516298403</v>
      </c>
      <c r="K84" s="2" t="str">
        <f t="shared" si="39"/>
        <v>Texas Tech</v>
      </c>
      <c r="L84" s="4" t="n">
        <f t="shared" si="40"/>
        <v>0.97801241541270967</v>
      </c>
      <c r="M84" s="4" t="n">
        <f t="shared" si="41"/>
        <v>2.1987584587290249E-2</v>
      </c>
      <c r="N84" s="34" t="str">
        <f t="shared" si="42"/>
        <v>Texas Tech</v>
      </c>
      <c r="O84" s="36" t="n">
        <f t="shared" si="43"/>
        <v>0.97801241541270967</v>
      </c>
      <c r="P84" s="13" t="str">
        <f t="shared" si="30"/>
        <v>N</v>
      </c>
      <c r="Q84" s="15" t="str">
        <f t="shared" si="31"/>
        <v>N</v>
      </c>
      <c r="R84" s="6" t="n">
        <f t="shared" si="32"/>
        <v>-24.370669516298403</v>
      </c>
      <c r="S84" s="9" t="n">
        <f t="shared" si="44"/>
        <v>0.41460272646622615</v>
      </c>
      <c r="T84" s="17"/>
      <c r="U84" s="11"/>
      <c r="V84" s="19"/>
      <c r="W84" s="20"/>
      <c r="X84" s="11"/>
      <c r="Y84" s="1"/>
      <c r="Z84" s="19"/>
      <c r="AA84" s="20"/>
      <c r="AB84" s="14"/>
      <c r="AC84" s="11" t="n">
        <v>52</v>
      </c>
      <c r="AD84" s="12" t="n">
        <v>51</v>
      </c>
      <c r="AE84" s="16" t="str">
        <f t="shared" si="33"/>
        <v>Texas Tech</v>
      </c>
      <c r="AF84" s="39" t="n">
        <f t="shared" si="45"/>
        <v>1</v>
      </c>
      <c r="AG84" s="1" t="n">
        <f t="shared" si="34"/>
        <v>1609.2667379074601</v>
      </c>
      <c r="AH84" s="1" t="n">
        <f t="shared" si="35"/>
        <v>1000</v>
      </c>
      <c r="AI84" s="1" t="n">
        <f t="shared" si="46"/>
        <v>609.26673790746008</v>
      </c>
      <c r="AJ84" s="1" t="n">
        <f t="shared" si="47"/>
        <v>0.54281915513930523</v>
      </c>
      <c r="AK84" s="1" t="n">
        <f t="shared" si="36"/>
        <v>2.1987584587290332E-2</v>
      </c>
      <c r="AL84" s="1" t="n">
        <v>112</v>
      </c>
      <c r="AM84" s="1" t="n">
        <f t="shared" si="48"/>
        <v>1.336751593993418</v>
      </c>
      <c r="AN84" s="1" t="n">
        <f t="shared" si="37"/>
        <v>1610.6034895014534</v>
      </c>
      <c r="AO84" s="40" t="n">
        <f t="shared" si="38"/>
        <v>998.66324840600657</v>
      </c>
    </row>
    <row r="85" ht="14.65" customHeight="1">
      <c r="A85" s="33" t="n">
        <f>Schedule!A85</f>
        <v>1</v>
      </c>
      <c r="B85" s="34" t="s">
        <v>228</v>
      </c>
      <c r="C85" s="34" t="s">
        <v>156</v>
      </c>
      <c r="D85" s="6" t="n">
        <v>14.5</v>
      </c>
      <c r="E85" s="10" t="n">
        <f>_xlfn.IFNA(IF(ISBLANK(B85),"",VLOOKUP(B85,Elo!$A$2:$AZ$1048576,MATCH(_xlfn.CONCAT("Week ", A85),Elo!$A$1:$AZ$1,0),FALSE)), "")</f>
        <v>1331.2435756063926</v>
      </c>
      <c r="F85" s="10" t="n">
        <f>IFERROR(IF(ISBLANK(C85),"",VLOOKUP(C85,Elo!$A$2:$AZ$1048576,MATCH(_xlfn.CONCAT("Week ",A85),Elo!$A$1:$AZ$1,0),FALSE)),IF(ISBLANK(Schedule!D85),"", 1000))</f>
        <v>1617.1595515613601</v>
      </c>
      <c r="G85" s="34" t="n">
        <f>_xlfn.IFNA(IF(ISBLANK(B85),"",IF(VLOOKUP(Games!B85,Schedule!$C$2:$G$1048576,MATCH("neutral_site",Schedule!$C$1:$G$1,0),FALSE),0,50)),"")</f>
        <v>50</v>
      </c>
      <c r="H85" s="34" t="n">
        <f>_xlfn.IFNA(IF(VLOOKUP(Games!B85, 'Bye Weeks'!$A$2:$P$135, MATCH(Games!$A85, 'Bye Weeks'!$A$1:$P$1, 0), FALSE)="Y", 25, 0), 0)</f>
        <v>0</v>
      </c>
      <c r="I85" s="34" t="n">
        <f>_xlfn.IFNA(IF(VLOOKUP(Games!C85, 'Bye Weeks'!$A$2:$P$135, MATCH(Games!$A85, 'Bye Weeks'!$A$1:$P$1, 0), FALSE)="Y", 25, 0), 0)</f>
        <v>0</v>
      </c>
      <c r="J85" s="6" t="n">
        <f>IFERROR(_xlfn.IFNA(IF(ISBLANK(B85), "",IF(ABS(ROUND(Calc!O85, 1))&gt;70,R85,ROUND(Calc!O85, 1))), R85), R85)</f>
        <v>39.6</v>
      </c>
      <c r="K85" s="2" t="str">
        <f t="shared" si="39"/>
        <v>UCLA</v>
      </c>
      <c r="L85" s="4" t="n">
        <f t="shared" si="40"/>
        <v>0.20455879039510272</v>
      </c>
      <c r="M85" s="4" t="n">
        <f t="shared" si="41"/>
        <v>0.79544120960489728</v>
      </c>
      <c r="N85" s="34" t="str">
        <f t="shared" si="42"/>
        <v>UCLA</v>
      </c>
      <c r="O85" s="36" t="n">
        <f t="shared" si="43"/>
        <v>0.79544120960489728</v>
      </c>
      <c r="P85" s="13" t="str">
        <f t="shared" si="30"/>
        <v>N</v>
      </c>
      <c r="Q85" s="15" t="str">
        <f t="shared" si="31"/>
        <v>N</v>
      </c>
      <c r="R85" s="6" t="n">
        <f t="shared" si="32"/>
        <v>11.436639038198701</v>
      </c>
      <c r="S85" s="9" t="n">
        <f t="shared" si="44"/>
        <v>0.25511492801212426</v>
      </c>
      <c r="T85" s="17"/>
      <c r="U85" s="11"/>
      <c r="V85" s="19"/>
      <c r="W85" s="20"/>
      <c r="X85" s="11"/>
      <c r="Y85" s="1"/>
      <c r="Z85" s="19"/>
      <c r="AA85" s="20"/>
      <c r="AB85" s="14"/>
      <c r="AC85" s="11" t="n">
        <v>13</v>
      </c>
      <c r="AD85" s="12" t="n">
        <v>16</v>
      </c>
      <c r="AE85" s="16" t="str">
        <f t="shared" si="33"/>
        <v>UCLA</v>
      </c>
      <c r="AF85" s="39" t="n">
        <f t="shared" si="45"/>
        <v>3</v>
      </c>
      <c r="AG85" s="1" t="n">
        <f t="shared" si="34"/>
        <v>1617.1595515613601</v>
      </c>
      <c r="AH85" s="1" t="n">
        <f t="shared" si="35"/>
        <v>1331.2435756063926</v>
      </c>
      <c r="AI85" s="1" t="n">
        <f t="shared" si="46"/>
        <v>285.91597595496751</v>
      </c>
      <c r="AJ85" s="1" t="n">
        <f t="shared" si="47"/>
        <v>1.2268506353245334</v>
      </c>
      <c r="AK85" s="1" t="n">
        <f t="shared" si="36"/>
        <v>0.20455879039510272</v>
      </c>
      <c r="AL85" s="1" t="n">
        <v>113</v>
      </c>
      <c r="AM85" s="1" t="n">
        <f t="shared" si="48"/>
        <v>28.358828261191828</v>
      </c>
      <c r="AN85" s="1" t="n">
        <f t="shared" si="37"/>
        <v>1302.8847473452008</v>
      </c>
      <c r="AO85" s="40" t="n">
        <f t="shared" si="38"/>
        <v>1645.5183798225519</v>
      </c>
    </row>
    <row r="86" ht="14.65" customHeight="1">
      <c r="A86" s="33" t="n">
        <f>Schedule!A86</f>
        <v>1</v>
      </c>
      <c r="B86" s="34" t="s">
        <v>129</v>
      </c>
      <c r="C86" s="34" t="s">
        <v>116</v>
      </c>
      <c r="D86" s="6" t="str">
        <f>IF(OR(ISBLANK(B86), ISNA(VLOOKUP(B86, 'Betting Lines'!$B$2:$F$1048576, MATCH("spread", 'Betting Lines'!$B$1:$J$1, 0), FALSE))), "", VLOOKUP(B86, 'Betting Lines'!$B$2:$F$1048576, MATCH("spread", 'Betting Lines'!$B$1:$J$1, 0), FALSE))</f>
        <v>-2.5</v>
      </c>
      <c r="E86" s="10" t="n">
        <f>_xlfn.IFNA(IF(ISBLANK(B86),"",VLOOKUP(B86,Elo!$A$2:$AZ$1048576,MATCH(_xlfn.CONCAT("Week ", A86),Elo!$A$1:$AZ$1,0),FALSE)), "")</f>
        <v>1767.2022166059101</v>
      </c>
      <c r="F86" s="10" t="n">
        <f>IFERROR(IF(ISBLANK(C86),"",VLOOKUP(C86,Elo!$A$2:$AZ$1048576,MATCH(_xlfn.CONCAT("Week ",A86),Elo!$A$1:$AZ$1,0),FALSE)),IF(ISBLANK(Schedule!D86),"", 1000))</f>
        <v>1926.89583775185</v>
      </c>
      <c r="G86" s="34" t="n">
        <f>_xlfn.IFNA(IF(ISBLANK(B86),"",IF(VLOOKUP(Games!B86,Schedule!$C$2:$G$1048576,MATCH("neutral_site",Schedule!$C$1:$G$1,0),FALSE),0,50)),"")</f>
        <v>50</v>
      </c>
      <c r="H86" s="34" t="n">
        <f>_xlfn.IFNA(IF(VLOOKUP(Games!B86, 'Bye Weeks'!$A$2:$P$135, MATCH(Games!$A86, 'Bye Weeks'!$A$1:$P$1, 0), FALSE)="Y", 25, 0), 0)</f>
        <v>0</v>
      </c>
      <c r="I86" s="34" t="n">
        <f>_xlfn.IFNA(IF(VLOOKUP(Games!C86, 'Bye Weeks'!$A$2:$P$135, MATCH(Games!$A86, 'Bye Weeks'!$A$1:$P$1, 0), FALSE)="Y", 25, 0), 0)</f>
        <v>0</v>
      </c>
      <c r="J86" s="6" t="n">
        <f>IFERROR(_xlfn.IFNA(IF(ISBLANK(B86), "",IF(ABS(ROUND(Calc!O86, 1))&gt;70,R86,ROUND(Calc!O86, 1))), R86), R86)</f>
        <v>9.6</v>
      </c>
      <c r="K86" s="2" t="str">
        <f t="shared" si="39"/>
        <v>Notre Dame</v>
      </c>
      <c r="L86" s="4" t="n">
        <f t="shared" si="40"/>
        <v>0.3471824525130911</v>
      </c>
      <c r="M86" s="4" t="n">
        <f t="shared" si="41"/>
        <v>0.6528175474869089</v>
      </c>
      <c r="N86" s="34" t="str">
        <f t="shared" si="42"/>
        <v>Notre Dame</v>
      </c>
      <c r="O86" s="36" t="n">
        <f t="shared" si="43"/>
        <v>0.6528175474869089</v>
      </c>
      <c r="P86" s="13" t="str">
        <f t="shared" si="30"/>
        <v>Y</v>
      </c>
      <c r="Q86" s="15" t="str">
        <f t="shared" si="31"/>
        <v>N</v>
      </c>
      <c r="R86" s="6" t="n">
        <f t="shared" si="32"/>
        <v>6.3877448458375969</v>
      </c>
      <c r="S86" s="9" t="n">
        <f t="shared" si="44"/>
        <v>1.0531803962460897</v>
      </c>
      <c r="T86" s="17" t="s">
        <v>2</v>
      </c>
      <c r="U86" s="11"/>
      <c r="V86" s="19"/>
      <c r="W86" s="20"/>
      <c r="X86" s="11" t="s">
        <v>116</v>
      </c>
      <c r="Y86" s="1"/>
      <c r="Z86" s="19" t="n">
        <v>3</v>
      </c>
      <c r="AA86" s="20" t="n">
        <v>140</v>
      </c>
      <c r="AB86" s="14"/>
      <c r="AC86" s="11" t="n">
        <v>13</v>
      </c>
      <c r="AD86" s="12" t="n">
        <v>23</v>
      </c>
      <c r="AE86" s="16" t="str">
        <f t="shared" si="33"/>
        <v>Notre Dame</v>
      </c>
      <c r="AF86" s="39" t="n">
        <f t="shared" si="45"/>
        <v>10</v>
      </c>
      <c r="AG86" s="1" t="n">
        <f t="shared" si="34"/>
        <v>1926.89583775185</v>
      </c>
      <c r="AH86" s="1" t="n">
        <f t="shared" si="35"/>
        <v>1767.2022166059101</v>
      </c>
      <c r="AI86" s="1" t="n">
        <f t="shared" si="46"/>
        <v>159.69362114593991</v>
      </c>
      <c r="AJ86" s="1" t="n">
        <f t="shared" si="47"/>
        <v>2.2356163329350078</v>
      </c>
      <c r="AK86" s="1" t="n">
        <f t="shared" si="36"/>
        <v>0.3471824525130911</v>
      </c>
      <c r="AL86" s="1" t="n">
        <v>114</v>
      </c>
      <c r="AM86" s="1" t="n">
        <f t="shared" si="48"/>
        <v>88.483010793523718</v>
      </c>
      <c r="AN86" s="1" t="n">
        <f t="shared" si="37"/>
        <v>1678.7192058123862</v>
      </c>
      <c r="AO86" s="40" t="n">
        <f t="shared" si="38"/>
        <v>2015.3788485453738</v>
      </c>
    </row>
    <row r="87" ht="14.65" customHeight="1">
      <c r="A87" s="33" t="n">
        <f>Schedule!A87</f>
        <v>1</v>
      </c>
      <c r="B87" s="34" t="s">
        <v>159</v>
      </c>
      <c r="C87" s="34" t="s">
        <v>239</v>
      </c>
      <c r="D87" s="6" t="str">
        <f>IF(OR(ISBLANK(B87), ISNA(VLOOKUP(B87, 'Betting Lines'!$B$2:$F$1048576, MATCH("spread", 'Betting Lines'!$B$1:$J$1, 0), FALSE))), "", VLOOKUP(B87, 'Betting Lines'!$B$2:$F$1048576, MATCH("spread", 'Betting Lines'!$B$1:$J$1, 0), FALSE))</f>
        <v>-25.5</v>
      </c>
      <c r="E87" s="10" t="n">
        <f>_xlfn.IFNA(IF(ISBLANK(B87),"",VLOOKUP(B87,Elo!$A$2:$AZ$1048576,MATCH(_xlfn.CONCAT("Week ", A87),Elo!$A$1:$AZ$1,0),FALSE)), "")</f>
        <v>1606.7229081037401</v>
      </c>
      <c r="F87" s="10" t="n">
        <f>IFERROR(IF(ISBLANK(C87),"",VLOOKUP(C87,Elo!$A$2:$AZ$1048576,MATCH(_xlfn.CONCAT("Week ",A87),Elo!$A$1:$AZ$1,0),FALSE)),IF(ISBLANK(Schedule!D87),"", 1000))</f>
        <v>1224.3377989669</v>
      </c>
      <c r="G87" s="34" t="n">
        <f>_xlfn.IFNA(IF(ISBLANK(B87),"",IF(VLOOKUP(Games!B87,Schedule!$C$2:$G$1048576,MATCH("neutral_site",Schedule!$C$1:$G$1,0),FALSE),0,50)),"")</f>
        <v>50</v>
      </c>
      <c r="H87" s="34" t="n">
        <f>_xlfn.IFNA(IF(VLOOKUP(Games!B87, 'Bye Weeks'!$A$2:$P$135, MATCH(Games!$A87, 'Bye Weeks'!$A$1:$P$1, 0), FALSE)="Y", 25, 0), 0)</f>
        <v>0</v>
      </c>
      <c r="I87" s="34" t="n">
        <f>_xlfn.IFNA(IF(VLOOKUP(Games!C87, 'Bye Weeks'!$A$2:$P$135, MATCH(Games!$A87, 'Bye Weeks'!$A$1:$P$1, 0), FALSE)="Y", 25, 0), 0)</f>
        <v>0</v>
      </c>
      <c r="J87" s="6" t="n">
        <f>IFERROR(_xlfn.IFNA(IF(ISBLANK(B87), "",IF(ABS(ROUND(Calc!O87, 1))&gt;70,R87,ROUND(Calc!O87, 1))), R87), R87)</f>
        <v>-50</v>
      </c>
      <c r="K87" s="2" t="str">
        <f t="shared" si="39"/>
        <v>Kentucky</v>
      </c>
      <c r="L87" s="4" t="n">
        <f t="shared" si="40"/>
        <v>0.92336769261813212</v>
      </c>
      <c r="M87" s="4" t="n">
        <f t="shared" si="41"/>
        <v>7.6632307381867867E-2</v>
      </c>
      <c r="N87" s="34" t="str">
        <f t="shared" si="42"/>
        <v>Kentucky</v>
      </c>
      <c r="O87" s="36" t="n">
        <f t="shared" si="43"/>
        <v>0.92336769261813212</v>
      </c>
      <c r="P87" s="13" t="str">
        <f t="shared" si="30"/>
        <v>Y</v>
      </c>
      <c r="Q87" s="15" t="str">
        <f t="shared" si="31"/>
        <v>Y</v>
      </c>
      <c r="R87" s="6" t="n">
        <f t="shared" si="32"/>
        <v>-15.295404365473605</v>
      </c>
      <c r="S87" s="9" t="n">
        <f t="shared" si="44"/>
        <v>0.22224444888977796</v>
      </c>
      <c r="T87" s="17"/>
      <c r="U87" s="11"/>
      <c r="V87" s="19"/>
      <c r="W87" s="20"/>
      <c r="X87" s="11"/>
      <c r="Y87" s="1"/>
      <c r="Z87" s="19"/>
      <c r="AA87" s="20"/>
      <c r="AB87" s="14"/>
      <c r="AC87" s="11" t="n">
        <v>31</v>
      </c>
      <c r="AD87" s="12" t="n">
        <v>0</v>
      </c>
      <c r="AE87" s="16" t="str">
        <f t="shared" si="33"/>
        <v>Kentucky</v>
      </c>
      <c r="AF87" s="39" t="n">
        <f t="shared" si="45"/>
        <v>31</v>
      </c>
      <c r="AG87" s="1" t="n">
        <f t="shared" si="34"/>
        <v>1606.7229081037401</v>
      </c>
      <c r="AH87" s="1" t="n">
        <f t="shared" si="35"/>
        <v>1224.3377989669</v>
      </c>
      <c r="AI87" s="1" t="n">
        <f t="shared" si="46"/>
        <v>382.38510913684013</v>
      </c>
      <c r="AJ87" s="1" t="n">
        <f t="shared" si="47"/>
        <v>2.9525491605347431</v>
      </c>
      <c r="AK87" s="1" t="n">
        <f t="shared" si="36"/>
        <v>7.6632307381867881E-2</v>
      </c>
      <c r="AL87" s="1" t="n">
        <v>115</v>
      </c>
      <c r="AM87" s="1" t="n">
        <f t="shared" si="48"/>
        <v>26.019975305470055</v>
      </c>
      <c r="AN87" s="1" t="n">
        <f t="shared" si="37"/>
        <v>1632.7428834092102</v>
      </c>
      <c r="AO87" s="40" t="n">
        <f t="shared" si="38"/>
        <v>1198.3178236614299</v>
      </c>
    </row>
    <row r="88" ht="14.65" customHeight="1">
      <c r="A88" s="33" t="n">
        <f>Schedule!A88</f>
        <v>1</v>
      </c>
      <c r="B88" s="34" t="s">
        <v>241</v>
      </c>
      <c r="C88" s="34" t="s">
        <v>167</v>
      </c>
      <c r="D88" s="6" t="str">
        <f>IF(OR(ISBLANK(B88), ISNA(VLOOKUP(B88, 'Betting Lines'!$B$2:$F$1048576, MATCH("spread", 'Betting Lines'!$B$1:$J$1, 0), FALSE))), "", VLOOKUP(B88, 'Betting Lines'!$B$2:$F$1048576, MATCH("spread", 'Betting Lines'!$B$1:$J$1, 0), FALSE))</f>
        <v>7.5</v>
      </c>
      <c r="E88" s="10" t="n">
        <f>_xlfn.IFNA(IF(ISBLANK(B88),"",VLOOKUP(B88,Elo!$A$2:$AZ$1048576,MATCH(_xlfn.CONCAT("Week ", A88),Elo!$A$1:$AZ$1,0),FALSE)), "")</f>
        <v>1199.0900403527401</v>
      </c>
      <c r="F88" s="10" t="n">
        <f>IFERROR(IF(ISBLANK(C88),"",VLOOKUP(C88,Elo!$A$2:$AZ$1048576,MATCH(_xlfn.CONCAT("Week ",A88),Elo!$A$1:$AZ$1,0),FALSE)),IF(ISBLANK(Schedule!D88),"", 1000))</f>
        <v>1574.01800604036</v>
      </c>
      <c r="G88" s="34" t="n">
        <f>_xlfn.IFNA(IF(ISBLANK(B88),"",IF(VLOOKUP(Games!B88,Schedule!$C$2:$G$1048576,MATCH("neutral_site",Schedule!$C$1:$G$1,0),FALSE),0,50)),"")</f>
        <v>50</v>
      </c>
      <c r="H88" s="34" t="n">
        <f>_xlfn.IFNA(IF(VLOOKUP(Games!B88, 'Bye Weeks'!$A$2:$P$135, MATCH(Games!$A88, 'Bye Weeks'!$A$1:$P$1, 0), FALSE)="Y", 25, 0), 0)</f>
        <v>0</v>
      </c>
      <c r="I88" s="34" t="n">
        <f>_xlfn.IFNA(IF(VLOOKUP(Games!C88, 'Bye Weeks'!$A$2:$P$135, MATCH(Games!$A88, 'Bye Weeks'!$A$1:$P$1, 0), FALSE)="Y", 25, 0), 0)</f>
        <v>0</v>
      </c>
      <c r="J88" s="6" t="n">
        <f>IFERROR(_xlfn.IFNA(IF(ISBLANK(B88), "",IF(ABS(ROUND(Calc!O88, 1))&gt;70,R88,ROUND(Calc!O88, 1))), R88), R88)</f>
        <v>55.8</v>
      </c>
      <c r="K88" s="2" t="str">
        <f t="shared" si="39"/>
        <v>James Madison</v>
      </c>
      <c r="L88" s="4" t="n">
        <f t="shared" si="40"/>
        <v>0.13349131354479868</v>
      </c>
      <c r="M88" s="4" t="n">
        <f t="shared" si="41"/>
        <v>0.8665086864552014</v>
      </c>
      <c r="N88" s="34" t="str">
        <f t="shared" si="42"/>
        <v>James Madison</v>
      </c>
      <c r="O88" s="36" t="n">
        <f t="shared" si="43"/>
        <v>0.8665086864552014</v>
      </c>
      <c r="P88" s="13" t="str">
        <f t="shared" si="30"/>
        <v>Y</v>
      </c>
      <c r="Q88" s="15" t="str">
        <f t="shared" si="31"/>
        <v>N</v>
      </c>
      <c r="R88" s="6" t="n">
        <f t="shared" si="32"/>
        <v>14.997118627504797</v>
      </c>
      <c r="S88" s="9" t="n">
        <f t="shared" si="44"/>
        <v>0.18103602796200036</v>
      </c>
      <c r="T88" s="17"/>
      <c r="U88" s="11"/>
      <c r="V88" s="19"/>
      <c r="W88" s="20"/>
      <c r="X88" s="11"/>
      <c r="Y88" s="1"/>
      <c r="Z88" s="19"/>
      <c r="AA88" s="20"/>
      <c r="AB88" s="14"/>
      <c r="AC88" s="11" t="n">
        <v>7</v>
      </c>
      <c r="AD88" s="12" t="n">
        <v>30</v>
      </c>
      <c r="AE88" s="16" t="str">
        <f t="shared" si="33"/>
        <v>James Madison</v>
      </c>
      <c r="AF88" s="39" t="n">
        <f t="shared" si="45"/>
        <v>23</v>
      </c>
      <c r="AG88" s="1" t="n">
        <f t="shared" si="34"/>
        <v>1574.01800604036</v>
      </c>
      <c r="AH88" s="1" t="n">
        <f t="shared" si="35"/>
        <v>1199.0900403527401</v>
      </c>
      <c r="AI88" s="1" t="n">
        <f t="shared" si="46"/>
        <v>374.92796568761992</v>
      </c>
      <c r="AJ88" s="1" t="n">
        <f t="shared" si="47"/>
        <v>2.7153064163091574</v>
      </c>
      <c r="AK88" s="1" t="n">
        <f t="shared" si="36"/>
        <v>0.1334913135447986</v>
      </c>
      <c r="AL88" s="1" t="n">
        <v>116</v>
      </c>
      <c r="AM88" s="1" t="n">
        <f t="shared" si="48"/>
        <v>42.046499142008585</v>
      </c>
      <c r="AN88" s="1" t="n">
        <f t="shared" si="37"/>
        <v>1157.0435412107315</v>
      </c>
      <c r="AO88" s="40" t="n">
        <f t="shared" si="38"/>
        <v>1616.0645051823685</v>
      </c>
    </row>
    <row r="89" ht="14.65" customHeight="1">
      <c r="A89" s="33" t="n">
        <f>Schedule!A89</f>
        <v>1</v>
      </c>
      <c r="B89" s="34" t="s">
        <v>161</v>
      </c>
      <c r="C89" s="34" t="s">
        <v>216</v>
      </c>
      <c r="D89" s="6" t="str">
        <f>IF(OR(ISBLANK(B89), ISNA(VLOOKUP(B89, 'Betting Lines'!$B$2:$F$1048576, MATCH("spread", 'Betting Lines'!$B$1:$J$1, 0), FALSE))), "", VLOOKUP(B89, 'Betting Lines'!$B$2:$F$1048576, MATCH("spread", 'Betting Lines'!$B$1:$J$1, 0), FALSE))</f>
        <v>-20.5</v>
      </c>
      <c r="E89" s="10" t="n">
        <f>_xlfn.IFNA(IF(ISBLANK(B89),"",VLOOKUP(B89,Elo!$A$2:$AZ$1048576,MATCH(_xlfn.CONCAT("Week ", A89),Elo!$A$1:$AZ$1,0),FALSE)), "")</f>
        <v>1626.9395343942037</v>
      </c>
      <c r="F89" s="10" t="n">
        <f>IFERROR(IF(ISBLANK(C89),"",VLOOKUP(C89,Elo!$A$2:$AZ$1048576,MATCH(_xlfn.CONCAT("Week ",A89),Elo!$A$1:$AZ$1,0),FALSE)),IF(ISBLANK(Schedule!D89),"", 1000))</f>
        <v>1360.90343762302</v>
      </c>
      <c r="G89" s="34" t="n">
        <f>_xlfn.IFNA(IF(ISBLANK(B89),"",IF(VLOOKUP(Games!B89,Schedule!$C$2:$G$1048576,MATCH("neutral_site",Schedule!$C$1:$G$1,0),FALSE),0,50)),"")</f>
        <v>0</v>
      </c>
      <c r="H89" s="34" t="n">
        <f>_xlfn.IFNA(IF(VLOOKUP(Games!B89, 'Bye Weeks'!$A$2:$P$135, MATCH(Games!$A89, 'Bye Weeks'!$A$1:$P$1, 0), FALSE)="Y", 25, 0), 0)</f>
        <v>0</v>
      </c>
      <c r="I89" s="34" t="n">
        <f>_xlfn.IFNA(IF(VLOOKUP(Games!C89, 'Bye Weeks'!$A$2:$P$135, MATCH(Games!$A89, 'Bye Weeks'!$A$1:$P$1, 0), FALSE)="Y", 25, 0), 0)</f>
        <v>0</v>
      </c>
      <c r="J89" s="6" t="n">
        <f>IFERROR(_xlfn.IFNA(IF(ISBLANK(B89), "",IF(ABS(ROUND(Calc!O89, 1))&gt;70,R89,ROUND(Calc!O89, 1))), R89), R89)</f>
        <v>-18</v>
      </c>
      <c r="K89" s="2" t="str">
        <f t="shared" si="39"/>
        <v>Georgia Tech</v>
      </c>
      <c r="L89" s="4" t="n">
        <f t="shared" si="40"/>
        <v>0.82221498736908349</v>
      </c>
      <c r="M89" s="4" t="n">
        <f t="shared" si="41"/>
        <v>0.17778501263091648</v>
      </c>
      <c r="N89" s="34" t="str">
        <f t="shared" si="42"/>
        <v>Georgia Tech</v>
      </c>
      <c r="O89" s="36" t="n">
        <f t="shared" si="43"/>
        <v>0.82221498736908349</v>
      </c>
      <c r="P89" s="13" t="str">
        <f t="shared" si="30"/>
        <v>Y</v>
      </c>
      <c r="Q89" s="15" t="str">
        <f t="shared" si="31"/>
        <v>Y</v>
      </c>
      <c r="R89" s="6" t="n">
        <f t="shared" si="32"/>
        <v>-10.641443870847352</v>
      </c>
      <c r="S89" s="9" t="n">
        <f t="shared" si="44"/>
        <v>0.61756531406336868</v>
      </c>
      <c r="T89" s="17"/>
      <c r="U89" s="11"/>
      <c r="V89" s="19"/>
      <c r="W89" s="20"/>
      <c r="X89" s="11"/>
      <c r="Y89" s="1"/>
      <c r="Z89" s="19"/>
      <c r="AA89" s="20"/>
      <c r="AB89" s="14"/>
      <c r="AC89" s="11" t="n">
        <v>35</v>
      </c>
      <c r="AD89" s="12" t="n">
        <v>12</v>
      </c>
      <c r="AE89" s="16" t="str">
        <f t="shared" si="33"/>
        <v>Georgia Tech</v>
      </c>
      <c r="AF89" s="39" t="n">
        <f t="shared" si="45"/>
        <v>23</v>
      </c>
      <c r="AG89" s="1" t="n">
        <f t="shared" si="34"/>
        <v>1626.9395343942037</v>
      </c>
      <c r="AH89" s="1" t="n">
        <f t="shared" si="35"/>
        <v>1360.90343762302</v>
      </c>
      <c r="AI89" s="1" t="n">
        <f t="shared" si="46"/>
        <v>266.03609677118379</v>
      </c>
      <c r="AJ89" s="1" t="n">
        <f t="shared" si="47"/>
        <v>2.8352052250653745</v>
      </c>
      <c r="AK89" s="1" t="n">
        <f t="shared" si="36"/>
        <v>0.17778501263091651</v>
      </c>
      <c r="AL89" s="1" t="n">
        <v>117</v>
      </c>
      <c r="AM89" s="1" t="n">
        <f t="shared" si="48"/>
        <v>58.974668619690107</v>
      </c>
      <c r="AN89" s="1" t="n">
        <f t="shared" si="37"/>
        <v>1685.9142030138939</v>
      </c>
      <c r="AO89" s="40" t="n">
        <f t="shared" si="38"/>
        <v>1301.9287690033298</v>
      </c>
    </row>
    <row r="90" ht="14.65" customHeight="1">
      <c r="A90" s="33" t="n">
        <f>Schedule!A90</f>
        <v>1</v>
      </c>
      <c r="B90" s="34" t="s">
        <v>121</v>
      </c>
      <c r="C90" s="34" t="s">
        <v>578</v>
      </c>
      <c r="D90" s="6" t="n">
        <v>-44.5</v>
      </c>
      <c r="E90" s="10" t="n">
        <f>_xlfn.IFNA(IF(ISBLANK(B90),"",VLOOKUP(B90,Elo!$A$2:$AZ$1048576,MATCH(_xlfn.CONCAT("Week ", A90),Elo!$A$1:$AZ$1,0),FALSE)), "")</f>
        <v>1854.1926415027201</v>
      </c>
      <c r="F90" s="10" t="n">
        <f>IFERROR(IF(ISBLANK(C90),"",VLOOKUP(C90,Elo!$A$2:$AZ$1048576,MATCH(_xlfn.CONCAT("Week ",A90),Elo!$A$1:$AZ$1,0),FALSE)),IF(ISBLANK(Schedule!D90),"", 1000))</f>
        <v>1000</v>
      </c>
      <c r="G90" s="34" t="n">
        <f>_xlfn.IFNA(IF(ISBLANK(B90),"",IF(VLOOKUP(Games!B90,Schedule!$C$2:$G$1048576,MATCH("neutral_site",Schedule!$C$1:$G$1,0),FALSE),0,50)),"")</f>
        <v>50</v>
      </c>
      <c r="H90" s="34" t="n">
        <f>_xlfn.IFNA(IF(VLOOKUP(Games!B90, 'Bye Weeks'!$A$2:$P$135, MATCH(Games!$A90, 'Bye Weeks'!$A$1:$P$1, 0), FALSE)="Y", 25, 0), 0)</f>
        <v>0</v>
      </c>
      <c r="I90" s="34" t="n">
        <f>_xlfn.IFNA(IF(VLOOKUP(Games!C90, 'Bye Weeks'!$A$2:$P$135, MATCH(Games!$A90, 'Bye Weeks'!$A$1:$P$1, 0), FALSE)="Y", 25, 0), 0)</f>
        <v>0</v>
      </c>
      <c r="J90" s="6" t="n">
        <f>IFERROR(_xlfn.IFNA(IF(ISBLANK(B90), "",IF(ABS(ROUND(Calc!O90, 1))&gt;70,R90,ROUND(Calc!O90, 1))), R90), R90)</f>
        <v>-34.167705660108801</v>
      </c>
      <c r="K90" s="2" t="str">
        <f t="shared" si="39"/>
        <v>SMU</v>
      </c>
      <c r="L90" s="4" t="n">
        <f t="shared" si="40"/>
        <v>0.99454065003571879</v>
      </c>
      <c r="M90" s="4" t="n">
        <f t="shared" si="41"/>
        <v>5.4593499642812994E-3</v>
      </c>
      <c r="N90" s="34" t="str">
        <f t="shared" si="42"/>
        <v>SMU</v>
      </c>
      <c r="O90" s="36" t="n">
        <f t="shared" si="43"/>
        <v>0.99454065003571879</v>
      </c>
      <c r="P90" s="13" t="str">
        <f t="shared" si="30"/>
        <v>N</v>
      </c>
      <c r="Q90" s="15" t="str">
        <f t="shared" si="31"/>
        <v>N</v>
      </c>
      <c r="R90" s="6" t="n">
        <f t="shared" si="32"/>
        <v>-34.167705660108801</v>
      </c>
      <c r="S90" s="9" t="n">
        <f t="shared" si="44"/>
        <v>0.29568730700186696</v>
      </c>
      <c r="T90" s="17"/>
      <c r="U90" s="11"/>
      <c r="V90" s="19"/>
      <c r="W90" s="20"/>
      <c r="X90" s="11"/>
      <c r="Y90" s="1"/>
      <c r="Z90" s="19"/>
      <c r="AA90" s="20"/>
      <c r="AB90" s="14"/>
      <c r="AC90" s="11" t="n">
        <v>59</v>
      </c>
      <c r="AD90" s="12" t="n">
        <v>7</v>
      </c>
      <c r="AE90" s="16" t="str">
        <f t="shared" si="33"/>
        <v>SMU</v>
      </c>
      <c r="AF90" s="39" t="n">
        <f t="shared" si="45"/>
        <v>52</v>
      </c>
      <c r="AG90" s="1" t="n">
        <f t="shared" si="34"/>
        <v>1854.1926415027201</v>
      </c>
      <c r="AH90" s="1" t="n">
        <f t="shared" si="35"/>
        <v>1000</v>
      </c>
      <c r="AI90" s="1" t="n">
        <f t="shared" si="46"/>
        <v>854.19264150272011</v>
      </c>
      <c r="AJ90" s="1" t="n">
        <f t="shared" si="47"/>
        <v>2.8598858143791022</v>
      </c>
      <c r="AK90" s="1" t="n">
        <f t="shared" si="36"/>
        <v>5.4593499642812127E-3</v>
      </c>
      <c r="AL90" s="1" t="n">
        <v>118</v>
      </c>
      <c r="AM90" s="1" t="n">
        <f t="shared" si="48"/>
        <v>1.8423478671923099</v>
      </c>
      <c r="AN90" s="1" t="n">
        <f t="shared" si="37"/>
        <v>1856.0349893699124</v>
      </c>
      <c r="AO90" s="40" t="n">
        <f t="shared" si="38"/>
        <v>998.1576521328077</v>
      </c>
    </row>
    <row r="91" ht="14.65" customHeight="1">
      <c r="A91" s="33" t="n">
        <f>Schedule!A91</f>
        <v>1</v>
      </c>
      <c r="B91" s="34" t="s">
        <v>189</v>
      </c>
      <c r="C91" s="34" t="s">
        <v>334</v>
      </c>
      <c r="D91" s="6" t="str">
        <f>IF(OR(ISBLANK(B91), ISNA(VLOOKUP(B91, 'Betting Lines'!$B$2:$F$1048576, MATCH("spread", 'Betting Lines'!$B$1:$J$1, 0), FALSE))), "", VLOOKUP(B91, 'Betting Lines'!$B$2:$F$1048576, MATCH("spread", 'Betting Lines'!$B$1:$J$1, 0), FALSE))</f>
      </c>
      <c r="E91" s="10" t="n">
        <f>_xlfn.IFNA(IF(ISBLANK(B91),"",VLOOKUP(B91,Elo!$A$2:$AZ$1048576,MATCH(_xlfn.CONCAT("Week ", A91),Elo!$A$1:$AZ$1,0),FALSE)), "")</f>
        <v>1466.71497130843</v>
      </c>
      <c r="F91" s="10" t="n">
        <f>IFERROR(IF(ISBLANK(C91),"",VLOOKUP(C91,Elo!$A$2:$AZ$1048576,MATCH(_xlfn.CONCAT("Week ",A91),Elo!$A$1:$AZ$1,0),FALSE)),IF(ISBLANK(Schedule!D91),"", 1000))</f>
        <v>1000</v>
      </c>
      <c r="G91" s="34" t="n">
        <f>_xlfn.IFNA(IF(ISBLANK(B91),"",IF(VLOOKUP(Games!B91,Schedule!$C$2:$G$1048576,MATCH("neutral_site",Schedule!$C$1:$G$1,0),FALSE),0,50)),"")</f>
        <v>50</v>
      </c>
      <c r="H91" s="34" t="n">
        <f>_xlfn.IFNA(IF(VLOOKUP(Games!B91, 'Bye Weeks'!$A$2:$P$135, MATCH(Games!$A91, 'Bye Weeks'!$A$1:$P$1, 0), FALSE)="Y", 25, 0), 0)</f>
        <v>0</v>
      </c>
      <c r="I91" s="34" t="n">
        <f>_xlfn.IFNA(IF(VLOOKUP(Games!C91, 'Bye Weeks'!$A$2:$P$135, MATCH(Games!$A91, 'Bye Weeks'!$A$1:$P$1, 0), FALSE)="Y", 25, 0), 0)</f>
        <v>0</v>
      </c>
      <c r="J91" s="6" t="n">
        <f>IFERROR(_xlfn.IFNA(IF(ISBLANK(B91), "",IF(ABS(ROUND(Calc!O91, 1))&gt;70,R91,ROUND(Calc!O91, 1))), R91), R91)</f>
        <v>-18.668598852337201</v>
      </c>
      <c r="K91" s="2" t="str">
        <f t="shared" si="39"/>
        <v>Louisiana</v>
      </c>
      <c r="L91" s="4" t="n">
        <f t="shared" si="40"/>
        <v>0.95140644622030979</v>
      </c>
      <c r="M91" s="4" t="n">
        <f t="shared" si="41"/>
        <v>4.8593553779690261E-2</v>
      </c>
      <c r="N91" s="34" t="str">
        <f t="shared" si="42"/>
        <v>Louisiana</v>
      </c>
      <c r="O91" s="36" t="n">
        <f t="shared" si="43"/>
        <v>0.95140644622030979</v>
      </c>
      <c r="P91" s="13" t="str">
        <f t="shared" si="30"/>
        <v>Y</v>
      </c>
      <c r="Q91" s="15" t="str">
        <f t="shared" si="31"/>
        <v>Y</v>
      </c>
      <c r="R91" s="6" t="n">
        <f t="shared" si="32"/>
        <v>-18.668598852337201</v>
      </c>
      <c r="S91" s="9" t="n">
        <f t="shared" si="44"/>
        <v>0.59543592141745139</v>
      </c>
      <c r="T91" s="17"/>
      <c r="U91" s="11"/>
      <c r="V91" s="19"/>
      <c r="W91" s="20"/>
      <c r="X91" s="11"/>
      <c r="Y91" s="1"/>
      <c r="Z91" s="19"/>
      <c r="AA91" s="20"/>
      <c r="AB91" s="14"/>
      <c r="AC91" s="11" t="n">
        <v>40</v>
      </c>
      <c r="AD91" s="12" t="n">
        <v>10</v>
      </c>
      <c r="AE91" s="16" t="str">
        <f t="shared" si="33"/>
        <v>Louisiana</v>
      </c>
      <c r="AF91" s="39" t="n">
        <f t="shared" si="45"/>
        <v>30</v>
      </c>
      <c r="AG91" s="1" t="n">
        <f t="shared" si="34"/>
        <v>1466.71497130843</v>
      </c>
      <c r="AH91" s="1" t="n">
        <f t="shared" si="35"/>
        <v>1000</v>
      </c>
      <c r="AI91" s="1" t="n">
        <f t="shared" si="46"/>
        <v>466.71497130842999</v>
      </c>
      <c r="AJ91" s="1" t="n">
        <f t="shared" si="47"/>
        <v>2.8329881262715362</v>
      </c>
      <c r="AK91" s="1" t="n">
        <f t="shared" si="36"/>
        <v>4.8593553779690213E-2</v>
      </c>
      <c r="AL91" s="1" t="n">
        <v>119</v>
      </c>
      <c r="AM91" s="1" t="n">
        <f t="shared" si="48"/>
        <v>16.382130343672763</v>
      </c>
      <c r="AN91" s="1" t="n">
        <f t="shared" si="37"/>
        <v>1483.0971016521028</v>
      </c>
      <c r="AO91" s="40" t="n">
        <f t="shared" si="38"/>
        <v>983.61786965632723</v>
      </c>
    </row>
    <row r="92" ht="14.65" customHeight="1">
      <c r="A92" s="33" t="n">
        <f>Schedule!A92</f>
        <v>1</v>
      </c>
      <c r="B92" s="34" t="s">
        <v>242</v>
      </c>
      <c r="C92" s="34" t="s">
        <v>333</v>
      </c>
      <c r="D92" s="6" t="str">
        <f>IF(OR(ISBLANK(B92), ISNA(VLOOKUP(B92, 'Betting Lines'!$B$2:$F$1048576, MATCH("spread", 'Betting Lines'!$B$1:$J$1, 0), FALSE))), "", VLOOKUP(B92, 'Betting Lines'!$B$2:$F$1048576, MATCH("spread", 'Betting Lines'!$B$1:$J$1, 0), FALSE))</f>
      </c>
      <c r="E92" s="10" t="n">
        <f>_xlfn.IFNA(IF(ISBLANK(B92),"",VLOOKUP(B92,Elo!$A$2:$AZ$1048576,MATCH(_xlfn.CONCAT("Week ", A92),Elo!$A$1:$AZ$1,0),FALSE)), "")</f>
        <v>1197.6726229993899</v>
      </c>
      <c r="F92" s="10" t="n">
        <f>IFERROR(IF(ISBLANK(C92),"",VLOOKUP(C92,Elo!$A$2:$AZ$1048576,MATCH(_xlfn.CONCAT("Week ",A92),Elo!$A$1:$AZ$1,0),FALSE)),IF(ISBLANK(Schedule!D92),"", 1000))</f>
        <v>1000</v>
      </c>
      <c r="G92" s="34" t="n">
        <f>_xlfn.IFNA(IF(ISBLANK(B92),"",IF(VLOOKUP(Games!B92,Schedule!$C$2:$G$1048576,MATCH("neutral_site",Schedule!$C$1:$G$1,0),FALSE),0,50)),"")</f>
        <v>50</v>
      </c>
      <c r="H92" s="34" t="n">
        <f>_xlfn.IFNA(IF(VLOOKUP(Games!B92, 'Bye Weeks'!$A$2:$P$135, MATCH(Games!$A92, 'Bye Weeks'!$A$1:$P$1, 0), FALSE)="Y", 25, 0), 0)</f>
        <v>0</v>
      </c>
      <c r="I92" s="34" t="n">
        <f>_xlfn.IFNA(IF(VLOOKUP(Games!C92, 'Bye Weeks'!$A$2:$P$135, MATCH(Games!$A92, 'Bye Weeks'!$A$1:$P$1, 0), FALSE)="Y", 25, 0), 0)</f>
        <v>0</v>
      </c>
      <c r="J92" s="6" t="n">
        <f>IFERROR(_xlfn.IFNA(IF(ISBLANK(B92), "",IF(ABS(ROUND(Calc!O92, 1))&gt;70,R92,ROUND(Calc!O92, 1))), R92), R92)</f>
        <v>-7.9069049199755952</v>
      </c>
      <c r="K92" s="2" t="str">
        <f t="shared" si="39"/>
        <v>Louisiana Tech</v>
      </c>
      <c r="L92" s="4" t="n">
        <f t="shared" si="40"/>
        <v>0.80623328867444155</v>
      </c>
      <c r="M92" s="4" t="n">
        <f t="shared" si="41"/>
        <v>0.19376671132555837</v>
      </c>
      <c r="N92" s="34" t="str">
        <f t="shared" si="42"/>
        <v>Louisiana Tech</v>
      </c>
      <c r="O92" s="36" t="n">
        <f t="shared" si="43"/>
        <v>0.80623328867444155</v>
      </c>
      <c r="P92" s="13" t="str">
        <f t="shared" si="30"/>
        <v>Y</v>
      </c>
      <c r="Q92" s="15" t="str">
        <f t="shared" si="31"/>
        <v>Y</v>
      </c>
      <c r="R92" s="6" t="n">
        <f t="shared" si="32"/>
        <v>-7.9069049199755952</v>
      </c>
      <c r="S92" s="9" t="n">
        <f t="shared" si="44"/>
        <v>1.4068803046997223</v>
      </c>
      <c r="T92" s="17"/>
      <c r="U92" s="11"/>
      <c r="V92" s="19"/>
      <c r="W92" s="20"/>
      <c r="X92" s="11"/>
      <c r="Y92" s="1"/>
      <c r="Z92" s="19"/>
      <c r="AA92" s="20"/>
      <c r="AB92" s="14"/>
      <c r="AC92" s="11" t="n">
        <v>25</v>
      </c>
      <c r="AD92" s="12" t="n">
        <v>17</v>
      </c>
      <c r="AE92" s="16" t="str">
        <f t="shared" si="33"/>
        <v>Louisiana Tech</v>
      </c>
      <c r="AF92" s="39" t="n">
        <f t="shared" si="45"/>
        <v>8</v>
      </c>
      <c r="AG92" s="1" t="n">
        <f t="shared" si="34"/>
        <v>1197.6726229993899</v>
      </c>
      <c r="AH92" s="1" t="n">
        <f t="shared" si="35"/>
        <v>1000</v>
      </c>
      <c r="AI92" s="1" t="n">
        <f t="shared" si="46"/>
        <v>197.67262299938989</v>
      </c>
      <c r="AJ92" s="1" t="n">
        <f t="shared" si="47"/>
        <v>2.0160776011583605</v>
      </c>
      <c r="AK92" s="1" t="n">
        <f t="shared" si="36"/>
        <v>0.19376671132555845</v>
      </c>
      <c r="AL92" s="1" t="n">
        <v>120</v>
      </c>
      <c r="AM92" s="1" t="n">
        <f t="shared" si="48"/>
        <v>46.877847186429172</v>
      </c>
      <c r="AN92" s="1" t="n">
        <f t="shared" si="37"/>
        <v>1244.550470185819</v>
      </c>
      <c r="AO92" s="40" t="n">
        <f t="shared" si="38"/>
        <v>953.12215281357078</v>
      </c>
    </row>
    <row r="93" ht="14.65" customHeight="1">
      <c r="A93" s="33" t="n">
        <f>Schedule!A93</f>
        <v>1</v>
      </c>
      <c r="B93" s="34" t="s">
        <v>204</v>
      </c>
      <c r="C93" s="34" t="s">
        <v>337</v>
      </c>
      <c r="D93" s="6" t="str">
        <f>IF(OR(ISBLANK(B93), ISNA(VLOOKUP(B93, 'Betting Lines'!$B$2:$F$1048576, MATCH("spread", 'Betting Lines'!$B$1:$J$1, 0), FALSE))), "", VLOOKUP(B93, 'Betting Lines'!$B$2:$F$1048576, MATCH("spread", 'Betting Lines'!$B$1:$J$1, 0), FALSE))</f>
      </c>
      <c r="E93" s="10" t="n">
        <f>_xlfn.IFNA(IF(ISBLANK(B93),"",VLOOKUP(B93,Elo!$A$2:$AZ$1048576,MATCH(_xlfn.CONCAT("Week ", A93),Elo!$A$1:$AZ$1,0),FALSE)), "")</f>
        <v>1411.2568692781999</v>
      </c>
      <c r="F93" s="10" t="n">
        <f>IFERROR(IF(ISBLANK(C93),"",VLOOKUP(C93,Elo!$A$2:$AZ$1048576,MATCH(_xlfn.CONCAT("Week ",A93),Elo!$A$1:$AZ$1,0),FALSE)),IF(ISBLANK(Schedule!D93),"", 1000))</f>
        <v>1000</v>
      </c>
      <c r="G93" s="34" t="n">
        <f>_xlfn.IFNA(IF(ISBLANK(B93),"",IF(VLOOKUP(Games!B93,Schedule!$C$2:$G$1048576,MATCH("neutral_site",Schedule!$C$1:$G$1,0),FALSE),0,50)),"")</f>
        <v>50</v>
      </c>
      <c r="H93" s="34" t="n">
        <f>_xlfn.IFNA(IF(VLOOKUP(Games!B93, 'Bye Weeks'!$A$2:$P$135, MATCH(Games!$A93, 'Bye Weeks'!$A$1:$P$1, 0), FALSE)="Y", 25, 0), 0)</f>
        <v>0</v>
      </c>
      <c r="I93" s="34" t="n">
        <f>_xlfn.IFNA(IF(VLOOKUP(Games!C93, 'Bye Weeks'!$A$2:$P$135, MATCH(Games!$A93, 'Bye Weeks'!$A$1:$P$1, 0), FALSE)="Y", 25, 0), 0)</f>
        <v>0</v>
      </c>
      <c r="J93" s="6" t="n">
        <f>IFERROR(_xlfn.IFNA(IF(ISBLANK(B93), "",IF(ABS(ROUND(Calc!O93, 1))&gt;70,R93,ROUND(Calc!O93, 1))), R93), R93)</f>
        <v>-16.450274771127997</v>
      </c>
      <c r="K93" s="2" t="str">
        <f t="shared" si="39"/>
        <v>Texas State</v>
      </c>
      <c r="L93" s="4" t="n">
        <f t="shared" si="40"/>
        <v>0.93433125679934681</v>
      </c>
      <c r="M93" s="4" t="n">
        <f t="shared" si="41"/>
        <v>6.5668743200653176E-2</v>
      </c>
      <c r="N93" s="34" t="str">
        <f t="shared" si="42"/>
        <v>Texas State</v>
      </c>
      <c r="O93" s="36" t="n">
        <f t="shared" si="43"/>
        <v>0.93433125679934681</v>
      </c>
      <c r="P93" s="13" t="str">
        <f t="shared" si="30"/>
        <v>Y</v>
      </c>
      <c r="Q93" s="15" t="str">
        <f t="shared" si="31"/>
        <v>Y</v>
      </c>
      <c r="R93" s="6" t="n">
        <f t="shared" si="32"/>
        <v>-16.450274771127997</v>
      </c>
      <c r="S93" s="9" t="n">
        <f t="shared" si="44"/>
        <v>0.67577945956907659</v>
      </c>
      <c r="T93" s="17"/>
      <c r="U93" s="11"/>
      <c r="V93" s="19"/>
      <c r="W93" s="20"/>
      <c r="X93" s="11"/>
      <c r="Y93" s="1"/>
      <c r="Z93" s="19"/>
      <c r="AA93" s="20"/>
      <c r="AB93" s="14"/>
      <c r="AC93" s="11" t="n">
        <v>34</v>
      </c>
      <c r="AD93" s="12" t="n">
        <v>27</v>
      </c>
      <c r="AE93" s="16" t="str">
        <f t="shared" si="33"/>
        <v>Texas State</v>
      </c>
      <c r="AF93" s="39" t="n">
        <f t="shared" si="45"/>
        <v>7</v>
      </c>
      <c r="AG93" s="1" t="n">
        <f t="shared" si="34"/>
        <v>1411.2568692781999</v>
      </c>
      <c r="AH93" s="1" t="n">
        <f t="shared" si="35"/>
        <v>1000</v>
      </c>
      <c r="AI93" s="1" t="n">
        <f t="shared" si="46"/>
        <v>411.25686927819993</v>
      </c>
      <c r="AJ93" s="1" t="n">
        <f t="shared" si="47"/>
        <v>1.7519423100494096</v>
      </c>
      <c r="AK93" s="1" t="n">
        <f t="shared" si="36"/>
        <v>6.566874320065319E-2</v>
      </c>
      <c r="AL93" s="1" t="n">
        <v>121</v>
      </c>
      <c r="AM93" s="1" t="n">
        <f t="shared" si="48"/>
        <v>13.920789808980251</v>
      </c>
      <c r="AN93" s="1" t="n">
        <f t="shared" si="37"/>
        <v>1425.1776590871802</v>
      </c>
      <c r="AO93" s="40" t="n">
        <f t="shared" si="38"/>
        <v>986.0792101910198</v>
      </c>
    </row>
    <row r="94" ht="14.65" customHeight="1">
      <c r="A94" s="33" t="n">
        <f>Schedule!A94</f>
        <v>1</v>
      </c>
      <c r="B94" s="34" t="s">
        <v>202</v>
      </c>
      <c r="C94" s="34" t="s">
        <v>335</v>
      </c>
      <c r="D94" s="6" t="str">
        <f>IF(OR(ISBLANK(B94), ISNA(VLOOKUP(B94, 'Betting Lines'!$B$2:$F$1048576, MATCH("spread", 'Betting Lines'!$B$1:$J$1, 0), FALSE))), "", VLOOKUP(B94, 'Betting Lines'!$B$2:$F$1048576, MATCH("spread", 'Betting Lines'!$B$1:$J$1, 0), FALSE))</f>
      </c>
      <c r="E94" s="10" t="n">
        <f>_xlfn.IFNA(IF(ISBLANK(B94),"",VLOOKUP(B94,Elo!$A$2:$AZ$1048576,MATCH(_xlfn.CONCAT("Week ", A94),Elo!$A$1:$AZ$1,0),FALSE)), "")</f>
        <v>1412.3371658834501</v>
      </c>
      <c r="F94" s="10" t="n">
        <f>IFERROR(IF(ISBLANK(C94),"",VLOOKUP(C94,Elo!$A$2:$AZ$1048576,MATCH(_xlfn.CONCAT("Week ",A94),Elo!$A$1:$AZ$1,0),FALSE)),IF(ISBLANK(Schedule!D94),"", 1000))</f>
        <v>1000</v>
      </c>
      <c r="G94" s="34" t="n">
        <f>_xlfn.IFNA(IF(ISBLANK(B94),"",IF(VLOOKUP(Games!B94,Schedule!$C$2:$G$1048576,MATCH("neutral_site",Schedule!$C$1:$G$1,0),FALSE),0,50)),"")</f>
        <v>50</v>
      </c>
      <c r="H94" s="34" t="n">
        <f>_xlfn.IFNA(IF(VLOOKUP(Games!B94, 'Bye Weeks'!$A$2:$P$135, MATCH(Games!$A94, 'Bye Weeks'!$A$1:$P$1, 0), FALSE)="Y", 25, 0), 0)</f>
        <v>0</v>
      </c>
      <c r="I94" s="34" t="n">
        <f>_xlfn.IFNA(IF(VLOOKUP(Games!C94, 'Bye Weeks'!$A$2:$P$135, MATCH(Games!$A94, 'Bye Weeks'!$A$1:$P$1, 0), FALSE)="Y", 25, 0), 0)</f>
        <v>0</v>
      </c>
      <c r="J94" s="6" t="n">
        <f>IFERROR(_xlfn.IFNA(IF(ISBLANK(B94), "",IF(ABS(ROUND(Calc!O94, 1))&gt;70,R94,ROUND(Calc!O94, 1))), R94), R94)</f>
        <v>-16.493486635338005</v>
      </c>
      <c r="K94" s="2" t="str">
        <f t="shared" si="39"/>
        <v>BYU</v>
      </c>
      <c r="L94" s="4" t="n">
        <f t="shared" si="40"/>
        <v>0.93471178378443864</v>
      </c>
      <c r="M94" s="4" t="n">
        <f t="shared" si="41"/>
        <v>6.5288216215561398E-2</v>
      </c>
      <c r="N94" s="34" t="str">
        <f t="shared" si="42"/>
        <v>BYU</v>
      </c>
      <c r="O94" s="36" t="n">
        <f t="shared" si="43"/>
        <v>0.93471178378443864</v>
      </c>
      <c r="P94" s="13" t="str">
        <f t="shared" si="30"/>
        <v>Y</v>
      </c>
      <c r="Q94" s="15" t="str">
        <f t="shared" si="31"/>
        <v>Y</v>
      </c>
      <c r="R94" s="6" t="n">
        <f t="shared" si="32"/>
        <v>-16.493486635338005</v>
      </c>
      <c r="S94" s="9" t="n">
        <f t="shared" si="44"/>
        <v>0.67400788715306803</v>
      </c>
      <c r="T94" s="17"/>
      <c r="U94" s="11"/>
      <c r="V94" s="19"/>
      <c r="W94" s="20"/>
      <c r="X94" s="11"/>
      <c r="Y94" s="1"/>
      <c r="Z94" s="19"/>
      <c r="AA94" s="20"/>
      <c r="AB94" s="14"/>
      <c r="AC94" s="11" t="n">
        <v>41</v>
      </c>
      <c r="AD94" s="12" t="n">
        <v>13</v>
      </c>
      <c r="AE94" s="16" t="str">
        <f t="shared" si="33"/>
        <v>BYU</v>
      </c>
      <c r="AF94" s="39" t="n">
        <f t="shared" si="45"/>
        <v>28</v>
      </c>
      <c r="AG94" s="1" t="n">
        <f t="shared" si="34"/>
        <v>1412.3371658834501</v>
      </c>
      <c r="AH94" s="1" t="n">
        <f t="shared" si="35"/>
        <v>1000</v>
      </c>
      <c r="AI94" s="1" t="n">
        <f t="shared" si="46"/>
        <v>412.3371658834501</v>
      </c>
      <c r="AJ94" s="1" t="n">
        <f t="shared" si="47"/>
        <v>2.8357942928339268</v>
      </c>
      <c r="AK94" s="1" t="n">
        <f t="shared" si="36"/>
        <v>6.5288216215561357E-2</v>
      </c>
      <c r="AL94" s="1" t="n">
        <v>122</v>
      </c>
      <c r="AM94" s="1" t="n">
        <f t="shared" si="48"/>
        <v>22.587562013874354</v>
      </c>
      <c r="AN94" s="1" t="n">
        <f t="shared" si="37"/>
        <v>1434.9247278973244</v>
      </c>
      <c r="AO94" s="40" t="n">
        <f t="shared" si="38"/>
        <v>977.41243798612561</v>
      </c>
    </row>
    <row r="95" ht="14.65" customHeight="1">
      <c r="A95" s="33" t="n">
        <f>Schedule!A95</f>
        <v>1</v>
      </c>
      <c r="B95" s="34" t="s">
        <v>220</v>
      </c>
      <c r="C95" s="34" t="s">
        <v>336</v>
      </c>
      <c r="D95" s="6" t="str">
        <f>IF(OR(ISBLANK(B95), ISNA(VLOOKUP(B95, 'Betting Lines'!$B$2:$F$1048576, MATCH("spread", 'Betting Lines'!$B$1:$J$1, 0), FALSE))), "", VLOOKUP(B95, 'Betting Lines'!$B$2:$F$1048576, MATCH("spread", 'Betting Lines'!$B$1:$J$1, 0), FALSE))</f>
      </c>
      <c r="E95" s="10" t="n">
        <f>_xlfn.IFNA(IF(ISBLANK(B95),"",VLOOKUP(B95,Elo!$A$2:$AZ$1048576,MATCH(_xlfn.CONCAT("Week ", A95),Elo!$A$1:$AZ$1,0),FALSE)), "")</f>
        <v>1349.13702288787</v>
      </c>
      <c r="F95" s="10" t="n">
        <f>IFERROR(IF(ISBLANK(C95),"",VLOOKUP(C95,Elo!$A$2:$AZ$1048576,MATCH(_xlfn.CONCAT("Week ",A95),Elo!$A$1:$AZ$1,0),FALSE)),IF(ISBLANK(Schedule!D95),"", 1000))</f>
        <v>1000</v>
      </c>
      <c r="G95" s="34" t="n">
        <f>_xlfn.IFNA(IF(ISBLANK(B95),"",IF(VLOOKUP(Games!B95,Schedule!$C$2:$G$1048576,MATCH("neutral_site",Schedule!$C$1:$G$1,0),FALSE),0,50)),"")</f>
        <v>50</v>
      </c>
      <c r="H95" s="34" t="n">
        <f>_xlfn.IFNA(IF(VLOOKUP(Games!B95, 'Bye Weeks'!$A$2:$P$135, MATCH(Games!$A95, 'Bye Weeks'!$A$1:$P$1, 0), FALSE)="Y", 25, 0), 0)</f>
        <v>0</v>
      </c>
      <c r="I95" s="34" t="n">
        <f>_xlfn.IFNA(IF(VLOOKUP(Games!C95, 'Bye Weeks'!$A$2:$P$135, MATCH(Games!$A95, 'Bye Weeks'!$A$1:$P$1, 0), FALSE)="Y", 25, 0), 0)</f>
        <v>0</v>
      </c>
      <c r="J95" s="6" t="n">
        <f>IFERROR(_xlfn.IFNA(IF(ISBLANK(B95), "",IF(ABS(ROUND(Calc!O95, 1))&gt;70,R95,ROUND(Calc!O95, 1))), R95), R95)</f>
        <v>-13.965480915514799</v>
      </c>
      <c r="K95" s="2" t="str">
        <f t="shared" si="39"/>
        <v>San Diego State</v>
      </c>
      <c r="L95" s="4" t="n">
        <f t="shared" si="40"/>
        <v>0.90867952054290624</v>
      </c>
      <c r="M95" s="4" t="n">
        <f t="shared" si="41"/>
        <v>9.132047945709372E-2</v>
      </c>
      <c r="N95" s="34" t="str">
        <f t="shared" si="42"/>
        <v>San Diego State</v>
      </c>
      <c r="O95" s="36" t="n">
        <f t="shared" si="43"/>
        <v>0.90867952054290624</v>
      </c>
      <c r="P95" s="13" t="str">
        <f t="shared" si="30"/>
        <v>Y</v>
      </c>
      <c r="Q95" s="15" t="str">
        <f t="shared" si="31"/>
        <v>Y</v>
      </c>
      <c r="R95" s="6" t="n">
        <f t="shared" si="32"/>
        <v>-13.965480915514799</v>
      </c>
      <c r="S95" s="9" t="n">
        <f t="shared" si="44"/>
        <v>0.79610298400025914</v>
      </c>
      <c r="T95" s="17"/>
      <c r="U95" s="11"/>
      <c r="V95" s="19"/>
      <c r="W95" s="20"/>
      <c r="X95" s="11"/>
      <c r="Y95" s="1"/>
      <c r="Z95" s="19"/>
      <c r="AA95" s="20"/>
      <c r="AB95" s="14"/>
      <c r="AC95" s="11" t="n">
        <v>45</v>
      </c>
      <c r="AD95" s="12" t="n">
        <v>14</v>
      </c>
      <c r="AE95" s="16" t="str">
        <f t="shared" si="33"/>
        <v>San Diego State</v>
      </c>
      <c r="AF95" s="39" t="n">
        <f t="shared" si="45"/>
        <v>31</v>
      </c>
      <c r="AG95" s="1" t="n">
        <f t="shared" si="34"/>
        <v>1349.13702288787</v>
      </c>
      <c r="AH95" s="1" t="n">
        <f t="shared" si="35"/>
        <v>1000</v>
      </c>
      <c r="AI95" s="1" t="n">
        <f t="shared" si="46"/>
        <v>349.13702288786999</v>
      </c>
      <c r="AJ95" s="1" t="n">
        <f t="shared" si="47"/>
        <v>2.9910589025620946</v>
      </c>
      <c r="AK95" s="1" t="n">
        <f t="shared" si="36"/>
        <v>9.1320479457093762E-2</v>
      </c>
      <c r="AL95" s="1" t="n">
        <v>123</v>
      </c>
      <c r="AM95" s="1" t="n">
        <f t="shared" si="48"/>
        <v>33.596826767164636</v>
      </c>
      <c r="AN95" s="1" t="n">
        <f t="shared" si="37"/>
        <v>1382.7338496550346</v>
      </c>
      <c r="AO95" s="40" t="n">
        <f t="shared" si="38"/>
        <v>966.40317323283534</v>
      </c>
    </row>
    <row r="96" ht="14.65" customHeight="1">
      <c r="A96" s="33" t="n">
        <f>Schedule!A96</f>
        <v>1</v>
      </c>
      <c r="B96" s="34" t="s">
        <v>227</v>
      </c>
      <c r="C96" s="34" t="s">
        <v>338</v>
      </c>
      <c r="D96" s="6" t="n">
        <v>-9.5</v>
      </c>
      <c r="E96" s="10" t="n">
        <f>_xlfn.IFNA(IF(ISBLANK(B96),"",VLOOKUP(B96,Elo!$A$2:$AZ$1048576,MATCH(_xlfn.CONCAT("Week ", A96),Elo!$A$1:$AZ$1,0),FALSE)), "")</f>
        <v>1325.7786244874501</v>
      </c>
      <c r="F96" s="10" t="n">
        <f>IFERROR(IF(ISBLANK(C96),"",VLOOKUP(C96,Elo!$A$2:$AZ$1048576,MATCH(_xlfn.CONCAT("Week ",A96),Elo!$A$1:$AZ$1,0),FALSE)),IF(ISBLANK(Schedule!D96),"", 1000))</f>
        <v>1000</v>
      </c>
      <c r="G96" s="34" t="n">
        <f>_xlfn.IFNA(IF(ISBLANK(B96),"",IF(VLOOKUP(Games!B96,Schedule!$C$2:$G$1048576,MATCH("neutral_site",Schedule!$C$1:$G$1,0),FALSE),0,50)),"")</f>
        <v>50</v>
      </c>
      <c r="H96" s="34" t="n">
        <f>_xlfn.IFNA(IF(VLOOKUP(Games!B96, 'Bye Weeks'!$A$2:$P$135, MATCH(Games!$A96, 'Bye Weeks'!$A$1:$P$1, 0), FALSE)="Y", 25, 0), 0)</f>
        <v>0</v>
      </c>
      <c r="I96" s="34" t="n">
        <f>_xlfn.IFNA(IF(VLOOKUP(Games!C96, 'Bye Weeks'!$A$2:$P$135, MATCH(Games!$A96, 'Bye Weeks'!$A$1:$P$1, 0), FALSE)="Y", 25, 0), 0)</f>
        <v>0</v>
      </c>
      <c r="J96" s="6" t="n">
        <f>IFERROR(_xlfn.IFNA(IF(ISBLANK(B96), "",IF(ABS(ROUND(Calc!O96, 1))&gt;70,R96,ROUND(Calc!O96, 1))), R96), R96)</f>
        <v>-13.031144979498004</v>
      </c>
      <c r="K96" s="2" t="str">
        <f t="shared" si="39"/>
        <v>New Mexico State</v>
      </c>
      <c r="L96" s="4" t="n">
        <f t="shared" si="40"/>
        <v>0.89689173890414653</v>
      </c>
      <c r="M96" s="4" t="n">
        <f t="shared" si="41"/>
        <v>0.10310826109585347</v>
      </c>
      <c r="N96" s="34" t="str">
        <f t="shared" si="42"/>
        <v>New Mexico State</v>
      </c>
      <c r="O96" s="36" t="n">
        <f t="shared" si="43"/>
        <v>0.89689173890414653</v>
      </c>
      <c r="P96" s="13" t="str">
        <f t="shared" si="30"/>
        <v>Y</v>
      </c>
      <c r="Q96" s="15" t="str">
        <f t="shared" si="31"/>
        <v>Y</v>
      </c>
      <c r="R96" s="6" t="n">
        <f t="shared" si="32"/>
        <v>-13.031144979498004</v>
      </c>
      <c r="S96" s="9" t="n">
        <f t="shared" si="44"/>
        <v>0.77566143498921236</v>
      </c>
      <c r="T96" s="17"/>
      <c r="U96" s="11"/>
      <c r="V96" s="19"/>
      <c r="W96" s="20"/>
      <c r="X96" s="11"/>
      <c r="Y96" s="1"/>
      <c r="Z96" s="19"/>
      <c r="AA96" s="20"/>
      <c r="AB96" s="14"/>
      <c r="AC96" s="11" t="n">
        <v>23</v>
      </c>
      <c r="AD96" s="12" t="n">
        <v>16</v>
      </c>
      <c r="AE96" s="16" t="str">
        <f t="shared" si="33"/>
        <v>New Mexico State</v>
      </c>
      <c r="AF96" s="39" t="n">
        <f t="shared" si="45"/>
        <v>7</v>
      </c>
      <c r="AG96" s="1" t="n">
        <f t="shared" si="34"/>
        <v>1325.7786244874501</v>
      </c>
      <c r="AH96" s="1" t="n">
        <f t="shared" si="35"/>
        <v>1000</v>
      </c>
      <c r="AI96" s="1" t="n">
        <f t="shared" si="46"/>
        <v>325.77862448745009</v>
      </c>
      <c r="AJ96" s="1" t="n">
        <f t="shared" si="47"/>
        <v>1.811232127528194</v>
      </c>
      <c r="AK96" s="1" t="n">
        <f t="shared" si="36"/>
        <v>0.10310826109585347</v>
      </c>
      <c r="AL96" s="1" t="n">
        <v>124</v>
      </c>
      <c r="AM96" s="1" t="n">
        <f t="shared" si="48"/>
        <v>23.157371393686525</v>
      </c>
      <c r="AN96" s="1" t="n">
        <f t="shared" si="37"/>
        <v>1348.9359958811367</v>
      </c>
      <c r="AO96" s="40" t="n">
        <f t="shared" si="38"/>
        <v>976.8426286063135</v>
      </c>
    </row>
    <row r="97" ht="14.65" customHeight="1">
      <c r="A97" s="33" t="n">
        <f>Schedule!A97</f>
        <v>1</v>
      </c>
      <c r="B97" s="34" t="s">
        <v>217</v>
      </c>
      <c r="C97" s="34" t="s">
        <v>199</v>
      </c>
      <c r="D97" s="6" t="n">
        <v>7</v>
      </c>
      <c r="E97" s="10" t="n">
        <f>_xlfn.IFNA(IF(ISBLANK(B97),"",VLOOKUP(B97,Elo!$A$2:$AZ$1048576,MATCH(_xlfn.CONCAT("Week ", A97),Elo!$A$1:$AZ$1,0),FALSE)), "")</f>
        <v>1360.6232301903499</v>
      </c>
      <c r="F97" s="10" t="n">
        <f>IFERROR(IF(ISBLANK(C97),"",VLOOKUP(C97,Elo!$A$2:$AZ$1048576,MATCH(_xlfn.CONCAT("Week ",A97),Elo!$A$1:$AZ$1,0),FALSE)),IF(ISBLANK(Schedule!D97),"", 1000))</f>
        <v>1430.49718048412</v>
      </c>
      <c r="G97" s="34" t="n">
        <f>_xlfn.IFNA(IF(ISBLANK(B97),"",IF(VLOOKUP(Games!B97,Schedule!$C$2:$G$1048576,MATCH("neutral_site",Schedule!$C$1:$G$1,0),FALSE),0,50)),"")</f>
        <v>50</v>
      </c>
      <c r="H97" s="34" t="n">
        <f>_xlfn.IFNA(IF(VLOOKUP(Games!B97, 'Bye Weeks'!$A$2:$P$135, MATCH(Games!$A97, 'Bye Weeks'!$A$1:$P$1, 0), FALSE)="Y", 25, 0), 0)</f>
        <v>0</v>
      </c>
      <c r="I97" s="34" t="n">
        <f>_xlfn.IFNA(IF(VLOOKUP(Games!C97, 'Bye Weeks'!$A$2:$P$135, MATCH(Games!$A97, 'Bye Weeks'!$A$1:$P$1, 0), FALSE)="Y", 25, 0), 0)</f>
        <v>0</v>
      </c>
      <c r="J97" s="6" t="n">
        <f>IFERROR(_xlfn.IFNA(IF(ISBLANK(B97), "",IF(ABS(ROUND(Calc!O97, 1))&gt;70,R97,ROUND(Calc!O97, 1))), R97), R97)</f>
        <v>10.7</v>
      </c>
      <c r="K97" s="2" t="str">
        <f t="shared" si="39"/>
        <v>Wyoming</v>
      </c>
      <c r="L97" s="4" t="n">
        <f t="shared" si="40"/>
        <v>0.47143024020307978</v>
      </c>
      <c r="M97" s="4" t="n">
        <f t="shared" si="41"/>
        <v>0.52856975979692022</v>
      </c>
      <c r="N97" s="34" t="str">
        <f t="shared" si="42"/>
        <v>Wyoming</v>
      </c>
      <c r="O97" s="36" t="n">
        <f t="shared" si="43"/>
        <v>0.52856975979692022</v>
      </c>
      <c r="P97" s="13" t="str">
        <f t="shared" si="30"/>
        <v>N</v>
      </c>
      <c r="Q97" s="15" t="str">
        <f t="shared" si="31"/>
        <v>N</v>
      </c>
      <c r="R97" s="6" t="n">
        <f t="shared" si="32"/>
        <v>2.794958011750805</v>
      </c>
      <c r="S97" s="9" t="n">
        <f t="shared" si="44"/>
        <v>0.94480823199251651</v>
      </c>
      <c r="T97" s="17" t="s">
        <v>2</v>
      </c>
      <c r="U97" s="11"/>
      <c r="V97" s="19"/>
      <c r="W97" s="20"/>
      <c r="X97" s="11" t="s">
        <v>199</v>
      </c>
      <c r="Y97" s="1"/>
      <c r="Z97" s="19" t="n">
        <v>2</v>
      </c>
      <c r="AA97" s="20" t="n">
        <v>-110</v>
      </c>
      <c r="AB97" s="14"/>
      <c r="AC97" s="11" t="n">
        <v>48</v>
      </c>
      <c r="AD97" s="12" t="n">
        <v>7</v>
      </c>
      <c r="AE97" s="16" t="str">
        <f t="shared" si="33"/>
        <v>Arizona State</v>
      </c>
      <c r="AF97" s="39" t="n">
        <f t="shared" si="45"/>
        <v>41</v>
      </c>
      <c r="AG97" s="1" t="n">
        <f t="shared" si="34"/>
        <v>1360.6232301903499</v>
      </c>
      <c r="AH97" s="1" t="n">
        <f t="shared" si="35"/>
        <v>1430.49718048412</v>
      </c>
      <c r="AI97" s="1" t="n">
        <f t="shared" si="46"/>
        <v>-69.873950293770122</v>
      </c>
      <c r="AJ97" s="1" t="n">
        <f t="shared" si="47"/>
        <v>3.8602753866877713</v>
      </c>
      <c r="AK97" s="1" t="n">
        <f t="shared" si="36"/>
        <v>0.52856975979692022</v>
      </c>
      <c r="AL97" s="1" t="n">
        <v>125</v>
      </c>
      <c r="AM97" s="1" t="n">
        <f t="shared" si="48"/>
        <v>255.05310423643985</v>
      </c>
      <c r="AN97" s="1" t="n">
        <f t="shared" si="37"/>
        <v>1615.6763344267897</v>
      </c>
      <c r="AO97" s="40" t="n">
        <f t="shared" si="38"/>
        <v>1175.4440762476802</v>
      </c>
    </row>
    <row r="98" ht="14.65" customHeight="1">
      <c r="A98" s="33" t="n">
        <f>Schedule!A98</f>
        <v>1</v>
      </c>
      <c r="B98" s="34" t="s">
        <v>130</v>
      </c>
      <c r="C98" s="34" t="s">
        <v>235</v>
      </c>
      <c r="D98" s="6" t="str">
        <f>IF(OR(ISBLANK(B98), ISNA(VLOOKUP(B98, 'Betting Lines'!$B$2:$F$1048576, MATCH("spread", 'Betting Lines'!$B$1:$J$1, 0), FALSE))), "", VLOOKUP(B98, 'Betting Lines'!$B$2:$F$1048576, MATCH("spread", 'Betting Lines'!$B$1:$J$1, 0), FALSE))</f>
        <v>-30.5</v>
      </c>
      <c r="E98" s="10" t="n">
        <f>_xlfn.IFNA(IF(ISBLANK(B98),"",VLOOKUP(B98,Elo!$A$2:$AZ$1048576,MATCH(_xlfn.CONCAT("Week ", A98),Elo!$A$1:$AZ$1,0),FALSE)), "")</f>
        <v>1752.6004195016501</v>
      </c>
      <c r="F98" s="10" t="n">
        <f>IFERROR(IF(ISBLANK(C98),"",VLOOKUP(C98,Elo!$A$2:$AZ$1048576,MATCH(_xlfn.CONCAT("Week ",A98),Elo!$A$1:$AZ$1,0),FALSE)),IF(ISBLANK(Schedule!D98),"", 1000))</f>
        <v>1173.6924025744236</v>
      </c>
      <c r="G98" s="34" t="n">
        <f>_xlfn.IFNA(IF(ISBLANK(B98),"",IF(VLOOKUP(Games!B98,Schedule!$C$2:$G$1048576,MATCH("neutral_site",Schedule!$C$1:$G$1,0),FALSE),0,50)),"")</f>
        <v>50</v>
      </c>
      <c r="H98" s="34" t="n">
        <f>_xlfn.IFNA(IF(VLOOKUP(Games!B98, 'Bye Weeks'!$A$2:$P$135, MATCH(Games!$A98, 'Bye Weeks'!$A$1:$P$1, 0), FALSE)="Y", 25, 0), 0)</f>
        <v>0</v>
      </c>
      <c r="I98" s="34" t="n">
        <f>_xlfn.IFNA(IF(VLOOKUP(Games!C98, 'Bye Weeks'!$A$2:$P$135, MATCH(Games!$A98, 'Bye Weeks'!$A$1:$P$1, 0), FALSE)="Y", 25, 0), 0)</f>
        <v>0</v>
      </c>
      <c r="J98" s="6" t="n">
        <f>IFERROR(_xlfn.IFNA(IF(ISBLANK(B98), "",IF(ABS(ROUND(Calc!O98, 1))&gt;70,R98,ROUND(Calc!O98, 1))), R98), R98)</f>
        <v>-23.15632067708906</v>
      </c>
      <c r="K98" s="2" t="str">
        <f t="shared" si="39"/>
        <v>Arizona</v>
      </c>
      <c r="L98" s="4" t="n">
        <f t="shared" si="40"/>
        <v>0.97392317819215035</v>
      </c>
      <c r="M98" s="4" t="n">
        <f t="shared" si="41"/>
        <v>2.6076821807849659E-2</v>
      </c>
      <c r="N98" s="34" t="str">
        <f t="shared" si="42"/>
        <v>Arizona</v>
      </c>
      <c r="O98" s="36" t="n">
        <f t="shared" si="43"/>
        <v>0.97392317819215035</v>
      </c>
      <c r="P98" s="13" t="str">
        <f t="shared" si="30"/>
        <v>Y</v>
      </c>
      <c r="Q98" s="15" t="str">
        <f t="shared" si="31"/>
        <v>Y</v>
      </c>
      <c r="R98" s="6" t="n">
        <f t="shared" si="32"/>
        <v>-23.15632067708906</v>
      </c>
      <c r="S98" s="9" t="n">
        <f t="shared" si="44"/>
        <v>0.47998989364201727</v>
      </c>
      <c r="T98" s="17"/>
      <c r="U98" s="11"/>
      <c r="V98" s="19"/>
      <c r="W98" s="20"/>
      <c r="X98" s="11"/>
      <c r="Y98" s="1"/>
      <c r="Z98" s="19"/>
      <c r="AA98" s="20"/>
      <c r="AB98" s="14"/>
      <c r="AC98" s="11" t="n">
        <v>61</v>
      </c>
      <c r="AD98" s="12" t="n">
        <v>39</v>
      </c>
      <c r="AE98" s="16" t="str">
        <f t="shared" ref="AE98:AE101" si="49">IF(ISBLANK(AC98), "", IF(AC98&gt;AD98, B98, C98))</f>
        <v>Arizona</v>
      </c>
      <c r="AF98" s="39" t="n">
        <f t="shared" si="45"/>
        <v>22</v>
      </c>
      <c r="AG98" s="1" t="n">
        <f t="shared" si="34"/>
        <v>1752.6004195016501</v>
      </c>
      <c r="AH98" s="1" t="n">
        <f t="shared" si="35"/>
        <v>1173.6924025744236</v>
      </c>
      <c r="AI98" s="1" t="n">
        <f t="shared" si="46"/>
        <v>578.90801692722653</v>
      </c>
      <c r="AJ98" s="1" t="n">
        <f t="shared" si="47"/>
        <v>2.4823014050935299</v>
      </c>
      <c r="AK98" s="1" t="n">
        <f t="shared" si="36"/>
        <v>2.6076821807849648E-2</v>
      </c>
      <c r="AL98" s="1" t="n">
        <v>126</v>
      </c>
      <c r="AM98" s="1" t="n">
        <f t="shared" si="48"/>
        <v>8.1560469581638468</v>
      </c>
      <c r="AN98" s="1" t="n">
        <f t="shared" ref="AN98:AN101" si="50">IF(ISBLANK(AC98), E98,IF(AE98=B98, E98+AM98, E98-AM98))</f>
        <v>1760.756466459814</v>
      </c>
      <c r="AO98" s="40" t="n">
        <f t="shared" si="38"/>
        <v>1165.5363556162597</v>
      </c>
    </row>
    <row r="99" ht="14.65" customHeight="1">
      <c r="A99" s="33" t="n">
        <f>Schedule!A99</f>
        <v>1</v>
      </c>
      <c r="B99" s="34" t="s">
        <v>136</v>
      </c>
      <c r="C99" s="34" t="s">
        <v>339</v>
      </c>
      <c r="D99" s="6" t="n">
        <v>-29</v>
      </c>
      <c r="E99" s="10" t="n">
        <f>_xlfn.IFNA(IF(ISBLANK(B99),"",VLOOKUP(B99,Elo!$A$2:$AZ$1048576,MATCH(_xlfn.CONCAT("Week ", A99),Elo!$A$1:$AZ$1,0),FALSE)), "")</f>
        <v>1693.0010990296</v>
      </c>
      <c r="F99" s="10" t="n">
        <f>IFERROR(IF(ISBLANK(C99),"",VLOOKUP(C99,Elo!$A$2:$AZ$1048576,MATCH(_xlfn.CONCAT("Week ",A99),Elo!$A$1:$AZ$1,0),FALSE)),IF(ISBLANK(Schedule!D99),"", 1000))</f>
        <v>1000</v>
      </c>
      <c r="G99" s="34" t="n">
        <f>_xlfn.IFNA(IF(ISBLANK(B99),"",IF(VLOOKUP(Games!B99,Schedule!$C$2:$G$1048576,MATCH("neutral_site",Schedule!$C$1:$G$1,0),FALSE),0,50)),"")</f>
        <v>50</v>
      </c>
      <c r="H99" s="34" t="n">
        <f>_xlfn.IFNA(IF(VLOOKUP(Games!B99, 'Bye Weeks'!$A$2:$P$135, MATCH(Games!$A99, 'Bye Weeks'!$A$1:$P$1, 0), FALSE)="Y", 25, 0), 0)</f>
        <v>0</v>
      </c>
      <c r="I99" s="34" t="n">
        <f>_xlfn.IFNA(IF(VLOOKUP(Games!C99, 'Bye Weeks'!$A$2:$P$135, MATCH(Games!$A99, 'Bye Weeks'!$A$1:$P$1, 0), FALSE)="Y", 25, 0), 0)</f>
        <v>0</v>
      </c>
      <c r="J99" s="6" t="n">
        <f>IFERROR(_xlfn.IFNA(IF(ISBLANK(B99), "",IF(ABS(ROUND(Calc!O99, 1))&gt;70,R99,ROUND(Calc!O99, 1))), R99), R99)</f>
        <v>-27.720043961184</v>
      </c>
      <c r="K99" s="2" t="str">
        <f t="shared" si="39"/>
        <v>Washington</v>
      </c>
      <c r="L99" s="4" t="n">
        <f t="shared" si="40"/>
        <v>0.98630666539638789</v>
      </c>
      <c r="M99" s="4" t="n">
        <f t="shared" si="41"/>
        <v>1.3693334603612084E-2</v>
      </c>
      <c r="N99" s="34" t="str">
        <f t="shared" si="42"/>
        <v>Washington</v>
      </c>
      <c r="O99" s="36" t="n">
        <f t="shared" si="43"/>
        <v>0.98630666539638789</v>
      </c>
      <c r="P99" s="13" t="str">
        <f t="shared" si="30"/>
        <v>N</v>
      </c>
      <c r="Q99" s="15" t="str">
        <f t="shared" si="31"/>
        <v>N</v>
      </c>
      <c r="R99" s="6" t="n">
        <f t="shared" si="32"/>
        <v>-27.720043961184</v>
      </c>
      <c r="S99" s="9" t="n">
        <f t="shared" si="44"/>
        <v>0.36448877577199068</v>
      </c>
      <c r="T99" s="17"/>
      <c r="U99" s="11"/>
      <c r="V99" s="19"/>
      <c r="W99" s="20"/>
      <c r="X99" s="11"/>
      <c r="Y99" s="1"/>
      <c r="Z99" s="19"/>
      <c r="AA99" s="20"/>
      <c r="AB99" s="14"/>
      <c r="AC99" s="11" t="n">
        <v>35</v>
      </c>
      <c r="AD99" s="12" t="n">
        <v>3</v>
      </c>
      <c r="AE99" s="16" t="str">
        <f t="shared" si="49"/>
        <v>Washington</v>
      </c>
      <c r="AF99" s="39" t="n">
        <f t="shared" si="45"/>
        <v>32</v>
      </c>
      <c r="AG99" s="1" t="n">
        <f t="shared" si="34"/>
        <v>1693.0010990296</v>
      </c>
      <c r="AH99" s="1" t="n">
        <f t="shared" si="35"/>
        <v>1000</v>
      </c>
      <c r="AI99" s="1" t="n">
        <f t="shared" si="46"/>
        <v>693.00109902960003</v>
      </c>
      <c r="AJ99" s="1" t="n">
        <f t="shared" si="47"/>
        <v>2.6589401012694016</v>
      </c>
      <c r="AK99" s="1" t="n">
        <f t="shared" si="36"/>
        <v>1.3693334603612106E-2</v>
      </c>
      <c r="AL99" s="1" t="n">
        <v>127</v>
      </c>
      <c r="AM99" s="1" t="n">
        <f t="shared" si="48"/>
        <v>4.6240390752008107</v>
      </c>
      <c r="AN99" s="1" t="n">
        <f t="shared" si="50"/>
        <v>1697.6251381048007</v>
      </c>
      <c r="AO99" s="40" t="n">
        <f t="shared" si="38"/>
        <v>995.37596092479919</v>
      </c>
    </row>
    <row r="100" ht="14.65" customHeight="1">
      <c r="A100" s="33" t="n">
        <f>Schedule!A100</f>
        <v>1</v>
      </c>
      <c r="B100" s="34" t="s">
        <v>123</v>
      </c>
      <c r="C100" s="34" t="s">
        <v>142</v>
      </c>
      <c r="D100" s="6" t="n">
        <v>4</v>
      </c>
      <c r="E100" s="10" t="n">
        <f>_xlfn.IFNA(IF(ISBLANK(B100),"",VLOOKUP(B100,Elo!$A$2:$AZ$1048576,MATCH(_xlfn.CONCAT("Week ", A100),Elo!$A$1:$AZ$1,0),FALSE)), "")</f>
        <v>1845.5886357039001</v>
      </c>
      <c r="F100" s="10" t="n">
        <f>IFERROR(IF(ISBLANK(C100),"",VLOOKUP(C100,Elo!$A$2:$AZ$1048576,MATCH(_xlfn.CONCAT("Week ",A100),Elo!$A$1:$AZ$1,0),FALSE)),IF(ISBLANK(Schedule!D100),"", 1000))</f>
        <v>1685.0569141992501</v>
      </c>
      <c r="G100" s="34" t="n">
        <f>_xlfn.IFNA(IF(ISBLANK(B100),"",IF(VLOOKUP(Games!B100,Schedule!$C$2:$G$1048576,MATCH("neutral_site",Schedule!$C$1:$G$1,0),FALSE),0,50)),"")</f>
        <v>0</v>
      </c>
      <c r="H100" s="34" t="n">
        <f>_xlfn.IFNA(IF(VLOOKUP(Games!B100, 'Bye Weeks'!$A$2:$P$135, MATCH(Games!$A100, 'Bye Weeks'!$A$1:$P$1, 0), FALSE)="Y", 25, 0), 0)</f>
        <v>0</v>
      </c>
      <c r="I100" s="34" t="n">
        <f>_xlfn.IFNA(IF(VLOOKUP(Games!C100, 'Bye Weeks'!$A$2:$P$135, MATCH(Games!$A100, 'Bye Weeks'!$A$1:$P$1, 0), FALSE)="Y", 25, 0), 0)</f>
        <v>0</v>
      </c>
      <c r="J100" s="6" t="n">
        <f>IFERROR(_xlfn.IFNA(IF(ISBLANK(B100), "",IF(ABS(ROUND(Calc!O100, 1))&gt;70,R100,ROUND(Calc!O100, 1))), R100), R100)</f>
        <v>-15.4</v>
      </c>
      <c r="K100" s="2" t="str">
        <f t="shared" si="39"/>
        <v>LSU</v>
      </c>
      <c r="L100" s="4" t="n">
        <f t="shared" si="40"/>
        <v>0.71587572891310769</v>
      </c>
      <c r="M100" s="4" t="n">
        <f t="shared" si="41"/>
        <v>0.28412427108689225</v>
      </c>
      <c r="N100" s="34" t="str">
        <f t="shared" si="42"/>
        <v>LSU</v>
      </c>
      <c r="O100" s="36" t="n">
        <f t="shared" si="43"/>
        <v>0.71587572891310769</v>
      </c>
      <c r="P100" s="13" t="str">
        <f t="shared" si="30"/>
        <v>Y</v>
      </c>
      <c r="Q100" s="15" t="str">
        <f t="shared" si="31"/>
        <v>Y</v>
      </c>
      <c r="R100" s="6" t="n">
        <f t="shared" si="32"/>
        <v>-6.4212688601860011</v>
      </c>
      <c r="S100" s="9" t="n">
        <f t="shared" si="44"/>
        <v>0.72189733593242367</v>
      </c>
      <c r="T100" s="17" t="s">
        <v>2</v>
      </c>
      <c r="U100" s="11"/>
      <c r="V100" s="19"/>
      <c r="W100" s="20"/>
      <c r="X100" s="11" t="s">
        <v>123</v>
      </c>
      <c r="Y100" s="1"/>
      <c r="Z100" s="19" t="n">
        <v>3</v>
      </c>
      <c r="AA100" s="20" t="n">
        <v>-110</v>
      </c>
      <c r="AB100" s="14"/>
      <c r="AC100" s="11"/>
      <c r="AD100" s="12"/>
      <c r="AE100" s="16" t="str">
        <f t="shared" si="49"/>
      </c>
      <c r="AF100" s="39" t="str">
        <f t="shared" si="45"/>
      </c>
      <c r="AG100" s="1" t="str">
        <f t="shared" si="34"/>
      </c>
      <c r="AH100" s="1" t="str">
        <f t="shared" si="35"/>
      </c>
      <c r="AI100" s="1" t="str">
        <f t="shared" si="46"/>
      </c>
      <c r="AJ100" s="1" t="str">
        <f t="shared" si="47"/>
      </c>
      <c r="AK100" s="1" t="str">
        <f t="shared" si="36"/>
      </c>
      <c r="AL100" s="1" t="n">
        <v>128</v>
      </c>
      <c r="AM100" s="1" t="str">
        <f t="shared" si="48"/>
      </c>
      <c r="AN100" s="1" t="n">
        <f t="shared" si="50"/>
        <v>1845.5886357039001</v>
      </c>
      <c r="AO100" s="40" t="n">
        <f t="shared" si="38"/>
        <v>1685.0569141992501</v>
      </c>
    </row>
    <row r="101" ht="14.65" customHeight="1">
      <c r="A101" s="33" t="n">
        <f>Schedule!A101</f>
        <v>1</v>
      </c>
      <c r="B101" s="34" t="s">
        <v>132</v>
      </c>
      <c r="C101" s="34" t="s">
        <v>188</v>
      </c>
      <c r="D101" s="6" t="n">
        <v>-17</v>
      </c>
      <c r="E101" s="10" t="n">
        <f>_xlfn.IFNA(IF(ISBLANK(B101),"",VLOOKUP(B101,Elo!$A$2:$AZ$1048576,MATCH(_xlfn.CONCAT("Week ", A101),Elo!$A$1:$AZ$1,0),FALSE)), "")</f>
        <v>1688.4448627520264</v>
      </c>
      <c r="F101" s="10" t="n">
        <f>IFERROR(IF(ISBLANK(C101),"",VLOOKUP(C101,Elo!$A$2:$AZ$1048576,MATCH(_xlfn.CONCAT("Week ",A101),Elo!$A$1:$AZ$1,0),FALSE)),IF(ISBLANK(Schedule!D101),"", 1000))</f>
        <v>1475.41673758554</v>
      </c>
      <c r="G101" s="34" t="n">
        <f>_xlfn.IFNA(IF(ISBLANK(B101),"",IF(VLOOKUP(Games!B101,Schedule!$C$2:$G$1048576,MATCH("neutral_site",Schedule!$C$1:$G$1,0),FALSE),0,50)),"")</f>
        <v>50</v>
      </c>
      <c r="H101" s="34" t="n">
        <f>_xlfn.IFNA(IF(VLOOKUP(Games!B101, 'Bye Weeks'!$A$2:$P$135, MATCH(Games!$A101, 'Bye Weeks'!$A$1:$P$1, 0), FALSE)="Y", 25, 0), 0)</f>
        <v>0</v>
      </c>
      <c r="I101" s="34" t="n">
        <f>_xlfn.IFNA(IF(VLOOKUP(Games!C101, 'Bye Weeks'!$A$2:$P$135, MATCH(Games!$A101, 'Bye Weeks'!$A$1:$P$1, 0), FALSE)="Y", 25, 0), 0)</f>
        <v>0</v>
      </c>
      <c r="J101" s="6" t="n">
        <f>IFERROR(_xlfn.IFNA(IF(ISBLANK(B101), "",IF(ABS(ROUND(Calc!O101, 1))&gt;70,R101,ROUND(Calc!O101, 1))), R101), R101)</f>
        <v>-53.4</v>
      </c>
      <c r="K101" s="2" t="str">
        <f t="shared" si="39"/>
        <v>Florida State</v>
      </c>
      <c r="L101" s="4" t="n">
        <f t="shared" si="40"/>
        <v>0.81966974659280711</v>
      </c>
      <c r="M101" s="4" t="n">
        <f t="shared" si="41"/>
        <v>0.18033025340719291</v>
      </c>
      <c r="N101" s="34" t="str">
        <f t="shared" si="42"/>
        <v>Florida State</v>
      </c>
      <c r="O101" s="36" t="n">
        <f t="shared" si="43"/>
        <v>0.81966974659280711</v>
      </c>
      <c r="P101" s="13" t="str">
        <f t="shared" si="30"/>
        <v>Y</v>
      </c>
      <c r="Q101" s="15" t="str">
        <f t="shared" si="31"/>
        <v>Y</v>
      </c>
      <c r="R101" s="6" t="n">
        <f t="shared" si="32"/>
        <v>-8.5211250066594584</v>
      </c>
      <c r="S101" s="9" t="n">
        <f t="shared" si="44"/>
        <v>0.1891740026222139</v>
      </c>
      <c r="T101" s="17" t="s">
        <v>2</v>
      </c>
      <c r="U101" s="11"/>
      <c r="V101" s="19"/>
      <c r="W101" s="20"/>
      <c r="X101" s="11" t="s">
        <v>132</v>
      </c>
      <c r="Y101" s="1"/>
      <c r="Z101" s="19" t="n">
        <v>2</v>
      </c>
      <c r="AA101" s="20" t="n">
        <v>-110</v>
      </c>
      <c r="AB101" s="14"/>
      <c r="AC101" s="11"/>
      <c r="AD101" s="12"/>
      <c r="AE101" s="16" t="str">
        <f t="shared" si="49"/>
      </c>
      <c r="AF101" s="39" t="str">
        <f t="shared" si="45"/>
      </c>
      <c r="AG101" s="1" t="str">
        <f t="shared" si="34"/>
      </c>
      <c r="AH101" s="1" t="str">
        <f t="shared" si="35"/>
      </c>
      <c r="AI101" s="1" t="str">
        <f t="shared" si="46"/>
      </c>
      <c r="AJ101" s="1" t="str">
        <f t="shared" si="47"/>
      </c>
      <c r="AK101" s="1" t="str">
        <f t="shared" si="36"/>
      </c>
      <c r="AL101" s="1" t="n">
        <v>129</v>
      </c>
      <c r="AM101" s="1" t="str">
        <f t="shared" si="48"/>
      </c>
      <c r="AN101" s="1" t="n">
        <f t="shared" si="50"/>
        <v>1688.4448627520264</v>
      </c>
      <c r="AO101" s="40" t="n">
        <f t="shared" si="38"/>
        <v>1475.41673758554</v>
      </c>
    </row>
  </sheetData>
  <conditionalFormatting sqref="O2:O101">
    <cfRule type="cellIs" dxfId="31" priority="2" operator="between">
      <formula>1</formula>
      <formula>0.75</formula>
    </cfRule>
    <cfRule type="cellIs" dxfId="30" priority="3" operator="between">
      <formula>0.5</formula>
      <formula>0.55</formula>
    </cfRule>
  </conditionalFormatting>
  <conditionalFormatting sqref="S2:S10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count="3">
    <dataValidation type="list" allowBlank="1" showInputMessage="1" showErrorMessage="1" sqref="T2:T101" xr:uid="{DD394B44-B971-4027-BF2F-1940F62BCF4A}">
      <formula1>"Side, Spread"</formula1>
    </dataValidation>
    <dataValidation type="list" allowBlank="1" showInputMessage="1" showErrorMessage="1" sqref="U2:U101" xr:uid="{1D931C35-87AA-4A43-9C04-EBD39495A432}">
      <formula1>B2:C2</formula1>
    </dataValidation>
    <dataValidation type="list" allowBlank="1" showInputMessage="1" showErrorMessage="1" sqref="X2:X101" xr:uid="{1D4FE301-7D08-48F1-A5C8-73763C0940A1}">
      <formula1>B2:C2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54C435-946D-452B-A067-58C099759EB1}">
          <x14:formula1>
            <xm:f>Schedule!$D$2:$D$1048576</xm:f>
          </x14:formula1>
          <xm:sqref>C2:C1048576</xm:sqref>
        </x14:dataValidation>
        <x14:dataValidation type="list" allowBlank="1" showInputMessage="1" showErrorMessage="1" xr:uid="{4C333DE0-5C16-4403-A69B-9621C3112753}">
          <x14:formula1>
            <xm:f>Schedule!$C$2:$C$1048576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/>
  </sheetPr>
  <dimension ref="A1"/>
  <sheetViews>
    <sheetView workbookViewId="0">
      <selection activeCell="G7" sqref="G7"/>
    </sheetView>
  </sheetViews>
  <sheetFormatPr defaultRowHeight="15.0" baseColWidth="10"/>
  <cols>
    <col min="1" max="1" width="6.9296875" hidden="0" customWidth="1"/>
    <col min="2" max="2" width="25.06640625" hidden="0" customWidth="1"/>
    <col min="3" max="3" width="0.1328125" hidden="0" customWidth="1"/>
    <col min="4" max="4" width="9.1328125" hidden="0" customWidth="1"/>
  </cols>
  <sheetData>
    <row r="1" ht="27.4" customHeight="1">
      <c r="A1" s="43" t="s">
        <v>927</v>
      </c>
      <c r="B1" s="44" t="s">
        <v>106</v>
      </c>
      <c r="C1" s="45" t="s">
        <v>107</v>
      </c>
      <c r="D1" s="46" t="s">
        <v>254</v>
      </c>
    </row>
    <row r="2">
      <c r="A2" s="47" t="n">
        <f>_xlfn.RANK.EQ(Table2[[#This Row],[Current Elo]], Table2[Current Elo])</f>
        <v>1</v>
      </c>
      <c r="B2" s="41" t="s">
        <v>108</v>
      </c>
      <c r="C2" s="42" t="s">
        <v>109</v>
      </c>
      <c r="D2" s="48" t="n">
        <f>VLOOKUP(Table2[[#This Row],[Team]], Elo!$2:$1048576, MATCH("Current Elo", Elo!$1:$1, 0), FALSE)</f>
        <v>2158.2725114569398</v>
      </c>
    </row>
    <row r="3">
      <c r="A3" s="49" t="n">
        <f>_xlfn.RANK.EQ(Table2[[#This Row],[Current Elo]], Table2[Current Elo])</f>
        <v>2</v>
      </c>
      <c r="B3" s="55" t="s">
        <v>110</v>
      </c>
      <c r="C3" s="1" t="s">
        <v>111</v>
      </c>
      <c r="D3" s="50" t="n">
        <f>VLOOKUP(Table2[[#This Row],[Team]], Elo!$2:$1048576, MATCH("Current Elo", Elo!$1:$1, 0), FALSE)</f>
        <v>2003.0247602574</v>
      </c>
    </row>
    <row r="4">
      <c r="A4" s="49" t="n">
        <f>_xlfn.RANK.EQ(Table2[[#This Row],[Current Elo]], Table2[Current Elo])</f>
        <v>3</v>
      </c>
      <c r="B4" s="55" t="s">
        <v>112</v>
      </c>
      <c r="C4" s="1" t="s">
        <v>111</v>
      </c>
      <c r="D4" s="50" t="n">
        <f>VLOOKUP(Table2[[#This Row],[Team]], Elo!$2:$1048576, MATCH("Current Elo", Elo!$1:$1, 0), FALSE)</f>
        <v>1981.7734188787001</v>
      </c>
    </row>
    <row r="5">
      <c r="A5" s="49" t="n">
        <f>_xlfn.RANK.EQ(Table2[[#This Row],[Current Elo]], Table2[Current Elo])</f>
        <v>4</v>
      </c>
      <c r="B5" s="55" t="s">
        <v>113</v>
      </c>
      <c r="C5" s="1" t="s">
        <v>109</v>
      </c>
      <c r="D5" s="50" t="n">
        <f>VLOOKUP(Table2[[#This Row],[Team]], Elo!$2:$1048576, MATCH("Current Elo", Elo!$1:$1, 0), FALSE)</f>
        <v>1972.8701292461001</v>
      </c>
    </row>
    <row r="6">
      <c r="A6" s="49" t="n">
        <f>_xlfn.RANK.EQ(Table2[[#This Row],[Current Elo]], Table2[Current Elo])</f>
        <v>5</v>
      </c>
      <c r="B6" s="55" t="s">
        <v>114</v>
      </c>
      <c r="C6" s="1" t="s">
        <v>111</v>
      </c>
      <c r="D6" s="50" t="n">
        <f>VLOOKUP(Table2[[#This Row],[Team]], Elo!$2:$1048576, MATCH("Current Elo", Elo!$1:$1, 0), FALSE)</f>
        <v>1946.3140758110801</v>
      </c>
    </row>
    <row r="7">
      <c r="A7" s="49" t="n">
        <f>_xlfn.RANK.EQ(Table2[[#This Row],[Current Elo]], Table2[Current Elo])</f>
        <v>6</v>
      </c>
      <c r="B7" s="55" t="s">
        <v>115</v>
      </c>
      <c r="C7" s="1" t="s">
        <v>109</v>
      </c>
      <c r="D7" s="50" t="n">
        <f>VLOOKUP(Table2[[#This Row],[Team]], Elo!$2:$1048576, MATCH("Current Elo", Elo!$1:$1, 0), FALSE)</f>
        <v>1929.8903193317799</v>
      </c>
    </row>
    <row r="8">
      <c r="A8" s="49" t="n">
        <f>_xlfn.RANK.EQ(Table2[[#This Row],[Current Elo]], Table2[Current Elo])</f>
        <v>7</v>
      </c>
      <c r="B8" s="55" t="s">
        <v>116</v>
      </c>
      <c r="C8" s="1" t="s">
        <v>117</v>
      </c>
      <c r="D8" s="50" t="n">
        <f>VLOOKUP(Table2[[#This Row],[Team]], Elo!$2:$1048576, MATCH("Current Elo", Elo!$1:$1, 0), FALSE)</f>
        <v>1926.89583775185</v>
      </c>
    </row>
    <row r="9">
      <c r="A9" s="49" t="n">
        <f>_xlfn.RANK.EQ(Table2[[#This Row],[Current Elo]], Table2[Current Elo])</f>
        <v>8</v>
      </c>
      <c r="B9" s="55" t="s">
        <v>118</v>
      </c>
      <c r="C9" s="1" t="s">
        <v>111</v>
      </c>
      <c r="D9" s="50" t="n">
        <f>VLOOKUP(Table2[[#This Row],[Team]], Elo!$2:$1048576, MATCH("Current Elo", Elo!$1:$1, 0), FALSE)</f>
        <v>1904.8904941309299</v>
      </c>
    </row>
    <row r="10">
      <c r="A10" s="49" t="n">
        <f>_xlfn.RANK.EQ(Table2[[#This Row],[Current Elo]], Table2[Current Elo])</f>
        <v>9</v>
      </c>
      <c r="B10" s="55" t="s">
        <v>119</v>
      </c>
      <c r="C10" s="1" t="s">
        <v>109</v>
      </c>
      <c r="D10" s="50" t="n">
        <f>VLOOKUP(Table2[[#This Row],[Team]], Elo!$2:$1048576, MATCH("Current Elo", Elo!$1:$1, 0), FALSE)</f>
        <v>1901.54040519861</v>
      </c>
    </row>
    <row r="11">
      <c r="A11" s="49" t="n">
        <f>_xlfn.RANK.EQ(Table2[[#This Row],[Current Elo]], Table2[Current Elo])</f>
        <v>10</v>
      </c>
      <c r="B11" s="55" t="s">
        <v>120</v>
      </c>
      <c r="C11" s="1" t="s">
        <v>109</v>
      </c>
      <c r="D11" s="50" t="n">
        <f>VLOOKUP(Table2[[#This Row],[Team]], Elo!$2:$1048576, MATCH("Current Elo", Elo!$1:$1, 0), FALSE)</f>
        <v>1881.6808464527301</v>
      </c>
    </row>
    <row r="12">
      <c r="A12" s="49" t="n">
        <f>_xlfn.RANK.EQ(Table2[[#This Row],[Current Elo]], Table2[Current Elo])</f>
        <v>11</v>
      </c>
      <c r="B12" s="55" t="s">
        <v>121</v>
      </c>
      <c r="C12" s="1" t="s">
        <v>122</v>
      </c>
      <c r="D12" s="50" t="n">
        <f>VLOOKUP(Table2[[#This Row],[Team]], Elo!$2:$1048576, MATCH("Current Elo", Elo!$1:$1, 0), FALSE)</f>
        <v>1854.1926415027201</v>
      </c>
    </row>
    <row r="13">
      <c r="A13" s="49" t="n">
        <f>_xlfn.RANK.EQ(Table2[[#This Row],[Current Elo]], Table2[Current Elo])</f>
        <v>12</v>
      </c>
      <c r="B13" s="55" t="s">
        <v>123</v>
      </c>
      <c r="C13" s="1" t="s">
        <v>109</v>
      </c>
      <c r="D13" s="50" t="n">
        <f>VLOOKUP(Table2[[#This Row],[Team]], Elo!$2:$1048576, MATCH("Current Elo", Elo!$1:$1, 0), FALSE)</f>
        <v>1845.5886357039001</v>
      </c>
    </row>
    <row r="14">
      <c r="A14" s="49" t="n">
        <f>_xlfn.RANK.EQ(Table2[[#This Row],[Current Elo]], Table2[Current Elo])</f>
        <v>13</v>
      </c>
      <c r="B14" s="55" t="s">
        <v>124</v>
      </c>
      <c r="C14" s="1" t="s">
        <v>109</v>
      </c>
      <c r="D14" s="50" t="n">
        <f>VLOOKUP(Table2[[#This Row],[Team]], Elo!$2:$1048576, MATCH("Current Elo", Elo!$1:$1, 0), FALSE)</f>
        <v>1828.56000355839</v>
      </c>
    </row>
    <row r="15">
      <c r="A15" s="49" t="n">
        <f>_xlfn.RANK.EQ(Table2[[#This Row],[Current Elo]], Table2[Current Elo])</f>
        <v>14</v>
      </c>
      <c r="B15" s="55" t="s">
        <v>125</v>
      </c>
      <c r="C15" s="1" t="s">
        <v>126</v>
      </c>
      <c r="D15" s="50" t="n">
        <f>VLOOKUP(Table2[[#This Row],[Team]], Elo!$2:$1048576, MATCH("Current Elo", Elo!$1:$1, 0), FALSE)</f>
        <v>1807.96104279825</v>
      </c>
    </row>
    <row r="16">
      <c r="A16" s="49" t="n">
        <f>_xlfn.RANK.EQ(Table2[[#This Row],[Current Elo]], Table2[Current Elo])</f>
        <v>15</v>
      </c>
      <c r="B16" s="55" t="s">
        <v>127</v>
      </c>
      <c r="C16" s="1" t="s">
        <v>109</v>
      </c>
      <c r="D16" s="50" t="n">
        <f>VLOOKUP(Table2[[#This Row],[Team]], Elo!$2:$1048576, MATCH("Current Elo", Elo!$1:$1, 0), FALSE)</f>
        <v>1772.1982376352801</v>
      </c>
    </row>
    <row r="17">
      <c r="A17" s="49" t="n">
        <f>_xlfn.RANK.EQ(Table2[[#This Row],[Current Elo]], Table2[Current Elo])</f>
        <v>16</v>
      </c>
      <c r="B17" s="55" t="s">
        <v>128</v>
      </c>
      <c r="C17" s="1" t="s">
        <v>122</v>
      </c>
      <c r="D17" s="50" t="n">
        <f>VLOOKUP(Table2[[#This Row],[Team]], Elo!$2:$1048576, MATCH("Current Elo", Elo!$1:$1, 0), FALSE)</f>
        <v>1767.5709170121299</v>
      </c>
    </row>
    <row r="18">
      <c r="A18" s="49" t="n">
        <f>_xlfn.RANK.EQ(Table2[[#This Row],[Current Elo]], Table2[Current Elo])</f>
        <v>17</v>
      </c>
      <c r="B18" s="55" t="s">
        <v>129</v>
      </c>
      <c r="C18" s="1" t="s">
        <v>109</v>
      </c>
      <c r="D18" s="50" t="n">
        <f>VLOOKUP(Table2[[#This Row],[Team]], Elo!$2:$1048576, MATCH("Current Elo", Elo!$1:$1, 0), FALSE)</f>
        <v>1767.2022166059101</v>
      </c>
    </row>
    <row r="19">
      <c r="A19" s="49" t="n">
        <f>_xlfn.RANK.EQ(Table2[[#This Row],[Current Elo]], Table2[Current Elo])</f>
        <v>18</v>
      </c>
      <c r="B19" s="55" t="s">
        <v>130</v>
      </c>
      <c r="C19" s="1" t="s">
        <v>126</v>
      </c>
      <c r="D19" s="50" t="n">
        <f>VLOOKUP(Table2[[#This Row],[Team]], Elo!$2:$1048576, MATCH("Current Elo", Elo!$1:$1, 0), FALSE)</f>
        <v>1752.6004195016501</v>
      </c>
    </row>
    <row r="20">
      <c r="A20" s="49" t="n">
        <f>_xlfn.RANK.EQ(Table2[[#This Row],[Current Elo]], Table2[Current Elo])</f>
        <v>19</v>
      </c>
      <c r="B20" s="55" t="s">
        <v>131</v>
      </c>
      <c r="C20" s="1" t="s">
        <v>126</v>
      </c>
      <c r="D20" s="50" t="n">
        <f>VLOOKUP(Table2[[#This Row],[Team]], Elo!$2:$1048576, MATCH("Current Elo", Elo!$1:$1, 0), FALSE)</f>
        <v>1726.8098521951899</v>
      </c>
    </row>
    <row r="21">
      <c r="A21" s="49" t="n">
        <f>_xlfn.RANK.EQ(Table2[[#This Row],[Current Elo]], Table2[Current Elo])</f>
        <v>20</v>
      </c>
      <c r="B21" s="55" t="s">
        <v>133</v>
      </c>
      <c r="C21" s="1" t="s">
        <v>126</v>
      </c>
      <c r="D21" s="50" t="n">
        <f>VLOOKUP(Table2[[#This Row],[Team]], Elo!$2:$1048576, MATCH("Current Elo", Elo!$1:$1, 0), FALSE)</f>
        <v>1715.6444468361401</v>
      </c>
    </row>
    <row r="22">
      <c r="A22" s="49" t="n">
        <f>_xlfn.RANK.EQ(Table2[[#This Row],[Current Elo]], Table2[Current Elo])</f>
        <v>21</v>
      </c>
      <c r="B22" s="55" t="s">
        <v>134</v>
      </c>
      <c r="C22" s="1" t="s">
        <v>135</v>
      </c>
      <c r="D22" s="50" t="n">
        <f>VLOOKUP(Table2[[#This Row],[Team]], Elo!$2:$1048576, MATCH("Current Elo", Elo!$1:$1, 0), FALSE)</f>
        <v>1706.8433033961401</v>
      </c>
    </row>
    <row r="23">
      <c r="A23" s="49" t="n">
        <f>_xlfn.RANK.EQ(Table2[[#This Row],[Current Elo]], Table2[Current Elo])</f>
        <v>22</v>
      </c>
      <c r="B23" s="55" t="s">
        <v>136</v>
      </c>
      <c r="C23" s="1" t="s">
        <v>111</v>
      </c>
      <c r="D23" s="50" t="n">
        <f>VLOOKUP(Table2[[#This Row],[Team]], Elo!$2:$1048576, MATCH("Current Elo", Elo!$1:$1, 0), FALSE)</f>
        <v>1693.0010990296</v>
      </c>
    </row>
    <row r="24">
      <c r="A24" s="49" t="n">
        <f>_xlfn.RANK.EQ(Table2[[#This Row],[Current Elo]], Table2[Current Elo])</f>
        <v>23</v>
      </c>
      <c r="B24" s="55" t="s">
        <v>137</v>
      </c>
      <c r="C24" s="1" t="s">
        <v>138</v>
      </c>
      <c r="D24" s="50" t="n">
        <f>VLOOKUP(Table2[[#This Row],[Team]], Elo!$2:$1048576, MATCH("Current Elo", Elo!$1:$1, 0), FALSE)</f>
        <v>1692.71584847636</v>
      </c>
    </row>
    <row r="25">
      <c r="A25" s="49" t="n">
        <f>_xlfn.RANK.EQ(Table2[[#This Row],[Current Elo]], Table2[Current Elo])</f>
        <v>24</v>
      </c>
      <c r="B25" s="55" t="s">
        <v>132</v>
      </c>
      <c r="C25" s="1" t="s">
        <v>122</v>
      </c>
      <c r="D25" s="50" t="n">
        <f>VLOOKUP(Table2[[#This Row],[Team]], Elo!$2:$1048576, MATCH("Current Elo", Elo!$1:$1, 0), FALSE)</f>
        <v>1688.4448627520264</v>
      </c>
    </row>
    <row r="26">
      <c r="A26" s="49" t="n">
        <f>_xlfn.RANK.EQ(Table2[[#This Row],[Current Elo]], Table2[Current Elo])</f>
        <v>25</v>
      </c>
      <c r="B26" s="55" t="s">
        <v>139</v>
      </c>
      <c r="C26" s="1" t="s">
        <v>126</v>
      </c>
      <c r="D26" s="50" t="n">
        <f>VLOOKUP(Table2[[#This Row],[Team]], Elo!$2:$1048576, MATCH("Current Elo", Elo!$1:$1, 0), FALSE)</f>
        <v>1686.5806772625001</v>
      </c>
    </row>
    <row r="27">
      <c r="A27" s="49" t="n">
        <f>_xlfn.RANK.EQ(Table2[[#This Row],[Current Elo]], Table2[Current Elo])</f>
        <v>26</v>
      </c>
      <c r="B27" s="55" t="s">
        <v>140</v>
      </c>
      <c r="C27" s="1" t="s">
        <v>141</v>
      </c>
      <c r="D27" s="50" t="n">
        <f>VLOOKUP(Table2[[#This Row],[Team]], Elo!$2:$1048576, MATCH("Current Elo", Elo!$1:$1, 0), FALSE)</f>
        <v>1686.07410211058</v>
      </c>
    </row>
    <row r="28">
      <c r="A28" s="49" t="n">
        <f>_xlfn.RANK.EQ(Table2[[#This Row],[Current Elo]], Table2[Current Elo])</f>
        <v>27</v>
      </c>
      <c r="B28" s="55" t="s">
        <v>142</v>
      </c>
      <c r="C28" s="1" t="s">
        <v>111</v>
      </c>
      <c r="D28" s="50" t="n">
        <f>VLOOKUP(Table2[[#This Row],[Team]], Elo!$2:$1048576, MATCH("Current Elo", Elo!$1:$1, 0), FALSE)</f>
        <v>1685.0569141992501</v>
      </c>
    </row>
    <row r="29">
      <c r="A29" s="49" t="n">
        <f>_xlfn.RANK.EQ(Table2[[#This Row],[Current Elo]], Table2[Current Elo])</f>
        <v>28</v>
      </c>
      <c r="B29" s="55" t="s">
        <v>143</v>
      </c>
      <c r="C29" s="1" t="s">
        <v>109</v>
      </c>
      <c r="D29" s="50" t="n">
        <f>VLOOKUP(Table2[[#This Row],[Team]], Elo!$2:$1048576, MATCH("Current Elo", Elo!$1:$1, 0), FALSE)</f>
        <v>1674.0057140070201</v>
      </c>
    </row>
    <row r="30">
      <c r="A30" s="49" t="n">
        <f>_xlfn.RANK.EQ(Table2[[#This Row],[Current Elo]], Table2[Current Elo])</f>
        <v>29</v>
      </c>
      <c r="B30" s="55" t="s">
        <v>144</v>
      </c>
      <c r="C30" s="1" t="s">
        <v>122</v>
      </c>
      <c r="D30" s="50" t="n">
        <f>VLOOKUP(Table2[[#This Row],[Team]], Elo!$2:$1048576, MATCH("Current Elo", Elo!$1:$1, 0), FALSE)</f>
        <v>1673.90260631614</v>
      </c>
    </row>
    <row r="31">
      <c r="A31" s="49" t="n">
        <f>_xlfn.RANK.EQ(Table2[[#This Row],[Current Elo]], Table2[Current Elo])</f>
        <v>30</v>
      </c>
      <c r="B31" s="55" t="s">
        <v>145</v>
      </c>
      <c r="C31" s="1" t="s">
        <v>126</v>
      </c>
      <c r="D31" s="50" t="n">
        <f>VLOOKUP(Table2[[#This Row],[Team]], Elo!$2:$1048576, MATCH("Current Elo", Elo!$1:$1, 0), FALSE)</f>
        <v>1668.36288069077</v>
      </c>
    </row>
    <row r="32">
      <c r="A32" s="49" t="n">
        <f>_xlfn.RANK.EQ(Table2[[#This Row],[Current Elo]], Table2[Current Elo])</f>
        <v>31</v>
      </c>
      <c r="B32" s="55" t="s">
        <v>146</v>
      </c>
      <c r="C32" s="1" t="s">
        <v>122</v>
      </c>
      <c r="D32" s="50" t="n">
        <f>VLOOKUP(Table2[[#This Row],[Team]], Elo!$2:$1048576, MATCH("Current Elo", Elo!$1:$1, 0), FALSE)</f>
        <v>1657.4210284573401</v>
      </c>
    </row>
    <row r="33">
      <c r="A33" s="49" t="n">
        <f>_xlfn.RANK.EQ(Table2[[#This Row],[Current Elo]], Table2[Current Elo])</f>
        <v>32</v>
      </c>
      <c r="B33" s="55" t="s">
        <v>147</v>
      </c>
      <c r="C33" s="1" t="s">
        <v>111</v>
      </c>
      <c r="D33" s="50" t="n">
        <f>VLOOKUP(Table2[[#This Row],[Team]], Elo!$2:$1048576, MATCH("Current Elo", Elo!$1:$1, 0), FALSE)</f>
        <v>1650.6994647767399</v>
      </c>
    </row>
    <row r="34">
      <c r="A34" s="49" t="n">
        <f>_xlfn.RANK.EQ(Table2[[#This Row],[Current Elo]], Table2[Current Elo])</f>
        <v>33</v>
      </c>
      <c r="B34" s="55" t="s">
        <v>148</v>
      </c>
      <c r="C34" s="1" t="s">
        <v>149</v>
      </c>
      <c r="D34" s="50" t="n">
        <f>VLOOKUP(Table2[[#This Row],[Team]], Elo!$2:$1048576, MATCH("Current Elo", Elo!$1:$1, 0), FALSE)</f>
        <v>1650.1956948458501</v>
      </c>
    </row>
    <row r="35">
      <c r="A35" s="49" t="n">
        <f>_xlfn.RANK.EQ(Table2[[#This Row],[Current Elo]], Table2[Current Elo])</f>
        <v>34</v>
      </c>
      <c r="B35" s="55" t="s">
        <v>150</v>
      </c>
      <c r="C35" s="1" t="s">
        <v>126</v>
      </c>
      <c r="D35" s="50" t="n">
        <f>VLOOKUP(Table2[[#This Row],[Team]], Elo!$2:$1048576, MATCH("Current Elo", Elo!$1:$1, 0), FALSE)</f>
        <v>1648.9480606638299</v>
      </c>
    </row>
    <row r="36">
      <c r="A36" s="49" t="n">
        <f>_xlfn.RANK.EQ(Table2[[#This Row],[Current Elo]], Table2[Current Elo])</f>
        <v>35</v>
      </c>
      <c r="B36" s="55" t="s">
        <v>151</v>
      </c>
      <c r="C36" s="1" t="s">
        <v>126</v>
      </c>
      <c r="D36" s="50" t="n">
        <f>VLOOKUP(Table2[[#This Row],[Team]], Elo!$2:$1048576, MATCH("Current Elo", Elo!$1:$1, 0), FALSE)</f>
        <v>1637.4913747384601</v>
      </c>
    </row>
    <row r="37">
      <c r="A37" s="49" t="n">
        <f>_xlfn.RANK.EQ(Table2[[#This Row],[Current Elo]], Table2[Current Elo])</f>
        <v>36</v>
      </c>
      <c r="B37" s="55" t="s">
        <v>152</v>
      </c>
      <c r="C37" s="1" t="s">
        <v>109</v>
      </c>
      <c r="D37" s="50" t="n">
        <f>VLOOKUP(Table2[[#This Row],[Team]], Elo!$2:$1048576, MATCH("Current Elo", Elo!$1:$1, 0), FALSE)</f>
        <v>1636.14046511078</v>
      </c>
    </row>
    <row r="38">
      <c r="A38" s="49" t="n">
        <f>_xlfn.RANK.EQ(Table2[[#This Row],[Current Elo]], Table2[Current Elo])</f>
        <v>37</v>
      </c>
      <c r="B38" s="55" t="s">
        <v>161</v>
      </c>
      <c r="C38" s="1" t="s">
        <v>122</v>
      </c>
      <c r="D38" s="50" t="n">
        <f>VLOOKUP(Table2[[#This Row],[Team]], Elo!$2:$1048576, MATCH("Current Elo", Elo!$1:$1, 0), FALSE)</f>
        <v>1626.9395343942037</v>
      </c>
    </row>
    <row r="39">
      <c r="A39" s="49" t="n">
        <f>_xlfn.RANK.EQ(Table2[[#This Row],[Current Elo]], Table2[Current Elo])</f>
        <v>38</v>
      </c>
      <c r="B39" s="55" t="s">
        <v>153</v>
      </c>
      <c r="C39" s="1" t="s">
        <v>122</v>
      </c>
      <c r="D39" s="50" t="n">
        <f>VLOOKUP(Table2[[#This Row],[Team]], Elo!$2:$1048576, MATCH("Current Elo", Elo!$1:$1, 0), FALSE)</f>
        <v>1621.47572672711</v>
      </c>
    </row>
    <row r="40">
      <c r="A40" s="49" t="n">
        <f>_xlfn.RANK.EQ(Table2[[#This Row],[Current Elo]], Table2[Current Elo])</f>
        <v>39</v>
      </c>
      <c r="B40" s="55" t="s">
        <v>154</v>
      </c>
      <c r="C40" s="1" t="s">
        <v>138</v>
      </c>
      <c r="D40" s="50" t="n">
        <f>VLOOKUP(Table2[[#This Row],[Team]], Elo!$2:$1048576, MATCH("Current Elo", Elo!$1:$1, 0), FALSE)</f>
        <v>1621.2663058405501</v>
      </c>
    </row>
    <row r="41">
      <c r="A41" s="49" t="n">
        <f>_xlfn.RANK.EQ(Table2[[#This Row],[Current Elo]], Table2[Current Elo])</f>
        <v>40</v>
      </c>
      <c r="B41" s="55" t="s">
        <v>155</v>
      </c>
      <c r="C41" s="1" t="s">
        <v>111</v>
      </c>
      <c r="D41" s="50" t="n">
        <f>VLOOKUP(Table2[[#This Row],[Team]], Elo!$2:$1048576, MATCH("Current Elo", Elo!$1:$1, 0), FALSE)</f>
        <v>1618.9234953375901</v>
      </c>
    </row>
    <row r="42">
      <c r="A42" s="49" t="n">
        <f>_xlfn.RANK.EQ(Table2[[#This Row],[Current Elo]], Table2[Current Elo])</f>
        <v>41</v>
      </c>
      <c r="B42" s="55" t="s">
        <v>156</v>
      </c>
      <c r="C42" s="1" t="s">
        <v>111</v>
      </c>
      <c r="D42" s="50" t="n">
        <f>VLOOKUP(Table2[[#This Row],[Team]], Elo!$2:$1048576, MATCH("Current Elo", Elo!$1:$1, 0), FALSE)</f>
        <v>1617.1595515613601</v>
      </c>
    </row>
    <row r="43">
      <c r="A43" s="49" t="n">
        <f>_xlfn.RANK.EQ(Table2[[#This Row],[Current Elo]], Table2[Current Elo])</f>
        <v>42</v>
      </c>
      <c r="B43" s="55" t="s">
        <v>157</v>
      </c>
      <c r="C43" s="1" t="s">
        <v>122</v>
      </c>
      <c r="D43" s="50" t="n">
        <f>VLOOKUP(Table2[[#This Row],[Team]], Elo!$2:$1048576, MATCH("Current Elo", Elo!$1:$1, 0), FALSE)</f>
        <v>1609.5800322447801</v>
      </c>
    </row>
    <row r="44">
      <c r="A44" s="49" t="n">
        <f>_xlfn.RANK.EQ(Table2[[#This Row],[Current Elo]], Table2[Current Elo])</f>
        <v>43</v>
      </c>
      <c r="B44" s="55" t="s">
        <v>158</v>
      </c>
      <c r="C44" s="1" t="s">
        <v>126</v>
      </c>
      <c r="D44" s="50" t="n">
        <f>VLOOKUP(Table2[[#This Row],[Team]], Elo!$2:$1048576, MATCH("Current Elo", Elo!$1:$1, 0), FALSE)</f>
        <v>1609.2667379074601</v>
      </c>
    </row>
    <row r="45">
      <c r="A45" s="49" t="n">
        <f>_xlfn.RANK.EQ(Table2[[#This Row],[Current Elo]], Table2[Current Elo])</f>
        <v>44</v>
      </c>
      <c r="B45" s="55" t="s">
        <v>159</v>
      </c>
      <c r="C45" s="1" t="s">
        <v>109</v>
      </c>
      <c r="D45" s="50" t="n">
        <f>VLOOKUP(Table2[[#This Row],[Team]], Elo!$2:$1048576, MATCH("Current Elo", Elo!$1:$1, 0), FALSE)</f>
        <v>1606.7229081037401</v>
      </c>
    </row>
    <row r="46">
      <c r="A46" s="49" t="n">
        <f>_xlfn.RANK.EQ(Table2[[#This Row],[Current Elo]], Table2[Current Elo])</f>
        <v>45</v>
      </c>
      <c r="B46" s="55" t="s">
        <v>160</v>
      </c>
      <c r="C46" s="1" t="s">
        <v>138</v>
      </c>
      <c r="D46" s="50" t="n">
        <f>VLOOKUP(Table2[[#This Row],[Team]], Elo!$2:$1048576, MATCH("Current Elo", Elo!$1:$1, 0), FALSE)</f>
        <v>1606.67468205416</v>
      </c>
    </row>
    <row r="47">
      <c r="A47" s="49" t="n">
        <f>_xlfn.RANK.EQ(Table2[[#This Row],[Current Elo]], Table2[Current Elo])</f>
        <v>46</v>
      </c>
      <c r="B47" s="55" t="s">
        <v>162</v>
      </c>
      <c r="C47" s="1" t="s">
        <v>122</v>
      </c>
      <c r="D47" s="50" t="n">
        <f>VLOOKUP(Table2[[#This Row],[Team]], Elo!$2:$1048576, MATCH("Current Elo", Elo!$1:$1, 0), FALSE)</f>
        <v>1595.2684664870901</v>
      </c>
    </row>
    <row r="48">
      <c r="A48" s="49" t="n">
        <f>_xlfn.RANK.EQ(Table2[[#This Row],[Current Elo]], Table2[Current Elo])</f>
        <v>47</v>
      </c>
      <c r="B48" s="55" t="s">
        <v>163</v>
      </c>
      <c r="C48" s="1" t="s">
        <v>122</v>
      </c>
      <c r="D48" s="50" t="n">
        <f>VLOOKUP(Table2[[#This Row],[Team]], Elo!$2:$1048576, MATCH("Current Elo", Elo!$1:$1, 0), FALSE)</f>
        <v>1594.64320359563</v>
      </c>
    </row>
    <row r="49">
      <c r="A49" s="49" t="n">
        <f>_xlfn.RANK.EQ(Table2[[#This Row],[Current Elo]], Table2[Current Elo])</f>
        <v>48</v>
      </c>
      <c r="B49" s="55" t="s">
        <v>164</v>
      </c>
      <c r="C49" s="1" t="s">
        <v>126</v>
      </c>
      <c r="D49" s="50" t="n">
        <f>VLOOKUP(Table2[[#This Row],[Team]], Elo!$2:$1048576, MATCH("Current Elo", Elo!$1:$1, 0), FALSE)</f>
        <v>1591.81085197679</v>
      </c>
    </row>
    <row r="50">
      <c r="A50" s="49" t="n">
        <f>_xlfn.RANK.EQ(Table2[[#This Row],[Current Elo]], Table2[Current Elo])</f>
        <v>49</v>
      </c>
      <c r="B50" s="55" t="s">
        <v>165</v>
      </c>
      <c r="C50" s="1" t="s">
        <v>149</v>
      </c>
      <c r="D50" s="50" t="n">
        <f>VLOOKUP(Table2[[#This Row],[Team]], Elo!$2:$1048576, MATCH("Current Elo", Elo!$1:$1, 0), FALSE)</f>
        <v>1590.4549955011701</v>
      </c>
    </row>
    <row r="51">
      <c r="A51" s="49" t="n">
        <f>_xlfn.RANK.EQ(Table2[[#This Row],[Current Elo]], Table2[Current Elo])</f>
        <v>50</v>
      </c>
      <c r="B51" s="55" t="s">
        <v>166</v>
      </c>
      <c r="C51" s="1" t="s">
        <v>117</v>
      </c>
      <c r="D51" s="50" t="n">
        <f>VLOOKUP(Table2[[#This Row],[Team]], Elo!$2:$1048576, MATCH("Current Elo", Elo!$1:$1, 0), FALSE)</f>
        <v>1589.69435626634</v>
      </c>
    </row>
    <row r="52">
      <c r="A52" s="49" t="n">
        <f>_xlfn.RANK.EQ(Table2[[#This Row],[Current Elo]], Table2[Current Elo])</f>
        <v>51</v>
      </c>
      <c r="B52" s="55" t="s">
        <v>167</v>
      </c>
      <c r="C52" s="1" t="s">
        <v>138</v>
      </c>
      <c r="D52" s="50" t="n">
        <f>VLOOKUP(Table2[[#This Row],[Team]], Elo!$2:$1048576, MATCH("Current Elo", Elo!$1:$1, 0), FALSE)</f>
        <v>1574.01800604036</v>
      </c>
    </row>
    <row r="53">
      <c r="A53" s="49" t="n">
        <f>_xlfn.RANK.EQ(Table2[[#This Row],[Current Elo]], Table2[Current Elo])</f>
        <v>52</v>
      </c>
      <c r="B53" s="55" t="s">
        <v>168</v>
      </c>
      <c r="C53" s="1" t="s">
        <v>109</v>
      </c>
      <c r="D53" s="50" t="n">
        <f>VLOOKUP(Table2[[#This Row],[Team]], Elo!$2:$1048576, MATCH("Current Elo", Elo!$1:$1, 0), FALSE)</f>
        <v>1551.56570204067</v>
      </c>
    </row>
    <row r="54">
      <c r="A54" s="49" t="n">
        <f>_xlfn.RANK.EQ(Table2[[#This Row],[Current Elo]], Table2[Current Elo])</f>
        <v>53</v>
      </c>
      <c r="B54" s="55" t="s">
        <v>169</v>
      </c>
      <c r="C54" s="1" t="s">
        <v>170</v>
      </c>
      <c r="D54" s="50" t="n">
        <f>VLOOKUP(Table2[[#This Row],[Team]], Elo!$2:$1048576, MATCH("Current Elo", Elo!$1:$1, 0), FALSE)</f>
        <v>1550.0998910427199</v>
      </c>
    </row>
    <row r="55">
      <c r="A55" s="49" t="n">
        <f>_xlfn.RANK.EQ(Table2[[#This Row],[Current Elo]], Table2[Current Elo])</f>
        <v>54</v>
      </c>
      <c r="B55" s="55" t="s">
        <v>171</v>
      </c>
      <c r="C55" s="1" t="s">
        <v>135</v>
      </c>
      <c r="D55" s="50" t="n">
        <f>VLOOKUP(Table2[[#This Row],[Team]], Elo!$2:$1048576, MATCH("Current Elo", Elo!$1:$1, 0), FALSE)</f>
        <v>1545.58176013767</v>
      </c>
    </row>
    <row r="56">
      <c r="A56" s="49" t="n">
        <f>_xlfn.RANK.EQ(Table2[[#This Row],[Current Elo]], Table2[Current Elo])</f>
        <v>55</v>
      </c>
      <c r="B56" s="55" t="s">
        <v>172</v>
      </c>
      <c r="C56" s="1" t="s">
        <v>135</v>
      </c>
      <c r="D56" s="50" t="n">
        <f>VLOOKUP(Table2[[#This Row],[Team]], Elo!$2:$1048576, MATCH("Current Elo", Elo!$1:$1, 0), FALSE)</f>
        <v>1532.4393644862901</v>
      </c>
    </row>
    <row r="57">
      <c r="A57" s="49" t="n">
        <f>_xlfn.RANK.EQ(Table2[[#This Row],[Current Elo]], Table2[Current Elo])</f>
        <v>56</v>
      </c>
      <c r="B57" s="55" t="s">
        <v>173</v>
      </c>
      <c r="C57" s="1" t="s">
        <v>135</v>
      </c>
      <c r="D57" s="50" t="n">
        <f>VLOOKUP(Table2[[#This Row],[Team]], Elo!$2:$1048576, MATCH("Current Elo", Elo!$1:$1, 0), FALSE)</f>
        <v>1531.9769986049</v>
      </c>
    </row>
    <row r="58">
      <c r="A58" s="49" t="n">
        <f>_xlfn.RANK.EQ(Table2[[#This Row],[Current Elo]], Table2[Current Elo])</f>
        <v>57</v>
      </c>
      <c r="B58" s="55" t="s">
        <v>174</v>
      </c>
      <c r="C58" s="1" t="s">
        <v>111</v>
      </c>
      <c r="D58" s="50" t="n">
        <f>VLOOKUP(Table2[[#This Row],[Team]], Elo!$2:$1048576, MATCH("Current Elo", Elo!$1:$1, 0), FALSE)</f>
        <v>1526.8517655099199</v>
      </c>
    </row>
    <row r="59">
      <c r="A59" s="49" t="n">
        <f>_xlfn.RANK.EQ(Table2[[#This Row],[Current Elo]], Table2[Current Elo])</f>
        <v>58</v>
      </c>
      <c r="B59" s="55" t="s">
        <v>175</v>
      </c>
      <c r="C59" s="1" t="s">
        <v>122</v>
      </c>
      <c r="D59" s="50" t="n">
        <f>VLOOKUP(Table2[[#This Row],[Team]], Elo!$2:$1048576, MATCH("Current Elo", Elo!$1:$1, 0), FALSE)</f>
        <v>1524.46898827274</v>
      </c>
    </row>
    <row r="60">
      <c r="A60" s="49" t="n">
        <f>_xlfn.RANK.EQ(Table2[[#This Row],[Current Elo]], Table2[Current Elo])</f>
        <v>59</v>
      </c>
      <c r="B60" s="55" t="s">
        <v>176</v>
      </c>
      <c r="C60" s="1" t="s">
        <v>117</v>
      </c>
      <c r="D60" s="50" t="n">
        <f>VLOOKUP(Table2[[#This Row],[Team]], Elo!$2:$1048576, MATCH("Current Elo", Elo!$1:$1, 0), FALSE)</f>
        <v>1520.9785482769501</v>
      </c>
    </row>
    <row r="61">
      <c r="A61" s="49" t="n">
        <f>_xlfn.RANK.EQ(Table2[[#This Row],[Current Elo]], Table2[Current Elo])</f>
        <v>60</v>
      </c>
      <c r="B61" s="55" t="s">
        <v>177</v>
      </c>
      <c r="C61" s="1" t="s">
        <v>111</v>
      </c>
      <c r="D61" s="50" t="n">
        <f>VLOOKUP(Table2[[#This Row],[Team]], Elo!$2:$1048576, MATCH("Current Elo", Elo!$1:$1, 0), FALSE)</f>
        <v>1520.7578063209401</v>
      </c>
    </row>
    <row r="62">
      <c r="A62" s="49" t="n">
        <f>_xlfn.RANK.EQ(Table2[[#This Row],[Current Elo]], Table2[Current Elo])</f>
        <v>61</v>
      </c>
      <c r="B62" s="55" t="s">
        <v>178</v>
      </c>
      <c r="C62" s="1" t="s">
        <v>111</v>
      </c>
      <c r="D62" s="50" t="n">
        <f>VLOOKUP(Table2[[#This Row],[Team]], Elo!$2:$1048576, MATCH("Current Elo", Elo!$1:$1, 0), FALSE)</f>
        <v>1517.64489422632</v>
      </c>
    </row>
    <row r="63">
      <c r="A63" s="49" t="n">
        <f>_xlfn.RANK.EQ(Table2[[#This Row],[Current Elo]], Table2[Current Elo])</f>
        <v>62</v>
      </c>
      <c r="B63" s="55" t="s">
        <v>179</v>
      </c>
      <c r="C63" s="1" t="s">
        <v>149</v>
      </c>
      <c r="D63" s="50" t="n">
        <f>VLOOKUP(Table2[[#This Row],[Team]], Elo!$2:$1048576, MATCH("Current Elo", Elo!$1:$1, 0), FALSE)</f>
        <v>1510.3767419297701</v>
      </c>
    </row>
    <row r="64">
      <c r="A64" s="49" t="n">
        <f>_xlfn.RANK.EQ(Table2[[#This Row],[Current Elo]], Table2[Current Elo])</f>
        <v>63</v>
      </c>
      <c r="B64" s="55" t="s">
        <v>180</v>
      </c>
      <c r="C64" s="1" t="s">
        <v>111</v>
      </c>
      <c r="D64" s="50" t="n">
        <f>VLOOKUP(Table2[[#This Row],[Team]], Elo!$2:$1048576, MATCH("Current Elo", Elo!$1:$1, 0), FALSE)</f>
        <v>1509.9526714001299</v>
      </c>
    </row>
    <row r="65">
      <c r="A65" s="49" t="n">
        <f>_xlfn.RANK.EQ(Table2[[#This Row],[Current Elo]], Table2[Current Elo])</f>
        <v>64</v>
      </c>
      <c r="B65" s="55" t="s">
        <v>181</v>
      </c>
      <c r="C65" s="1" t="s">
        <v>170</v>
      </c>
      <c r="D65" s="50" t="n">
        <f>VLOOKUP(Table2[[#This Row],[Team]], Elo!$2:$1048576, MATCH("Current Elo", Elo!$1:$1, 0), FALSE)</f>
        <v>1500.8354405469399</v>
      </c>
    </row>
    <row r="66">
      <c r="A66" s="49" t="n">
        <f>_xlfn.RANK.EQ(Table2[[#This Row],[Current Elo]], Table2[Current Elo])</f>
        <v>65</v>
      </c>
      <c r="B66" s="55" t="s">
        <v>182</v>
      </c>
      <c r="C66" s="1" t="s">
        <v>109</v>
      </c>
      <c r="D66" s="50" t="n">
        <f>VLOOKUP(Table2[[#This Row],[Team]], Elo!$2:$1048576, MATCH("Current Elo", Elo!$1:$1, 0), FALSE)</f>
        <v>1493.4569831670101</v>
      </c>
    </row>
    <row r="67">
      <c r="A67" s="49" t="n">
        <f>_xlfn.RANK.EQ(Table2[[#This Row],[Current Elo]], Table2[Current Elo])</f>
        <v>66</v>
      </c>
      <c r="B67" s="55" t="s">
        <v>183</v>
      </c>
      <c r="C67" s="1" t="s">
        <v>111</v>
      </c>
      <c r="D67" s="50" t="n">
        <f>VLOOKUP(Table2[[#This Row],[Team]], Elo!$2:$1048576, MATCH("Current Elo", Elo!$1:$1, 0), FALSE)</f>
        <v>1488.6451876605499</v>
      </c>
    </row>
    <row r="68">
      <c r="A68" s="49" t="n">
        <f>_xlfn.RANK.EQ(Table2[[#This Row],[Current Elo]], Table2[Current Elo])</f>
        <v>67</v>
      </c>
      <c r="B68" s="55" t="s">
        <v>184</v>
      </c>
      <c r="C68" s="1" t="s">
        <v>149</v>
      </c>
      <c r="D68" s="50" t="n">
        <f>VLOOKUP(Table2[[#This Row],[Team]], Elo!$2:$1048576, MATCH("Current Elo", Elo!$1:$1, 0), FALSE)</f>
        <v>1481.5922066164901</v>
      </c>
    </row>
    <row r="69">
      <c r="A69" s="49" t="n">
        <f>_xlfn.RANK.EQ(Table2[[#This Row],[Current Elo]], Table2[Current Elo])</f>
        <v>68</v>
      </c>
      <c r="B69" s="55" t="s">
        <v>185</v>
      </c>
      <c r="C69" s="1" t="s">
        <v>111</v>
      </c>
      <c r="D69" s="50" t="n">
        <f>VLOOKUP(Table2[[#This Row],[Team]], Elo!$2:$1048576, MATCH("Current Elo", Elo!$1:$1, 0), FALSE)</f>
        <v>1479.5427378219799</v>
      </c>
    </row>
    <row r="70">
      <c r="A70" s="49" t="n">
        <f>_xlfn.RANK.EQ(Table2[[#This Row],[Current Elo]], Table2[Current Elo])</f>
        <v>69</v>
      </c>
      <c r="B70" s="55" t="s">
        <v>186</v>
      </c>
      <c r="C70" s="1" t="s">
        <v>126</v>
      </c>
      <c r="D70" s="50" t="n">
        <f>VLOOKUP(Table2[[#This Row],[Team]], Elo!$2:$1048576, MATCH("Current Elo", Elo!$1:$1, 0), FALSE)</f>
        <v>1477.59868695249</v>
      </c>
    </row>
    <row r="71">
      <c r="A71" s="49" t="n">
        <f>_xlfn.RANK.EQ(Table2[[#This Row],[Current Elo]], Table2[Current Elo])</f>
        <v>70</v>
      </c>
      <c r="B71" s="55" t="s">
        <v>187</v>
      </c>
      <c r="C71" s="1" t="s">
        <v>111</v>
      </c>
      <c r="D71" s="50" t="n">
        <f>VLOOKUP(Table2[[#This Row],[Team]], Elo!$2:$1048576, MATCH("Current Elo", Elo!$1:$1, 0), FALSE)</f>
        <v>1476.30840768964</v>
      </c>
    </row>
    <row r="72">
      <c r="A72" s="49" t="n">
        <f>_xlfn.RANK.EQ(Table2[[#This Row],[Current Elo]], Table2[Current Elo])</f>
        <v>71</v>
      </c>
      <c r="B72" s="55" t="s">
        <v>188</v>
      </c>
      <c r="C72" s="1" t="s">
        <v>122</v>
      </c>
      <c r="D72" s="50" t="n">
        <f>VLOOKUP(Table2[[#This Row],[Team]], Elo!$2:$1048576, MATCH("Current Elo", Elo!$1:$1, 0), FALSE)</f>
        <v>1475.41673758554</v>
      </c>
    </row>
    <row r="73">
      <c r="A73" s="49" t="n">
        <f>_xlfn.RANK.EQ(Table2[[#This Row],[Current Elo]], Table2[Current Elo])</f>
        <v>72</v>
      </c>
      <c r="B73" s="55" t="s">
        <v>189</v>
      </c>
      <c r="C73" s="1" t="s">
        <v>138</v>
      </c>
      <c r="D73" s="50" t="n">
        <f>VLOOKUP(Table2[[#This Row],[Team]], Elo!$2:$1048576, MATCH("Current Elo", Elo!$1:$1, 0), FALSE)</f>
        <v>1466.71497130843</v>
      </c>
    </row>
    <row r="74">
      <c r="A74" s="49" t="n">
        <f>_xlfn.RANK.EQ(Table2[[#This Row],[Current Elo]], Table2[Current Elo])</f>
        <v>73</v>
      </c>
      <c r="B74" s="55" t="s">
        <v>190</v>
      </c>
      <c r="C74" s="1" t="s">
        <v>141</v>
      </c>
      <c r="D74" s="50" t="n">
        <f>VLOOKUP(Table2[[#This Row],[Team]], Elo!$2:$1048576, MATCH("Current Elo", Elo!$1:$1, 0), FALSE)</f>
        <v>1464.95230950623</v>
      </c>
    </row>
    <row r="75">
      <c r="A75" s="49" t="n">
        <f>_xlfn.RANK.EQ(Table2[[#This Row],[Current Elo]], Table2[Current Elo])</f>
        <v>74</v>
      </c>
      <c r="B75" s="55" t="s">
        <v>191</v>
      </c>
      <c r="C75" s="1" t="s">
        <v>138</v>
      </c>
      <c r="D75" s="50" t="n">
        <f>VLOOKUP(Table2[[#This Row],[Team]], Elo!$2:$1048576, MATCH("Current Elo", Elo!$1:$1, 0), FALSE)</f>
        <v>1462.67018557917</v>
      </c>
    </row>
    <row r="76">
      <c r="A76" s="49" t="n">
        <f>_xlfn.RANK.EQ(Table2[[#This Row],[Current Elo]], Table2[Current Elo])</f>
        <v>75</v>
      </c>
      <c r="B76" s="55" t="s">
        <v>192</v>
      </c>
      <c r="C76" s="1" t="s">
        <v>122</v>
      </c>
      <c r="D76" s="50" t="n">
        <f>VLOOKUP(Table2[[#This Row],[Team]], Elo!$2:$1048576, MATCH("Current Elo", Elo!$1:$1, 0), FALSE)</f>
        <v>1457.2675721461101</v>
      </c>
    </row>
    <row r="77">
      <c r="A77" s="49" t="n">
        <f>_xlfn.RANK.EQ(Table2[[#This Row],[Current Elo]], Table2[Current Elo])</f>
        <v>76</v>
      </c>
      <c r="B77" s="55" t="s">
        <v>193</v>
      </c>
      <c r="C77" s="1" t="s">
        <v>149</v>
      </c>
      <c r="D77" s="50" t="n">
        <f>VLOOKUP(Table2[[#This Row],[Team]], Elo!$2:$1048576, MATCH("Current Elo", Elo!$1:$1, 0), FALSE)</f>
        <v>1450.0603068717701</v>
      </c>
    </row>
    <row r="78">
      <c r="A78" s="49" t="n">
        <f>_xlfn.RANK.EQ(Table2[[#This Row],[Current Elo]], Table2[Current Elo])</f>
        <v>77</v>
      </c>
      <c r="B78" s="55" t="s">
        <v>194</v>
      </c>
      <c r="C78" s="1" t="s">
        <v>170</v>
      </c>
      <c r="D78" s="50" t="n">
        <f>VLOOKUP(Table2[[#This Row],[Team]], Elo!$2:$1048576, MATCH("Current Elo", Elo!$1:$1, 0), FALSE)</f>
        <v>1445.15054912657</v>
      </c>
    </row>
    <row r="79">
      <c r="A79" s="49" t="n">
        <f>_xlfn.RANK.EQ(Table2[[#This Row],[Current Elo]], Table2[Current Elo])</f>
        <v>78</v>
      </c>
      <c r="B79" s="55" t="s">
        <v>195</v>
      </c>
      <c r="C79" s="1" t="s">
        <v>141</v>
      </c>
      <c r="D79" s="50" t="n">
        <f>VLOOKUP(Table2[[#This Row],[Team]], Elo!$2:$1048576, MATCH("Current Elo", Elo!$1:$1, 0), FALSE)</f>
        <v>1443.12595833975</v>
      </c>
    </row>
    <row r="80">
      <c r="A80" s="49" t="n">
        <f>_xlfn.RANK.EQ(Table2[[#This Row],[Current Elo]], Table2[Current Elo])</f>
        <v>79</v>
      </c>
      <c r="B80" s="55" t="s">
        <v>196</v>
      </c>
      <c r="C80" s="1" t="s">
        <v>170</v>
      </c>
      <c r="D80" s="50" t="n">
        <f>VLOOKUP(Table2[[#This Row],[Team]], Elo!$2:$1048576, MATCH("Current Elo", Elo!$1:$1, 0), FALSE)</f>
        <v>1436.3052224491501</v>
      </c>
    </row>
    <row r="81">
      <c r="A81" s="49" t="n">
        <f>_xlfn.RANK.EQ(Table2[[#This Row],[Current Elo]], Table2[Current Elo])</f>
        <v>80</v>
      </c>
      <c r="B81" s="55" t="s">
        <v>197</v>
      </c>
      <c r="C81" s="1" t="s">
        <v>126</v>
      </c>
      <c r="D81" s="50" t="n">
        <f>VLOOKUP(Table2[[#This Row],[Team]], Elo!$2:$1048576, MATCH("Current Elo", Elo!$1:$1, 0), FALSE)</f>
        <v>1432.8476367916801</v>
      </c>
    </row>
    <row r="82">
      <c r="A82" s="49" t="n">
        <f>_xlfn.RANK.EQ(Table2[[#This Row],[Current Elo]], Table2[Current Elo])</f>
        <v>81</v>
      </c>
      <c r="B82" s="55" t="s">
        <v>198</v>
      </c>
      <c r="C82" s="1" t="s">
        <v>138</v>
      </c>
      <c r="D82" s="50" t="n">
        <f>VLOOKUP(Table2[[#This Row],[Team]], Elo!$2:$1048576, MATCH("Current Elo", Elo!$1:$1, 0), FALSE)</f>
        <v>1430.65821840994</v>
      </c>
    </row>
    <row r="83">
      <c r="A83" s="49" t="n">
        <f>_xlfn.RANK.EQ(Table2[[#This Row],[Current Elo]], Table2[Current Elo])</f>
        <v>82</v>
      </c>
      <c r="B83" s="55" t="s">
        <v>199</v>
      </c>
      <c r="C83" s="1" t="s">
        <v>149</v>
      </c>
      <c r="D83" s="50" t="n">
        <f>VLOOKUP(Table2[[#This Row],[Team]], Elo!$2:$1048576, MATCH("Current Elo", Elo!$1:$1, 0), FALSE)</f>
        <v>1430.49718048412</v>
      </c>
    </row>
    <row r="84">
      <c r="A84" s="49" t="n">
        <f>_xlfn.RANK.EQ(Table2[[#This Row],[Current Elo]], Table2[Current Elo])</f>
        <v>83</v>
      </c>
      <c r="B84" s="55" t="s">
        <v>200</v>
      </c>
      <c r="C84" s="1" t="s">
        <v>170</v>
      </c>
      <c r="D84" s="50" t="n">
        <f>VLOOKUP(Table2[[#This Row],[Team]], Elo!$2:$1048576, MATCH("Current Elo", Elo!$1:$1, 0), FALSE)</f>
        <v>1428.0662163114901</v>
      </c>
    </row>
    <row r="85">
      <c r="A85" s="49" t="n">
        <f>_xlfn.RANK.EQ(Table2[[#This Row],[Current Elo]], Table2[Current Elo])</f>
        <v>84</v>
      </c>
      <c r="B85" s="55" t="s">
        <v>201</v>
      </c>
      <c r="C85" s="1" t="s">
        <v>109</v>
      </c>
      <c r="D85" s="50" t="n">
        <f>VLOOKUP(Table2[[#This Row],[Team]], Elo!$2:$1048576, MATCH("Current Elo", Elo!$1:$1, 0), FALSE)</f>
        <v>1425.80351524306</v>
      </c>
    </row>
    <row r="86">
      <c r="A86" s="49" t="n">
        <f>_xlfn.RANK.EQ(Table2[[#This Row],[Current Elo]], Table2[Current Elo])</f>
        <v>85</v>
      </c>
      <c r="B86" s="55" t="s">
        <v>202</v>
      </c>
      <c r="C86" s="1" t="s">
        <v>126</v>
      </c>
      <c r="D86" s="50" t="n">
        <f>VLOOKUP(Table2[[#This Row],[Team]], Elo!$2:$1048576, MATCH("Current Elo", Elo!$1:$1, 0), FALSE)</f>
        <v>1412.3371658834501</v>
      </c>
    </row>
    <row r="87">
      <c r="A87" s="49" t="n">
        <f>_xlfn.RANK.EQ(Table2[[#This Row],[Current Elo]], Table2[Current Elo])</f>
        <v>86</v>
      </c>
      <c r="B87" s="55" t="s">
        <v>203</v>
      </c>
      <c r="C87" s="1" t="s">
        <v>135</v>
      </c>
      <c r="D87" s="50" t="n">
        <f>VLOOKUP(Table2[[#This Row],[Team]], Elo!$2:$1048576, MATCH("Current Elo", Elo!$1:$1, 0), FALSE)</f>
        <v>1411.46216213052</v>
      </c>
    </row>
    <row r="88">
      <c r="A88" s="49" t="n">
        <f>_xlfn.RANK.EQ(Table2[[#This Row],[Current Elo]], Table2[Current Elo])</f>
        <v>87</v>
      </c>
      <c r="B88" s="55" t="s">
        <v>204</v>
      </c>
      <c r="C88" s="1" t="s">
        <v>138</v>
      </c>
      <c r="D88" s="50" t="n">
        <f>VLOOKUP(Table2[[#This Row],[Team]], Elo!$2:$1048576, MATCH("Current Elo", Elo!$1:$1, 0), FALSE)</f>
        <v>1411.2568692781999</v>
      </c>
    </row>
    <row r="89">
      <c r="A89" s="49" t="n">
        <f>_xlfn.RANK.EQ(Table2[[#This Row],[Current Elo]], Table2[Current Elo])</f>
        <v>88</v>
      </c>
      <c r="B89" s="55" t="s">
        <v>205</v>
      </c>
      <c r="C89" s="1" t="s">
        <v>126</v>
      </c>
      <c r="D89" s="50" t="n">
        <f>VLOOKUP(Table2[[#This Row],[Team]], Elo!$2:$1048576, MATCH("Current Elo", Elo!$1:$1, 0), FALSE)</f>
        <v>1411.1644731500101</v>
      </c>
    </row>
    <row r="90">
      <c r="A90" s="49" t="n">
        <f>_xlfn.RANK.EQ(Table2[[#This Row],[Current Elo]], Table2[Current Elo])</f>
        <v>89</v>
      </c>
      <c r="B90" s="55" t="s">
        <v>206</v>
      </c>
      <c r="C90" s="1" t="s">
        <v>122</v>
      </c>
      <c r="D90" s="50" t="n">
        <f>VLOOKUP(Table2[[#This Row],[Team]], Elo!$2:$1048576, MATCH("Current Elo", Elo!$1:$1, 0), FALSE)</f>
        <v>1408.9937454746801</v>
      </c>
    </row>
    <row r="91">
      <c r="A91" s="49" t="n">
        <f>_xlfn.RANK.EQ(Table2[[#This Row],[Current Elo]], Table2[Current Elo])</f>
        <v>90</v>
      </c>
      <c r="B91" s="55" t="s">
        <v>207</v>
      </c>
      <c r="C91" s="1" t="s">
        <v>149</v>
      </c>
      <c r="D91" s="50" t="n">
        <f>VLOOKUP(Table2[[#This Row],[Team]], Elo!$2:$1048576, MATCH("Current Elo", Elo!$1:$1, 0), FALSE)</f>
        <v>1402.82738438965</v>
      </c>
    </row>
    <row r="92">
      <c r="A92" s="49" t="n">
        <f>_xlfn.RANK.EQ(Table2[[#This Row],[Current Elo]], Table2[Current Elo])</f>
        <v>91</v>
      </c>
      <c r="B92" s="55" t="s">
        <v>208</v>
      </c>
      <c r="C92" s="1" t="s">
        <v>126</v>
      </c>
      <c r="D92" s="50" t="n">
        <f>VLOOKUP(Table2[[#This Row],[Team]], Elo!$2:$1048576, MATCH("Current Elo", Elo!$1:$1, 0), FALSE)</f>
        <v>1402.5080547847799</v>
      </c>
    </row>
    <row r="93">
      <c r="A93" s="49" t="n">
        <f>_xlfn.RANK.EQ(Table2[[#This Row],[Current Elo]], Table2[Current Elo])</f>
        <v>92</v>
      </c>
      <c r="B93" s="55" t="s">
        <v>209</v>
      </c>
      <c r="C93" s="1" t="s">
        <v>138</v>
      </c>
      <c r="D93" s="50" t="n">
        <f>VLOOKUP(Table2[[#This Row],[Team]], Elo!$2:$1048576, MATCH("Current Elo", Elo!$1:$1, 0), FALSE)</f>
        <v>1390.78250201623</v>
      </c>
    </row>
    <row r="94">
      <c r="A94" s="49" t="n">
        <f>_xlfn.RANK.EQ(Table2[[#This Row],[Current Elo]], Table2[Current Elo])</f>
        <v>93</v>
      </c>
      <c r="B94" s="55" t="s">
        <v>210</v>
      </c>
      <c r="C94" s="1" t="s">
        <v>111</v>
      </c>
      <c r="D94" s="50" t="n">
        <f>VLOOKUP(Table2[[#This Row],[Team]], Elo!$2:$1048576, MATCH("Current Elo", Elo!$1:$1, 0), FALSE)</f>
        <v>1389.0361708652699</v>
      </c>
    </row>
    <row r="95">
      <c r="A95" s="49" t="n">
        <f>_xlfn.RANK.EQ(Table2[[#This Row],[Current Elo]], Table2[Current Elo])</f>
        <v>94</v>
      </c>
      <c r="B95" s="55" t="s">
        <v>211</v>
      </c>
      <c r="C95" s="1" t="s">
        <v>141</v>
      </c>
      <c r="D95" s="50" t="n">
        <f>VLOOKUP(Table2[[#This Row],[Team]], Elo!$2:$1048576, MATCH("Current Elo", Elo!$1:$1, 0), FALSE)</f>
        <v>1385.28787775879</v>
      </c>
    </row>
    <row r="96">
      <c r="A96" s="49" t="n">
        <f>_xlfn.RANK.EQ(Table2[[#This Row],[Current Elo]], Table2[Current Elo])</f>
        <v>95</v>
      </c>
      <c r="B96" s="55" t="s">
        <v>212</v>
      </c>
      <c r="C96" s="1" t="s">
        <v>111</v>
      </c>
      <c r="D96" s="50" t="n">
        <f>VLOOKUP(Table2[[#This Row],[Team]], Elo!$2:$1048576, MATCH("Current Elo", Elo!$1:$1, 0), FALSE)</f>
        <v>1372.8579962194201</v>
      </c>
    </row>
    <row r="97">
      <c r="A97" s="49" t="n">
        <f>_xlfn.RANK.EQ(Table2[[#This Row],[Current Elo]], Table2[Current Elo])</f>
        <v>96</v>
      </c>
      <c r="B97" s="55" t="s">
        <v>213</v>
      </c>
      <c r="C97" s="1" t="s">
        <v>135</v>
      </c>
      <c r="D97" s="50" t="n">
        <f>VLOOKUP(Table2[[#This Row],[Team]], Elo!$2:$1048576, MATCH("Current Elo", Elo!$1:$1, 0), FALSE)</f>
        <v>1370.9087134836</v>
      </c>
    </row>
    <row r="98">
      <c r="A98" s="49" t="n">
        <f>_xlfn.RANK.EQ(Table2[[#This Row],[Current Elo]], Table2[Current Elo])</f>
        <v>97</v>
      </c>
      <c r="B98" s="55" t="s">
        <v>214</v>
      </c>
      <c r="C98" s="1" t="s">
        <v>138</v>
      </c>
      <c r="D98" s="50" t="n">
        <f>VLOOKUP(Table2[[#This Row],[Team]], Elo!$2:$1048576, MATCH("Current Elo", Elo!$1:$1, 0), FALSE)</f>
        <v>1370.13403074644</v>
      </c>
    </row>
    <row r="99">
      <c r="A99" s="49" t="n">
        <f>_xlfn.RANK.EQ(Table2[[#This Row],[Current Elo]], Table2[Current Elo])</f>
        <v>98</v>
      </c>
      <c r="B99" s="55" t="s">
        <v>215</v>
      </c>
      <c r="C99" s="1" t="s">
        <v>122</v>
      </c>
      <c r="D99" s="50" t="n">
        <f>VLOOKUP(Table2[[#This Row],[Team]], Elo!$2:$1048576, MATCH("Current Elo", Elo!$1:$1, 0), FALSE)</f>
        <v>1361.62023418331</v>
      </c>
    </row>
    <row r="100">
      <c r="A100" s="49" t="n">
        <f>_xlfn.RANK.EQ(Table2[[#This Row],[Current Elo]], Table2[Current Elo])</f>
        <v>99</v>
      </c>
      <c r="B100" s="55" t="s">
        <v>216</v>
      </c>
      <c r="C100" s="1" t="s">
        <v>138</v>
      </c>
      <c r="D100" s="50" t="n">
        <f>VLOOKUP(Table2[[#This Row],[Team]], Elo!$2:$1048576, MATCH("Current Elo", Elo!$1:$1, 0), FALSE)</f>
        <v>1360.90343762302</v>
      </c>
    </row>
    <row r="101">
      <c r="A101" s="49" t="n">
        <f>_xlfn.RANK.EQ(Table2[[#This Row],[Current Elo]], Table2[Current Elo])</f>
        <v>100</v>
      </c>
      <c r="B101" s="55" t="s">
        <v>217</v>
      </c>
      <c r="C101" s="1" t="s">
        <v>126</v>
      </c>
      <c r="D101" s="50" t="n">
        <f>VLOOKUP(Table2[[#This Row],[Team]], Elo!$2:$1048576, MATCH("Current Elo", Elo!$1:$1, 0), FALSE)</f>
        <v>1360.6232301903499</v>
      </c>
    </row>
    <row r="102">
      <c r="A102" s="49" t="n">
        <f>_xlfn.RANK.EQ(Table2[[#This Row],[Current Elo]], Table2[Current Elo])</f>
        <v>101</v>
      </c>
      <c r="B102" s="55" t="s">
        <v>218</v>
      </c>
      <c r="C102" s="1" t="s">
        <v>135</v>
      </c>
      <c r="D102" s="50" t="n">
        <f>VLOOKUP(Table2[[#This Row],[Team]], Elo!$2:$1048576, MATCH("Current Elo", Elo!$1:$1, 0), FALSE)</f>
        <v>1357.7995310553299</v>
      </c>
    </row>
    <row r="103">
      <c r="A103" s="49" t="n">
        <f>_xlfn.RANK.EQ(Table2[[#This Row],[Current Elo]], Table2[Current Elo])</f>
        <v>102</v>
      </c>
      <c r="B103" s="55" t="s">
        <v>219</v>
      </c>
      <c r="C103" s="1" t="s">
        <v>122</v>
      </c>
      <c r="D103" s="50" t="n">
        <f>VLOOKUP(Table2[[#This Row],[Team]], Elo!$2:$1048576, MATCH("Current Elo", Elo!$1:$1, 0), FALSE)</f>
        <v>1354.1941274865201</v>
      </c>
    </row>
    <row r="104">
      <c r="A104" s="49" t="n">
        <f>_xlfn.RANK.EQ(Table2[[#This Row],[Current Elo]], Table2[Current Elo])</f>
        <v>103</v>
      </c>
      <c r="B104" s="55" t="s">
        <v>220</v>
      </c>
      <c r="C104" s="1" t="s">
        <v>149</v>
      </c>
      <c r="D104" s="50" t="n">
        <f>VLOOKUP(Table2[[#This Row],[Team]], Elo!$2:$1048576, MATCH("Current Elo", Elo!$1:$1, 0), FALSE)</f>
        <v>1349.13702288787</v>
      </c>
    </row>
    <row r="105">
      <c r="A105" s="49" t="n">
        <f>_xlfn.RANK.EQ(Table2[[#This Row],[Current Elo]], Table2[Current Elo])</f>
        <v>104</v>
      </c>
      <c r="B105" s="55" t="s">
        <v>221</v>
      </c>
      <c r="C105" s="1" t="s">
        <v>122</v>
      </c>
      <c r="D105" s="50" t="n">
        <f>VLOOKUP(Table2[[#This Row],[Team]], Elo!$2:$1048576, MATCH("Current Elo", Elo!$1:$1, 0), FALSE)</f>
        <v>1348.9438646440799</v>
      </c>
    </row>
    <row r="106">
      <c r="A106" s="49" t="n">
        <f>_xlfn.RANK.EQ(Table2[[#This Row],[Current Elo]], Table2[Current Elo])</f>
        <v>105</v>
      </c>
      <c r="B106" s="55" t="s">
        <v>222</v>
      </c>
      <c r="C106" s="1" t="s">
        <v>138</v>
      </c>
      <c r="D106" s="50" t="n">
        <f>VLOOKUP(Table2[[#This Row],[Team]], Elo!$2:$1048576, MATCH("Current Elo", Elo!$1:$1, 0), FALSE)</f>
        <v>1348.9431632113999</v>
      </c>
    </row>
    <row r="107">
      <c r="A107" s="49" t="n">
        <f>_xlfn.RANK.EQ(Table2[[#This Row],[Current Elo]], Table2[Current Elo])</f>
        <v>106</v>
      </c>
      <c r="B107" s="55" t="s">
        <v>223</v>
      </c>
      <c r="C107" s="1" t="s">
        <v>135</v>
      </c>
      <c r="D107" s="50" t="n">
        <f>VLOOKUP(Table2[[#This Row],[Team]], Elo!$2:$1048576, MATCH("Current Elo", Elo!$1:$1, 0), FALSE)</f>
        <v>1339.2165012668099</v>
      </c>
    </row>
    <row r="108">
      <c r="A108" s="49" t="n">
        <f>_xlfn.RANK.EQ(Table2[[#This Row],[Current Elo]], Table2[Current Elo])</f>
        <v>107</v>
      </c>
      <c r="B108" s="55" t="s">
        <v>224</v>
      </c>
      <c r="C108" s="1" t="s">
        <v>135</v>
      </c>
      <c r="D108" s="50" t="n">
        <f>VLOOKUP(Table2[[#This Row],[Team]], Elo!$2:$1048576, MATCH("Current Elo", Elo!$1:$1, 0), FALSE)</f>
        <v>1333.3439284415699</v>
      </c>
    </row>
    <row r="109">
      <c r="A109" s="49" t="n">
        <f>_xlfn.RANK.EQ(Table2[[#This Row],[Current Elo]], Table2[Current Elo])</f>
        <v>108</v>
      </c>
      <c r="B109" s="55" t="s">
        <v>225</v>
      </c>
      <c r="C109" s="1" t="s">
        <v>149</v>
      </c>
      <c r="D109" s="50" t="n">
        <f>VLOOKUP(Table2[[#This Row],[Team]], Elo!$2:$1048576, MATCH("Current Elo", Elo!$1:$1, 0), FALSE)</f>
        <v>1331.4892235140201</v>
      </c>
    </row>
    <row r="110">
      <c r="A110" s="49" t="n">
        <f>_xlfn.RANK.EQ(Table2[[#This Row],[Current Elo]], Table2[Current Elo])</f>
        <v>109</v>
      </c>
      <c r="B110" s="55" t="s">
        <v>228</v>
      </c>
      <c r="C110" s="1" t="s">
        <v>149</v>
      </c>
      <c r="D110" s="50" t="n">
        <f>VLOOKUP(Table2[[#This Row],[Team]], Elo!$2:$1048576, MATCH("Current Elo", Elo!$1:$1, 0), FALSE)</f>
        <v>1331.2435756063926</v>
      </c>
    </row>
    <row r="111">
      <c r="A111" s="49" t="n">
        <f>_xlfn.RANK.EQ(Table2[[#This Row],[Current Elo]], Table2[Current Elo])</f>
        <v>110</v>
      </c>
      <c r="B111" s="55" t="s">
        <v>226</v>
      </c>
      <c r="C111" s="1" t="s">
        <v>135</v>
      </c>
      <c r="D111" s="50" t="n">
        <f>VLOOKUP(Table2[[#This Row],[Team]], Elo!$2:$1048576, MATCH("Current Elo", Elo!$1:$1, 0), FALSE)</f>
        <v>1328.02060715938</v>
      </c>
    </row>
    <row r="112">
      <c r="A112" s="49" t="n">
        <f>_xlfn.RANK.EQ(Table2[[#This Row],[Current Elo]], Table2[Current Elo])</f>
        <v>111</v>
      </c>
      <c r="B112" s="55" t="s">
        <v>227</v>
      </c>
      <c r="C112" s="1" t="s">
        <v>141</v>
      </c>
      <c r="D112" s="50" t="n">
        <f>VLOOKUP(Table2[[#This Row],[Team]], Elo!$2:$1048576, MATCH("Current Elo", Elo!$1:$1, 0), FALSE)</f>
        <v>1325.7786244874501</v>
      </c>
    </row>
    <row r="113">
      <c r="A113" s="49" t="n">
        <f>_xlfn.RANK.EQ(Table2[[#This Row],[Current Elo]], Table2[Current Elo])</f>
        <v>112</v>
      </c>
      <c r="B113" s="55" t="s">
        <v>229</v>
      </c>
      <c r="C113" s="1" t="s">
        <v>170</v>
      </c>
      <c r="D113" s="50" t="n">
        <f>VLOOKUP(Table2[[#This Row],[Team]], Elo!$2:$1048576, MATCH("Current Elo", Elo!$1:$1, 0), FALSE)</f>
        <v>1315.8899863695499</v>
      </c>
    </row>
    <row r="114">
      <c r="A114" s="49" t="n">
        <f>_xlfn.RANK.EQ(Table2[[#This Row],[Current Elo]], Table2[Current Elo])</f>
        <v>113</v>
      </c>
      <c r="B114" s="55" t="s">
        <v>230</v>
      </c>
      <c r="C114" s="1" t="s">
        <v>170</v>
      </c>
      <c r="D114" s="50" t="n">
        <f>VLOOKUP(Table2[[#This Row],[Team]], Elo!$2:$1048576, MATCH("Current Elo", Elo!$1:$1, 0), FALSE)</f>
        <v>1306.12169209277</v>
      </c>
    </row>
    <row r="115">
      <c r="A115" s="49" t="n">
        <f>_xlfn.RANK.EQ(Table2[[#This Row],[Current Elo]], Table2[Current Elo])</f>
        <v>114</v>
      </c>
      <c r="B115" s="55" t="s">
        <v>231</v>
      </c>
      <c r="C115" s="1" t="s">
        <v>141</v>
      </c>
      <c r="D115" s="50" t="n">
        <f>VLOOKUP(Table2[[#This Row],[Team]], Elo!$2:$1048576, MATCH("Current Elo", Elo!$1:$1, 0), FALSE)</f>
        <v>1304.4626563869101</v>
      </c>
    </row>
    <row r="116">
      <c r="A116" s="49" t="n">
        <f>_xlfn.RANK.EQ(Table2[[#This Row],[Current Elo]], Table2[Current Elo])</f>
        <v>115</v>
      </c>
      <c r="B116" s="55" t="s">
        <v>232</v>
      </c>
      <c r="C116" s="1" t="s">
        <v>135</v>
      </c>
      <c r="D116" s="50" t="n">
        <f>VLOOKUP(Table2[[#This Row],[Team]], Elo!$2:$1048576, MATCH("Current Elo", Elo!$1:$1, 0), FALSE)</f>
        <v>1298.3555528857701</v>
      </c>
    </row>
    <row r="117">
      <c r="A117" s="49" t="n">
        <f>_xlfn.RANK.EQ(Table2[[#This Row],[Current Elo]], Table2[Current Elo])</f>
        <v>116</v>
      </c>
      <c r="B117" s="55" t="s">
        <v>233</v>
      </c>
      <c r="C117" s="1" t="s">
        <v>170</v>
      </c>
      <c r="D117" s="50" t="n">
        <f>VLOOKUP(Table2[[#This Row],[Team]], Elo!$2:$1048576, MATCH("Current Elo", Elo!$1:$1, 0), FALSE)</f>
        <v>1286.2439269249601</v>
      </c>
    </row>
    <row r="118">
      <c r="A118" s="49" t="n">
        <f>_xlfn.RANK.EQ(Table2[[#This Row],[Current Elo]], Table2[Current Elo])</f>
        <v>117</v>
      </c>
      <c r="B118" s="55" t="s">
        <v>234</v>
      </c>
      <c r="C118" s="1" t="s">
        <v>109</v>
      </c>
      <c r="D118" s="50" t="n">
        <f>VLOOKUP(Table2[[#This Row],[Team]], Elo!$2:$1048576, MATCH("Current Elo", Elo!$1:$1, 0), FALSE)</f>
        <v>1260.6792465635599</v>
      </c>
    </row>
    <row r="119">
      <c r="A119" s="49" t="n">
        <f>_xlfn.RANK.EQ(Table2[[#This Row],[Current Elo]], Table2[Current Elo])</f>
        <v>118</v>
      </c>
      <c r="B119" s="55" t="s">
        <v>236</v>
      </c>
      <c r="C119" s="1" t="s">
        <v>170</v>
      </c>
      <c r="D119" s="50" t="n">
        <f>VLOOKUP(Table2[[#This Row],[Team]], Elo!$2:$1048576, MATCH("Current Elo", Elo!$1:$1, 0), FALSE)</f>
        <v>1253.57271011082</v>
      </c>
    </row>
    <row r="120">
      <c r="A120" s="49" t="n">
        <f>_xlfn.RANK.EQ(Table2[[#This Row],[Current Elo]], Table2[Current Elo])</f>
        <v>119</v>
      </c>
      <c r="B120" s="55" t="s">
        <v>237</v>
      </c>
      <c r="C120" s="1" t="s">
        <v>135</v>
      </c>
      <c r="D120" s="50" t="n">
        <f>VLOOKUP(Table2[[#This Row],[Team]], Elo!$2:$1048576, MATCH("Current Elo", Elo!$1:$1, 0), FALSE)</f>
        <v>1249.7733184091001</v>
      </c>
    </row>
    <row r="121">
      <c r="A121" s="49" t="n">
        <f>_xlfn.RANK.EQ(Table2[[#This Row],[Current Elo]], Table2[Current Elo])</f>
        <v>120</v>
      </c>
      <c r="B121" s="55" t="s">
        <v>238</v>
      </c>
      <c r="C121" s="1" t="s">
        <v>141</v>
      </c>
      <c r="D121" s="50" t="n">
        <f>VLOOKUP(Table2[[#This Row],[Team]], Elo!$2:$1048576, MATCH("Current Elo", Elo!$1:$1, 0), FALSE)</f>
        <v>1243.95606044638</v>
      </c>
    </row>
    <row r="122">
      <c r="A122" s="49" t="n">
        <f>_xlfn.RANK.EQ(Table2[[#This Row],[Current Elo]], Table2[Current Elo])</f>
        <v>121</v>
      </c>
      <c r="B122" s="55" t="s">
        <v>239</v>
      </c>
      <c r="C122" s="1" t="s">
        <v>138</v>
      </c>
      <c r="D122" s="50" t="n">
        <f>VLOOKUP(Table2[[#This Row],[Team]], Elo!$2:$1048576, MATCH("Current Elo", Elo!$1:$1, 0), FALSE)</f>
        <v>1224.3377989669</v>
      </c>
    </row>
    <row r="123">
      <c r="A123" s="49" t="n">
        <f>_xlfn.RANK.EQ(Table2[[#This Row],[Current Elo]], Table2[Current Elo])</f>
        <v>122</v>
      </c>
      <c r="B123" s="55" t="s">
        <v>240</v>
      </c>
      <c r="C123" s="1" t="s">
        <v>170</v>
      </c>
      <c r="D123" s="50" t="n">
        <f>VLOOKUP(Table2[[#This Row],[Team]], Elo!$2:$1048576, MATCH("Current Elo", Elo!$1:$1, 0), FALSE)</f>
        <v>1199.42098005189</v>
      </c>
    </row>
    <row r="124">
      <c r="A124" s="49" t="n">
        <f>_xlfn.RANK.EQ(Table2[[#This Row],[Current Elo]], Table2[Current Elo])</f>
        <v>123</v>
      </c>
      <c r="B124" s="55" t="s">
        <v>241</v>
      </c>
      <c r="C124" s="1" t="s">
        <v>135</v>
      </c>
      <c r="D124" s="50" t="n">
        <f>VLOOKUP(Table2[[#This Row],[Team]], Elo!$2:$1048576, MATCH("Current Elo", Elo!$1:$1, 0), FALSE)</f>
        <v>1199.0900403527401</v>
      </c>
    </row>
    <row r="125">
      <c r="A125" s="49" t="n">
        <f>_xlfn.RANK.EQ(Table2[[#This Row],[Current Elo]], Table2[Current Elo])</f>
        <v>124</v>
      </c>
      <c r="B125" s="55" t="s">
        <v>242</v>
      </c>
      <c r="C125" s="1" t="s">
        <v>141</v>
      </c>
      <c r="D125" s="50" t="n">
        <f>VLOOKUP(Table2[[#This Row],[Team]], Elo!$2:$1048576, MATCH("Current Elo", Elo!$1:$1, 0), FALSE)</f>
        <v>1197.6726229993899</v>
      </c>
    </row>
    <row r="126">
      <c r="A126" s="49" t="n">
        <f>_xlfn.RANK.EQ(Table2[[#This Row],[Current Elo]], Table2[Current Elo])</f>
        <v>125</v>
      </c>
      <c r="B126" s="55" t="s">
        <v>243</v>
      </c>
      <c r="C126" s="1" t="s">
        <v>170</v>
      </c>
      <c r="D126" s="50" t="n">
        <f>VLOOKUP(Table2[[#This Row],[Team]], Elo!$2:$1048576, MATCH("Current Elo", Elo!$1:$1, 0), FALSE)</f>
        <v>1187.9013852286</v>
      </c>
    </row>
    <row r="127">
      <c r="A127" s="49" t="n">
        <f>_xlfn.RANK.EQ(Table2[[#This Row],[Current Elo]], Table2[Current Elo])</f>
        <v>126</v>
      </c>
      <c r="B127" s="55" t="s">
        <v>244</v>
      </c>
      <c r="C127" s="1" t="s">
        <v>117</v>
      </c>
      <c r="D127" s="50" t="n">
        <f>VLOOKUP(Table2[[#This Row],[Team]], Elo!$2:$1048576, MATCH("Current Elo", Elo!$1:$1, 0), FALSE)</f>
        <v>1179.0470355012101</v>
      </c>
    </row>
    <row r="128">
      <c r="A128" s="49" t="n">
        <f>_xlfn.RANK.EQ(Table2[[#This Row],[Current Elo]], Table2[Current Elo])</f>
        <v>127</v>
      </c>
      <c r="B128" s="55" t="s">
        <v>235</v>
      </c>
      <c r="C128" s="1" t="s">
        <v>149</v>
      </c>
      <c r="D128" s="50" t="n">
        <f>VLOOKUP(Table2[[#This Row],[Team]], Elo!$2:$1048576, MATCH("Current Elo", Elo!$1:$1, 0), FALSE)</f>
        <v>1173.6924025744236</v>
      </c>
    </row>
    <row r="129">
      <c r="A129" s="49" t="n">
        <f>_xlfn.RANK.EQ(Table2[[#This Row],[Current Elo]], Table2[Current Elo])</f>
        <v>128</v>
      </c>
      <c r="B129" s="55" t="s">
        <v>245</v>
      </c>
      <c r="C129" s="1" t="s">
        <v>149</v>
      </c>
      <c r="D129" s="50" t="n">
        <f>VLOOKUP(Table2[[#This Row],[Team]], Elo!$2:$1048576, MATCH("Current Elo", Elo!$1:$1, 0), FALSE)</f>
        <v>1162.1087083107443</v>
      </c>
    </row>
    <row r="130">
      <c r="A130" s="49" t="n">
        <f>_xlfn.RANK.EQ(Table2[[#This Row],[Current Elo]], Table2[Current Elo])</f>
        <v>129</v>
      </c>
      <c r="B130" s="55" t="s">
        <v>246</v>
      </c>
      <c r="C130" s="1" t="s">
        <v>141</v>
      </c>
      <c r="D130" s="50" t="n">
        <f>VLOOKUP(Table2[[#This Row],[Team]], Elo!$2:$1048576, MATCH("Current Elo", Elo!$1:$1, 0), FALSE)</f>
        <v>1154.1577130845101</v>
      </c>
    </row>
    <row r="131">
      <c r="A131" s="49" t="n">
        <f>_xlfn.RANK.EQ(Table2[[#This Row],[Current Elo]], Table2[Current Elo])</f>
        <v>130</v>
      </c>
      <c r="B131" s="55" t="s">
        <v>247</v>
      </c>
      <c r="C131" s="1" t="s">
        <v>135</v>
      </c>
      <c r="D131" s="50" t="n">
        <f>VLOOKUP(Table2[[#This Row],[Team]], Elo!$2:$1048576, MATCH("Current Elo", Elo!$1:$1, 0), FALSE)</f>
        <v>1129.0343772571</v>
      </c>
    </row>
    <row r="132">
      <c r="A132" s="49" t="n">
        <f>_xlfn.RANK.EQ(Table2[[#This Row],[Current Elo]], Table2[Current Elo])</f>
        <v>131</v>
      </c>
      <c r="B132" s="55" t="s">
        <v>248</v>
      </c>
      <c r="C132" s="1" t="s">
        <v>170</v>
      </c>
      <c r="D132" s="50" t="n">
        <f>VLOOKUP(Table2[[#This Row],[Team]], Elo!$2:$1048576, MATCH("Current Elo", Elo!$1:$1, 0), FALSE)</f>
        <v>1112.78472566856</v>
      </c>
    </row>
    <row r="133">
      <c r="A133" s="49" t="n">
        <f>_xlfn.RANK.EQ(Table2[[#This Row],[Current Elo]], Table2[Current Elo])</f>
        <v>132</v>
      </c>
      <c r="B133" s="55" t="s">
        <v>249</v>
      </c>
      <c r="C133" s="1" t="s">
        <v>117</v>
      </c>
      <c r="D133" s="50" t="n">
        <f>VLOOKUP(Table2[[#This Row],[Team]], Elo!$2:$1048576, MATCH("Current Elo", Elo!$1:$1, 0), FALSE)</f>
        <v>1104.5954282694099</v>
      </c>
    </row>
    <row r="134">
      <c r="A134" s="49" t="n">
        <f>_xlfn.RANK.EQ(Table2[[#This Row],[Current Elo]], Table2[Current Elo])</f>
        <v>133</v>
      </c>
      <c r="B134" s="55" t="s">
        <v>250</v>
      </c>
      <c r="C134" s="1" t="s">
        <v>138</v>
      </c>
      <c r="D134" s="50" t="n">
        <f>VLOOKUP(Table2[[#This Row],[Team]], Elo!$2:$1048576, MATCH("Current Elo", Elo!$1:$1, 0), FALSE)</f>
        <v>1090.1464681889199</v>
      </c>
    </row>
    <row r="135" ht="14.65" customHeight="1">
      <c r="A135" s="51" t="n">
        <f>_xlfn.RANK.EQ(Table2[[#This Row],[Current Elo]], Table2[Current Elo])</f>
        <v>134</v>
      </c>
      <c r="B135" s="52" t="s">
        <v>251</v>
      </c>
      <c r="C135" s="54" t="s">
        <v>141</v>
      </c>
      <c r="D135" s="53" t="n">
        <f>VLOOKUP(Table2[[#This Row],[Team]], Elo!$2:$1048576, MATCH("Current Elo", Elo!$1:$1, 0), FALSE)</f>
        <v>1089.1400000000001</v>
      </c>
    </row>
  </sheetData>
  <pageMargins left="0.7" right="0.7" top="0.75" bottom="0.75" header="0.3" footer="0.3"/>
  <pageSetup paperSize="9" orientation="portrait" horizontalDpi="300" verticalDpi="300"/>
  <legacyDrawing r:id="rIdvml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/>
  </sheetPr>
  <dimension ref="A1"/>
  <sheetViews>
    <sheetView workbookViewId="0">
      <selection activeCell="A26" sqref="A26"/>
    </sheetView>
  </sheetViews>
  <sheetFormatPr defaultRowHeight="15.0" baseColWidth="10"/>
  <cols>
    <col min="2" max="2" width="21.86328125" hidden="0" customWidth="1"/>
    <col min="3" max="3" width="21.3984375" hidden="0" customWidth="1"/>
  </cols>
  <sheetData>
    <row r="1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</row>
    <row r="2">
      <c r="A2" t="n">
        <v>1</v>
      </c>
      <c r="B2" t="s">
        <v>957</v>
      </c>
      <c r="C2" t="s">
        <v>958</v>
      </c>
      <c r="D2" t="s">
        <v>959</v>
      </c>
      <c r="E2" t="n">
        <v>1497</v>
      </c>
      <c r="F2" t="n">
        <v>1692</v>
      </c>
      <c r="G2" t="b">
        <v>1</v>
      </c>
    </row>
    <row r="3">
      <c r="A3" t="n">
        <v>1</v>
      </c>
      <c r="B3" t="s">
        <v>960</v>
      </c>
      <c r="C3" t="s">
        <v>961</v>
      </c>
      <c r="D3" t="s">
        <v>962</v>
      </c>
      <c r="E3" t="n">
        <v>1234</v>
      </c>
      <c r="F3"/>
      <c r="G3" t="b">
        <v>0</v>
      </c>
    </row>
    <row r="4">
      <c r="A4" t="n">
        <v>1</v>
      </c>
      <c r="B4" t="s">
        <v>963</v>
      </c>
      <c r="C4" t="s">
        <v>964</v>
      </c>
      <c r="D4" t="s">
        <v>965</v>
      </c>
      <c r="E4" t="n">
        <v>1222</v>
      </c>
      <c r="F4" t="n">
        <v>1690</v>
      </c>
      <c r="G4" t="b">
        <v>0</v>
      </c>
    </row>
    <row r="5">
      <c r="A5" t="n">
        <v>1</v>
      </c>
      <c r="B5" t="s">
        <v>966</v>
      </c>
      <c r="C5" t="s">
        <v>967</v>
      </c>
      <c r="D5" t="s">
        <v>968</v>
      </c>
      <c r="E5" t="n">
        <v>1227</v>
      </c>
      <c r="F5"/>
      <c r="G5" t="b">
        <v>0</v>
      </c>
    </row>
    <row r="6">
      <c r="A6" t="n">
        <v>1</v>
      </c>
      <c r="B6" t="s">
        <v>969</v>
      </c>
      <c r="C6" t="s">
        <v>970</v>
      </c>
      <c r="D6" t="s">
        <v>971</v>
      </c>
      <c r="E6" t="n">
        <v>1460</v>
      </c>
      <c r="F6"/>
      <c r="G6" t="b">
        <v>0</v>
      </c>
    </row>
    <row r="7">
      <c r="A7" t="n">
        <v>1</v>
      </c>
      <c r="B7" t="s">
        <v>972</v>
      </c>
      <c r="C7" t="s">
        <v>973</v>
      </c>
      <c r="D7" t="s">
        <v>974</v>
      </c>
      <c r="E7" t="n">
        <v>1156</v>
      </c>
      <c r="F7"/>
      <c r="G7" t="b">
        <v>0</v>
      </c>
    </row>
    <row r="8">
      <c r="A8" t="n">
        <v>1</v>
      </c>
      <c r="B8" t="s">
        <v>972</v>
      </c>
      <c r="C8" t="s">
        <v>975</v>
      </c>
      <c r="D8" t="s">
        <v>976</v>
      </c>
      <c r="E8" t="n">
        <v>1606</v>
      </c>
      <c r="F8"/>
      <c r="G8" t="b">
        <v>0</v>
      </c>
    </row>
    <row r="9">
      <c r="A9" t="n">
        <v>1</v>
      </c>
      <c r="B9" t="s">
        <v>972</v>
      </c>
      <c r="C9" t="s">
        <v>977</v>
      </c>
      <c r="D9" t="s">
        <v>978</v>
      </c>
      <c r="E9" t="n">
        <v>1578</v>
      </c>
      <c r="F9"/>
      <c r="G9" t="b">
        <v>0</v>
      </c>
    </row>
    <row r="10">
      <c r="A10" t="n">
        <v>1</v>
      </c>
      <c r="B10" t="s">
        <v>972</v>
      </c>
      <c r="C10" t="s">
        <v>979</v>
      </c>
      <c r="D10" t="s">
        <v>980</v>
      </c>
      <c r="E10" t="n">
        <v>1431</v>
      </c>
      <c r="F10"/>
      <c r="G10" t="b">
        <v>0</v>
      </c>
    </row>
    <row r="11">
      <c r="A11" t="n">
        <v>1</v>
      </c>
      <c r="B11" t="s">
        <v>972</v>
      </c>
      <c r="C11" t="s">
        <v>981</v>
      </c>
      <c r="D11" t="s">
        <v>982</v>
      </c>
      <c r="E11" t="n">
        <v>1357</v>
      </c>
      <c r="F11"/>
      <c r="G11" t="b">
        <v>0</v>
      </c>
    </row>
    <row r="12">
      <c r="A12" t="n">
        <v>1</v>
      </c>
      <c r="B12" t="s">
        <v>972</v>
      </c>
      <c r="C12" t="s">
        <v>983</v>
      </c>
      <c r="D12" t="s">
        <v>984</v>
      </c>
      <c r="E12" t="n">
        <v>1431</v>
      </c>
      <c r="F12"/>
      <c r="G12" t="b">
        <v>0</v>
      </c>
    </row>
    <row r="13">
      <c r="A13" t="n">
        <v>1</v>
      </c>
      <c r="B13" t="s">
        <v>972</v>
      </c>
      <c r="C13" t="s">
        <v>985</v>
      </c>
      <c r="D13" t="s">
        <v>986</v>
      </c>
      <c r="E13" t="n">
        <v>1333</v>
      </c>
      <c r="F13"/>
      <c r="G13" t="b">
        <v>0</v>
      </c>
    </row>
    <row r="14">
      <c r="A14" t="n">
        <v>1</v>
      </c>
      <c r="B14" t="s">
        <v>987</v>
      </c>
      <c r="C14" t="s">
        <v>988</v>
      </c>
      <c r="D14" t="s">
        <v>989</v>
      </c>
      <c r="E14" t="n">
        <v>1454</v>
      </c>
      <c r="F14"/>
      <c r="G14" t="b">
        <v>1</v>
      </c>
    </row>
    <row r="15">
      <c r="A15" t="n">
        <v>1</v>
      </c>
      <c r="B15" t="s">
        <v>987</v>
      </c>
      <c r="C15" t="s">
        <v>990</v>
      </c>
      <c r="D15" t="s">
        <v>991</v>
      </c>
      <c r="E15" t="n">
        <v>1526</v>
      </c>
      <c r="F15"/>
      <c r="G15" t="b">
        <v>0</v>
      </c>
    </row>
    <row r="16">
      <c r="A16" t="n">
        <v>1</v>
      </c>
      <c r="B16" t="s">
        <v>992</v>
      </c>
      <c r="C16" t="s">
        <v>993</v>
      </c>
      <c r="D16" t="s">
        <v>994</v>
      </c>
      <c r="E16" t="n">
        <v>1248</v>
      </c>
      <c r="F16"/>
      <c r="G16" t="b">
        <v>0</v>
      </c>
    </row>
    <row r="17">
      <c r="A17" t="n">
        <v>1</v>
      </c>
      <c r="B17" t="s">
        <v>992</v>
      </c>
      <c r="C17" t="s">
        <v>995</v>
      </c>
      <c r="D17" t="s">
        <v>996</v>
      </c>
      <c r="E17" t="n">
        <v>1492</v>
      </c>
      <c r="F17" t="n">
        <v>1546</v>
      </c>
      <c r="G17" t="b">
        <v>0</v>
      </c>
    </row>
    <row r="18">
      <c r="A18" t="n">
        <v>1</v>
      </c>
      <c r="B18" t="s">
        <v>992</v>
      </c>
      <c r="C18" t="s">
        <v>997</v>
      </c>
      <c r="D18" t="s">
        <v>998</v>
      </c>
      <c r="E18" t="n">
        <v>1538</v>
      </c>
      <c r="F18" t="n">
        <v>1448</v>
      </c>
      <c r="G18" t="b">
        <v>0</v>
      </c>
    </row>
    <row r="19">
      <c r="A19" t="n">
        <v>1</v>
      </c>
      <c r="B19" t="s">
        <v>992</v>
      </c>
      <c r="C19" t="s">
        <v>999</v>
      </c>
      <c r="D19" t="s">
        <v>1000</v>
      </c>
      <c r="E19" t="n">
        <v>1324</v>
      </c>
      <c r="F19"/>
      <c r="G19" t="b">
        <v>0</v>
      </c>
    </row>
    <row r="20">
      <c r="A20" t="n">
        <v>1</v>
      </c>
      <c r="B20" t="s">
        <v>992</v>
      </c>
      <c r="C20" t="s">
        <v>1001</v>
      </c>
      <c r="D20" t="s">
        <v>1002</v>
      </c>
      <c r="E20" t="n">
        <v>1363</v>
      </c>
      <c r="F20"/>
      <c r="G20" t="b">
        <v>0</v>
      </c>
    </row>
    <row r="21">
      <c r="A21" t="n">
        <v>1</v>
      </c>
      <c r="B21" t="s">
        <v>992</v>
      </c>
      <c r="C21" t="s">
        <v>1003</v>
      </c>
      <c r="D21" t="s">
        <v>1004</v>
      </c>
      <c r="E21" t="n">
        <v>1565</v>
      </c>
      <c r="F21"/>
      <c r="G21" t="b">
        <v>0</v>
      </c>
    </row>
    <row r="22">
      <c r="A22" t="n">
        <v>1</v>
      </c>
      <c r="B22" t="s">
        <v>992</v>
      </c>
      <c r="C22" t="s">
        <v>1005</v>
      </c>
      <c r="D22" t="s">
        <v>1006</v>
      </c>
      <c r="E22" t="n">
        <v>1744</v>
      </c>
      <c r="F22"/>
      <c r="G22" t="b">
        <v>0</v>
      </c>
    </row>
    <row r="23">
      <c r="A23" t="n">
        <v>1</v>
      </c>
      <c r="B23" t="s">
        <v>992</v>
      </c>
      <c r="C23" t="s">
        <v>1007</v>
      </c>
      <c r="D23" t="s">
        <v>1008</v>
      </c>
      <c r="E23" t="n">
        <v>1619</v>
      </c>
      <c r="F23"/>
      <c r="G23" t="b">
        <v>1</v>
      </c>
    </row>
    <row r="24">
      <c r="A24" t="n">
        <v>1</v>
      </c>
      <c r="B24" t="s">
        <v>1009</v>
      </c>
      <c r="C24" t="s">
        <v>1010</v>
      </c>
      <c r="D24" t="s">
        <v>1011</v>
      </c>
      <c r="E24" t="n">
        <v>1502</v>
      </c>
      <c r="F24"/>
      <c r="G24" t="b">
        <v>0</v>
      </c>
    </row>
    <row r="25">
      <c r="A25" t="n">
        <v>1</v>
      </c>
      <c r="B25" t="s">
        <v>1009</v>
      </c>
      <c r="C25" t="s">
        <v>1012</v>
      </c>
      <c r="D25" t="s">
        <v>1013</v>
      </c>
      <c r="E25" t="n">
        <v>1622</v>
      </c>
      <c r="F25"/>
      <c r="G25" t="b">
        <v>0</v>
      </c>
    </row>
    <row r="26">
      <c r="A26" t="n">
        <v>1</v>
      </c>
      <c r="B26" t="s">
        <v>1014</v>
      </c>
      <c r="C26" t="s">
        <v>1015</v>
      </c>
      <c r="D26" t="s">
        <v>1016</v>
      </c>
      <c r="E26" t="n">
        <v>1544</v>
      </c>
      <c r="F26"/>
      <c r="G26" t="b">
        <v>0</v>
      </c>
    </row>
    <row r="27">
      <c r="A27" t="n">
        <v>1</v>
      </c>
      <c r="B27" t="s">
        <v>1017</v>
      </c>
      <c r="C27" t="s">
        <v>1018</v>
      </c>
      <c r="D27" t="s">
        <v>1019</v>
      </c>
      <c r="E27" t="n">
        <v>1425</v>
      </c>
      <c r="F27"/>
      <c r="G27" s="56" t="b">
        <v>0</v>
      </c>
    </row>
    <row r="28">
      <c r="A28" t="n">
        <v>1</v>
      </c>
      <c r="B28" t="s">
        <v>1020</v>
      </c>
      <c r="C28" t="s">
        <v>1021</v>
      </c>
      <c r="D28" t="s">
        <v>1022</v>
      </c>
      <c r="E28" t="n">
        <v>1392</v>
      </c>
      <c r="F28" t="n">
        <v>1422</v>
      </c>
      <c r="G28" t="b">
        <v>0</v>
      </c>
    </row>
    <row r="29">
      <c r="A29" t="n">
        <v>1</v>
      </c>
      <c r="B29" t="s">
        <v>1020</v>
      </c>
      <c r="C29" t="s">
        <v>1023</v>
      </c>
      <c r="D29" t="s">
        <v>1024</v>
      </c>
      <c r="E29" t="n">
        <v>1786</v>
      </c>
      <c r="F29" t="n">
        <v>1178</v>
      </c>
      <c r="G29" t="b">
        <v>0</v>
      </c>
    </row>
    <row r="30">
      <c r="A30" t="n">
        <v>1</v>
      </c>
      <c r="B30" t="s">
        <v>1025</v>
      </c>
      <c r="C30" t="s">
        <v>1026</v>
      </c>
      <c r="D30" t="s">
        <v>1027</v>
      </c>
      <c r="E30" t="n">
        <v>1602</v>
      </c>
      <c r="F30"/>
      <c r="G30" t="b">
        <v>0</v>
      </c>
    </row>
    <row r="31">
      <c r="A31" t="n">
        <v>1</v>
      </c>
      <c r="B31" t="s">
        <v>1028</v>
      </c>
      <c r="C31" t="s">
        <v>1029</v>
      </c>
      <c r="D31" t="s">
        <v>1030</v>
      </c>
      <c r="E31" t="n">
        <v>1587</v>
      </c>
      <c r="F31" t="n">
        <v>1315</v>
      </c>
      <c r="G31" t="b">
        <v>0</v>
      </c>
    </row>
    <row r="32">
      <c r="A32" t="n">
        <v>1</v>
      </c>
      <c r="B32" t="s">
        <v>1031</v>
      </c>
      <c r="C32" t="s">
        <v>1032</v>
      </c>
      <c r="D32" t="s">
        <v>1033</v>
      </c>
      <c r="E32" t="n">
        <v>1286</v>
      </c>
      <c r="F32" t="n">
        <v>1587</v>
      </c>
      <c r="G32" t="b">
        <v>0</v>
      </c>
    </row>
    <row r="33">
      <c r="A33" t="n">
        <v>1</v>
      </c>
      <c r="B33" t="s">
        <v>1034</v>
      </c>
      <c r="C33" t="s">
        <v>1035</v>
      </c>
      <c r="D33" t="s">
        <v>1036</v>
      </c>
      <c r="E33" t="n">
        <v>1346</v>
      </c>
      <c r="F33"/>
      <c r="G33" t="b">
        <v>0</v>
      </c>
    </row>
    <row r="34">
      <c r="A34" t="n">
        <v>1</v>
      </c>
      <c r="B34" t="s">
        <v>1037</v>
      </c>
      <c r="C34" t="s">
        <v>1038</v>
      </c>
      <c r="D34" t="s">
        <v>1039</v>
      </c>
      <c r="E34" t="n">
        <v>1625</v>
      </c>
      <c r="F34"/>
      <c r="G34" t="b">
        <v>0</v>
      </c>
    </row>
    <row r="35">
      <c r="A35" t="n">
        <v>1</v>
      </c>
      <c r="B35" t="s">
        <v>1037</v>
      </c>
      <c r="C35" t="s">
        <v>1040</v>
      </c>
      <c r="D35" t="s">
        <v>1041</v>
      </c>
      <c r="E35" t="n">
        <v>1492</v>
      </c>
      <c r="F35"/>
      <c r="G35" t="b">
        <v>0</v>
      </c>
    </row>
    <row r="36">
      <c r="A36" t="n">
        <v>1</v>
      </c>
      <c r="B36" t="s">
        <v>1037</v>
      </c>
      <c r="C36" t="s">
        <v>1042</v>
      </c>
      <c r="D36" t="s">
        <v>1043</v>
      </c>
      <c r="E36" t="n">
        <v>1368</v>
      </c>
      <c r="F36"/>
      <c r="G36" t="b">
        <v>0</v>
      </c>
    </row>
    <row r="37">
      <c r="A37" t="n">
        <v>1</v>
      </c>
      <c r="B37" t="s">
        <v>1037</v>
      </c>
      <c r="C37" t="s">
        <v>1044</v>
      </c>
      <c r="D37" t="s">
        <v>1045</v>
      </c>
      <c r="E37" t="n">
        <v>1574</v>
      </c>
      <c r="F37" t="n">
        <v>1833</v>
      </c>
      <c r="G37" t="b">
        <v>0</v>
      </c>
    </row>
    <row r="38">
      <c r="A38" t="n">
        <v>1</v>
      </c>
      <c r="B38" t="s">
        <v>1037</v>
      </c>
      <c r="C38" t="s">
        <v>1046</v>
      </c>
      <c r="D38" t="s">
        <v>1047</v>
      </c>
      <c r="E38" t="n">
        <v>1284</v>
      </c>
      <c r="F38" t="n">
        <v>1604</v>
      </c>
      <c r="G38" t="b">
        <v>0</v>
      </c>
    </row>
    <row r="39">
      <c r="A39" t="n">
        <v>1</v>
      </c>
      <c r="B39" t="s">
        <v>1037</v>
      </c>
      <c r="C39" t="s">
        <v>1048</v>
      </c>
      <c r="D39" t="s">
        <v>1049</v>
      </c>
      <c r="E39" t="n">
        <v>1436</v>
      </c>
      <c r="F39" t="n">
        <v>1158</v>
      </c>
      <c r="G39" t="b">
        <v>0</v>
      </c>
    </row>
    <row r="40">
      <c r="A40" t="n">
        <v>1</v>
      </c>
      <c r="B40" t="s">
        <v>1037</v>
      </c>
      <c r="C40" t="s">
        <v>1050</v>
      </c>
      <c r="D40" t="s">
        <v>1051</v>
      </c>
      <c r="E40" t="n">
        <v>2015</v>
      </c>
      <c r="F40" t="n">
        <v>1676</v>
      </c>
      <c r="G40" t="b">
        <v>1</v>
      </c>
    </row>
    <row r="41">
      <c r="A41" t="n">
        <v>1</v>
      </c>
      <c r="B41" t="s">
        <v>1037</v>
      </c>
      <c r="C41" t="s">
        <v>1052</v>
      </c>
      <c r="D41" t="s">
        <v>1053</v>
      </c>
      <c r="E41" t="n">
        <v>1630</v>
      </c>
      <c r="F41" t="n">
        <v>1230</v>
      </c>
      <c r="G41" t="b">
        <v>0</v>
      </c>
    </row>
    <row r="42">
      <c r="A42" t="n">
        <v>1</v>
      </c>
      <c r="B42" t="s">
        <v>1037</v>
      </c>
      <c r="C42" t="s">
        <v>1054</v>
      </c>
      <c r="D42" t="s">
        <v>1055</v>
      </c>
      <c r="E42" t="n">
        <v>1550</v>
      </c>
      <c r="F42"/>
      <c r="G42" t="b">
        <v>0</v>
      </c>
    </row>
    <row r="43">
      <c r="A43" t="n">
        <v>1</v>
      </c>
      <c r="B43" t="s">
        <v>1056</v>
      </c>
      <c r="C43" t="s">
        <v>1057</v>
      </c>
      <c r="D43" t="s">
        <v>1058</v>
      </c>
      <c r="E43" t="n">
        <v>1751</v>
      </c>
      <c r="F43"/>
      <c r="G43" t="b">
        <v>0</v>
      </c>
    </row>
    <row r="44">
      <c r="A44" t="n">
        <v>1</v>
      </c>
      <c r="B44" t="s">
        <v>1059</v>
      </c>
      <c r="C44" t="s">
        <v>1060</v>
      </c>
      <c r="D44" t="s">
        <v>1061</v>
      </c>
      <c r="E44" t="n">
        <v>1522</v>
      </c>
      <c r="F44"/>
      <c r="G44" s="56" t="b">
        <v>0</v>
      </c>
    </row>
    <row r="45">
      <c r="A45" t="n">
        <v>1</v>
      </c>
      <c r="B45" t="s">
        <v>1062</v>
      </c>
      <c r="C45" t="s">
        <v>1063</v>
      </c>
      <c r="D45" t="s">
        <v>1064</v>
      </c>
      <c r="E45" t="n">
        <v>1394</v>
      </c>
      <c r="F45"/>
      <c r="G45" t="b">
        <v>0</v>
      </c>
    </row>
    <row r="46">
      <c r="A46" t="n">
        <v>1</v>
      </c>
      <c r="B46" t="s">
        <v>1065</v>
      </c>
      <c r="C46" t="s">
        <v>1066</v>
      </c>
      <c r="D46" t="s">
        <v>1067</v>
      </c>
      <c r="E46" t="n">
        <v>1530</v>
      </c>
      <c r="F46"/>
      <c r="G46" t="b">
        <v>0</v>
      </c>
    </row>
    <row r="47">
      <c r="A47" t="n">
        <v>1</v>
      </c>
      <c r="B47" t="s">
        <v>1068</v>
      </c>
      <c r="C47" t="s">
        <v>1069</v>
      </c>
      <c r="D47" t="s">
        <v>1070</v>
      </c>
      <c r="E47" t="n">
        <v>1578</v>
      </c>
      <c r="F47"/>
      <c r="G47" t="b">
        <v>0</v>
      </c>
    </row>
    <row r="48">
      <c r="A48" t="n">
        <v>1</v>
      </c>
      <c r="B48" t="s">
        <v>1068</v>
      </c>
      <c r="C48" t="s">
        <v>1071</v>
      </c>
      <c r="D48" t="s">
        <v>1072</v>
      </c>
      <c r="E48" t="n">
        <v>1498</v>
      </c>
      <c r="F48" t="n">
        <v>1506</v>
      </c>
      <c r="G48" t="b">
        <v>1</v>
      </c>
    </row>
    <row r="49">
      <c r="A49" t="n">
        <v>1</v>
      </c>
      <c r="B49" t="s">
        <v>1068</v>
      </c>
      <c r="C49" t="s">
        <v>1073</v>
      </c>
      <c r="D49" t="s">
        <v>1074</v>
      </c>
      <c r="E49" t="n">
        <v>1507</v>
      </c>
      <c r="F49" t="n">
        <v>1296</v>
      </c>
      <c r="G49" t="b">
        <v>0</v>
      </c>
    </row>
    <row r="50">
      <c r="A50" t="n">
        <v>1</v>
      </c>
      <c r="B50" t="s">
        <v>1068</v>
      </c>
      <c r="C50" t="s">
        <v>1075</v>
      </c>
      <c r="D50" t="s">
        <v>1076</v>
      </c>
      <c r="E50" t="n">
        <v>1612</v>
      </c>
      <c r="F50"/>
      <c r="G50" t="b">
        <v>0</v>
      </c>
    </row>
    <row r="51">
      <c r="A51" t="n">
        <v>1</v>
      </c>
      <c r="B51" t="s">
        <v>1068</v>
      </c>
      <c r="C51" t="s">
        <v>1077</v>
      </c>
      <c r="D51" t="s">
        <v>1078</v>
      </c>
      <c r="E51" t="n">
        <v>1141</v>
      </c>
      <c r="F51" t="n">
        <v>1287</v>
      </c>
      <c r="G51" t="b">
        <v>0</v>
      </c>
    </row>
    <row r="52">
      <c r="A52" t="n">
        <v>1</v>
      </c>
      <c r="B52" t="s">
        <v>1068</v>
      </c>
      <c r="C52" t="s">
        <v>1079</v>
      </c>
      <c r="D52" t="s">
        <v>1080</v>
      </c>
      <c r="E52" t="n">
        <v>1572</v>
      </c>
      <c r="F52"/>
      <c r="G52" t="b">
        <v>0</v>
      </c>
    </row>
    <row r="53">
      <c r="A53" t="n">
        <v>1</v>
      </c>
      <c r="B53" t="s">
        <v>1068</v>
      </c>
      <c r="C53" t="s">
        <v>1081</v>
      </c>
      <c r="D53" t="s">
        <v>1082</v>
      </c>
      <c r="E53" t="n">
        <v>1395</v>
      </c>
      <c r="F53" t="n">
        <v>1164</v>
      </c>
      <c r="G53" t="b">
        <v>0</v>
      </c>
    </row>
    <row r="54">
      <c r="A54" t="n">
        <v>1</v>
      </c>
      <c r="B54" t="s">
        <v>1068</v>
      </c>
      <c r="C54" t="s">
        <v>1083</v>
      </c>
      <c r="D54" t="s">
        <v>1084</v>
      </c>
      <c r="E54" t="n">
        <v>1876</v>
      </c>
      <c r="F54" t="n">
        <v>1212</v>
      </c>
      <c r="G54" t="b">
        <v>0</v>
      </c>
    </row>
    <row r="55">
      <c r="A55" t="n">
        <v>1</v>
      </c>
      <c r="B55" t="s">
        <v>1068</v>
      </c>
      <c r="C55" t="s">
        <v>1085</v>
      </c>
      <c r="D55" t="s">
        <v>1086</v>
      </c>
      <c r="E55" t="n">
        <v>1446</v>
      </c>
      <c r="F55"/>
      <c r="G55" t="b">
        <v>0</v>
      </c>
    </row>
    <row r="56">
      <c r="A56" t="n">
        <v>1</v>
      </c>
      <c r="B56" t="s">
        <v>1068</v>
      </c>
      <c r="C56" t="s">
        <v>1087</v>
      </c>
      <c r="D56" t="s">
        <v>1088</v>
      </c>
      <c r="E56" t="n">
        <v>1562</v>
      </c>
      <c r="F56" t="n">
        <v>1553</v>
      </c>
      <c r="G56" t="b">
        <v>0</v>
      </c>
    </row>
    <row r="57">
      <c r="A57" t="n">
        <v>1</v>
      </c>
      <c r="B57" t="s">
        <v>1068</v>
      </c>
      <c r="C57" t="s">
        <v>1089</v>
      </c>
      <c r="D57" t="s">
        <v>1090</v>
      </c>
      <c r="E57" t="n">
        <v>1850</v>
      </c>
      <c r="F57" t="n">
        <v>1350</v>
      </c>
      <c r="G57" t="b">
        <v>0</v>
      </c>
    </row>
    <row r="58">
      <c r="A58" t="n">
        <v>1</v>
      </c>
      <c r="B58" t="s">
        <v>1068</v>
      </c>
      <c r="C58" t="s">
        <v>1091</v>
      </c>
      <c r="D58" t="s">
        <v>1092</v>
      </c>
      <c r="E58" t="n">
        <v>1330</v>
      </c>
      <c r="F58" t="n">
        <v>1522</v>
      </c>
      <c r="G58" t="b">
        <v>0</v>
      </c>
    </row>
    <row r="59">
      <c r="A59" t="n">
        <v>1</v>
      </c>
      <c r="B59" t="s">
        <v>1068</v>
      </c>
      <c r="C59" t="s">
        <v>1093</v>
      </c>
      <c r="D59" t="s">
        <v>1094</v>
      </c>
      <c r="E59" t="n">
        <v>1598</v>
      </c>
      <c r="F59" t="n">
        <v>1500</v>
      </c>
      <c r="G59" t="b">
        <v>0</v>
      </c>
    </row>
    <row r="60">
      <c r="A60" t="n">
        <v>1</v>
      </c>
      <c r="B60" t="s">
        <v>1095</v>
      </c>
      <c r="C60" t="s">
        <v>1096</v>
      </c>
      <c r="D60" t="s">
        <v>1097</v>
      </c>
      <c r="E60" t="n">
        <v>1384</v>
      </c>
      <c r="F60" t="n">
        <v>1626</v>
      </c>
      <c r="G60" t="b">
        <v>0</v>
      </c>
    </row>
    <row r="61">
      <c r="A61" t="n">
        <v>1</v>
      </c>
      <c r="B61" t="s">
        <v>1098</v>
      </c>
      <c r="C61" t="s">
        <v>1099</v>
      </c>
      <c r="D61" t="s">
        <v>1100</v>
      </c>
      <c r="E61" t="n">
        <v>1562</v>
      </c>
      <c r="F61" t="n">
        <v>1406</v>
      </c>
      <c r="G61" t="b">
        <v>0</v>
      </c>
    </row>
    <row r="62">
      <c r="A62" t="n">
        <v>1</v>
      </c>
      <c r="B62" t="s">
        <v>1101</v>
      </c>
      <c r="C62" t="s">
        <v>1102</v>
      </c>
      <c r="D62" t="s">
        <v>1103</v>
      </c>
      <c r="E62" t="n">
        <v>1406</v>
      </c>
      <c r="F62"/>
      <c r="G62" t="b">
        <v>0</v>
      </c>
    </row>
    <row r="63">
      <c r="A63" t="n">
        <v>1</v>
      </c>
      <c r="B63" t="s">
        <v>1101</v>
      </c>
      <c r="C63" t="s">
        <v>1104</v>
      </c>
      <c r="D63" t="s">
        <v>1105</v>
      </c>
      <c r="E63" t="n">
        <v>1650</v>
      </c>
      <c r="F63" t="n">
        <v>1412</v>
      </c>
      <c r="G63" t="b">
        <v>0</v>
      </c>
    </row>
    <row r="64">
      <c r="A64" t="n">
        <v>1</v>
      </c>
      <c r="B64" t="s">
        <v>1101</v>
      </c>
      <c r="C64" t="s">
        <v>1106</v>
      </c>
      <c r="D64" t="s">
        <v>1107</v>
      </c>
      <c r="E64" t="n">
        <v>1483</v>
      </c>
      <c r="F64"/>
      <c r="G64" t="b">
        <v>0</v>
      </c>
    </row>
    <row r="65">
      <c r="A65" t="n">
        <v>1</v>
      </c>
      <c r="B65" t="s">
        <v>1108</v>
      </c>
      <c r="C65" t="s">
        <v>1109</v>
      </c>
      <c r="D65" t="s">
        <v>1110</v>
      </c>
      <c r="E65" t="n">
        <v>1572</v>
      </c>
      <c r="F65"/>
      <c r="G65" t="b">
        <v>0</v>
      </c>
    </row>
    <row r="66">
      <c r="A66" t="n">
        <v>1</v>
      </c>
      <c r="B66" t="s">
        <v>1108</v>
      </c>
      <c r="C66" t="s">
        <v>1111</v>
      </c>
      <c r="D66" t="s">
        <v>1112</v>
      </c>
      <c r="E66" t="n">
        <v>1447</v>
      </c>
      <c r="F66"/>
      <c r="G66" t="b">
        <v>0</v>
      </c>
    </row>
    <row r="67">
      <c r="A67" t="n">
        <v>1</v>
      </c>
      <c r="B67" t="s">
        <v>1108</v>
      </c>
      <c r="C67" t="s">
        <v>1113</v>
      </c>
      <c r="D67" t="s">
        <v>1114</v>
      </c>
      <c r="E67" t="n">
        <v>1310</v>
      </c>
      <c r="F67"/>
      <c r="G67" t="b">
        <v>0</v>
      </c>
    </row>
    <row r="68">
      <c r="A68" t="n">
        <v>1</v>
      </c>
      <c r="B68" t="s">
        <v>1108</v>
      </c>
      <c r="C68" t="s">
        <v>1115</v>
      </c>
      <c r="D68" t="s">
        <v>1116</v>
      </c>
      <c r="E68" t="n">
        <v>1404</v>
      </c>
      <c r="F68"/>
      <c r="G68" t="b">
        <v>0</v>
      </c>
    </row>
    <row r="69">
      <c r="A69" t="n">
        <v>1</v>
      </c>
      <c r="B69" t="s">
        <v>1117</v>
      </c>
      <c r="C69" t="s">
        <v>1118</v>
      </c>
      <c r="D69" t="s">
        <v>1119</v>
      </c>
      <c r="E69" t="n">
        <v>1648</v>
      </c>
      <c r="F69"/>
      <c r="G69" t="b">
        <v>0</v>
      </c>
    </row>
    <row r="70">
      <c r="A70" t="n">
        <v>1</v>
      </c>
      <c r="B70" t="s">
        <v>1120</v>
      </c>
      <c r="C70" t="s">
        <v>1121</v>
      </c>
      <c r="D70" t="s">
        <v>1122</v>
      </c>
      <c r="E70" t="n">
        <v>1362</v>
      </c>
      <c r="F70" t="n">
        <v>1388</v>
      </c>
      <c r="G70" t="b">
        <v>0</v>
      </c>
    </row>
    <row r="71">
      <c r="A71" t="n">
        <v>1</v>
      </c>
      <c r="B71" t="s">
        <v>1120</v>
      </c>
      <c r="C71" t="s">
        <v>1123</v>
      </c>
      <c r="D71" t="s">
        <v>1124</v>
      </c>
      <c r="E71" t="n">
        <v>1854</v>
      </c>
      <c r="F71" t="n">
        <v>1466</v>
      </c>
      <c r="G71" t="b">
        <v>0</v>
      </c>
    </row>
    <row r="72">
      <c r="A72" t="n">
        <v>1</v>
      </c>
      <c r="B72" t="s">
        <v>1120</v>
      </c>
      <c r="C72" t="s">
        <v>1125</v>
      </c>
      <c r="D72" t="s">
        <v>1126</v>
      </c>
      <c r="E72" t="n">
        <v>1442</v>
      </c>
      <c r="F72"/>
      <c r="G72" t="b">
        <v>0</v>
      </c>
    </row>
    <row r="73">
      <c r="A73" t="n">
        <v>1</v>
      </c>
      <c r="B73" t="s">
        <v>1120</v>
      </c>
      <c r="C73" t="s">
        <v>1127</v>
      </c>
      <c r="D73" t="s">
        <v>1128</v>
      </c>
      <c r="E73" t="n">
        <v>1422</v>
      </c>
      <c r="F73"/>
      <c r="G73" t="b">
        <v>0</v>
      </c>
    </row>
    <row r="74">
      <c r="A74" t="n">
        <v>1</v>
      </c>
      <c r="B74" t="s">
        <v>1120</v>
      </c>
      <c r="C74" t="s">
        <v>1129</v>
      </c>
      <c r="D74" t="s">
        <v>1130</v>
      </c>
      <c r="E74" t="n">
        <v>1569</v>
      </c>
      <c r="F74"/>
      <c r="G74" t="b">
        <v>0</v>
      </c>
    </row>
    <row r="75">
      <c r="A75" t="n">
        <v>1</v>
      </c>
      <c r="B75" t="s">
        <v>1120</v>
      </c>
      <c r="C75" t="s">
        <v>1131</v>
      </c>
      <c r="D75" t="s">
        <v>1132</v>
      </c>
      <c r="E75" t="n">
        <v>1406</v>
      </c>
      <c r="F75"/>
      <c r="G75" t="b">
        <v>0</v>
      </c>
    </row>
    <row r="76">
      <c r="A76" t="n">
        <v>1</v>
      </c>
      <c r="B76" t="s">
        <v>1120</v>
      </c>
      <c r="C76" t="s">
        <v>1133</v>
      </c>
      <c r="D76" t="s">
        <v>1134</v>
      </c>
      <c r="E76" t="n">
        <v>1794</v>
      </c>
      <c r="F76"/>
      <c r="G76" t="b">
        <v>0</v>
      </c>
    </row>
    <row r="77">
      <c r="A77" t="n">
        <v>1</v>
      </c>
      <c r="B77" t="s">
        <v>1120</v>
      </c>
      <c r="C77" t="s">
        <v>1135</v>
      </c>
      <c r="D77" t="s">
        <v>1136</v>
      </c>
      <c r="E77" t="n">
        <v>1400</v>
      </c>
      <c r="F77"/>
      <c r="G77" t="b">
        <v>0</v>
      </c>
    </row>
    <row r="78">
      <c r="A78" t="n">
        <v>1</v>
      </c>
      <c r="B78" t="s">
        <v>1120</v>
      </c>
      <c r="C78" t="s">
        <v>1137</v>
      </c>
      <c r="D78" t="s">
        <v>1138</v>
      </c>
      <c r="E78" t="n">
        <v>1658</v>
      </c>
      <c r="F78"/>
      <c r="G78" t="b">
        <v>0</v>
      </c>
    </row>
    <row r="79">
      <c r="A79" t="n">
        <v>1</v>
      </c>
      <c r="B79" t="s">
        <v>1120</v>
      </c>
      <c r="C79" t="s">
        <v>1139</v>
      </c>
      <c r="D79" t="s">
        <v>964</v>
      </c>
      <c r="E79" t="n">
        <v>1657</v>
      </c>
      <c r="F79" t="n">
        <v>1243</v>
      </c>
      <c r="G79" t="b">
        <v>0</v>
      </c>
    </row>
    <row r="80">
      <c r="A80" t="n">
        <v>1</v>
      </c>
      <c r="B80" t="s">
        <v>1120</v>
      </c>
      <c r="C80" t="s">
        <v>1140</v>
      </c>
      <c r="D80" t="s">
        <v>1141</v>
      </c>
      <c r="E80" t="n">
        <v>1447</v>
      </c>
      <c r="F80" t="n">
        <v>1496</v>
      </c>
      <c r="G80" t="b">
        <v>0</v>
      </c>
    </row>
    <row r="81">
      <c r="A81" t="n">
        <v>1</v>
      </c>
      <c r="B81" t="s">
        <v>1142</v>
      </c>
      <c r="C81" t="s">
        <v>967</v>
      </c>
      <c r="D81" t="s">
        <v>1143</v>
      </c>
      <c r="E81" t="n">
        <v>1227</v>
      </c>
      <c r="F81" t="n">
        <v>1568</v>
      </c>
      <c r="G81" t="b">
        <v>0</v>
      </c>
    </row>
    <row r="82">
      <c r="A82" t="n">
        <v>1</v>
      </c>
      <c r="B82" t="s">
        <v>1142</v>
      </c>
      <c r="C82" t="s">
        <v>1144</v>
      </c>
      <c r="D82" t="s">
        <v>1145</v>
      </c>
      <c r="E82" t="n">
        <v>1681</v>
      </c>
      <c r="F82" t="n">
        <v>1884</v>
      </c>
      <c r="G82" t="b">
        <v>0</v>
      </c>
    </row>
    <row r="83">
      <c r="A83" t="n">
        <v>1</v>
      </c>
      <c r="B83" t="s">
        <v>1142</v>
      </c>
      <c r="C83" t="s">
        <v>1146</v>
      </c>
      <c r="D83" t="s">
        <v>1147</v>
      </c>
      <c r="E83" t="n">
        <v>1973</v>
      </c>
      <c r="F83" t="n">
        <v>1558</v>
      </c>
      <c r="G83" t="b">
        <v>0</v>
      </c>
    </row>
    <row r="84">
      <c r="A84" t="n">
        <v>1</v>
      </c>
      <c r="B84" t="s">
        <v>1142</v>
      </c>
      <c r="C84" t="s">
        <v>1148</v>
      </c>
      <c r="D84" t="s">
        <v>1149</v>
      </c>
      <c r="E84" t="n">
        <v>1541</v>
      </c>
      <c r="F84"/>
      <c r="G84" t="b">
        <v>0</v>
      </c>
    </row>
    <row r="85">
      <c r="A85" t="n">
        <v>1</v>
      </c>
      <c r="B85" t="s">
        <v>1142</v>
      </c>
      <c r="C85" t="s">
        <v>1150</v>
      </c>
      <c r="D85" t="s">
        <v>1151</v>
      </c>
      <c r="E85" t="n">
        <v>1556</v>
      </c>
      <c r="F85"/>
      <c r="G85" t="b">
        <v>0</v>
      </c>
    </row>
    <row r="86">
      <c r="A86" t="n">
        <v>1</v>
      </c>
      <c r="B86" t="s">
        <v>1142</v>
      </c>
      <c r="C86" t="s">
        <v>1152</v>
      </c>
      <c r="D86" t="s">
        <v>1153</v>
      </c>
      <c r="E86" t="n">
        <v>1904</v>
      </c>
      <c r="F86"/>
      <c r="G86" t="b">
        <v>0</v>
      </c>
    </row>
    <row r="87">
      <c r="A87" t="n">
        <v>1</v>
      </c>
      <c r="B87" t="s">
        <v>1154</v>
      </c>
      <c r="C87" t="s">
        <v>1155</v>
      </c>
      <c r="D87" t="s">
        <v>1156</v>
      </c>
      <c r="E87" t="n">
        <v>1594</v>
      </c>
      <c r="F87" t="n">
        <v>1276</v>
      </c>
      <c r="G87" t="b">
        <v>0</v>
      </c>
    </row>
    <row r="88">
      <c r="A88" t="n">
        <v>1</v>
      </c>
      <c r="B88" t="s">
        <v>1157</v>
      </c>
      <c r="C88" t="s">
        <v>1158</v>
      </c>
      <c r="D88" t="s">
        <v>1159</v>
      </c>
      <c r="E88" t="n">
        <v>1416</v>
      </c>
      <c r="F88"/>
      <c r="G88" t="b">
        <v>0</v>
      </c>
    </row>
    <row r="89">
      <c r="A89" t="n">
        <v>1</v>
      </c>
      <c r="B89" t="s">
        <v>1157</v>
      </c>
      <c r="C89" t="s">
        <v>1160</v>
      </c>
      <c r="D89" t="s">
        <v>1161</v>
      </c>
      <c r="E89" t="n">
        <v>1246</v>
      </c>
      <c r="F89"/>
      <c r="G89" t="b">
        <v>0</v>
      </c>
    </row>
    <row r="90">
      <c r="A90" t="n">
        <v>1</v>
      </c>
      <c r="B90" t="s">
        <v>1157</v>
      </c>
      <c r="C90" t="s">
        <v>1162</v>
      </c>
      <c r="D90" t="s">
        <v>1163</v>
      </c>
      <c r="E90" t="n">
        <v>1399</v>
      </c>
      <c r="F90"/>
      <c r="G90" t="b">
        <v>0</v>
      </c>
    </row>
    <row r="91">
      <c r="A91" t="n">
        <v>1</v>
      </c>
      <c r="B91" t="s">
        <v>1157</v>
      </c>
      <c r="C91" t="s">
        <v>1164</v>
      </c>
      <c r="D91" t="s">
        <v>1165</v>
      </c>
      <c r="E91" t="n">
        <v>1409</v>
      </c>
      <c r="F91"/>
      <c r="G91" t="b">
        <v>0</v>
      </c>
    </row>
    <row r="92">
      <c r="A92" t="n">
        <v>1</v>
      </c>
      <c r="B92" t="s">
        <v>1157</v>
      </c>
      <c r="C92" t="s">
        <v>965</v>
      </c>
      <c r="D92" t="s">
        <v>1166</v>
      </c>
      <c r="E92" t="n">
        <v>1684</v>
      </c>
      <c r="F92"/>
      <c r="G92" t="b">
        <v>0</v>
      </c>
    </row>
    <row r="93">
      <c r="A93" t="n">
        <v>1</v>
      </c>
      <c r="B93" t="s">
        <v>1157</v>
      </c>
      <c r="C93" t="s">
        <v>1167</v>
      </c>
      <c r="D93" t="s">
        <v>1168</v>
      </c>
      <c r="E93" t="n">
        <v>1203</v>
      </c>
      <c r="F93" t="n">
        <v>1691</v>
      </c>
      <c r="G93" t="b">
        <v>0</v>
      </c>
    </row>
    <row r="94">
      <c r="A94" t="n">
        <v>1</v>
      </c>
      <c r="B94" t="s">
        <v>1157</v>
      </c>
      <c r="C94" t="s">
        <v>958</v>
      </c>
      <c r="D94" t="s">
        <v>1169</v>
      </c>
      <c r="E94" t="n">
        <v>1513</v>
      </c>
      <c r="F94" t="n">
        <v>1416</v>
      </c>
      <c r="G94" t="b">
        <v>0</v>
      </c>
    </row>
    <row r="95">
      <c r="A95" t="n">
        <v>1</v>
      </c>
      <c r="B95" t="s">
        <v>1157</v>
      </c>
      <c r="C95" t="s">
        <v>1170</v>
      </c>
      <c r="D95" t="s">
        <v>1171</v>
      </c>
      <c r="E95" t="n">
        <v>1496</v>
      </c>
      <c r="F95"/>
      <c r="G95" t="b">
        <v>0</v>
      </c>
    </row>
    <row r="96">
      <c r="A96" t="n">
        <v>1</v>
      </c>
      <c r="B96" t="s">
        <v>1172</v>
      </c>
      <c r="C96" t="s">
        <v>1173</v>
      </c>
      <c r="D96" t="s">
        <v>1174</v>
      </c>
      <c r="E96" t="n">
        <v>1432</v>
      </c>
      <c r="F96"/>
      <c r="G96" t="b">
        <v>0</v>
      </c>
    </row>
    <row r="97">
      <c r="A97" t="n">
        <v>1</v>
      </c>
      <c r="B97" t="s">
        <v>1175</v>
      </c>
      <c r="C97" t="s">
        <v>1176</v>
      </c>
      <c r="D97" t="s">
        <v>961</v>
      </c>
      <c r="E97" t="n">
        <v>1714</v>
      </c>
      <c r="F97" t="n">
        <v>1234</v>
      </c>
      <c r="G97" t="b">
        <v>0</v>
      </c>
    </row>
    <row r="98">
      <c r="A98" t="n">
        <v>1</v>
      </c>
      <c r="B98" t="s">
        <v>1175</v>
      </c>
      <c r="C98" t="s">
        <v>1177</v>
      </c>
      <c r="D98" t="s">
        <v>1178</v>
      </c>
      <c r="E98" t="n">
        <v>1355</v>
      </c>
      <c r="F98" t="n">
        <v>1496</v>
      </c>
      <c r="G98" t="b">
        <v>0</v>
      </c>
    </row>
    <row r="99">
      <c r="A99" t="n">
        <v>1</v>
      </c>
      <c r="B99" t="s">
        <v>1179</v>
      </c>
      <c r="C99" t="s">
        <v>1180</v>
      </c>
      <c r="D99" t="s">
        <v>1181</v>
      </c>
      <c r="E99" t="n">
        <v>1752</v>
      </c>
      <c r="F99"/>
      <c r="G99" t="b">
        <v>0</v>
      </c>
    </row>
    <row r="100">
      <c r="A100" t="n">
        <v>1</v>
      </c>
      <c r="B100" t="s">
        <v>1182</v>
      </c>
      <c r="C100" t="s">
        <v>1183</v>
      </c>
      <c r="D100" t="s">
        <v>1184</v>
      </c>
      <c r="E100" t="n">
        <v>1823</v>
      </c>
      <c r="F100" t="n">
        <v>1648</v>
      </c>
      <c r="G100" t="b">
        <v>1</v>
      </c>
    </row>
    <row r="101">
      <c r="A101" t="n">
        <v>1</v>
      </c>
      <c r="B101" t="s">
        <v>1185</v>
      </c>
      <c r="C101" t="s">
        <v>959</v>
      </c>
      <c r="D101" t="s">
        <v>1186</v>
      </c>
      <c r="E101" t="n">
        <v>1676</v>
      </c>
      <c r="F101" t="n">
        <v>1396</v>
      </c>
      <c r="G101" t="b">
        <v>0</v>
      </c>
    </row>
  </sheetData>
  <autoFilter ref="A1:G101" xr:uid="{00000000-0001-0000-0100-000000000000}">
    <sortState xmlns:xlrd2="http://schemas.microsoft.com/office/spreadsheetml/2017/richdata2" ref="A2:G101">
      <sortCondition ref="C1:C101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/>
  </sheetPr>
  <dimension ref="A1"/>
  <sheetViews>
    <sheetView topLeftCell="F1" workbookViewId="0">
      <selection activeCell="AB2" sqref="AB2:AB800"/>
    </sheetView>
  </sheetViews>
  <sheetFormatPr defaultRowHeight="15.0" baseColWidth="10"/>
  <cols>
    <col min="1" max="1" width="10" hidden="0" customWidth="1"/>
    <col min="2" max="2" width="13.86328125" hidden="0" customWidth="1"/>
    <col min="3" max="3" width="9.06640625" hidden="0" customWidth="1"/>
    <col min="4" max="4" width="9.06640625" hidden="0" customWidth="1"/>
    <col min="5" max="5" width="10.86328125" hidden="0" customWidth="1"/>
    <col min="6" max="6" width="9.06640625" hidden="0" customWidth="1"/>
    <col min="7" max="7" width="11.9296875" hidden="0" customWidth="1"/>
    <col min="8" max="8" width="9.06640625" hidden="0" customWidth="1"/>
    <col min="9" max="9" width="9.06640625" hidden="0" customWidth="1"/>
    <col min="10" max="10" width="9.06640625" hidden="0" customWidth="1"/>
    <col min="11" max="11" width="9.06640625" hidden="0" customWidth="1"/>
    <col min="12" max="12" width="9.06640625" hidden="0" customWidth="1"/>
    <col min="13" max="13" width="9.06640625" hidden="0" customWidth="1"/>
    <col min="14" max="14" width="9.06640625" hidden="0" customWidth="1"/>
    <col min="15" max="15" width="9.06640625" hidden="0" customWidth="1"/>
    <col min="16" max="16" width="9.06640625" hidden="1" customWidth="1"/>
    <col min="17" max="17" width="9.06640625" hidden="0" customWidth="1"/>
    <col min="18" max="18" width="9.06640625" hidden="0" customWidth="1"/>
    <col min="19" max="19" width="9.06640625" hidden="1" customWidth="1"/>
    <col min="20" max="20" width="9.06640625" hidden="0" customWidth="1"/>
    <col min="21" max="21" width="9.06640625" hidden="0" customWidth="1"/>
    <col min="22" max="22" width="9.06640625" hidden="0" customWidth="1"/>
    <col min="23" max="23" width="9.06640625" hidden="0" customWidth="1"/>
    <col min="24" max="24" width="9.06640625" hidden="1" customWidth="1"/>
    <col min="25" max="25" width="9.06640625" hidden="1" customWidth="1"/>
    <col min="26" max="26" width="9.06640625" hidden="0" customWidth="1"/>
    <col min="27" max="27" width="10.59765625" hidden="0" customWidth="1"/>
    <col min="28" max="28" width="10.59765625" hidden="0" customWidth="1"/>
    <col min="29" max="29" width="10.59765625" hidden="0" customWidth="1"/>
    <col min="30" max="30" width="15.53125" hidden="1" customWidth="1"/>
    <col min="31" max="31" width="15.53125" hidden="1" customWidth="1"/>
    <col min="32" max="32" width="15.53125" hidden="1" customWidth="1"/>
    <col min="37" max="37" width="17.73046875" hidden="0" customWidth="1"/>
  </cols>
  <sheetData>
    <row r="1" ht="29.35" customHeight="1">
      <c r="A1" s="71" t="s">
        <v>80</v>
      </c>
      <c r="B1" s="71" t="s">
        <v>0</v>
      </c>
      <c r="C1" s="71" t="s">
        <v>1</v>
      </c>
      <c r="D1" s="71" t="s">
        <v>2</v>
      </c>
      <c r="E1" s="71" t="s">
        <v>4</v>
      </c>
      <c r="F1" s="71" t="s">
        <v>5</v>
      </c>
      <c r="G1" s="71" t="s">
        <v>72</v>
      </c>
      <c r="H1" s="71" t="s">
        <v>69</v>
      </c>
      <c r="I1" s="71" t="s">
        <v>40</v>
      </c>
      <c r="J1" s="71" t="s">
        <v>68</v>
      </c>
      <c r="K1" s="71" t="s">
        <v>37</v>
      </c>
      <c r="L1" s="71" t="s">
        <v>63</v>
      </c>
      <c r="M1" s="70" t="s">
        <v>39</v>
      </c>
      <c r="N1" s="72" t="s">
        <v>41</v>
      </c>
      <c r="O1" s="72" t="s">
        <v>42</v>
      </c>
      <c r="P1" s="60" t="s">
        <v>43</v>
      </c>
      <c r="Q1" s="72" t="s">
        <v>44</v>
      </c>
      <c r="R1" s="72" t="s">
        <v>45</v>
      </c>
      <c r="S1" s="60" t="s">
        <v>46</v>
      </c>
      <c r="T1" s="61" t="s">
        <v>47</v>
      </c>
      <c r="U1" s="61" t="s">
        <v>48</v>
      </c>
      <c r="V1" s="61" t="s">
        <v>49</v>
      </c>
      <c r="W1" s="61" t="s">
        <v>50</v>
      </c>
      <c r="X1" s="61" t="s">
        <v>51</v>
      </c>
      <c r="Y1" s="61" t="s">
        <v>52</v>
      </c>
      <c r="Z1" s="73" t="s">
        <v>53</v>
      </c>
      <c r="AA1" s="74" t="s">
        <v>54</v>
      </c>
      <c r="AB1" s="73" t="s">
        <v>55</v>
      </c>
      <c r="AC1" s="73" t="s">
        <v>56</v>
      </c>
      <c r="AD1" s="62" t="s">
        <v>57</v>
      </c>
      <c r="AE1" s="62" t="s">
        <v>58</v>
      </c>
      <c r="AF1" s="63" t="s">
        <v>59</v>
      </c>
    </row>
    <row r="2">
      <c r="A2" s="65" t="n">
        <f>IF(ISBLANK(Games!A2), "", Games!A2)</f>
        <v>0</v>
      </c>
      <c r="B2" s="65" t="str">
        <f>IF('Prediction Log'!B3=0, "",'Prediction Log'!B3)</f>
        <v>Georgia Tech</v>
      </c>
      <c r="C2" s="65" t="str">
        <f>IF('Prediction Log'!C3=0, "",'Prediction Log'!C3)</f>
        <v>Florida State</v>
      </c>
      <c r="D2" s="65" t="n">
        <f>IF('Prediction Log'!D3=0, "",'Prediction Log'!D3)</f>
        <v>11.5</v>
      </c>
      <c r="E2" s="58" t="n">
        <f>IF('Prediction Log'!E3=0, "",'Prediction Log'!E3)</f>
        <v>9.8000000000000007</v>
      </c>
      <c r="F2" s="65" t="str">
        <f>IF('Prediction Log'!H3=0, "",'Prediction Log'!H3)</f>
        <v>Florida State</v>
      </c>
      <c r="G2" s="64" t="str">
        <f>IF(ISBLANK(Games!B2), "",'Prediction Log'!$I3)</f>
        <v>Florida State</v>
      </c>
      <c r="H2" s="66" t="n">
        <f>'Prediction Log'!$J3</f>
        <v>0.66630309613080452</v>
      </c>
      <c r="I2" s="65" t="str">
        <f>IF(ISBLANK(Games!T2), "",IF(AND(Games!T2="",Games!U2=""),"",IF(ISTEXT(Games!U2), "Side",Games!T2)))</f>
      </c>
      <c r="J2" s="65" t="str">
        <f>IF(ISBLANK(Games!T2), "",IF(Table12[[#This Row],[Bet]]="Spread", Games!X2, ""))</f>
      </c>
      <c r="K2" s="65" t="str">
        <f>IF(ISBLANK(Games!U2), "",IF(ISTEXT(Games!U2), Games!U2, ""))</f>
      </c>
      <c r="L2" s="57" t="n">
        <f>IF(ISBLANK(Games!D2), "", Games!D2)</f>
        <v>11.5</v>
      </c>
      <c r="M2" s="65"/>
      <c r="N2" s="75" t="str">
        <f>IF(Games!V2="", "",Games!V2)</f>
      </c>
      <c r="O2" s="75" t="str">
        <f>IF(Games!Z2=0, "",Games!Z2)</f>
      </c>
      <c r="P2" s="67"/>
      <c r="Q2" s="67" t="str">
        <f>IF(ISBLANK(Games!W2), "", Games!W2)</f>
      </c>
      <c r="R2" s="67" t="str">
        <f>IF(ISBLANK(Games!AA2), "", Games!AA2)</f>
      </c>
      <c r="S2" s="67"/>
      <c r="T2" s="68" t="str">
        <f>IFERROR(N2+IF(Q2&lt;0, (N2/(Q2/-100)), N2*(Q2/100)), "")</f>
      </c>
      <c r="U2" s="68" t="str">
        <f>IFERROR(T2-N2, "")</f>
      </c>
      <c r="V2" s="68" t="str">
        <f>IFERROR(O2+IF(R2&lt;0, (O2/(R2/-100)), O2*(R2/100)), "")</f>
      </c>
      <c r="W2" s="68" t="str">
        <f>IFERROR(V2-O2, "")</f>
      </c>
      <c r="X2" s="68" t="n">
        <f t="shared" ref="X2" si="0">P2+IF(S2&lt;0, (P2/(S2/-100)), P2*(S2/100))</f>
        <v>0</v>
      </c>
      <c r="Y2" s="68" t="n">
        <f t="shared" ref="Y2" si="1">S2-P2</f>
        <v>0</v>
      </c>
      <c r="Z2" s="67" t="str">
        <f>IF(OR('Prediction Log'!L3="", Table12[[#This Row],[Bet]]="", Table12[[#This Row],[Bet]]="Spread"), "",IF('Prediction Log'!L3=Table12[[#This Row],[Side]], "W", IF('Prediction Log'!L3&lt;&gt;Table12[[#This Row],[Side]], "L", "")))</f>
      </c>
      <c r="AA2" s="59" t="str">
        <f>IF(Z2="W", U2, IF(Z2="L",-N2, ""))</f>
      </c>
      <c r="AB2" s="67" t="str">
        <f>IF(OR(Table12[[#This Row],[Bet]]="Side",Table12[[#This Row],[Bet]]="", 'Prediction Log'!L3=""), "",IF('Prediction Log'!U3="Y", "W", IF('Prediction Log'!U3="N", "L", "")))</f>
      </c>
      <c r="AC2" s="59" t="str">
        <f>IF(AB2="W", W2, IF(AB2="L",-O2, ""))</f>
      </c>
      <c r="AD2" s="67"/>
      <c r="AE2" s="65" t="str">
        <f t="shared" ref="AE2" si="2">IF(AD2="W", Y2, IF(AD2="L",-R2, ""))</f>
      </c>
      <c r="AF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">
      <c r="A3" s="65" t="n">
        <f>IF(ISBLANK(Games!A3), "", Games!A3)</f>
        <v>0</v>
      </c>
      <c r="B3" s="65" t="str">
        <f>IF('Prediction Log'!B4=0, "",'Prediction Log'!B4)</f>
        <v>New Mexico</v>
      </c>
      <c r="C3" s="65" t="str">
        <f>IF('Prediction Log'!C4=0, "",'Prediction Log'!C4)</f>
        <v>Montana State</v>
      </c>
      <c r="D3" s="65" t="n">
        <f>IF('Prediction Log'!D4=0, "",'Prediction Log'!D4)</f>
        <v>-20.5</v>
      </c>
      <c r="E3" s="58" t="n">
        <f>IF('Prediction Log'!E4=0, "",'Prediction Log'!E4)</f>
        <v>-10.184652436815201</v>
      </c>
      <c r="F3" s="65" t="str">
        <f>IF('Prediction Log'!H4=0, "",'Prediction Log'!H4)</f>
        <v>New Mexico</v>
      </c>
      <c r="G3" s="64" t="str">
        <f>IF(ISBLANK(Games!B3), "",'Prediction Log'!$I4)</f>
        <v>New Mexico</v>
      </c>
      <c r="H3" s="66" t="n">
        <f>'Prediction Log'!$J4</f>
        <v>0.85239527604837517</v>
      </c>
      <c r="I3" s="65" t="str">
        <f>IF(ISBLANK(Games!T3), "",IF(AND(Games!T3="",Games!U3=""),"",IF(ISTEXT(Games!U3), "Side",Games!T3)))</f>
      </c>
      <c r="J3" s="65" t="str">
        <f>IF(ISBLANK(Games!T3), "",IF(Table12[[#This Row],[Bet]]="Spread", Games!X3, ""))</f>
      </c>
      <c r="K3" s="65" t="str">
        <f>IF(ISBLANK(Games!U3), "",IF(ISTEXT(Games!U3), Games!U3, ""))</f>
      </c>
      <c r="L3" s="57" t="n">
        <f>IF(ISBLANK(Games!D3), "", Games!D3)</f>
        <v>-20.5</v>
      </c>
      <c r="M3" s="65"/>
      <c r="N3" s="75" t="str">
        <f>IF(Games!V3="", "",Games!V3)</f>
      </c>
      <c r="O3" s="75" t="str">
        <f>IF(Games!Z3=0, "",Games!Z3)</f>
      </c>
      <c r="P3" s="67"/>
      <c r="Q3" s="67" t="str">
        <f>IF(ISBLANK(Games!W3), "", Games!W3)</f>
      </c>
      <c r="R3" s="67" t="str">
        <f>IF(ISBLANK(Games!AA3), "", Games!AA3)</f>
      </c>
      <c r="S3" s="67"/>
      <c r="T3" s="68" t="str">
        <f t="shared" ref="T3:T66" si="3">IFERROR(N3+IF(Q3&lt;0, (N3/(Q3/-100)), N3*(Q3/100)), "")</f>
      </c>
      <c r="U3" s="68" t="str">
        <f t="shared" ref="U3:U66" si="4">IFERROR(T3-N3, "")</f>
      </c>
      <c r="V3" s="68" t="str">
        <f t="shared" ref="V3:V66" si="5">IFERROR(O3+IF(R3&lt;0, (O3/(R3/-100)), O3*(R3/100)), "")</f>
      </c>
      <c r="W3" s="68" t="str">
        <f t="shared" ref="W3:W66" si="6">IFERROR(V3-O3, "")</f>
      </c>
      <c r="X3" s="68" t="n">
        <f t="shared" ref="X3:X66" si="7">P3+IF(S3&lt;0, (P3/(S3/-100)), P3*(S3/100))</f>
        <v>0</v>
      </c>
      <c r="Y3" s="68" t="n">
        <f t="shared" ref="Y3:Y66" si="8">S3-P3</f>
        <v>0</v>
      </c>
      <c r="Z3" s="67" t="str">
        <f>IF(OR('Prediction Log'!L4="", Table12[[#This Row],[Bet]]="", Table12[[#This Row],[Bet]]="Spread"), "",IF('Prediction Log'!L4=Table12[[#This Row],[Side]], "W", IF('Prediction Log'!L4&lt;&gt;Table12[[#This Row],[Side]], "L", "")))</f>
      </c>
      <c r="AA3" s="59" t="str">
        <f t="shared" ref="AA3:AA66" si="9">IF(Z3="W", U3, IF(Z3="L",-N3, ""))</f>
      </c>
      <c r="AB3" s="67" t="str">
        <f>IF(OR(Table12[[#This Row],[Bet]]="Side",Table12[[#This Row],[Bet]]="", 'Prediction Log'!L4=""), "",IF('Prediction Log'!U4="Y", "W", IF('Prediction Log'!U4="N", "L", "")))</f>
      </c>
      <c r="AC3" s="59" t="str">
        <f t="shared" ref="AC3:AC65" si="10">IF(AB3="W", W3, IF(AB3="L",-O3, ""))</f>
      </c>
      <c r="AD3" s="67"/>
      <c r="AE3" s="65" t="str">
        <f t="shared" ref="AE3:AE66" si="11">IF(AD3="W", Y3, IF(AD3="L",-R3, ""))</f>
      </c>
      <c r="AF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">
      <c r="A4" s="65" t="n">
        <f>IF(ISBLANK(Games!A4), "", Games!A4)</f>
        <v>0</v>
      </c>
      <c r="B4" s="65" t="str">
        <f>IF('Prediction Log'!B5=0, "",'Prediction Log'!B5)</f>
        <v>Nevada</v>
      </c>
      <c r="C4" s="65" t="str">
        <f>IF('Prediction Log'!C5=0, "",'Prediction Log'!C5)</f>
        <v>SMU</v>
      </c>
      <c r="D4" s="65" t="n">
        <f>IF('Prediction Log'!D5=0, "",'Prediction Log'!D5)</f>
        <v>27</v>
      </c>
      <c r="E4" s="58" t="n">
        <f>IF('Prediction Log'!E5=0, "",'Prediction Log'!E5)</f>
        <v>27.640836966073199</v>
      </c>
      <c r="F4" s="65" t="str">
        <f>IF('Prediction Log'!H5=0, "",'Prediction Log'!H5)</f>
        <v>SMU</v>
      </c>
      <c r="G4" s="64" t="str">
        <f>IF(ISBLANK(Games!B4), "",'Prediction Log'!$I5)</f>
        <v>SMU</v>
      </c>
      <c r="H4" s="66" t="n">
        <f>'Prediction Log'!$J5</f>
        <v>0.97563671613393177</v>
      </c>
      <c r="I4" s="65" t="str">
        <f>IF(ISBLANK(Games!T4), "",IF(AND(Games!T4="",Games!U4=""),"",IF(ISTEXT(Games!U4), "Side",Games!T4)))</f>
      </c>
      <c r="J4" s="65" t="str">
        <f>IF(ISBLANK(Games!T4), "",IF(Table12[[#This Row],[Bet]]="Spread", Games!X4, ""))</f>
      </c>
      <c r="K4" s="65" t="str">
        <f>IF(ISBLANK(Games!U4), "",IF(ISTEXT(Games!U4), Games!U4, ""))</f>
      </c>
      <c r="L4" s="57" t="str">
        <f>IF(ISBLANK(Games!D4), "", Games!D4)</f>
        <v>27</v>
      </c>
      <c r="M4" s="65"/>
      <c r="N4" s="75" t="str">
        <f>IF(Games!V4="", "",Games!V4)</f>
      </c>
      <c r="O4" s="75" t="str">
        <f>IF(Games!Z4=0, "",Games!Z4)</f>
      </c>
      <c r="P4" s="67"/>
      <c r="Q4" s="67" t="str">
        <f>IF(ISBLANK(Games!W4), "", Games!W4)</f>
      </c>
      <c r="R4" s="67" t="str">
        <f>IF(ISBLANK(Games!AA4), "", Games!AA4)</f>
      </c>
      <c r="S4" s="67"/>
      <c r="T4" s="68" t="str">
        <f t="shared" si="3"/>
      </c>
      <c r="U4" s="68" t="str">
        <f t="shared" si="4"/>
      </c>
      <c r="V4" s="68" t="str">
        <f t="shared" si="5"/>
      </c>
      <c r="W4" s="68" t="str">
        <f t="shared" si="6"/>
      </c>
      <c r="X4" s="68" t="n">
        <f t="shared" si="7"/>
        <v>0</v>
      </c>
      <c r="Y4" s="68" t="n">
        <f t="shared" si="8"/>
        <v>0</v>
      </c>
      <c r="Z4" s="67" t="str">
        <f>IF(OR('Prediction Log'!L5="", Table12[[#This Row],[Bet]]="", Table12[[#This Row],[Bet]]="Spread"), "",IF('Prediction Log'!L5=Table12[[#This Row],[Side]], "W", IF('Prediction Log'!L5&lt;&gt;Table12[[#This Row],[Side]], "L", "")))</f>
      </c>
      <c r="AA4" s="59" t="str">
        <f t="shared" si="9"/>
      </c>
      <c r="AB4" s="67" t="str">
        <f>IF(OR(Table12[[#This Row],[Bet]]="Side",Table12[[#This Row],[Bet]]="", 'Prediction Log'!L5=""), "",IF('Prediction Log'!U5="Y", "W", IF('Prediction Log'!U5="N", "L", "")))</f>
      </c>
      <c r="AC4" s="59" t="str">
        <f t="shared" si="10"/>
      </c>
      <c r="AD4" s="67"/>
      <c r="AE4" s="65" t="str">
        <f t="shared" si="11"/>
      </c>
      <c r="AF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">
      <c r="A5" s="65" t="n">
        <f>IF(ISBLANK(Games!A5), "", Games!A5)</f>
        <v>0</v>
      </c>
      <c r="B5" s="65" t="str">
        <f>IF('Prediction Log'!B6=0, "",'Prediction Log'!B6)</f>
        <v>Hawai'i</v>
      </c>
      <c r="C5" s="65" t="str">
        <f>IF('Prediction Log'!C6=0, "",'Prediction Log'!C6)</f>
        <v>Delaware State</v>
      </c>
      <c r="D5" s="65" t="n">
        <f>IF('Prediction Log'!D6=0, "",'Prediction Log'!D6)</f>
        <v>-38</v>
      </c>
      <c r="E5" s="58" t="n">
        <f>IF('Prediction Log'!E6=0, "",'Prediction Log'!E6)</f>
        <v>-12.8752906367628</v>
      </c>
      <c r="F5" s="65" t="str">
        <f>IF('Prediction Log'!H6=0, "",'Prediction Log'!H6)</f>
        <v>Hawai'i</v>
      </c>
      <c r="G5" s="64" t="str">
        <f>IF(ISBLANK(Games!B5), "",'Prediction Log'!$I6)</f>
        <v>Hawai'i</v>
      </c>
      <c r="H5" s="66" t="n">
        <f>'Prediction Log'!$J6</f>
        <v>0.89479900927687317</v>
      </c>
      <c r="I5" s="65" t="str">
        <f>IF(ISBLANK(Games!T5), "",IF(AND(Games!T5="",Games!U5=""),"",IF(ISTEXT(Games!U5), "Side",Games!T5)))</f>
      </c>
      <c r="J5" s="65" t="str">
        <f>IF(ISBLANK(Games!T5), "",IF(Table12[[#This Row],[Bet]]="Spread", Games!X5, ""))</f>
      </c>
      <c r="K5" s="65" t="str">
        <f>IF(ISBLANK(Games!U5), "",IF(ISTEXT(Games!U5), Games!U5, ""))</f>
      </c>
      <c r="L5" s="57" t="str">
        <f>IF(ISBLANK(Games!D5), "", Games!D5)</f>
        <v>-38</v>
      </c>
      <c r="M5" s="65"/>
      <c r="N5" s="75" t="str">
        <f>IF(Games!V5="", "",Games!V5)</f>
      </c>
      <c r="O5" s="75" t="str">
        <f>IF(Games!Z5=0, "",Games!Z5)</f>
      </c>
      <c r="P5" s="67"/>
      <c r="Q5" s="67" t="str">
        <f>IF(ISBLANK(Games!W5), "", Games!W5)</f>
      </c>
      <c r="R5" s="67" t="str">
        <f>IF(ISBLANK(Games!AA5), "", Games!AA5)</f>
      </c>
      <c r="S5" s="67"/>
      <c r="T5" s="68" t="str">
        <f t="shared" si="3"/>
      </c>
      <c r="U5" s="68" t="str">
        <f t="shared" si="4"/>
      </c>
      <c r="V5" s="68" t="str">
        <f t="shared" si="5"/>
      </c>
      <c r="W5" s="68" t="str">
        <f t="shared" si="6"/>
      </c>
      <c r="X5" s="68" t="n">
        <f t="shared" si="7"/>
        <v>0</v>
      </c>
      <c r="Y5" s="68" t="n">
        <f t="shared" si="8"/>
        <v>0</v>
      </c>
      <c r="Z5" s="67" t="str">
        <f>IF(OR('Prediction Log'!L6="", Table12[[#This Row],[Bet]]="", Table12[[#This Row],[Bet]]="Spread"), "",IF('Prediction Log'!L6=Table12[[#This Row],[Side]], "W", IF('Prediction Log'!L6&lt;&gt;Table12[[#This Row],[Side]], "L", "")))</f>
      </c>
      <c r="AA5" s="59" t="str">
        <f t="shared" si="9"/>
      </c>
      <c r="AB5" s="67" t="str">
        <f>IF(OR(Table12[[#This Row],[Bet]]="Side",Table12[[#This Row],[Bet]]="", 'Prediction Log'!L6=""), "",IF('Prediction Log'!U6="Y", "W", IF('Prediction Log'!U6="N", "L", "")))</f>
      </c>
      <c r="AC5" s="59" t="str">
        <f t="shared" si="10"/>
      </c>
      <c r="AD5" s="67"/>
      <c r="AE5" s="65" t="str">
        <f t="shared" si="11"/>
      </c>
      <c r="AF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">
      <c r="A6" s="65" t="n">
        <f>IF(ISBLANK(Games!A6), "", Games!A6)</f>
        <v>1</v>
      </c>
      <c r="B6" s="65" t="str">
        <f>IF('Prediction Log'!B7=0, "",'Prediction Log'!B7)</f>
        <v>Rutgers</v>
      </c>
      <c r="C6" s="65" t="str">
        <f>IF('Prediction Log'!C7=0, "",'Prediction Log'!C7)</f>
        <v>Howard</v>
      </c>
      <c r="D6" s="65" t="n">
        <f>IF('Prediction Log'!D7=0, "",'Prediction Log'!D7)</f>
        <v>-38.5</v>
      </c>
      <c r="E6" s="58" t="n">
        <f>IF('Prediction Log'!E7=0, "",'Prediction Log'!E7)</f>
        <v>-19.052336307585598</v>
      </c>
      <c r="F6" s="65" t="str">
        <f>IF('Prediction Log'!H7=0, "",'Prediction Log'!H7)</f>
        <v>Rutgers</v>
      </c>
      <c r="G6" s="64" t="str">
        <f>IF(ISBLANK(Games!B6), "",'Prediction Log'!$I7)</f>
        <v>Rutgers</v>
      </c>
      <c r="H6" s="66" t="n">
        <f>'Prediction Log'!$J7</f>
        <v>0.95389687067531637</v>
      </c>
      <c r="I6" s="65" t="str">
        <f>IF(ISBLANK(Games!T6), "",IF(AND(Games!T6="",Games!U6=""),"",IF(ISTEXT(Games!U6), "Side",Games!T6)))</f>
      </c>
      <c r="J6" s="65" t="str">
        <f>IF(ISBLANK(Games!T6), "",IF(Table12[[#This Row],[Bet]]="Spread", Games!X6, ""))</f>
      </c>
      <c r="K6" s="65" t="str">
        <f>IF(ISBLANK(Games!U6), "",IF(ISTEXT(Games!U6), Games!U6, ""))</f>
      </c>
      <c r="L6" s="57" t="n">
        <f>IF(ISBLANK(Games!D6), "", Games!D6)</f>
        <v>-38.5</v>
      </c>
      <c r="M6" s="65"/>
      <c r="N6" s="75" t="str">
        <f>IF(Games!V6="", "",Games!V6)</f>
      </c>
      <c r="O6" s="75" t="str">
        <f>IF(Games!Z6=0, "",Games!Z6)</f>
      </c>
      <c r="P6" s="67"/>
      <c r="Q6" s="67" t="str">
        <f>IF(ISBLANK(Games!W6), "", Games!W6)</f>
      </c>
      <c r="R6" s="67" t="str">
        <f>IF(ISBLANK(Games!AA6), "", Games!AA6)</f>
      </c>
      <c r="S6" s="67"/>
      <c r="T6" s="68" t="str">
        <f t="shared" si="3"/>
      </c>
      <c r="U6" s="68" t="str">
        <f t="shared" si="4"/>
      </c>
      <c r="V6" s="68" t="str">
        <f t="shared" si="5"/>
      </c>
      <c r="W6" s="68" t="str">
        <f t="shared" si="6"/>
      </c>
      <c r="X6" s="68" t="n">
        <f t="shared" si="7"/>
        <v>0</v>
      </c>
      <c r="Y6" s="68" t="n">
        <f t="shared" si="8"/>
        <v>0</v>
      </c>
      <c r="Z6" s="67" t="str">
        <f>IF(OR('Prediction Log'!L7="", Table12[[#This Row],[Bet]]="", Table12[[#This Row],[Bet]]="Spread"), "",IF('Prediction Log'!L7=Table12[[#This Row],[Side]], "W", IF('Prediction Log'!L7&lt;&gt;Table12[[#This Row],[Side]], "L", "")))</f>
      </c>
      <c r="AA6" s="59" t="str">
        <f t="shared" si="9"/>
      </c>
      <c r="AB6" s="67" t="str">
        <f>IF(OR(Table12[[#This Row],[Bet]]="Side",Table12[[#This Row],[Bet]]="", 'Prediction Log'!L7=""), "",IF('Prediction Log'!U7="Y", "W", IF('Prediction Log'!U7="N", "L", "")))</f>
      </c>
      <c r="AC6" s="59" t="str">
        <f t="shared" si="10"/>
      </c>
      <c r="AD6" s="67"/>
      <c r="AE6" s="65" t="str">
        <f t="shared" si="11"/>
      </c>
      <c r="AF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">
      <c r="A7" s="65" t="n">
        <f>IF(ISBLANK(Games!A7), "", Games!A7)</f>
        <v>1</v>
      </c>
      <c r="B7" s="65" t="str">
        <f>IF('Prediction Log'!B8=0, "",'Prediction Log'!B8)</f>
        <v>Louisiana Monroe</v>
      </c>
      <c r="C7" s="65" t="str">
        <f>IF('Prediction Log'!C8=0, "",'Prediction Log'!C8)</f>
        <v>Jackson State</v>
      </c>
      <c r="D7" s="65" t="str">
        <f>IF('Prediction Log'!D8=0, "",'Prediction Log'!D8)</f>
      </c>
      <c r="E7" s="58" t="n">
        <f>IF('Prediction Log'!E8=0, "",'Prediction Log'!E8)</f>
        <v>-3.6058587275568001</v>
      </c>
      <c r="F7" s="65" t="str">
        <f>IF('Prediction Log'!H8=0, "",'Prediction Log'!H8)</f>
        <v>Louisiana Monroe</v>
      </c>
      <c r="G7" s="64" t="str">
        <f>IF(ISBLANK(Games!B7), "",'Prediction Log'!$I8)</f>
        <v>Louisiana Monroe</v>
      </c>
      <c r="H7" s="66" t="n">
        <f>'Prediction Log'!$J8</f>
        <v>0.69141607341304401</v>
      </c>
      <c r="I7" s="65" t="str">
        <f>IF(ISBLANK(Games!T7), "",IF(AND(Games!T7="",Games!U7=""),"",IF(ISTEXT(Games!U7), "Side",Games!T7)))</f>
      </c>
      <c r="J7" s="65" t="str">
        <f>IF(ISBLANK(Games!T7), "",IF(Table12[[#This Row],[Bet]]="Spread", Games!X7, ""))</f>
      </c>
      <c r="K7" s="65" t="str">
        <f>IF(ISBLANK(Games!U7), "",IF(ISTEXT(Games!U7), Games!U7, ""))</f>
      </c>
      <c r="L7" s="57" t="str">
        <f>IF(ISBLANK(Games!D7), "", Games!D7)</f>
      </c>
      <c r="M7" s="65"/>
      <c r="N7" s="75" t="str">
        <f>IF(Games!V7="", "",Games!V7)</f>
      </c>
      <c r="O7" s="75" t="str">
        <f>IF(Games!Z7=0, "",Games!Z7)</f>
      </c>
      <c r="P7" s="67"/>
      <c r="Q7" s="67" t="str">
        <f>IF(ISBLANK(Games!W7), "", Games!W7)</f>
      </c>
      <c r="R7" s="67" t="str">
        <f>IF(ISBLANK(Games!AA7), "", Games!AA7)</f>
      </c>
      <c r="S7" s="67"/>
      <c r="T7" s="68" t="str">
        <f t="shared" si="3"/>
      </c>
      <c r="U7" s="68" t="str">
        <f t="shared" si="4"/>
      </c>
      <c r="V7" s="68" t="str">
        <f t="shared" si="5"/>
      </c>
      <c r="W7" s="68" t="str">
        <f t="shared" si="6"/>
      </c>
      <c r="X7" s="68" t="n">
        <f t="shared" si="7"/>
        <v>0</v>
      </c>
      <c r="Y7" s="68" t="n">
        <f t="shared" si="8"/>
        <v>0</v>
      </c>
      <c r="Z7" s="67" t="str">
        <f>IF(OR('Prediction Log'!L8="", Table12[[#This Row],[Bet]]="", Table12[[#This Row],[Bet]]="Spread"), "",IF('Prediction Log'!L8=Table12[[#This Row],[Side]], "W", IF('Prediction Log'!L8&lt;&gt;Table12[[#This Row],[Side]], "L", "")))</f>
      </c>
      <c r="AA7" s="59" t="str">
        <f t="shared" si="9"/>
      </c>
      <c r="AB7" s="67" t="str">
        <f>IF(OR(Table12[[#This Row],[Bet]]="Side",Table12[[#This Row],[Bet]]="", 'Prediction Log'!L8=""), "",IF('Prediction Log'!U8="Y", "W", IF('Prediction Log'!U8="N", "L", "")))</f>
      </c>
      <c r="AC7" s="59" t="str">
        <f t="shared" si="10"/>
      </c>
      <c r="AD7" s="67"/>
      <c r="AE7" s="65" t="str">
        <f t="shared" si="11"/>
      </c>
      <c r="AF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">
      <c r="A8" s="65" t="n">
        <f>IF(ISBLANK(Games!A8), "", Games!A8)</f>
        <v>1</v>
      </c>
      <c r="B8" s="65" t="str">
        <f>IF('Prediction Log'!B9=0, "",'Prediction Log'!B9)</f>
        <v>Central Michigan</v>
      </c>
      <c r="C8" s="65" t="str">
        <f>IF('Prediction Log'!C9=0, "",'Prediction Log'!C9)</f>
        <v>Central Connecticut</v>
      </c>
      <c r="D8" s="65" t="n">
        <f>IF('Prediction Log'!D9=0, "",'Prediction Log'!D9)</f>
        <v>-33.5</v>
      </c>
      <c r="E8" s="58" t="n">
        <f>IF('Prediction Log'!E9=0, "",'Prediction Log'!E9)</f>
        <v>-12.244867683710799</v>
      </c>
      <c r="F8" s="65" t="str">
        <f>IF('Prediction Log'!H9=0, "",'Prediction Log'!H9)</f>
        <v>Central Michigan</v>
      </c>
      <c r="G8" s="64" t="str">
        <f>IF(ISBLANK(Games!B8), "",'Prediction Log'!$I9)</f>
        <v>Central Michigan</v>
      </c>
      <c r="H8" s="66" t="n">
        <f>'Prediction Log'!$J9</f>
        <v>0.88594774490055628</v>
      </c>
      <c r="I8" s="65" t="str">
        <f>IF(ISBLANK(Games!T8), "",IF(AND(Games!T8="",Games!U8=""),"",IF(ISTEXT(Games!U8), "Side",Games!T8)))</f>
      </c>
      <c r="J8" s="65" t="str">
        <f>IF(ISBLANK(Games!T8), "",IF(Table12[[#This Row],[Bet]]="Spread", Games!X8, ""))</f>
      </c>
      <c r="K8" s="65" t="str">
        <f>IF(ISBLANK(Games!U8), "",IF(ISTEXT(Games!U8), Games!U8, ""))</f>
      </c>
      <c r="L8" s="57" t="n">
        <f>IF(ISBLANK(Games!D8), "", Games!D8)</f>
        <v>-33.5</v>
      </c>
      <c r="M8" s="65"/>
      <c r="N8" s="75" t="str">
        <f>IF(Games!V8="", "",Games!V8)</f>
      </c>
      <c r="O8" s="75" t="str">
        <f>IF(Games!Z8=0, "",Games!Z8)</f>
      </c>
      <c r="P8" s="67"/>
      <c r="Q8" s="67" t="str">
        <f>IF(ISBLANK(Games!W8), "", Games!W8)</f>
      </c>
      <c r="R8" s="67" t="str">
        <f>IF(ISBLANK(Games!AA8), "", Games!AA8)</f>
      </c>
      <c r="S8" s="67"/>
      <c r="T8" s="68" t="str">
        <f t="shared" si="3"/>
      </c>
      <c r="U8" s="68" t="str">
        <f t="shared" si="4"/>
      </c>
      <c r="V8" s="68" t="str">
        <f t="shared" si="5"/>
      </c>
      <c r="W8" s="68" t="str">
        <f t="shared" si="6"/>
      </c>
      <c r="X8" s="68" t="n">
        <f t="shared" si="7"/>
        <v>0</v>
      </c>
      <c r="Y8" s="68" t="n">
        <f t="shared" si="8"/>
        <v>0</v>
      </c>
      <c r="Z8" s="67" t="str">
        <f>IF(OR('Prediction Log'!L9="", Table12[[#This Row],[Bet]]="", Table12[[#This Row],[Bet]]="Spread"), "",IF('Prediction Log'!L9=Table12[[#This Row],[Side]], "W", IF('Prediction Log'!L9&lt;&gt;Table12[[#This Row],[Side]], "L", "")))</f>
      </c>
      <c r="AA8" s="59" t="str">
        <f t="shared" si="9"/>
      </c>
      <c r="AB8" s="67" t="str">
        <f>IF(OR(Table12[[#This Row],[Bet]]="Side",Table12[[#This Row],[Bet]]="", 'Prediction Log'!L9=""), "",IF('Prediction Log'!U9="Y", "W", IF('Prediction Log'!U9="N", "L", "")))</f>
      </c>
      <c r="AC8" s="59" t="str">
        <f t="shared" si="10"/>
      </c>
      <c r="AD8" s="67"/>
      <c r="AE8" s="65" t="str">
        <f t="shared" si="11"/>
      </c>
      <c r="AF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">
      <c r="A9" s="65" t="n">
        <f>IF(ISBLANK(Games!A9), "", Games!A9)</f>
        <v>1</v>
      </c>
      <c r="B9" s="65" t="str">
        <f>IF('Prediction Log'!B10=0, "",'Prediction Log'!B10)</f>
        <v>Buffalo</v>
      </c>
      <c r="C9" s="65" t="str">
        <f>IF('Prediction Log'!C10=0, "",'Prediction Log'!C10)</f>
        <v>Lafayette</v>
      </c>
      <c r="D9" s="65" t="n">
        <f>IF('Prediction Log'!D10=0, "",'Prediction Log'!D10)</f>
        <v>-3.5</v>
      </c>
      <c r="E9" s="58" t="n">
        <f>IF('Prediction Log'!E10=0, "",'Prediction Log'!E10)</f>
        <v>-10.1429084044328</v>
      </c>
      <c r="F9" s="65" t="str">
        <f>IF('Prediction Log'!H10=0, "",'Prediction Log'!H10)</f>
        <v>Buffalo</v>
      </c>
      <c r="G9" s="64" t="str">
        <f>IF(ISBLANK(Games!B9), "",'Prediction Log'!$I10)</f>
        <v>Buffalo</v>
      </c>
      <c r="H9" s="66" t="n">
        <f>'Prediction Log'!$J10</f>
        <v>0.85163783216744648</v>
      </c>
      <c r="I9" s="65" t="str">
        <f>IF(ISBLANK(Games!T9), "",IF(AND(Games!T9="",Games!U9=""),"",IF(ISTEXT(Games!U9), "Side",Games!T9)))</f>
      </c>
      <c r="J9" s="65" t="str">
        <f>IF(ISBLANK(Games!T9), "",IF(Table12[[#This Row],[Bet]]="Spread", Games!X9, ""))</f>
      </c>
      <c r="K9" s="65" t="str">
        <f>IF(ISBLANK(Games!U9), "",IF(ISTEXT(Games!U9), Games!U9, ""))</f>
      </c>
      <c r="L9" s="57" t="n">
        <f>IF(ISBLANK(Games!D9), "", Games!D9)</f>
        <v>-3.5</v>
      </c>
      <c r="M9" s="65"/>
      <c r="N9" s="75" t="str">
        <f>IF(Games!V9="", "",Games!V9)</f>
      </c>
      <c r="O9" s="75" t="str">
        <f>IF(Games!Z9=0, "",Games!Z9)</f>
      </c>
      <c r="P9" s="67"/>
      <c r="Q9" s="67" t="str">
        <f>IF(ISBLANK(Games!W9), "", Games!W9)</f>
      </c>
      <c r="R9" s="67" t="str">
        <f>IF(ISBLANK(Games!AA9), "", Games!AA9)</f>
      </c>
      <c r="S9" s="67"/>
      <c r="T9" s="68" t="str">
        <f t="shared" si="3"/>
      </c>
      <c r="U9" s="68" t="str">
        <f t="shared" si="4"/>
      </c>
      <c r="V9" s="68" t="str">
        <f t="shared" si="5"/>
      </c>
      <c r="W9" s="68" t="str">
        <f t="shared" si="6"/>
      </c>
      <c r="X9" s="68" t="n">
        <f t="shared" si="7"/>
        <v>0</v>
      </c>
      <c r="Y9" s="68" t="n">
        <f t="shared" si="8"/>
        <v>0</v>
      </c>
      <c r="Z9" s="67" t="str">
        <f>IF(OR('Prediction Log'!L10="", Table12[[#This Row],[Bet]]="", Table12[[#This Row],[Bet]]="Spread"), "",IF('Prediction Log'!L10=Table12[[#This Row],[Side]], "W", IF('Prediction Log'!L10&lt;&gt;Table12[[#This Row],[Side]], "L", "")))</f>
      </c>
      <c r="AA9" s="59" t="str">
        <f t="shared" si="9"/>
      </c>
      <c r="AB9" s="67" t="str">
        <f>IF(OR(Table12[[#This Row],[Bet]]="Side",Table12[[#This Row],[Bet]]="", 'Prediction Log'!L10=""), "",IF('Prediction Log'!U10="Y", "W", IF('Prediction Log'!U10="N", "L", "")))</f>
      </c>
      <c r="AC9" s="59" t="str">
        <f t="shared" si="10"/>
      </c>
      <c r="AD9" s="67"/>
      <c r="AE9" s="65" t="str">
        <f t="shared" si="11"/>
      </c>
      <c r="AF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">
      <c r="A10" s="65" t="n">
        <f>IF(ISBLANK(Games!A10), "", Games!A10)</f>
        <v>1</v>
      </c>
      <c r="B10" s="65" t="str">
        <f>IF('Prediction Log'!B11=0, "",'Prediction Log'!B11)</f>
        <v>NC State</v>
      </c>
      <c r="C10" s="65" t="str">
        <f>IF('Prediction Log'!C11=0, "",'Prediction Log'!C11)</f>
        <v>Western Carolina</v>
      </c>
      <c r="D10" s="65" t="str">
        <f>IF('Prediction Log'!D11=0, "",'Prediction Log'!D11)</f>
      </c>
      <c r="E10" s="58" t="n">
        <f>IF('Prediction Log'!E11=0, "",'Prediction Log'!E11)</f>
        <v>-23.810738659483601</v>
      </c>
      <c r="F10" s="65" t="str">
        <f>IF('Prediction Log'!H11=0, "",'Prediction Log'!H11)</f>
        <v>NC State</v>
      </c>
      <c r="G10" s="64" t="str">
        <f>IF(ISBLANK(Games!B10), "",'Prediction Log'!$I11)</f>
        <v>NC State</v>
      </c>
      <c r="H10" s="66" t="n">
        <f>'Prediction Log'!$J11</f>
        <v>0.9762111954718945</v>
      </c>
      <c r="I10" s="65" t="str">
        <f>IF(ISBLANK(Games!T10), "",IF(AND(Games!T10="",Games!U10=""),"",IF(ISTEXT(Games!U10), "Side",Games!T10)))</f>
      </c>
      <c r="J10" s="65" t="str">
        <f>IF(ISBLANK(Games!T10), "",IF(Table12[[#This Row],[Bet]]="Spread", Games!X10, ""))</f>
      </c>
      <c r="K10" s="65" t="str">
        <f>IF(ISBLANK(Games!U10), "",IF(ISTEXT(Games!U10), Games!U10, ""))</f>
      </c>
      <c r="L10" s="57" t="str">
        <f>IF(ISBLANK(Games!D10), "", Games!D10)</f>
      </c>
      <c r="M10" s="65"/>
      <c r="N10" s="75" t="str">
        <f>IF(Games!V10="", "",Games!V10)</f>
      </c>
      <c r="O10" s="75" t="str">
        <f>IF(Games!Z10=0, "",Games!Z10)</f>
      </c>
      <c r="P10" s="67"/>
      <c r="Q10" s="67" t="str">
        <f>IF(ISBLANK(Games!W10), "", Games!W10)</f>
      </c>
      <c r="R10" s="67" t="str">
        <f>IF(ISBLANK(Games!AA10), "", Games!AA10)</f>
      </c>
      <c r="S10" s="67"/>
      <c r="T10" s="68" t="str">
        <f t="shared" si="3"/>
      </c>
      <c r="U10" s="68" t="str">
        <f t="shared" si="4"/>
      </c>
      <c r="V10" s="68" t="str">
        <f t="shared" si="5"/>
      </c>
      <c r="W10" s="68" t="str">
        <f t="shared" si="6"/>
      </c>
      <c r="X10" s="68" t="n">
        <f t="shared" si="7"/>
        <v>0</v>
      </c>
      <c r="Y10" s="68" t="n">
        <f t="shared" si="8"/>
        <v>0</v>
      </c>
      <c r="Z10" s="67" t="str">
        <f>IF(OR('Prediction Log'!L11="", Table12[[#This Row],[Bet]]="", Table12[[#This Row],[Bet]]="Spread"), "",IF('Prediction Log'!L11=Table12[[#This Row],[Side]], "W", IF('Prediction Log'!L11&lt;&gt;Table12[[#This Row],[Side]], "L", "")))</f>
      </c>
      <c r="AA10" s="59" t="str">
        <f t="shared" si="9"/>
      </c>
      <c r="AB10" s="67" t="str">
        <f>IF(OR(Table12[[#This Row],[Bet]]="Side",Table12[[#This Row],[Bet]]="", 'Prediction Log'!L11=""), "",IF('Prediction Log'!U11="Y", "W", IF('Prediction Log'!U11="N", "L", "")))</f>
      </c>
      <c r="AC10" s="59" t="str">
        <f t="shared" si="10"/>
      </c>
      <c r="AD10" s="67"/>
      <c r="AE10" s="65" t="str">
        <f t="shared" si="11"/>
      </c>
      <c r="AF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">
      <c r="A11" s="65" t="n">
        <f>IF(ISBLANK(Games!A11), "", Games!A11)</f>
        <v>1</v>
      </c>
      <c r="B11" s="65" t="str">
        <f>IF('Prediction Log'!B12=0, "",'Prediction Log'!B12)</f>
        <v>UCF</v>
      </c>
      <c r="C11" s="65" t="str">
        <f>IF('Prediction Log'!C12=0, "",'Prediction Log'!C12)</f>
        <v>New Hampshire</v>
      </c>
      <c r="D11" s="65" t="str">
        <f>IF('Prediction Log'!D12=0, "",'Prediction Log'!D12)</f>
      </c>
      <c r="E11" s="58" t="n">
        <f>IF('Prediction Log'!E12=0, "",'Prediction Log'!E12)</f>
        <v>-25.499654989538399</v>
      </c>
      <c r="F11" s="65" t="str">
        <f>IF('Prediction Log'!H12=0, "",'Prediction Log'!H12)</f>
        <v>UCF</v>
      </c>
      <c r="G11" s="64" t="str">
        <f>IF(ISBLANK(Games!B11), "",'Prediction Log'!$I12)</f>
        <v>UCF</v>
      </c>
      <c r="H11" s="66" t="n">
        <f>'Prediction Log'!$J12</f>
        <v>0.98124788334325064</v>
      </c>
      <c r="I11" s="65" t="str">
        <f>IF(ISBLANK(Games!T11), "",IF(AND(Games!T11="",Games!U11=""),"",IF(ISTEXT(Games!U11), "Side",Games!T11)))</f>
      </c>
      <c r="J11" s="65" t="str">
        <f>IF(ISBLANK(Games!T11), "",IF(Table12[[#This Row],[Bet]]="Spread", Games!X11, ""))</f>
      </c>
      <c r="K11" s="65" t="str">
        <f>IF(ISBLANK(Games!U11), "",IF(ISTEXT(Games!U11), Games!U11, ""))</f>
      </c>
      <c r="L11" s="57" t="str">
        <f>IF(ISBLANK(Games!D11), "", Games!D11)</f>
      </c>
      <c r="M11" s="65"/>
      <c r="N11" s="75" t="str">
        <f>IF(Games!V11="", "",Games!V11)</f>
      </c>
      <c r="O11" s="75" t="str">
        <f>IF(Games!Z11=0, "",Games!Z11)</f>
      </c>
      <c r="P11" s="67"/>
      <c r="Q11" s="67" t="str">
        <f>IF(ISBLANK(Games!W11), "", Games!W11)</f>
      </c>
      <c r="R11" s="67" t="str">
        <f>IF(ISBLANK(Games!AA11), "", Games!AA11)</f>
      </c>
      <c r="S11" s="67"/>
      <c r="T11" s="68" t="str">
        <f t="shared" si="3"/>
      </c>
      <c r="U11" s="68" t="str">
        <f t="shared" si="4"/>
      </c>
      <c r="V11" s="68" t="str">
        <f t="shared" si="5"/>
      </c>
      <c r="W11" s="68" t="str">
        <f t="shared" si="6"/>
      </c>
      <c r="X11" s="68" t="n">
        <f t="shared" si="7"/>
        <v>0</v>
      </c>
      <c r="Y11" s="68" t="n">
        <f t="shared" si="8"/>
        <v>0</v>
      </c>
      <c r="Z11" s="67" t="str">
        <f>IF(OR('Prediction Log'!L12="", Table12[[#This Row],[Bet]]="", Table12[[#This Row],[Bet]]="Spread"), "",IF('Prediction Log'!L12=Table12[[#This Row],[Side]], "W", IF('Prediction Log'!L12&lt;&gt;Table12[[#This Row],[Side]], "L", "")))</f>
      </c>
      <c r="AA11" s="59" t="str">
        <f t="shared" si="9"/>
      </c>
      <c r="AB11" s="67" t="str">
        <f>IF(OR(Table12[[#This Row],[Bet]]="Side",Table12[[#This Row],[Bet]]="", 'Prediction Log'!L12=""), "",IF('Prediction Log'!U12="Y", "W", IF('Prediction Log'!U12="N", "L", "")))</f>
      </c>
      <c r="AC11" s="59" t="str">
        <f t="shared" si="10"/>
      </c>
      <c r="AD11" s="67"/>
      <c r="AE11" s="65" t="str">
        <f t="shared" si="11"/>
      </c>
      <c r="AF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">
      <c r="A12" s="65" t="n">
        <f>IF(ISBLANK(Games!A12), "", Games!A12)</f>
        <v>1</v>
      </c>
      <c r="B12" s="65" t="str">
        <f>IF('Prediction Log'!B13=0, "",'Prediction Log'!B13)</f>
        <v>Bowling Green</v>
      </c>
      <c r="C12" s="65" t="str">
        <f>IF('Prediction Log'!C13=0, "",'Prediction Log'!C13)</f>
        <v>Fordham</v>
      </c>
      <c r="D12" s="65" t="str">
        <f>IF('Prediction Log'!D13=0, "",'Prediction Log'!D13)</f>
      </c>
      <c r="E12" s="58" t="n">
        <f>IF('Prediction Log'!E13=0, "",'Prediction Log'!E13)</f>
        <v>-17.806021965062801</v>
      </c>
      <c r="F12" s="65" t="str">
        <f>IF('Prediction Log'!H13=0, "",'Prediction Log'!H13)</f>
        <v>Bowling Green</v>
      </c>
      <c r="G12" s="64" t="str">
        <f>IF(ISBLANK(Games!B12), "",'Prediction Log'!$I13)</f>
        <v>Bowling Green</v>
      </c>
      <c r="H12" s="66" t="n">
        <f>'Prediction Log'!$J13</f>
        <v>0.9453349985465499</v>
      </c>
      <c r="I12" s="65" t="str">
        <f>IF(ISBLANK(Games!T12), "",IF(AND(Games!T12="",Games!U12=""),"",IF(ISTEXT(Games!U12), "Side",Games!T12)))</f>
      </c>
      <c r="J12" s="65" t="str">
        <f>IF(ISBLANK(Games!T12), "",IF(Table12[[#This Row],[Bet]]="Spread", Games!X12, ""))</f>
      </c>
      <c r="K12" s="65" t="str">
        <f>IF(ISBLANK(Games!U12), "",IF(ISTEXT(Games!U12), Games!U12, ""))</f>
      </c>
      <c r="L12" s="57" t="str">
        <f>IF(ISBLANK(Games!D12), "", Games!D12)</f>
      </c>
      <c r="M12" s="65"/>
      <c r="N12" s="75" t="str">
        <f>IF(Games!V12="", "",Games!V12)</f>
      </c>
      <c r="O12" s="75" t="str">
        <f>IF(Games!Z12=0, "",Games!Z12)</f>
      </c>
      <c r="P12" s="67"/>
      <c r="Q12" s="67" t="str">
        <f>IF(ISBLANK(Games!W12), "", Games!W12)</f>
      </c>
      <c r="R12" s="67" t="str">
        <f>IF(ISBLANK(Games!AA12), "", Games!AA12)</f>
      </c>
      <c r="S12" s="67"/>
      <c r="T12" s="68" t="str">
        <f t="shared" si="3"/>
      </c>
      <c r="U12" s="68" t="str">
        <f t="shared" si="4"/>
      </c>
      <c r="V12" s="68" t="str">
        <f t="shared" si="5"/>
      </c>
      <c r="W12" s="68" t="str">
        <f t="shared" si="6"/>
      </c>
      <c r="X12" s="68" t="n">
        <f t="shared" si="7"/>
        <v>0</v>
      </c>
      <c r="Y12" s="68" t="n">
        <f t="shared" si="8"/>
        <v>0</v>
      </c>
      <c r="Z12" s="67" t="str">
        <f>IF(OR('Prediction Log'!L13="", Table12[[#This Row],[Bet]]="", Table12[[#This Row],[Bet]]="Spread"), "",IF('Prediction Log'!L13=Table12[[#This Row],[Side]], "W", IF('Prediction Log'!L13&lt;&gt;Table12[[#This Row],[Side]], "L", "")))</f>
      </c>
      <c r="AA12" s="59" t="str">
        <f t="shared" si="9"/>
      </c>
      <c r="AB12" s="67" t="str">
        <f>IF(OR(Table12[[#This Row],[Bet]]="Side",Table12[[#This Row],[Bet]]="", 'Prediction Log'!L13=""), "",IF('Prediction Log'!U13="Y", "W", IF('Prediction Log'!U13="N", "L", "")))</f>
      </c>
      <c r="AC12" s="59" t="str">
        <f t="shared" si="10"/>
      </c>
      <c r="AD12" s="67"/>
      <c r="AE12" s="65" t="str">
        <f t="shared" si="11"/>
      </c>
      <c r="AF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">
      <c r="A13" s="65" t="n">
        <f>IF(ISBLANK(Games!A13), "", Games!A13)</f>
        <v>1</v>
      </c>
      <c r="B13" s="65" t="str">
        <f>IF('Prediction Log'!B14=0, "",'Prediction Log'!B14)</f>
        <v>Wake Forest</v>
      </c>
      <c r="C13" s="65" t="str">
        <f>IF('Prediction Log'!C14=0, "",'Prediction Log'!C14)</f>
        <v>North Carolina A&amp;T</v>
      </c>
      <c r="D13" s="65" t="str">
        <f>IF('Prediction Log'!D14=0, "",'Prediction Log'!D14)</f>
      </c>
      <c r="E13" s="58" t="n">
        <f>IF('Prediction Log'!E14=0, "",'Prediction Log'!E14)</f>
        <v>-16.359749818987201</v>
      </c>
      <c r="F13" s="65" t="str">
        <f>IF('Prediction Log'!H14=0, "",'Prediction Log'!H14)</f>
        <v>Wake Forest</v>
      </c>
      <c r="G13" s="64" t="str">
        <f>IF(ISBLANK(Games!B13), "",'Prediction Log'!$I14)</f>
        <v>Wake Forest</v>
      </c>
      <c r="H13" s="66" t="n">
        <f>'Prediction Log'!$J14</f>
        <v>0.93352739432176124</v>
      </c>
      <c r="I13" s="65" t="str">
        <f>IF(ISBLANK(Games!T13), "",IF(AND(Games!T13="",Games!U13=""),"",IF(ISTEXT(Games!U13), "Side",Games!T13)))</f>
      </c>
      <c r="J13" s="65" t="str">
        <f>IF(ISBLANK(Games!T13), "",IF(Table12[[#This Row],[Bet]]="Spread", Games!X13, ""))</f>
      </c>
      <c r="K13" s="65" t="str">
        <f>IF(ISBLANK(Games!U13), "",IF(ISTEXT(Games!U13), Games!U13, ""))</f>
      </c>
      <c r="L13" s="57" t="str">
        <f>IF(ISBLANK(Games!D13), "", Games!D13)</f>
      </c>
      <c r="M13" s="65"/>
      <c r="N13" s="75" t="str">
        <f>IF(Games!V13="", "",Games!V13)</f>
      </c>
      <c r="O13" s="75" t="str">
        <f>IF(Games!Z13=0, "",Games!Z13)</f>
      </c>
      <c r="P13" s="67"/>
      <c r="Q13" s="67" t="str">
        <f>IF(ISBLANK(Games!W13), "", Games!W13)</f>
      </c>
      <c r="R13" s="67" t="str">
        <f>IF(ISBLANK(Games!AA13), "", Games!AA13)</f>
      </c>
      <c r="S13" s="67"/>
      <c r="T13" s="68" t="str">
        <f t="shared" si="3"/>
      </c>
      <c r="U13" s="68" t="str">
        <f t="shared" si="4"/>
      </c>
      <c r="V13" s="68" t="str">
        <f t="shared" si="5"/>
      </c>
      <c r="W13" s="68" t="str">
        <f t="shared" si="6"/>
      </c>
      <c r="X13" s="68" t="n">
        <f t="shared" si="7"/>
        <v>0</v>
      </c>
      <c r="Y13" s="68" t="n">
        <f t="shared" si="8"/>
        <v>0</v>
      </c>
      <c r="Z13" s="67" t="str">
        <f>IF(OR('Prediction Log'!L14="", Table12[[#This Row],[Bet]]="", Table12[[#This Row],[Bet]]="Spread"), "",IF('Prediction Log'!L14=Table12[[#This Row],[Side]], "W", IF('Prediction Log'!L14&lt;&gt;Table12[[#This Row],[Side]], "L", "")))</f>
      </c>
      <c r="AA13" s="59" t="str">
        <f t="shared" si="9"/>
      </c>
      <c r="AB13" s="67" t="str">
        <f>IF(OR(Table12[[#This Row],[Bet]]="Side",Table12[[#This Row],[Bet]]="", 'Prediction Log'!L14=""), "",IF('Prediction Log'!U14="Y", "W", IF('Prediction Log'!U14="N", "L", "")))</f>
      </c>
      <c r="AC13" s="59" t="str">
        <f t="shared" si="10"/>
      </c>
      <c r="AD13" s="67"/>
      <c r="AE13" s="65" t="str">
        <f t="shared" si="11"/>
      </c>
      <c r="AF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">
      <c r="A14" s="65" t="n">
        <f>IF(ISBLANK(Games!A14), "", Games!A14)</f>
        <v>1</v>
      </c>
      <c r="B14" s="65" t="str">
        <f>IF('Prediction Log'!B15=0, "",'Prediction Log'!B15)</f>
        <v>Arkansas</v>
      </c>
      <c r="C14" s="65" t="str">
        <f>IF('Prediction Log'!C15=0, "",'Prediction Log'!C15)</f>
        <v>Arkansas-Pine Bluff</v>
      </c>
      <c r="D14" s="65" t="str">
        <f>IF('Prediction Log'!D15=0, "",'Prediction Log'!D15)</f>
      </c>
      <c r="E14" s="58" t="n">
        <f>IF('Prediction Log'!E15=0, "",'Prediction Log'!E15)</f>
        <v>-19.738279326680399</v>
      </c>
      <c r="F14" s="65" t="str">
        <f>IF('Prediction Log'!H15=0, "",'Prediction Log'!H15)</f>
        <v>Arkansas</v>
      </c>
      <c r="G14" s="64" t="str">
        <f>IF(ISBLANK(Games!B14), "",'Prediction Log'!$I15)</f>
        <v>Arkansas</v>
      </c>
      <c r="H14" s="66" t="n">
        <f>'Prediction Log'!$J15</f>
        <v>0.94482901187767121</v>
      </c>
      <c r="I14" s="65" t="str">
        <f>IF(ISBLANK(Games!T14), "",IF(AND(Games!T14="",Games!U14=""),"",IF(ISTEXT(Games!U14), "Side",Games!T14)))</f>
      </c>
      <c r="J14" s="65" t="str">
        <f>IF(ISBLANK(Games!T14), "",IF(Table12[[#This Row],[Bet]]="Spread", Games!X14, ""))</f>
      </c>
      <c r="K14" s="65" t="str">
        <f>IF(ISBLANK(Games!U14), "",IF(ISTEXT(Games!U14), Games!U14, ""))</f>
      </c>
      <c r="L14" s="57" t="str">
        <f>IF(ISBLANK(Games!D14), "", Games!D14)</f>
      </c>
      <c r="M14" s="65"/>
      <c r="N14" s="75" t="str">
        <f>IF(Games!V14="", "",Games!V14)</f>
      </c>
      <c r="O14" s="75" t="str">
        <f>IF(Games!Z14=0, "",Games!Z14)</f>
      </c>
      <c r="P14" s="67"/>
      <c r="Q14" s="67" t="str">
        <f>IF(ISBLANK(Games!W14), "", Games!W14)</f>
      </c>
      <c r="R14" s="67" t="str">
        <f>IF(ISBLANK(Games!AA14), "", Games!AA14)</f>
      </c>
      <c r="S14" s="67"/>
      <c r="T14" s="68" t="str">
        <f t="shared" si="3"/>
      </c>
      <c r="U14" s="68" t="str">
        <f t="shared" si="4"/>
      </c>
      <c r="V14" s="68" t="str">
        <f t="shared" si="5"/>
      </c>
      <c r="W14" s="68" t="str">
        <f t="shared" si="6"/>
      </c>
      <c r="X14" s="68" t="n">
        <f t="shared" si="7"/>
        <v>0</v>
      </c>
      <c r="Y14" s="68" t="n">
        <f t="shared" si="8"/>
        <v>0</v>
      </c>
      <c r="Z14" s="67" t="str">
        <f>IF(OR('Prediction Log'!L15="", Table12[[#This Row],[Bet]]="", Table12[[#This Row],[Bet]]="Spread"), "",IF('Prediction Log'!L15=Table12[[#This Row],[Side]], "W", IF('Prediction Log'!L15&lt;&gt;Table12[[#This Row],[Side]], "L", "")))</f>
      </c>
      <c r="AA14" s="59" t="str">
        <f t="shared" si="9"/>
      </c>
      <c r="AB14" s="67" t="str">
        <f>IF(OR(Table12[[#This Row],[Bet]]="Side",Table12[[#This Row],[Bet]]="", 'Prediction Log'!L15=""), "",IF('Prediction Log'!U15="Y", "W", IF('Prediction Log'!U15="N", "L", "")))</f>
      </c>
      <c r="AC14" s="59" t="str">
        <f t="shared" si="10"/>
      </c>
      <c r="AD14" s="67"/>
      <c r="AE14" s="65" t="str">
        <f t="shared" si="11"/>
      </c>
      <c r="AF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">
      <c r="A15" s="65" t="n">
        <f>IF(ISBLANK(Games!A15), "", Games!A15)</f>
        <v>1</v>
      </c>
      <c r="B15" s="65" t="str">
        <f>IF('Prediction Log'!B16=0, "",'Prediction Log'!B16)</f>
        <v>Toledo</v>
      </c>
      <c r="C15" s="65" t="str">
        <f>IF('Prediction Log'!C16=0, "",'Prediction Log'!C16)</f>
        <v>Duquesne</v>
      </c>
      <c r="D15" s="65" t="str">
        <f>IF('Prediction Log'!D16=0, "",'Prediction Log'!D16)</f>
      </c>
      <c r="E15" s="58" t="n">
        <f>IF('Prediction Log'!E16=0, "",'Prediction Log'!E16)</f>
        <v>-22.003995641708801</v>
      </c>
      <c r="F15" s="65" t="str">
        <f>IF('Prediction Log'!H16=0, "",'Prediction Log'!H16)</f>
        <v>Toledo</v>
      </c>
      <c r="G15" s="64" t="str">
        <f>IF(ISBLANK(Games!B15), "",'Prediction Log'!$I16)</f>
        <v>Toledo</v>
      </c>
      <c r="H15" s="66" t="n">
        <f>'Prediction Log'!$J16</f>
        <v>0.96936365135774272</v>
      </c>
      <c r="I15" s="65" t="str">
        <f>IF(ISBLANK(Games!T15), "",IF(AND(Games!T15="",Games!U15=""),"",IF(ISTEXT(Games!U15), "Side",Games!T15)))</f>
      </c>
      <c r="J15" s="65" t="str">
        <f>IF(ISBLANK(Games!T15), "",IF(Table12[[#This Row],[Bet]]="Spread", Games!X15, ""))</f>
      </c>
      <c r="K15" s="65" t="str">
        <f>IF(ISBLANK(Games!U15), "",IF(ISTEXT(Games!U15), Games!U15, ""))</f>
      </c>
      <c r="L15" s="57" t="str">
        <f>IF(ISBLANK(Games!D15), "", Games!D15)</f>
      </c>
      <c r="M15" s="65"/>
      <c r="N15" s="75" t="str">
        <f>IF(Games!V15="", "",Games!V15)</f>
      </c>
      <c r="O15" s="75" t="str">
        <f>IF(Games!Z15=0, "",Games!Z15)</f>
      </c>
      <c r="P15" s="67"/>
      <c r="Q15" s="67" t="str">
        <f>IF(ISBLANK(Games!W15), "", Games!W15)</f>
      </c>
      <c r="R15" s="67" t="str">
        <f>IF(ISBLANK(Games!AA15), "", Games!AA15)</f>
      </c>
      <c r="S15" s="67"/>
      <c r="T15" s="68" t="str">
        <f t="shared" si="3"/>
      </c>
      <c r="U15" s="68" t="str">
        <f t="shared" si="4"/>
      </c>
      <c r="V15" s="68" t="str">
        <f t="shared" si="5"/>
      </c>
      <c r="W15" s="68" t="str">
        <f t="shared" si="6"/>
      </c>
      <c r="X15" s="68" t="n">
        <f t="shared" si="7"/>
        <v>0</v>
      </c>
      <c r="Y15" s="68" t="n">
        <f t="shared" si="8"/>
        <v>0</v>
      </c>
      <c r="Z15" s="67" t="str">
        <f>IF(OR('Prediction Log'!L16="", Table12[[#This Row],[Bet]]="", Table12[[#This Row],[Bet]]="Spread"), "",IF('Prediction Log'!L16=Table12[[#This Row],[Side]], "W", IF('Prediction Log'!L16&lt;&gt;Table12[[#This Row],[Side]], "L", "")))</f>
      </c>
      <c r="AA15" s="59" t="str">
        <f t="shared" si="9"/>
      </c>
      <c r="AB15" s="67" t="str">
        <f>IF(OR(Table12[[#This Row],[Bet]]="Side",Table12[[#This Row],[Bet]]="", 'Prediction Log'!L16=""), "",IF('Prediction Log'!U16="Y", "W", IF('Prediction Log'!U16="N", "L", "")))</f>
      </c>
      <c r="AC15" s="59" t="str">
        <f t="shared" si="10"/>
      </c>
      <c r="AD15" s="67"/>
      <c r="AE15" s="65" t="str">
        <f t="shared" si="11"/>
      </c>
      <c r="AF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">
      <c r="A16" s="65" t="n">
        <f>IF(ISBLANK(Games!A16), "", Games!A16)</f>
        <v>1</v>
      </c>
      <c r="B16" s="65" t="str">
        <f>IF('Prediction Log'!B17=0, "",'Prediction Log'!B17)</f>
        <v>Tulsa</v>
      </c>
      <c r="C16" s="65" t="str">
        <f>IF('Prediction Log'!C17=0, "",'Prediction Log'!C17)</f>
        <v>Northwestern State</v>
      </c>
      <c r="D16" s="65" t="str">
        <f>IF('Prediction Log'!D17=0, "",'Prediction Log'!D17)</f>
      </c>
      <c r="E16" s="58" t="n">
        <f>IF('Prediction Log'!E17=0, "",'Prediction Log'!E17)</f>
        <v>-11.934222115430799</v>
      </c>
      <c r="F16" s="65" t="str">
        <f>IF('Prediction Log'!H17=0, "",'Prediction Log'!H17)</f>
        <v>Tulsa</v>
      </c>
      <c r="G16" s="64" t="str">
        <f>IF(ISBLANK(Games!B16), "",'Prediction Log'!$I17)</f>
        <v>Tulsa</v>
      </c>
      <c r="H16" s="66" t="n">
        <f>'Prediction Log'!$J17</f>
        <v>0.88135197826722744</v>
      </c>
      <c r="I16" s="65" t="str">
        <f>IF(ISBLANK(Games!T16), "",IF(AND(Games!T16="",Games!U16=""),"",IF(ISTEXT(Games!U16), "Side",Games!T16)))</f>
      </c>
      <c r="J16" s="65" t="str">
        <f>IF(ISBLANK(Games!T16), "",IF(Table12[[#This Row],[Bet]]="Spread", Games!X16, ""))</f>
      </c>
      <c r="K16" s="65" t="str">
        <f>IF(ISBLANK(Games!U16), "",IF(ISTEXT(Games!U16), Games!U16, ""))</f>
      </c>
      <c r="L16" s="57" t="str">
        <f>IF(ISBLANK(Games!D16), "", Games!D16)</f>
      </c>
      <c r="M16" s="65"/>
      <c r="N16" s="75" t="str">
        <f>IF(Games!V16="", "",Games!V16)</f>
      </c>
      <c r="O16" s="75" t="str">
        <f>IF(Games!Z16=0, "",Games!Z16)</f>
      </c>
      <c r="P16" s="67"/>
      <c r="Q16" s="67" t="str">
        <f>IF(ISBLANK(Games!W16), "", Games!W16)</f>
      </c>
      <c r="R16" s="67" t="str">
        <f>IF(ISBLANK(Games!AA16), "", Games!AA16)</f>
      </c>
      <c r="S16" s="67"/>
      <c r="T16" s="68" t="str">
        <f t="shared" si="3"/>
      </c>
      <c r="U16" s="68" t="str">
        <f t="shared" si="4"/>
      </c>
      <c r="V16" s="68" t="str">
        <f t="shared" si="5"/>
      </c>
      <c r="W16" s="68" t="str">
        <f t="shared" si="6"/>
      </c>
      <c r="X16" s="68" t="n">
        <f t="shared" si="7"/>
        <v>0</v>
      </c>
      <c r="Y16" s="68" t="n">
        <f t="shared" si="8"/>
        <v>0</v>
      </c>
      <c r="Z16" s="67" t="str">
        <f>IF(OR('Prediction Log'!L17="", Table12[[#This Row],[Bet]]="", Table12[[#This Row],[Bet]]="Spread"), "",IF('Prediction Log'!L17=Table12[[#This Row],[Side]], "W", IF('Prediction Log'!L17&lt;&gt;Table12[[#This Row],[Side]], "L", "")))</f>
      </c>
      <c r="AA16" s="59" t="str">
        <f t="shared" si="9"/>
      </c>
      <c r="AB16" s="67" t="str">
        <f>IF(OR(Table12[[#This Row],[Bet]]="Side",Table12[[#This Row],[Bet]]="", 'Prediction Log'!L17=""), "",IF('Prediction Log'!U17="Y", "W", IF('Prediction Log'!U17="N", "L", "")))</f>
      </c>
      <c r="AC16" s="59" t="str">
        <f t="shared" si="10"/>
      </c>
      <c r="AD16" s="67"/>
      <c r="AE16" s="65" t="str">
        <f t="shared" si="11"/>
      </c>
      <c r="AF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">
      <c r="A17" s="65" t="n">
        <f>IF(ISBLANK(Games!A17), "", Games!A17)</f>
        <v>1</v>
      </c>
      <c r="B17" s="65" t="str">
        <f>IF('Prediction Log'!B18=0, "",'Prediction Log'!B18)</f>
        <v>Minnesota</v>
      </c>
      <c r="C17" s="65" t="str">
        <f>IF('Prediction Log'!C18=0, "",'Prediction Log'!C18)</f>
        <v>North Carolina</v>
      </c>
      <c r="D17" s="65" t="n">
        <f>IF('Prediction Log'!D18=0, "",'Prediction Log'!D18)</f>
        <v>-2.5</v>
      </c>
      <c r="E17" s="58" t="n">
        <f>IF('Prediction Log'!E18=0, "",'Prediction Log'!E18)</f>
        <v>9.1</v>
      </c>
      <c r="F17" s="65" t="str">
        <f>IF('Prediction Log'!H18=0, "",'Prediction Log'!H18)</f>
        <v>North Carolina</v>
      </c>
      <c r="G17" s="64" t="str">
        <f>IF(ISBLANK(Games!B17), "",'Prediction Log'!$I18)</f>
        <v>North Carolina</v>
      </c>
      <c r="H17" s="66" t="n">
        <f>'Prediction Log'!$J18</f>
        <v>0.61699453565337659</v>
      </c>
      <c r="I17" s="65" t="str">
        <f>IF(ISBLANK(Games!T17), "",IF(AND(Games!T17="",Games!U17=""),"",IF(ISTEXT(Games!U17), "Side",Games!T17)))</f>
      </c>
      <c r="J17" s="65" t="str">
        <f>IF(ISBLANK(Games!T17), "",IF(Table12[[#This Row],[Bet]]="Spread", Games!X17, ""))</f>
      </c>
      <c r="K17" s="65" t="str">
        <f>IF(ISBLANK(Games!U17), "",IF(ISTEXT(Games!U17), Games!U17, ""))</f>
      </c>
      <c r="L17" s="57" t="str">
        <f>IF(ISBLANK(Games!D17), "", Games!D17)</f>
        <v>-2.5</v>
      </c>
      <c r="M17" s="65"/>
      <c r="N17" s="75" t="str">
        <f>IF(Games!V17="", "",Games!V17)</f>
      </c>
      <c r="O17" s="75" t="str">
        <f>IF(Games!Z17=0, "",Games!Z17)</f>
      </c>
      <c r="P17" s="67"/>
      <c r="Q17" s="67" t="str">
        <f>IF(ISBLANK(Games!W17), "", Games!W17)</f>
      </c>
      <c r="R17" s="67" t="str">
        <f>IF(ISBLANK(Games!AA17), "", Games!AA17)</f>
      </c>
      <c r="S17" s="67"/>
      <c r="T17" s="68" t="str">
        <f t="shared" si="3"/>
      </c>
      <c r="U17" s="68" t="str">
        <f t="shared" si="4"/>
      </c>
      <c r="V17" s="68" t="str">
        <f t="shared" si="5"/>
      </c>
      <c r="W17" s="68" t="str">
        <f t="shared" si="6"/>
      </c>
      <c r="X17" s="68" t="n">
        <f t="shared" si="7"/>
        <v>0</v>
      </c>
      <c r="Y17" s="68" t="n">
        <f t="shared" si="8"/>
        <v>0</v>
      </c>
      <c r="Z17" s="67" t="str">
        <f>IF(OR('Prediction Log'!L18="", Table12[[#This Row],[Bet]]="", Table12[[#This Row],[Bet]]="Spread"), "",IF('Prediction Log'!L18=Table12[[#This Row],[Side]], "W", IF('Prediction Log'!L18&lt;&gt;Table12[[#This Row],[Side]], "L", "")))</f>
      </c>
      <c r="AA17" s="59" t="str">
        <f t="shared" si="9"/>
      </c>
      <c r="AB17" s="67" t="str">
        <f>IF(OR(Table12[[#This Row],[Bet]]="Side",Table12[[#This Row],[Bet]]="", 'Prediction Log'!L18=""), "",IF('Prediction Log'!U18="Y", "W", IF('Prediction Log'!U18="N", "L", "")))</f>
      </c>
      <c r="AC17" s="59" t="str">
        <f t="shared" si="10"/>
      </c>
      <c r="AD17" s="67"/>
      <c r="AE17" s="65" t="str">
        <f t="shared" si="11"/>
      </c>
      <c r="AF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">
      <c r="A18" s="65" t="n">
        <f>IF(ISBLANK(Games!A18), "", Games!A18)</f>
        <v>1</v>
      </c>
      <c r="B18" s="65" t="str">
        <f>IF('Prediction Log'!B19=0, "",'Prediction Log'!B19)</f>
        <v>UAB</v>
      </c>
      <c r="C18" s="65" t="str">
        <f>IF('Prediction Log'!C19=0, "",'Prediction Log'!C19)</f>
        <v>Alcorn State</v>
      </c>
      <c r="D18" s="65" t="str">
        <f>IF('Prediction Log'!D19=0, "",'Prediction Log'!D19)</f>
      </c>
      <c r="E18" s="58" t="n">
        <f>IF('Prediction Log'!E19=0, "",'Prediction Log'!E19)</f>
        <v>-16.458486485220799</v>
      </c>
      <c r="F18" s="65" t="str">
        <f>IF('Prediction Log'!H19=0, "",'Prediction Log'!H19)</f>
        <v>UAB</v>
      </c>
      <c r="G18" s="64" t="str">
        <f>IF(ISBLANK(Games!B18), "",'Prediction Log'!$I19)</f>
        <v>UAB</v>
      </c>
      <c r="H18" s="66" t="n">
        <f>'Prediction Log'!$J19</f>
        <v>0.93440372812450034</v>
      </c>
      <c r="I18" s="65" t="str">
        <f>IF(ISBLANK(Games!T18), "",IF(AND(Games!T18="",Games!U18=""),"",IF(ISTEXT(Games!U18), "Side",Games!T18)))</f>
      </c>
      <c r="J18" s="65" t="str">
        <f>IF(ISBLANK(Games!T18), "",IF(Table12[[#This Row],[Bet]]="Spread", Games!X18, ""))</f>
      </c>
      <c r="K18" s="65" t="str">
        <f>IF(ISBLANK(Games!U18), "",IF(ISTEXT(Games!U18), Games!U18, ""))</f>
      </c>
      <c r="L18" s="57" t="str">
        <f>IF(ISBLANK(Games!D18), "", Games!D18)</f>
      </c>
      <c r="M18" s="65"/>
      <c r="N18" s="75" t="str">
        <f>IF(Games!V18="", "",Games!V18)</f>
      </c>
      <c r="O18" s="75" t="str">
        <f>IF(Games!Z18=0, "",Games!Z18)</f>
      </c>
      <c r="P18" s="67"/>
      <c r="Q18" s="67" t="str">
        <f>IF(ISBLANK(Games!W18), "", Games!W18)</f>
      </c>
      <c r="R18" s="67" t="str">
        <f>IF(ISBLANK(Games!AA18), "", Games!AA18)</f>
      </c>
      <c r="S18" s="67"/>
      <c r="T18" s="68" t="str">
        <f t="shared" si="3"/>
      </c>
      <c r="U18" s="68" t="str">
        <f t="shared" si="4"/>
      </c>
      <c r="V18" s="68" t="str">
        <f t="shared" si="5"/>
      </c>
      <c r="W18" s="68" t="str">
        <f t="shared" si="6"/>
      </c>
      <c r="X18" s="68" t="n">
        <f t="shared" si="7"/>
        <v>0</v>
      </c>
      <c r="Y18" s="68" t="n">
        <f t="shared" si="8"/>
        <v>0</v>
      </c>
      <c r="Z18" s="67" t="str">
        <f>IF(OR('Prediction Log'!L19="", Table12[[#This Row],[Bet]]="", Table12[[#This Row],[Bet]]="Spread"), "",IF('Prediction Log'!L19=Table12[[#This Row],[Side]], "W", IF('Prediction Log'!L19&lt;&gt;Table12[[#This Row],[Side]], "L", "")))</f>
      </c>
      <c r="AA18" s="59" t="str">
        <f t="shared" si="9"/>
      </c>
      <c r="AB18" s="67" t="str">
        <f>IF(OR(Table12[[#This Row],[Bet]]="Side",Table12[[#This Row],[Bet]]="", 'Prediction Log'!L19=""), "",IF('Prediction Log'!U19="Y", "W", IF('Prediction Log'!U19="N", "L", "")))</f>
      </c>
      <c r="AC18" s="59" t="str">
        <f t="shared" si="10"/>
      </c>
      <c r="AD18" s="67"/>
      <c r="AE18" s="65" t="str">
        <f t="shared" si="11"/>
      </c>
      <c r="AF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">
      <c r="A19" s="65" t="n">
        <f>IF(ISBLANK(Games!A19), "", Games!A19)</f>
        <v>1</v>
      </c>
      <c r="B19" s="65" t="str">
        <f>IF('Prediction Log'!B20=0, "",'Prediction Log'!B20)</f>
        <v>Tulane</v>
      </c>
      <c r="C19" s="65" t="str">
        <f>IF('Prediction Log'!C20=0, "",'Prediction Log'!C20)</f>
        <v>Southeastern Louisiana</v>
      </c>
      <c r="D19" s="65" t="str">
        <f>IF('Prediction Log'!D20=0, "",'Prediction Log'!D20)</f>
      </c>
      <c r="E19" s="58" t="n">
        <f>IF('Prediction Log'!E20=0, "",'Prediction Log'!E20)</f>
        <v>-21.279079944195999</v>
      </c>
      <c r="F19" s="65" t="str">
        <f>IF('Prediction Log'!H20=0, "",'Prediction Log'!H20)</f>
        <v>Tulane</v>
      </c>
      <c r="G19" s="64" t="str">
        <f>IF(ISBLANK(Games!B19), "",'Prediction Log'!$I20)</f>
        <v>Tulane</v>
      </c>
      <c r="H19" s="66" t="n">
        <f>'Prediction Log'!$J20</f>
        <v>0.96610905670192193</v>
      </c>
      <c r="I19" s="65" t="str">
        <f>IF(ISBLANK(Games!T19), "",IF(AND(Games!T19="",Games!U19=""),"",IF(ISTEXT(Games!U19), "Side",Games!T19)))</f>
      </c>
      <c r="J19" s="65" t="str">
        <f>IF(ISBLANK(Games!T19), "",IF(Table12[[#This Row],[Bet]]="Spread", Games!X19, ""))</f>
      </c>
      <c r="K19" s="65" t="str">
        <f>IF(ISBLANK(Games!U19), "",IF(ISTEXT(Games!U19), Games!U19, ""))</f>
      </c>
      <c r="L19" s="57" t="str">
        <f>IF(ISBLANK(Games!D19), "", Games!D19)</f>
      </c>
      <c r="M19" s="65"/>
      <c r="N19" s="75" t="str">
        <f>IF(Games!V19="", "",Games!V19)</f>
      </c>
      <c r="O19" s="75" t="str">
        <f>IF(Games!Z19=0, "",Games!Z19)</f>
      </c>
      <c r="P19" s="67"/>
      <c r="Q19" s="67" t="str">
        <f>IF(ISBLANK(Games!W19), "", Games!W19)</f>
      </c>
      <c r="R19" s="67" t="str">
        <f>IF(ISBLANK(Games!AA19), "", Games!AA19)</f>
      </c>
      <c r="S19" s="67"/>
      <c r="T19" s="68" t="str">
        <f t="shared" si="3"/>
      </c>
      <c r="U19" s="68" t="str">
        <f t="shared" si="4"/>
      </c>
      <c r="V19" s="68" t="str">
        <f t="shared" si="5"/>
      </c>
      <c r="W19" s="68" t="str">
        <f t="shared" si="6"/>
      </c>
      <c r="X19" s="68" t="n">
        <f t="shared" si="7"/>
        <v>0</v>
      </c>
      <c r="Y19" s="68" t="n">
        <f t="shared" si="8"/>
        <v>0</v>
      </c>
      <c r="Z19" s="67" t="str">
        <f>IF(OR('Prediction Log'!L20="", Table12[[#This Row],[Bet]]="", Table12[[#This Row],[Bet]]="Spread"), "",IF('Prediction Log'!L20=Table12[[#This Row],[Side]], "W", IF('Prediction Log'!L20&lt;&gt;Table12[[#This Row],[Side]], "L", "")))</f>
      </c>
      <c r="AA19" s="59" t="str">
        <f t="shared" si="9"/>
      </c>
      <c r="AB19" s="67" t="str">
        <f>IF(OR(Table12[[#This Row],[Bet]]="Side",Table12[[#This Row],[Bet]]="", 'Prediction Log'!L20=""), "",IF('Prediction Log'!U20="Y", "W", IF('Prediction Log'!U20="N", "L", "")))</f>
      </c>
      <c r="AC19" s="59" t="str">
        <f t="shared" si="10"/>
      </c>
      <c r="AD19" s="67"/>
      <c r="AE19" s="65" t="str">
        <f t="shared" si="11"/>
      </c>
      <c r="AF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">
      <c r="A20" s="65" t="n">
        <f>IF(ISBLANK(Games!A20), "", Games!A20)</f>
        <v>1</v>
      </c>
      <c r="B20" s="65" t="str">
        <f>IF('Prediction Log'!B21=0, "",'Prediction Log'!B21)</f>
        <v>Missouri</v>
      </c>
      <c r="C20" s="65" t="str">
        <f>IF('Prediction Log'!C21=0, "",'Prediction Log'!C21)</f>
        <v>Murray State</v>
      </c>
      <c r="D20" s="65" t="str">
        <f>IF('Prediction Log'!D21=0, "",'Prediction Log'!D21)</f>
      </c>
      <c r="E20" s="58" t="n">
        <f>IF('Prediction Log'!E21=0, "",'Prediction Log'!E21)</f>
        <v>-36.061616207944397</v>
      </c>
      <c r="F20" s="65" t="str">
        <f>IF('Prediction Log'!H21=0, "",'Prediction Log'!H21)</f>
        <v>Missouri</v>
      </c>
      <c r="G20" s="64" t="str">
        <f>IF(ISBLANK(Games!B20), "",'Prediction Log'!$I21)</f>
        <v>Missouri</v>
      </c>
      <c r="H20" s="66" t="n">
        <f>'Prediction Log'!$J21</f>
        <v>0.99583766018560071</v>
      </c>
      <c r="I20" s="65" t="str">
        <f>IF(ISBLANK(Games!T20), "",IF(AND(Games!T20="",Games!U20=""),"",IF(ISTEXT(Games!U20), "Side",Games!T20)))</f>
      </c>
      <c r="J20" s="65" t="str">
        <f>IF(ISBLANK(Games!T20), "",IF(Table12[[#This Row],[Bet]]="Spread", Games!X20, ""))</f>
      </c>
      <c r="K20" s="65" t="str">
        <f>IF(ISBLANK(Games!U20), "",IF(ISTEXT(Games!U20), Games!U20, ""))</f>
      </c>
      <c r="L20" s="57" t="str">
        <f>IF(ISBLANK(Games!D20), "", Games!D20)</f>
      </c>
      <c r="M20" s="65"/>
      <c r="N20" s="75" t="str">
        <f>IF(Games!V20="", "",Games!V20)</f>
      </c>
      <c r="O20" s="75" t="str">
        <f>IF(Games!Z20=0, "",Games!Z20)</f>
      </c>
      <c r="P20" s="67"/>
      <c r="Q20" s="67" t="str">
        <f>IF(ISBLANK(Games!W20), "", Games!W20)</f>
      </c>
      <c r="R20" s="67" t="str">
        <f>IF(ISBLANK(Games!AA20), "", Games!AA20)</f>
      </c>
      <c r="S20" s="67"/>
      <c r="T20" s="68" t="str">
        <f t="shared" si="3"/>
      </c>
      <c r="U20" s="68" t="str">
        <f t="shared" si="4"/>
      </c>
      <c r="V20" s="68" t="str">
        <f t="shared" si="5"/>
      </c>
      <c r="W20" s="68" t="str">
        <f t="shared" si="6"/>
      </c>
      <c r="X20" s="68" t="n">
        <f t="shared" si="7"/>
        <v>0</v>
      </c>
      <c r="Y20" s="68" t="n">
        <f t="shared" si="8"/>
        <v>0</v>
      </c>
      <c r="Z20" s="67" t="str">
        <f>IF(OR('Prediction Log'!L21="", Table12[[#This Row],[Bet]]="", Table12[[#This Row],[Bet]]="Spread"), "",IF('Prediction Log'!L21=Table12[[#This Row],[Side]], "W", IF('Prediction Log'!L21&lt;&gt;Table12[[#This Row],[Side]], "L", "")))</f>
      </c>
      <c r="AA20" s="59" t="str">
        <f t="shared" si="9"/>
      </c>
      <c r="AB20" s="67" t="str">
        <f>IF(OR(Table12[[#This Row],[Bet]]="Side",Table12[[#This Row],[Bet]]="", 'Prediction Log'!L21=""), "",IF('Prediction Log'!U21="Y", "W", IF('Prediction Log'!U21="N", "L", "")))</f>
      </c>
      <c r="AC20" s="59" t="str">
        <f t="shared" si="10"/>
      </c>
      <c r="AD20" s="67"/>
      <c r="AE20" s="65" t="str">
        <f t="shared" si="11"/>
      </c>
      <c r="AF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">
      <c r="A21" s="65" t="n">
        <f>IF(ISBLANK(Games!A21), "", Games!A21)</f>
        <v>1</v>
      </c>
      <c r="B21" s="65" t="str">
        <f>IF('Prediction Log'!B22=0, "",'Prediction Log'!B22)</f>
        <v>Colorado</v>
      </c>
      <c r="C21" s="65" t="str">
        <f>IF('Prediction Log'!C22=0, "",'Prediction Log'!C22)</f>
        <v>North Dakota State</v>
      </c>
      <c r="D21" s="65" t="n">
        <f>IF('Prediction Log'!D22=0, "",'Prediction Log'!D22)</f>
        <v>-9</v>
      </c>
      <c r="E21" s="58" t="n">
        <f>IF('Prediction Log'!E22=0, "",'Prediction Log'!E22)</f>
        <v>-16.446578926000399</v>
      </c>
      <c r="F21" s="65" t="str">
        <f>IF('Prediction Log'!H22=0, "",'Prediction Log'!H22)</f>
        <v>Colorado</v>
      </c>
      <c r="G21" s="64" t="str">
        <f>IF(ISBLANK(Games!B21), "",'Prediction Log'!$I22)</f>
        <v>Colorado</v>
      </c>
      <c r="H21" s="66" t="n">
        <f>'Prediction Log'!$J22</f>
        <v>0.9342986153540469</v>
      </c>
      <c r="I21" s="65" t="str">
        <f>IF(ISBLANK(Games!T21), "",IF(AND(Games!T21="",Games!U21=""),"",IF(ISTEXT(Games!U21), "Side",Games!T21)))</f>
      </c>
      <c r="J21" s="65" t="str">
        <f>IF(ISBLANK(Games!T21), "",IF(Table12[[#This Row],[Bet]]="Spread", Games!X21, ""))</f>
      </c>
      <c r="K21" s="65" t="str">
        <f>IF(ISBLANK(Games!U21), "",IF(ISTEXT(Games!U21), Games!U21, ""))</f>
      </c>
      <c r="L21" s="57" t="str">
        <f>IF(ISBLANK(Games!D21), "", Games!D21)</f>
        <v>-9</v>
      </c>
      <c r="M21" s="65"/>
      <c r="N21" s="75" t="str">
        <f>IF(Games!V21="", "",Games!V21)</f>
      </c>
      <c r="O21" s="75" t="str">
        <f>IF(Games!Z21=0, "",Games!Z21)</f>
      </c>
      <c r="P21" s="67"/>
      <c r="Q21" s="67" t="str">
        <f>IF(ISBLANK(Games!W21), "", Games!W21)</f>
      </c>
      <c r="R21" s="67" t="str">
        <f>IF(ISBLANK(Games!AA21), "", Games!AA21)</f>
      </c>
      <c r="S21" s="67"/>
      <c r="T21" s="68" t="str">
        <f t="shared" si="3"/>
      </c>
      <c r="U21" s="68" t="str">
        <f t="shared" si="4"/>
      </c>
      <c r="V21" s="68" t="str">
        <f t="shared" si="5"/>
      </c>
      <c r="W21" s="68" t="str">
        <f t="shared" si="6"/>
      </c>
      <c r="X21" s="68" t="n">
        <f t="shared" si="7"/>
        <v>0</v>
      </c>
      <c r="Y21" s="68" t="n">
        <f t="shared" si="8"/>
        <v>0</v>
      </c>
      <c r="Z21" s="67" t="str">
        <f>IF(OR('Prediction Log'!L22="", Table12[[#This Row],[Bet]]="", Table12[[#This Row],[Bet]]="Spread"), "",IF('Prediction Log'!L22=Table12[[#This Row],[Side]], "W", IF('Prediction Log'!L22&lt;&gt;Table12[[#This Row],[Side]], "L", "")))</f>
      </c>
      <c r="AA21" s="59" t="str">
        <f t="shared" si="9"/>
      </c>
      <c r="AB21" s="67" t="str">
        <f>IF(OR(Table12[[#This Row],[Bet]]="Side",Table12[[#This Row],[Bet]]="", 'Prediction Log'!L22=""), "",IF('Prediction Log'!U22="Y", "W", IF('Prediction Log'!U22="N", "L", "")))</f>
      </c>
      <c r="AC21" s="59" t="str">
        <f t="shared" si="10"/>
      </c>
      <c r="AD21" s="67"/>
      <c r="AE21" s="65" t="str">
        <f t="shared" si="11"/>
      </c>
      <c r="AF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">
      <c r="A22" s="65" t="n">
        <f>IF(ISBLANK(Games!A22), "", Games!A22)</f>
        <v>1</v>
      </c>
      <c r="B22" s="65" t="str">
        <f>IF('Prediction Log'!B23=0, "",'Prediction Log'!B23)</f>
        <v>Jacksonville State</v>
      </c>
      <c r="C22" s="65" t="str">
        <f>IF('Prediction Log'!C23=0, "",'Prediction Log'!C23)</f>
        <v>Coastal Carolina</v>
      </c>
      <c r="D22" s="65" t="n">
        <f>IF('Prediction Log'!D23=0, "",'Prediction Log'!D23)</f>
        <v>-3.5</v>
      </c>
      <c r="E22" s="58" t="n">
        <f>IF('Prediction Log'!E23=0, "",'Prediction Log'!E23)</f>
        <v>-10.9</v>
      </c>
      <c r="F22" s="65" t="str">
        <f>IF('Prediction Log'!H23=0, "",'Prediction Log'!H23)</f>
        <v>Jacksonville State</v>
      </c>
      <c r="G22" s="64" t="str">
        <f>IF(ISBLANK(Games!B22), "",'Prediction Log'!$I23)</f>
        <v>Jacksonville State</v>
      </c>
      <c r="H22" s="66" t="n">
        <f>'Prediction Log'!$J23</f>
        <v>0.61898346670071758</v>
      </c>
      <c r="I22" s="65" t="str">
        <f>IF(ISBLANK(Games!T22), "",IF(AND(Games!T22="",Games!U22=""),"",IF(ISTEXT(Games!U22), "Side",Games!T22)))</f>
      </c>
      <c r="J22" s="65" t="str">
        <f>IF(ISBLANK(Games!T22), "",IF(Table12[[#This Row],[Bet]]="Spread", Games!X22, ""))</f>
      </c>
      <c r="K22" s="65" t="str">
        <f>IF(ISBLANK(Games!U22), "",IF(ISTEXT(Games!U22), Games!U22, ""))</f>
      </c>
      <c r="L22" s="57" t="str">
        <f>IF(ISBLANK(Games!D22), "", Games!D22)</f>
        <v>-3.5</v>
      </c>
      <c r="M22" s="65"/>
      <c r="N22" s="75" t="str">
        <f>IF(Games!V22="", "",Games!V22)</f>
      </c>
      <c r="O22" s="75" t="str">
        <f>IF(Games!Z22=0, "",Games!Z22)</f>
      </c>
      <c r="P22" s="67"/>
      <c r="Q22" s="67" t="str">
        <f>IF(ISBLANK(Games!W22), "", Games!W22)</f>
      </c>
      <c r="R22" s="67" t="str">
        <f>IF(ISBLANK(Games!AA22), "", Games!AA22)</f>
      </c>
      <c r="S22" s="67"/>
      <c r="T22" s="68" t="str">
        <f t="shared" si="3"/>
      </c>
      <c r="U22" s="68" t="str">
        <f t="shared" si="4"/>
      </c>
      <c r="V22" s="68" t="str">
        <f t="shared" si="5"/>
      </c>
      <c r="W22" s="68" t="str">
        <f t="shared" si="6"/>
      </c>
      <c r="X22" s="68" t="n">
        <f t="shared" si="7"/>
        <v>0</v>
      </c>
      <c r="Y22" s="68" t="n">
        <f t="shared" si="8"/>
        <v>0</v>
      </c>
      <c r="Z22" s="67" t="str">
        <f>IF(OR('Prediction Log'!L23="", Table12[[#This Row],[Bet]]="", Table12[[#This Row],[Bet]]="Spread"), "",IF('Prediction Log'!L23=Table12[[#This Row],[Side]], "W", IF('Prediction Log'!L23&lt;&gt;Table12[[#This Row],[Side]], "L", "")))</f>
      </c>
      <c r="AA22" s="59" t="str">
        <f t="shared" si="9"/>
      </c>
      <c r="AB22" s="67" t="str">
        <f>IF(OR(Table12[[#This Row],[Bet]]="Side",Table12[[#This Row],[Bet]]="", 'Prediction Log'!L23=""), "",IF('Prediction Log'!U23="Y", "W", IF('Prediction Log'!U23="N", "L", "")))</f>
      </c>
      <c r="AC22" s="59" t="str">
        <f t="shared" si="10"/>
      </c>
      <c r="AD22" s="67"/>
      <c r="AE22" s="65" t="str">
        <f t="shared" si="11"/>
      </c>
      <c r="AF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">
      <c r="A23" s="65" t="n">
        <f>IF(ISBLANK(Games!A23), "", Games!A23)</f>
        <v>1</v>
      </c>
      <c r="B23" s="65" t="str">
        <f>IF('Prediction Log'!B24=0, "",'Prediction Log'!B24)</f>
        <v>Kansas</v>
      </c>
      <c r="C23" s="65" t="str">
        <f>IF('Prediction Log'!C24=0, "",'Prediction Log'!C24)</f>
        <v>Lindenwood</v>
      </c>
      <c r="D23" s="65" t="str">
        <f>IF('Prediction Log'!D24=0, "",'Prediction Log'!D24)</f>
      </c>
      <c r="E23" s="58" t="n">
        <f>IF('Prediction Log'!E24=0, "",'Prediction Log'!E24)</f>
        <v>-29.072394087807599</v>
      </c>
      <c r="F23" s="65" t="str">
        <f>IF('Prediction Log'!H24=0, "",'Prediction Log'!H24)</f>
        <v>Kansas</v>
      </c>
      <c r="G23" s="64" t="str">
        <f>IF(ISBLANK(Games!B23), "",'Prediction Log'!$I24)</f>
        <v>Kansas</v>
      </c>
      <c r="H23" s="66" t="n">
        <f>'Prediction Log'!$J24</f>
        <v>0.98498909787853794</v>
      </c>
      <c r="I23" s="65" t="str">
        <f>IF(ISBLANK(Games!T23), "",IF(AND(Games!T23="",Games!U23=""),"",IF(ISTEXT(Games!U23), "Side",Games!T23)))</f>
      </c>
      <c r="J23" s="65" t="str">
        <f>IF(ISBLANK(Games!T23), "",IF(Table12[[#This Row],[Bet]]="Spread", Games!X23, ""))</f>
      </c>
      <c r="K23" s="65" t="str">
        <f>IF(ISBLANK(Games!U23), "",IF(ISTEXT(Games!U23), Games!U23, ""))</f>
      </c>
      <c r="L23" s="57" t="str">
        <f>IF(ISBLANK(Games!D23), "", Games!D23)</f>
      </c>
      <c r="M23" s="65"/>
      <c r="N23" s="75" t="str">
        <f>IF(Games!V23="", "",Games!V23)</f>
      </c>
      <c r="O23" s="75" t="str">
        <f>IF(Games!Z23=0, "",Games!Z23)</f>
      </c>
      <c r="P23" s="67"/>
      <c r="Q23" s="67" t="str">
        <f>IF(ISBLANK(Games!W23), "", Games!W23)</f>
      </c>
      <c r="R23" s="67" t="str">
        <f>IF(ISBLANK(Games!AA23), "", Games!AA23)</f>
      </c>
      <c r="S23" s="67"/>
      <c r="T23" s="68" t="str">
        <f t="shared" si="3"/>
      </c>
      <c r="U23" s="68" t="str">
        <f t="shared" si="4"/>
      </c>
      <c r="V23" s="68" t="str">
        <f t="shared" si="5"/>
      </c>
      <c r="W23" s="68" t="str">
        <f t="shared" si="6"/>
      </c>
      <c r="X23" s="68" t="n">
        <f t="shared" si="7"/>
        <v>0</v>
      </c>
      <c r="Y23" s="68" t="n">
        <f t="shared" si="8"/>
        <v>0</v>
      </c>
      <c r="Z23" s="67" t="str">
        <f>IF(OR('Prediction Log'!L24="", Table12[[#This Row],[Bet]]="", Table12[[#This Row],[Bet]]="Spread"), "",IF('Prediction Log'!L24=Table12[[#This Row],[Side]], "W", IF('Prediction Log'!L24&lt;&gt;Table12[[#This Row],[Side]], "L", "")))</f>
      </c>
      <c r="AA23" s="59" t="str">
        <f t="shared" si="9"/>
      </c>
      <c r="AB23" s="67" t="str">
        <f>IF(OR(Table12[[#This Row],[Bet]]="Side",Table12[[#This Row],[Bet]]="", 'Prediction Log'!L24=""), "",IF('Prediction Log'!U24="Y", "W", IF('Prediction Log'!U24="N", "L", "")))</f>
      </c>
      <c r="AC23" s="59" t="str">
        <f t="shared" si="10"/>
      </c>
      <c r="AD23" s="67"/>
      <c r="AE23" s="65" t="str">
        <f t="shared" si="11"/>
      </c>
      <c r="AF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">
      <c r="A24" s="65" t="n">
        <f>IF(ISBLANK(Games!A24), "", Games!A24)</f>
        <v>1</v>
      </c>
      <c r="B24" s="65" t="str">
        <f>IF('Prediction Log'!B25=0, "",'Prediction Log'!B25)</f>
        <v>Illinois</v>
      </c>
      <c r="C24" s="65" t="str">
        <f>IF('Prediction Log'!C25=0, "",'Prediction Log'!C25)</f>
        <v>Eastern Illinois</v>
      </c>
      <c r="D24" s="65" t="str">
        <f>IF('Prediction Log'!D25=0, "",'Prediction Log'!D25)</f>
      </c>
      <c r="E24" s="58" t="n">
        <f>IF('Prediction Log'!E25=0, "",'Prediction Log'!E25)</f>
        <v>-20.705795769052799</v>
      </c>
      <c r="F24" s="65" t="str">
        <f>IF('Prediction Log'!H25=0, "",'Prediction Log'!H25)</f>
        <v>Illinois</v>
      </c>
      <c r="G24" s="64" t="str">
        <f>IF(ISBLANK(Games!B24), "",'Prediction Log'!$I25)</f>
        <v>Illinois</v>
      </c>
      <c r="H24" s="66" t="n">
        <f>'Prediction Log'!$J25</f>
        <v>0.96330136263287514</v>
      </c>
      <c r="I24" s="65" t="str">
        <f>IF(ISBLANK(Games!T24), "",IF(AND(Games!T24="",Games!U24=""),"",IF(ISTEXT(Games!U24), "Side",Games!T24)))</f>
      </c>
      <c r="J24" s="65" t="str">
        <f>IF(ISBLANK(Games!T24), "",IF(Table12[[#This Row],[Bet]]="Spread", Games!X24, ""))</f>
      </c>
      <c r="K24" s="65" t="str">
        <f>IF(ISBLANK(Games!U24), "",IF(ISTEXT(Games!U24), Games!U24, ""))</f>
      </c>
      <c r="L24" s="57" t="str">
        <f>IF(ISBLANK(Games!D24), "", Games!D24)</f>
      </c>
      <c r="M24" s="65"/>
      <c r="N24" s="75" t="str">
        <f>IF(Games!V24="", "",Games!V24)</f>
      </c>
      <c r="O24" s="75" t="str">
        <f>IF(Games!Z24=0, "",Games!Z24)</f>
      </c>
      <c r="P24" s="67"/>
      <c r="Q24" s="67" t="str">
        <f>IF(ISBLANK(Games!W24), "", Games!W24)</f>
      </c>
      <c r="R24" s="67" t="str">
        <f>IF(ISBLANK(Games!AA24), "", Games!AA24)</f>
      </c>
      <c r="S24" s="67"/>
      <c r="T24" s="68" t="str">
        <f t="shared" si="3"/>
      </c>
      <c r="U24" s="68" t="str">
        <f t="shared" si="4"/>
      </c>
      <c r="V24" s="68" t="str">
        <f t="shared" si="5"/>
      </c>
      <c r="W24" s="68" t="str">
        <f t="shared" si="6"/>
      </c>
      <c r="X24" s="68" t="n">
        <f t="shared" si="7"/>
        <v>0</v>
      </c>
      <c r="Y24" s="68" t="n">
        <f t="shared" si="8"/>
        <v>0</v>
      </c>
      <c r="Z24" s="67" t="str">
        <f>IF(OR('Prediction Log'!L25="", Table12[[#This Row],[Bet]]="", Table12[[#This Row],[Bet]]="Spread"), "",IF('Prediction Log'!L25=Table12[[#This Row],[Side]], "W", IF('Prediction Log'!L25&lt;&gt;Table12[[#This Row],[Side]], "L", "")))</f>
      </c>
      <c r="AA24" s="59" t="str">
        <f t="shared" si="9"/>
      </c>
      <c r="AB24" s="67" t="str">
        <f>IF(OR(Table12[[#This Row],[Bet]]="Side",Table12[[#This Row],[Bet]]="", 'Prediction Log'!L25=""), "",IF('Prediction Log'!U25="Y", "W", IF('Prediction Log'!U25="N", "L", "")))</f>
      </c>
      <c r="AC24" s="59" t="str">
        <f t="shared" si="10"/>
      </c>
      <c r="AD24" s="67"/>
      <c r="AE24" s="65" t="str">
        <f t="shared" si="11"/>
      </c>
      <c r="AF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">
      <c r="A25" s="65" t="n">
        <f>IF(ISBLANK(Games!A25), "", Games!A25)</f>
        <v>1</v>
      </c>
      <c r="B25" s="65" t="str">
        <f>IF('Prediction Log'!B26=0, "",'Prediction Log'!B26)</f>
        <v>Utah</v>
      </c>
      <c r="C25" s="65" t="str">
        <f>IF('Prediction Log'!C26=0, "",'Prediction Log'!C26)</f>
        <v>Southern Utah</v>
      </c>
      <c r="D25" s="65" t="str">
        <f>IF('Prediction Log'!D26=0, "",'Prediction Log'!D26)</f>
      </c>
      <c r="E25" s="58" t="n">
        <f>IF('Prediction Log'!E26=0, "",'Prediction Log'!E26)</f>
        <v>-23.6724340790716</v>
      </c>
      <c r="F25" s="65" t="str">
        <f>IF('Prediction Log'!H26=0, "",'Prediction Log'!H26)</f>
        <v>Utah</v>
      </c>
      <c r="G25" s="64" t="str">
        <f>IF(ISBLANK(Games!B25), "",'Prediction Log'!$I26)</f>
        <v>Utah</v>
      </c>
      <c r="H25" s="66" t="n">
        <f>'Prediction Log'!$J26</f>
        <v>0.97574456809378474</v>
      </c>
      <c r="I25" s="65" t="str">
        <f>IF(ISBLANK(Games!T25), "",IF(AND(Games!T25="",Games!U25=""),"",IF(ISTEXT(Games!U25), "Side",Games!T25)))</f>
      </c>
      <c r="J25" s="65" t="str">
        <f>IF(ISBLANK(Games!T25), "",IF(Table12[[#This Row],[Bet]]="Spread", Games!X25, ""))</f>
      </c>
      <c r="K25" s="65" t="str">
        <f>IF(ISBLANK(Games!U25), "",IF(ISTEXT(Games!U25), Games!U25, ""))</f>
      </c>
      <c r="L25" s="57" t="str">
        <f>IF(ISBLANK(Games!D25), "", Games!D25)</f>
      </c>
      <c r="M25" s="65"/>
      <c r="N25" s="75" t="str">
        <f>IF(Games!V25="", "",Games!V25)</f>
      </c>
      <c r="O25" s="75" t="str">
        <f>IF(Games!Z25=0, "",Games!Z25)</f>
      </c>
      <c r="P25" s="67"/>
      <c r="Q25" s="67" t="str">
        <f>IF(ISBLANK(Games!W25), "", Games!W25)</f>
      </c>
      <c r="R25" s="67" t="str">
        <f>IF(ISBLANK(Games!AA25), "", Games!AA25)</f>
      </c>
      <c r="S25" s="67"/>
      <c r="T25" s="68" t="str">
        <f t="shared" si="3"/>
      </c>
      <c r="U25" s="68" t="str">
        <f t="shared" si="4"/>
      </c>
      <c r="V25" s="68" t="str">
        <f t="shared" si="5"/>
      </c>
      <c r="W25" s="68" t="str">
        <f t="shared" si="6"/>
      </c>
      <c r="X25" s="68" t="n">
        <f t="shared" si="7"/>
        <v>0</v>
      </c>
      <c r="Y25" s="68" t="n">
        <f t="shared" si="8"/>
        <v>0</v>
      </c>
      <c r="Z25" s="67" t="str">
        <f>IF(OR('Prediction Log'!L26="", Table12[[#This Row],[Bet]]="", Table12[[#This Row],[Bet]]="Spread"), "",IF('Prediction Log'!L26=Table12[[#This Row],[Side]], "W", IF('Prediction Log'!L26&lt;&gt;Table12[[#This Row],[Side]], "L", "")))</f>
      </c>
      <c r="AA25" s="59" t="str">
        <f t="shared" si="9"/>
      </c>
      <c r="AB25" s="67" t="str">
        <f>IF(OR(Table12[[#This Row],[Bet]]="Side",Table12[[#This Row],[Bet]]="", 'Prediction Log'!L26=""), "",IF('Prediction Log'!U26="Y", "W", IF('Prediction Log'!U26="N", "L", "")))</f>
      </c>
      <c r="AC25" s="59" t="str">
        <f t="shared" si="10"/>
      </c>
      <c r="AD25" s="67"/>
      <c r="AE25" s="65" t="str">
        <f t="shared" si="11"/>
      </c>
      <c r="AF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">
      <c r="A26" s="65" t="n">
        <f>IF(ISBLANK(Games!A26), "", Games!A26)</f>
        <v>1</v>
      </c>
      <c r="B26" s="65" t="str">
        <f>IF('Prediction Log'!B27=0, "",'Prediction Log'!B27)</f>
        <v>San José State</v>
      </c>
      <c r="C26" s="65" t="str">
        <f>IF('Prediction Log'!C27=0, "",'Prediction Log'!C27)</f>
        <v>Sacramento State</v>
      </c>
      <c r="D26" s="65" t="str">
        <f>IF('Prediction Log'!D27=0, "",'Prediction Log'!D27)</f>
      </c>
      <c r="E26" s="58" t="n">
        <f>IF('Prediction Log'!E27=0, "",'Prediction Log'!E27)</f>
        <v>-19.263688264659599</v>
      </c>
      <c r="F26" s="65" t="str">
        <f>IF('Prediction Log'!H27=0, "",'Prediction Log'!H27)</f>
        <v>San José State</v>
      </c>
      <c r="G26" s="64" t="str">
        <f>IF(ISBLANK(Games!B26), "",'Prediction Log'!$I27)</f>
        <v>San José State</v>
      </c>
      <c r="H26" s="66" t="n">
        <f>'Prediction Log'!$J27</f>
        <v>0.9552161782197377</v>
      </c>
      <c r="I26" s="65" t="str">
        <f>IF(ISBLANK(Games!T26), "",IF(AND(Games!T26="",Games!U26=""),"",IF(ISTEXT(Games!U26), "Side",Games!T26)))</f>
      </c>
      <c r="J26" s="65" t="str">
        <f>IF(ISBLANK(Games!T26), "",IF(Table12[[#This Row],[Bet]]="Spread", Games!X26, ""))</f>
      </c>
      <c r="K26" s="65" t="str">
        <f>IF(ISBLANK(Games!U26), "",IF(ISTEXT(Games!U26), Games!U26, ""))</f>
      </c>
      <c r="L26" s="57" t="str">
        <f>IF(ISBLANK(Games!D26), "", Games!D26)</f>
      </c>
      <c r="M26" s="65"/>
      <c r="N26" s="75" t="str">
        <f>IF(Games!V26="", "",Games!V26)</f>
      </c>
      <c r="O26" s="75" t="str">
        <f>IF(Games!Z26=0, "",Games!Z26)</f>
      </c>
      <c r="P26" s="67"/>
      <c r="Q26" s="67" t="str">
        <f>IF(ISBLANK(Games!W26), "", Games!W26)</f>
      </c>
      <c r="R26" s="67" t="str">
        <f>IF(ISBLANK(Games!AA26), "", Games!AA26)</f>
      </c>
      <c r="S26" s="67"/>
      <c r="T26" s="68" t="str">
        <f t="shared" si="3"/>
      </c>
      <c r="U26" s="68" t="str">
        <f t="shared" si="4"/>
      </c>
      <c r="V26" s="68" t="str">
        <f t="shared" si="5"/>
      </c>
      <c r="W26" s="68" t="str">
        <f t="shared" si="6"/>
      </c>
      <c r="X26" s="68" t="n">
        <f t="shared" si="7"/>
        <v>0</v>
      </c>
      <c r="Y26" s="68" t="n">
        <f t="shared" si="8"/>
        <v>0</v>
      </c>
      <c r="Z26" s="67" t="str">
        <f>IF(OR('Prediction Log'!L27="", Table12[[#This Row],[Bet]]="", Table12[[#This Row],[Bet]]="Spread"), "",IF('Prediction Log'!L27=Table12[[#This Row],[Side]], "W", IF('Prediction Log'!L27&lt;&gt;Table12[[#This Row],[Side]], "L", "")))</f>
      </c>
      <c r="AA26" s="59" t="str">
        <f t="shared" si="9"/>
      </c>
      <c r="AB26" s="67" t="str">
        <f>IF(OR(Table12[[#This Row],[Bet]]="Side",Table12[[#This Row],[Bet]]="", 'Prediction Log'!L27=""), "",IF('Prediction Log'!U27="Y", "W", IF('Prediction Log'!U27="N", "L", "")))</f>
      </c>
      <c r="AC26" s="59" t="str">
        <f t="shared" si="10"/>
      </c>
      <c r="AD26" s="67"/>
      <c r="AE26" s="65" t="str">
        <f t="shared" si="11"/>
      </c>
      <c r="AF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">
      <c r="A27" s="65" t="n">
        <f>IF(ISBLANK(Games!A27), "", Games!A27)</f>
        <v>1</v>
      </c>
      <c r="B27" s="65" t="str">
        <f>IF('Prediction Log'!B28=0, "",'Prediction Log'!B28)</f>
        <v>Army</v>
      </c>
      <c r="C27" s="65" t="str">
        <f>IF('Prediction Log'!C28=0, "",'Prediction Log'!C28)</f>
        <v>Lehigh</v>
      </c>
      <c r="D27" s="65" t="n">
        <f>IF('Prediction Log'!D28=0, "",'Prediction Log'!D28)</f>
        <v>-31.5</v>
      </c>
      <c r="E27" s="58" t="n">
        <f>IF('Prediction Log'!E28=0, "",'Prediction Log'!E28)</f>
        <v>-13.333757137662801</v>
      </c>
      <c r="F27" s="65" t="str">
        <f>IF('Prediction Log'!H28=0, "",'Prediction Log'!H28)</f>
        <v>Army</v>
      </c>
      <c r="G27" s="64" t="str">
        <f>IF(ISBLANK(Games!B27), "",'Prediction Log'!$I28)</f>
        <v>Army</v>
      </c>
      <c r="H27" s="66" t="n">
        <f>'Prediction Log'!$J28</f>
        <v>0.90085001167424639</v>
      </c>
      <c r="I27" s="65" t="str">
        <f>IF(ISBLANK(Games!T27), "",IF(AND(Games!T27="",Games!U27=""),"",IF(ISTEXT(Games!U27), "Side",Games!T27)))</f>
      </c>
      <c r="J27" s="65" t="str">
        <f>IF(ISBLANK(Games!T27), "",IF(Table12[[#This Row],[Bet]]="Spread", Games!X27, ""))</f>
      </c>
      <c r="K27" s="65" t="str">
        <f>IF(ISBLANK(Games!U27), "",IF(ISTEXT(Games!U27), Games!U27, ""))</f>
      </c>
      <c r="L27" s="57" t="n">
        <f>IF(ISBLANK(Games!D27), "", Games!D27)</f>
        <v>-31.5</v>
      </c>
      <c r="M27" s="65"/>
      <c r="N27" s="75" t="str">
        <f>IF(Games!V27="", "",Games!V27)</f>
      </c>
      <c r="O27" s="75" t="str">
        <f>IF(Games!Z27=0, "",Games!Z27)</f>
      </c>
      <c r="P27" s="67"/>
      <c r="Q27" s="67" t="str">
        <f>IF(ISBLANK(Games!W27), "", Games!W27)</f>
      </c>
      <c r="R27" s="67" t="str">
        <f>IF(ISBLANK(Games!AA27), "", Games!AA27)</f>
      </c>
      <c r="S27" s="67"/>
      <c r="T27" s="68" t="str">
        <f t="shared" si="3"/>
      </c>
      <c r="U27" s="68" t="str">
        <f t="shared" si="4"/>
      </c>
      <c r="V27" s="68" t="str">
        <f t="shared" si="5"/>
      </c>
      <c r="W27" s="68" t="str">
        <f t="shared" si="6"/>
      </c>
      <c r="X27" s="68" t="n">
        <f t="shared" si="7"/>
        <v>0</v>
      </c>
      <c r="Y27" s="68" t="n">
        <f t="shared" si="8"/>
        <v>0</v>
      </c>
      <c r="Z27" s="67" t="str">
        <f>IF(OR('Prediction Log'!L28="", Table12[[#This Row],[Bet]]="", Table12[[#This Row],[Bet]]="Spread"), "",IF('Prediction Log'!L28=Table12[[#This Row],[Side]], "W", IF('Prediction Log'!L28&lt;&gt;Table12[[#This Row],[Side]], "L", "")))</f>
      </c>
      <c r="AA27" s="59" t="str">
        <f t="shared" si="9"/>
      </c>
      <c r="AB27" s="67" t="str">
        <f>IF(OR(Table12[[#This Row],[Bet]]="Side",Table12[[#This Row],[Bet]]="", 'Prediction Log'!L28=""), "",IF('Prediction Log'!U28="Y", "W", IF('Prediction Log'!U28="N", "L", "")))</f>
      </c>
      <c r="AC27" s="59" t="str">
        <f t="shared" si="10"/>
      </c>
      <c r="AD27" s="67"/>
      <c r="AE27" s="65" t="str">
        <f t="shared" si="11"/>
      </c>
      <c r="AF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">
      <c r="A28" s="65" t="n">
        <f>IF(ISBLANK(Games!A28), "", Games!A28)</f>
        <v>1</v>
      </c>
      <c r="B28" s="65" t="str">
        <f>IF('Prediction Log'!B29=0, "",'Prediction Log'!B29)</f>
        <v>Michigan State</v>
      </c>
      <c r="C28" s="65" t="str">
        <f>IF('Prediction Log'!C29=0, "",'Prediction Log'!C29)</f>
        <v>Florida Atlantic</v>
      </c>
      <c r="D28" s="65" t="n">
        <f>IF('Prediction Log'!D29=0, "",'Prediction Log'!D29)</f>
        <v>-11.5</v>
      </c>
      <c r="E28" s="58" t="n">
        <f>IF('Prediction Log'!E29=0, "",'Prediction Log'!E29)</f>
        <v>-7.2</v>
      </c>
      <c r="F28" s="65" t="str">
        <f>IF('Prediction Log'!H29=0, "",'Prediction Log'!H29)</f>
        <v>Michigan State</v>
      </c>
      <c r="G28" s="64" t="str">
        <f>IF(ISBLANK(Games!B28), "",'Prediction Log'!$I29)</f>
        <v>Michigan State</v>
      </c>
      <c r="H28" s="66" t="n">
        <f>'Prediction Log'!$J29</f>
        <v>0.63319031668955161</v>
      </c>
      <c r="I28" s="65" t="str">
        <f>IF(ISBLANK(Games!T28), "",IF(AND(Games!T28="",Games!U28=""),"",IF(ISTEXT(Games!U28), "Side",Games!T28)))</f>
      </c>
      <c r="J28" s="65" t="str">
        <f>IF(ISBLANK(Games!T28), "",IF(Table12[[#This Row],[Bet]]="Spread", Games!X28, ""))</f>
      </c>
      <c r="K28" s="65" t="str">
        <f>IF(ISBLANK(Games!U28), "",IF(ISTEXT(Games!U28), Games!U28, ""))</f>
      </c>
      <c r="L28" s="57" t="str">
        <f>IF(ISBLANK(Games!D28), "", Games!D28)</f>
        <v>-11.5</v>
      </c>
      <c r="M28" s="65"/>
      <c r="N28" s="75" t="str">
        <f>IF(Games!V28="", "",Games!V28)</f>
      </c>
      <c r="O28" s="75" t="str">
        <f>IF(Games!Z28=0, "",Games!Z28)</f>
      </c>
      <c r="P28" s="67"/>
      <c r="Q28" s="67" t="str">
        <f>IF(ISBLANK(Games!W28), "", Games!W28)</f>
      </c>
      <c r="R28" s="67" t="str">
        <f>IF(ISBLANK(Games!AA28), "", Games!AA28)</f>
      </c>
      <c r="S28" s="67"/>
      <c r="T28" s="68" t="str">
        <f t="shared" si="3"/>
      </c>
      <c r="U28" s="68" t="str">
        <f t="shared" si="4"/>
      </c>
      <c r="V28" s="68" t="str">
        <f t="shared" si="5"/>
      </c>
      <c r="W28" s="68" t="str">
        <f t="shared" si="6"/>
      </c>
      <c r="X28" s="68" t="n">
        <f t="shared" si="7"/>
        <v>0</v>
      </c>
      <c r="Y28" s="68" t="n">
        <f t="shared" si="8"/>
        <v>0</v>
      </c>
      <c r="Z28" s="67" t="str">
        <f>IF(OR('Prediction Log'!L29="", Table12[[#This Row],[Bet]]="", Table12[[#This Row],[Bet]]="Spread"), "",IF('Prediction Log'!L29=Table12[[#This Row],[Side]], "W", IF('Prediction Log'!L29&lt;&gt;Table12[[#This Row],[Side]], "L", "")))</f>
      </c>
      <c r="AA28" s="59" t="str">
        <f t="shared" si="9"/>
      </c>
      <c r="AB28" s="67" t="str">
        <f>IF(OR(Table12[[#This Row],[Bet]]="Side",Table12[[#This Row],[Bet]]="", 'Prediction Log'!L29=""), "",IF('Prediction Log'!U29="Y", "W", IF('Prediction Log'!U29="N", "L", "")))</f>
      </c>
      <c r="AC28" s="59" t="str">
        <f t="shared" si="10"/>
      </c>
      <c r="AD28" s="67"/>
      <c r="AE28" s="65" t="str">
        <f t="shared" si="11"/>
      </c>
      <c r="AF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">
      <c r="A29" s="65" t="n">
        <f>IF(ISBLANK(Games!A29), "", Games!A29)</f>
        <v>1</v>
      </c>
      <c r="B29" s="65" t="str">
        <f>IF('Prediction Log'!B30=0, "",'Prediction Log'!B30)</f>
        <v>Oklahoma</v>
      </c>
      <c r="C29" s="65" t="str">
        <f>IF('Prediction Log'!C30=0, "",'Prediction Log'!C30)</f>
        <v>Temple</v>
      </c>
      <c r="D29" s="65" t="n">
        <f>IF('Prediction Log'!D30=0, "",'Prediction Log'!D30)</f>
        <v>-42.5</v>
      </c>
      <c r="E29" s="58" t="n">
        <f>IF('Prediction Log'!E30=0, "",'Prediction Log'!E30)</f>
        <v>-30.1058587678252</v>
      </c>
      <c r="F29" s="65" t="str">
        <f>IF('Prediction Log'!H30=0, "",'Prediction Log'!H30)</f>
        <v>Oklahoma</v>
      </c>
      <c r="G29" s="64" t="str">
        <f>IF(ISBLANK(Games!B29), "",'Prediction Log'!$I30)</f>
        <v>Oklahoma</v>
      </c>
      <c r="H29" s="66" t="n">
        <f>'Prediction Log'!$J30</f>
        <v>0.9902472415436423</v>
      </c>
      <c r="I29" s="65" t="str">
        <f>IF(ISBLANK(Games!T29), "",IF(AND(Games!T29="",Games!U29=""),"",IF(ISTEXT(Games!U29), "Side",Games!T29)))</f>
      </c>
      <c r="J29" s="65" t="str">
        <f>IF(ISBLANK(Games!T29), "",IF(Table12[[#This Row],[Bet]]="Spread", Games!X29, ""))</f>
      </c>
      <c r="K29" s="65" t="str">
        <f>IF(ISBLANK(Games!U29), "",IF(ISTEXT(Games!U29), Games!U29, ""))</f>
      </c>
      <c r="L29" s="57" t="str">
        <f>IF(ISBLANK(Games!D29), "", Games!D29)</f>
        <v>-42.5</v>
      </c>
      <c r="M29" s="65"/>
      <c r="N29" s="75" t="str">
        <f>IF(Games!V29="", "",Games!V29)</f>
      </c>
      <c r="O29" s="75" t="str">
        <f>IF(Games!Z29=0, "",Games!Z29)</f>
      </c>
      <c r="P29" s="67"/>
      <c r="Q29" s="67" t="str">
        <f>IF(ISBLANK(Games!W29), "", Games!W29)</f>
      </c>
      <c r="R29" s="67" t="str">
        <f>IF(ISBLANK(Games!AA29), "", Games!AA29)</f>
      </c>
      <c r="S29" s="67"/>
      <c r="T29" s="68" t="str">
        <f t="shared" si="3"/>
      </c>
      <c r="U29" s="68" t="str">
        <f t="shared" si="4"/>
      </c>
      <c r="V29" s="68" t="str">
        <f t="shared" si="5"/>
      </c>
      <c r="W29" s="68" t="str">
        <f t="shared" si="6"/>
      </c>
      <c r="X29" s="68" t="n">
        <f t="shared" si="7"/>
        <v>0</v>
      </c>
      <c r="Y29" s="68" t="n">
        <f t="shared" si="8"/>
        <v>0</v>
      </c>
      <c r="Z29" s="67" t="str">
        <f>IF(OR('Prediction Log'!L30="", Table12[[#This Row],[Bet]]="", Table12[[#This Row],[Bet]]="Spread"), "",IF('Prediction Log'!L30=Table12[[#This Row],[Side]], "W", IF('Prediction Log'!L30&lt;&gt;Table12[[#This Row],[Side]], "L", "")))</f>
      </c>
      <c r="AA29" s="59" t="str">
        <f t="shared" si="9"/>
      </c>
      <c r="AB29" s="67" t="str">
        <f>IF(OR(Table12[[#This Row],[Bet]]="Side",Table12[[#This Row],[Bet]]="", 'Prediction Log'!L30=""), "",IF('Prediction Log'!U30="Y", "W", IF('Prediction Log'!U30="N", "L", "")))</f>
      </c>
      <c r="AC29" s="59" t="str">
        <f t="shared" si="10"/>
      </c>
      <c r="AD29" s="67"/>
      <c r="AE29" s="65" t="str">
        <f t="shared" si="11"/>
      </c>
      <c r="AF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">
      <c r="A30" s="65" t="n">
        <f>IF(ISBLANK(Games!A30), "", Games!A30)</f>
        <v>1</v>
      </c>
      <c r="B30" s="65" t="str">
        <f>IF('Prediction Log'!B31=0, "",'Prediction Log'!B31)</f>
        <v>Duke</v>
      </c>
      <c r="C30" s="65" t="str">
        <f>IF('Prediction Log'!C31=0, "",'Prediction Log'!C31)</f>
        <v>Elon</v>
      </c>
      <c r="D30" s="65" t="n">
        <f>IF('Prediction Log'!D31=0, "",'Prediction Log'!D31)</f>
        <v>-24.5</v>
      </c>
      <c r="E30" s="58" t="n">
        <f>IF('Prediction Log'!E31=0, "",'Prediction Log'!E31)</f>
        <v>-24.383201289791199</v>
      </c>
      <c r="F30" s="65" t="str">
        <f>IF('Prediction Log'!H31=0, "",'Prediction Log'!H31)</f>
        <v>Duke</v>
      </c>
      <c r="G30" s="64" t="str">
        <f>IF(ISBLANK(Games!B30), "",'Prediction Log'!$I31)</f>
        <v>Duke</v>
      </c>
      <c r="H30" s="66" t="n">
        <f>'Prediction Log'!$J31</f>
        <v>0.9780511639917534</v>
      </c>
      <c r="I30" s="65" t="str">
        <f>IF(ISBLANK(Games!T30), "",IF(AND(Games!T30="",Games!U30=""),"",IF(ISTEXT(Games!U30), "Side",Games!T30)))</f>
      </c>
      <c r="J30" s="65" t="str">
        <f>IF(ISBLANK(Games!T30), "",IF(Table12[[#This Row],[Bet]]="Spread", Games!X30, ""))</f>
      </c>
      <c r="K30" s="65" t="str">
        <f>IF(ISBLANK(Games!U30), "",IF(ISTEXT(Games!U30), Games!U30, ""))</f>
      </c>
      <c r="L30" s="57" t="n">
        <f>IF(ISBLANK(Games!D30), "", Games!D30)</f>
        <v>-24.5</v>
      </c>
      <c r="M30" s="65"/>
      <c r="N30" s="75" t="str">
        <f>IF(Games!V30="", "",Games!V30)</f>
      </c>
      <c r="O30" s="75" t="str">
        <f>IF(Games!Z30=0, "",Games!Z30)</f>
      </c>
      <c r="P30" s="67"/>
      <c r="Q30" s="67" t="str">
        <f>IF(ISBLANK(Games!W30), "", Games!W30)</f>
      </c>
      <c r="R30" s="67" t="str">
        <f>IF(ISBLANK(Games!AA30), "", Games!AA30)</f>
      </c>
      <c r="S30" s="67"/>
      <c r="T30" s="68" t="str">
        <f t="shared" si="3"/>
      </c>
      <c r="U30" s="68" t="str">
        <f t="shared" si="4"/>
      </c>
      <c r="V30" s="68" t="str">
        <f t="shared" si="5"/>
      </c>
      <c r="W30" s="68" t="str">
        <f t="shared" si="6"/>
      </c>
      <c r="X30" s="68" t="n">
        <f t="shared" si="7"/>
        <v>0</v>
      </c>
      <c r="Y30" s="68" t="n">
        <f t="shared" si="8"/>
        <v>0</v>
      </c>
      <c r="Z30" s="67" t="str">
        <f>IF(OR('Prediction Log'!L31="", Table12[[#This Row],[Bet]]="", Table12[[#This Row],[Bet]]="Spread"), "",IF('Prediction Log'!L31=Table12[[#This Row],[Side]], "W", IF('Prediction Log'!L31&lt;&gt;Table12[[#This Row],[Side]], "L", "")))</f>
      </c>
      <c r="AA30" s="59" t="str">
        <f t="shared" si="9"/>
      </c>
      <c r="AB30" s="67" t="str">
        <f>IF(OR(Table12[[#This Row],[Bet]]="Side",Table12[[#This Row],[Bet]]="", 'Prediction Log'!L31=""), "",IF('Prediction Log'!U31="Y", "W", IF('Prediction Log'!U31="N", "L", "")))</f>
      </c>
      <c r="AC30" s="59" t="str">
        <f t="shared" si="10"/>
      </c>
      <c r="AD30" s="67"/>
      <c r="AE30" s="65" t="str">
        <f t="shared" si="11"/>
      </c>
      <c r="AF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">
      <c r="A31" s="65" t="n">
        <f>IF(ISBLANK(Games!A31), "", Games!A31)</f>
        <v>1</v>
      </c>
      <c r="B31" s="65" t="str">
        <f>IF('Prediction Log'!B32=0, "",'Prediction Log'!B32)</f>
        <v>Wisconsin</v>
      </c>
      <c r="C31" s="65" t="str">
        <f>IF('Prediction Log'!C32=0, "",'Prediction Log'!C32)</f>
        <v>Western Michigan</v>
      </c>
      <c r="D31" s="65" t="n">
        <f>IF('Prediction Log'!D32=0, "",'Prediction Log'!D32)</f>
        <v>-24</v>
      </c>
      <c r="E31" s="58" t="n">
        <f>IF('Prediction Log'!E32=0, "",'Prediction Log'!E32)</f>
        <v>-49.4</v>
      </c>
      <c r="F31" s="65" t="str">
        <f>IF('Prediction Log'!H32=0, "",'Prediction Log'!H32)</f>
        <v>Wisconsin</v>
      </c>
      <c r="G31" s="64" t="str">
        <f>IF(ISBLANK(Games!B31), "",'Prediction Log'!$I32)</f>
        <v>Wisconsin</v>
      </c>
      <c r="H31" s="66" t="n">
        <f>'Prediction Log'!$J32</f>
        <v>0.8841391172224492</v>
      </c>
      <c r="I31" s="65" t="str">
        <f>IF(ISBLANK(Games!T31), "",IF(AND(Games!T31="",Games!U31=""),"",IF(ISTEXT(Games!U31), "Side",Games!T31)))</f>
      </c>
      <c r="J31" s="65" t="str">
        <f>IF(ISBLANK(Games!T31), "",IF(Table12[[#This Row],[Bet]]="Spread", Games!X31, ""))</f>
      </c>
      <c r="K31" s="65" t="str">
        <f>IF(ISBLANK(Games!U31), "",IF(ISTEXT(Games!U31), Games!U31, ""))</f>
      </c>
      <c r="L31" s="57" t="str">
        <f>IF(ISBLANK(Games!D31), "", Games!D31)</f>
        <v>-24</v>
      </c>
      <c r="M31" s="65"/>
      <c r="N31" s="75" t="str">
        <f>IF(Games!V31="", "",Games!V31)</f>
      </c>
      <c r="O31" s="75" t="str">
        <f>IF(Games!Z31=0, "",Games!Z31)</f>
      </c>
      <c r="P31" s="67"/>
      <c r="Q31" s="67" t="str">
        <f>IF(ISBLANK(Games!W31), "", Games!W31)</f>
      </c>
      <c r="R31" s="67" t="str">
        <f>IF(ISBLANK(Games!AA31), "", Games!AA31)</f>
      </c>
      <c r="S31" s="67"/>
      <c r="T31" s="68" t="str">
        <f t="shared" si="3"/>
      </c>
      <c r="U31" s="68" t="str">
        <f t="shared" si="4"/>
      </c>
      <c r="V31" s="68" t="str">
        <f t="shared" si="5"/>
      </c>
      <c r="W31" s="68" t="str">
        <f t="shared" si="6"/>
      </c>
      <c r="X31" s="68" t="n">
        <f t="shared" si="7"/>
        <v>0</v>
      </c>
      <c r="Y31" s="68" t="n">
        <f t="shared" si="8"/>
        <v>0</v>
      </c>
      <c r="Z31" s="67" t="str">
        <f>IF(OR('Prediction Log'!L32="", Table12[[#This Row],[Bet]]="", Table12[[#This Row],[Bet]]="Spread"), "",IF('Prediction Log'!L32=Table12[[#This Row],[Side]], "W", IF('Prediction Log'!L32&lt;&gt;Table12[[#This Row],[Side]], "L", "")))</f>
      </c>
      <c r="AA31" s="59" t="str">
        <f t="shared" si="9"/>
      </c>
      <c r="AB31" s="67" t="str">
        <f>IF(OR(Table12[[#This Row],[Bet]]="Side",Table12[[#This Row],[Bet]]="", 'Prediction Log'!L32=""), "",IF('Prediction Log'!U32="Y", "W", IF('Prediction Log'!U32="N", "L", "")))</f>
      </c>
      <c r="AC31" s="59" t="str">
        <f t="shared" si="10"/>
      </c>
      <c r="AD31" s="67"/>
      <c r="AE31" s="65" t="str">
        <f t="shared" si="11"/>
      </c>
      <c r="AF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">
      <c r="A32" s="65" t="n">
        <f>IF(ISBLANK(Games!A32), "", Games!A32)</f>
        <v>1</v>
      </c>
      <c r="B32" s="65" t="str">
        <f>IF('Prediction Log'!B33=0, "",'Prediction Log'!B33)</f>
        <v>Stanford</v>
      </c>
      <c r="C32" s="65" t="str">
        <f>IF('Prediction Log'!C33=0, "",'Prediction Log'!C33)</f>
        <v>TCU</v>
      </c>
      <c r="D32" s="65" t="n">
        <f>IF('Prediction Log'!D33=0, "",'Prediction Log'!D33)</f>
        <v>8.5</v>
      </c>
      <c r="E32" s="58" t="n">
        <f>IF('Prediction Log'!E33=0, "",'Prediction Log'!E33)</f>
        <v>20.6</v>
      </c>
      <c r="F32" s="65" t="str">
        <f>IF('Prediction Log'!H33=0, "",'Prediction Log'!H33)</f>
        <v>TCU</v>
      </c>
      <c r="G32" s="64" t="str">
        <f>IF(ISBLANK(Games!B32), "",'Prediction Log'!$I33)</f>
        <v>TCU</v>
      </c>
      <c r="H32" s="66" t="n">
        <f>'Prediction Log'!$J33</f>
        <v>0.825043757611716</v>
      </c>
      <c r="I32" s="65" t="str">
        <f>IF(ISBLANK(Games!T32), "",IF(AND(Games!T32="",Games!U32=""),"",IF(ISTEXT(Games!U32), "Side",Games!T32)))</f>
      </c>
      <c r="J32" s="65" t="str">
        <f>IF(ISBLANK(Games!T32), "",IF(Table12[[#This Row],[Bet]]="Spread", Games!X32, ""))</f>
      </c>
      <c r="K32" s="65" t="str">
        <f>IF(ISBLANK(Games!U32), "",IF(ISTEXT(Games!U32), Games!U32, ""))</f>
      </c>
      <c r="L32" s="57" t="str">
        <f>IF(ISBLANK(Games!D32), "", Games!D32)</f>
        <v>8.5</v>
      </c>
      <c r="M32" s="65"/>
      <c r="N32" s="75" t="str">
        <f>IF(Games!V32="", "",Games!V32)</f>
      </c>
      <c r="O32" s="75" t="str">
        <f>IF(Games!Z32=0, "",Games!Z32)</f>
      </c>
      <c r="P32" s="67"/>
      <c r="Q32" s="67" t="str">
        <f>IF(ISBLANK(Games!W32), "", Games!W32)</f>
      </c>
      <c r="R32" s="67" t="str">
        <f>IF(ISBLANK(Games!AA32), "", Games!AA32)</f>
      </c>
      <c r="S32" s="67"/>
      <c r="T32" s="68" t="str">
        <f t="shared" si="3"/>
      </c>
      <c r="U32" s="68" t="str">
        <f t="shared" si="4"/>
      </c>
      <c r="V32" s="68" t="str">
        <f t="shared" si="5"/>
      </c>
      <c r="W32" s="68" t="str">
        <f t="shared" si="6"/>
      </c>
      <c r="X32" s="68" t="n">
        <f t="shared" si="7"/>
        <v>0</v>
      </c>
      <c r="Y32" s="68" t="n">
        <f t="shared" si="8"/>
        <v>0</v>
      </c>
      <c r="Z32" s="67" t="str">
        <f>IF(OR('Prediction Log'!L33="", Table12[[#This Row],[Bet]]="", Table12[[#This Row],[Bet]]="Spread"), "",IF('Prediction Log'!L33=Table12[[#This Row],[Side]], "W", IF('Prediction Log'!L33&lt;&gt;Table12[[#This Row],[Side]], "L", "")))</f>
      </c>
      <c r="AA32" s="59" t="str">
        <f t="shared" si="9"/>
      </c>
      <c r="AB32" s="67" t="str">
        <f>IF(OR(Table12[[#This Row],[Bet]]="Side",Table12[[#This Row],[Bet]]="", 'Prediction Log'!L33=""), "",IF('Prediction Log'!U33="Y", "W", IF('Prediction Log'!U33="N", "L", "")))</f>
      </c>
      <c r="AC32" s="59" t="str">
        <f t="shared" si="10"/>
      </c>
      <c r="AD32" s="67"/>
      <c r="AE32" s="65" t="str">
        <f t="shared" si="11"/>
      </c>
      <c r="AF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">
      <c r="A33" s="65" t="n">
        <f>IF(ISBLANK(Games!A33), "", Games!A33)</f>
        <v>1</v>
      </c>
      <c r="B33" s="65" t="str">
        <f>IF('Prediction Log'!B34=0, "",'Prediction Log'!B34)</f>
        <v>Utah State</v>
      </c>
      <c r="C33" s="65" t="str">
        <f>IF('Prediction Log'!C34=0, "",'Prediction Log'!C34)</f>
        <v>Robert Morris</v>
      </c>
      <c r="D33" s="65" t="str">
        <f>IF('Prediction Log'!D34=0, "",'Prediction Log'!D34)</f>
      </c>
      <c r="E33" s="58" t="n">
        <f>IF('Prediction Log'!E34=0, "",'Prediction Log'!E34)</f>
        <v>-13.259568940560801</v>
      </c>
      <c r="F33" s="65" t="str">
        <f>IF('Prediction Log'!H34=0, "",'Prediction Log'!H34)</f>
        <v>Utah State</v>
      </c>
      <c r="G33" s="64" t="str">
        <f>IF(ISBLANK(Games!B33), "",'Prediction Log'!$I34)</f>
        <v>Utah State</v>
      </c>
      <c r="H33" s="66" t="n">
        <f>'Prediction Log'!$J34</f>
        <v>0.89989230134640896</v>
      </c>
      <c r="I33" s="65" t="str">
        <f>IF(ISBLANK(Games!T33), "",IF(AND(Games!T33="",Games!U33=""),"",IF(ISTEXT(Games!U33), "Side",Games!T33)))</f>
      </c>
      <c r="J33" s="65" t="str">
        <f>IF(ISBLANK(Games!T33), "",IF(Table12[[#This Row],[Bet]]="Spread", Games!X33, ""))</f>
      </c>
      <c r="K33" s="65" t="str">
        <f>IF(ISBLANK(Games!U33), "",IF(ISTEXT(Games!U33), Games!U33, ""))</f>
      </c>
      <c r="L33" s="57" t="str">
        <f>IF(ISBLANK(Games!D33), "", Games!D33)</f>
      </c>
      <c r="M33" s="65"/>
      <c r="N33" s="75" t="str">
        <f>IF(Games!V33="", "",Games!V33)</f>
      </c>
      <c r="O33" s="75" t="str">
        <f>IF(Games!Z33=0, "",Games!Z33)</f>
      </c>
      <c r="P33" s="67"/>
      <c r="Q33" s="67" t="str">
        <f>IF(ISBLANK(Games!W33), "", Games!W33)</f>
      </c>
      <c r="R33" s="67" t="str">
        <f>IF(ISBLANK(Games!AA33), "", Games!AA33)</f>
      </c>
      <c r="S33" s="67"/>
      <c r="T33" s="68" t="str">
        <f t="shared" si="3"/>
      </c>
      <c r="U33" s="68" t="str">
        <f t="shared" si="4"/>
      </c>
      <c r="V33" s="68" t="str">
        <f t="shared" si="5"/>
      </c>
      <c r="W33" s="68" t="str">
        <f t="shared" si="6"/>
      </c>
      <c r="X33" s="68" t="n">
        <f t="shared" si="7"/>
        <v>0</v>
      </c>
      <c r="Y33" s="68" t="n">
        <f t="shared" si="8"/>
        <v>0</v>
      </c>
      <c r="Z33" s="67" t="str">
        <f>IF(OR('Prediction Log'!L34="", Table12[[#This Row],[Bet]]="", Table12[[#This Row],[Bet]]="Spread"), "",IF('Prediction Log'!L34=Table12[[#This Row],[Side]], "W", IF('Prediction Log'!L34&lt;&gt;Table12[[#This Row],[Side]], "L", "")))</f>
      </c>
      <c r="AA33" s="59" t="str">
        <f t="shared" si="9"/>
      </c>
      <c r="AB33" s="67" t="str">
        <f>IF(OR(Table12[[#This Row],[Bet]]="Side",Table12[[#This Row],[Bet]]="", 'Prediction Log'!L34=""), "",IF('Prediction Log'!U34="Y", "W", IF('Prediction Log'!U34="N", "L", "")))</f>
      </c>
      <c r="AC33" s="59" t="str">
        <f t="shared" si="10"/>
      </c>
      <c r="AD33" s="67"/>
      <c r="AE33" s="65" t="str">
        <f t="shared" si="11"/>
      </c>
      <c r="AF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">
      <c r="A34" s="65" t="n">
        <f>IF(ISBLANK(Games!A34), "", Games!A34)</f>
        <v>1</v>
      </c>
      <c r="B34" s="65" t="str">
        <f>IF('Prediction Log'!B35=0, "",'Prediction Log'!B35)</f>
        <v>Iowa</v>
      </c>
      <c r="C34" s="65" t="str">
        <f>IF('Prediction Log'!C35=0, "",'Prediction Log'!C35)</f>
        <v>Illinois State</v>
      </c>
      <c r="D34" s="65" t="str">
        <f>IF('Prediction Log'!D35=0, "",'Prediction Log'!D35)</f>
      </c>
      <c r="E34" s="58" t="n">
        <f>IF('Prediction Log'!E35=0, "",'Prediction Log'!E35)</f>
        <v>-20.830312252837601</v>
      </c>
      <c r="F34" s="65" t="str">
        <f>IF('Prediction Log'!H35=0, "",'Prediction Log'!H35)</f>
        <v>Iowa</v>
      </c>
      <c r="G34" s="64" t="str">
        <f>IF(ISBLANK(Games!B34), "",'Prediction Log'!$I35)</f>
        <v>Iowa</v>
      </c>
      <c r="H34" s="66" t="n">
        <f>'Prediction Log'!$J35</f>
        <v>0.96392961261658183</v>
      </c>
      <c r="I34" s="65" t="str">
        <f>IF(ISBLANK(Games!T34), "",IF(AND(Games!T34="",Games!U34=""),"",IF(ISTEXT(Games!U34), "Side",Games!T34)))</f>
      </c>
      <c r="J34" s="65" t="str">
        <f>IF(ISBLANK(Games!T34), "",IF(Table12[[#This Row],[Bet]]="Spread", Games!X34, ""))</f>
      </c>
      <c r="K34" s="65" t="str">
        <f>IF(ISBLANK(Games!U34), "",IF(ISTEXT(Games!U34), Games!U34, ""))</f>
      </c>
      <c r="L34" s="57" t="str">
        <f>IF(ISBLANK(Games!D34), "", Games!D34)</f>
      </c>
      <c r="M34" s="65"/>
      <c r="N34" s="75" t="str">
        <f>IF(Games!V34="", "",Games!V34)</f>
      </c>
      <c r="O34" s="75" t="str">
        <f>IF(Games!Z34=0, "",Games!Z34)</f>
      </c>
      <c r="P34" s="67"/>
      <c r="Q34" s="67" t="str">
        <f>IF(ISBLANK(Games!W34), "", Games!W34)</f>
      </c>
      <c r="R34" s="67" t="str">
        <f>IF(ISBLANK(Games!AA34), "", Games!AA34)</f>
      </c>
      <c r="S34" s="67"/>
      <c r="T34" s="68" t="str">
        <f t="shared" si="3"/>
      </c>
      <c r="U34" s="68" t="str">
        <f t="shared" si="4"/>
      </c>
      <c r="V34" s="68" t="str">
        <f t="shared" si="5"/>
      </c>
      <c r="W34" s="68" t="str">
        <f t="shared" si="6"/>
      </c>
      <c r="X34" s="68" t="n">
        <f t="shared" si="7"/>
        <v>0</v>
      </c>
      <c r="Y34" s="68" t="n">
        <f t="shared" si="8"/>
        <v>0</v>
      </c>
      <c r="Z34" s="67" t="str">
        <f>IF(OR('Prediction Log'!L35="", Table12[[#This Row],[Bet]]="", Table12[[#This Row],[Bet]]="Spread"), "",IF('Prediction Log'!L35=Table12[[#This Row],[Side]], "W", IF('Prediction Log'!L35&lt;&gt;Table12[[#This Row],[Side]], "L", "")))</f>
      </c>
      <c r="AA34" s="59" t="str">
        <f t="shared" si="9"/>
      </c>
      <c r="AB34" s="67" t="str">
        <f>IF(OR(Table12[[#This Row],[Bet]]="Side",Table12[[#This Row],[Bet]]="", 'Prediction Log'!L35=""), "",IF('Prediction Log'!U35="Y", "W", IF('Prediction Log'!U35="N", "L", "")))</f>
      </c>
      <c r="AC34" s="59" t="str">
        <f t="shared" si="10"/>
      </c>
      <c r="AD34" s="67"/>
      <c r="AE34" s="65" t="str">
        <f t="shared" si="11"/>
      </c>
      <c r="AF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">
      <c r="A35" s="65" t="n">
        <f>IF(ISBLANK(Games!A35), "", Games!A35)</f>
        <v>1</v>
      </c>
      <c r="B35" s="65" t="str">
        <f>IF('Prediction Log'!B36=0, "",'Prediction Log'!B36)</f>
        <v>Purdue</v>
      </c>
      <c r="C35" s="65" t="str">
        <f>IF('Prediction Log'!C36=0, "",'Prediction Log'!C36)</f>
        <v>Indiana State</v>
      </c>
      <c r="D35" s="65" t="str">
        <f>IF('Prediction Log'!D36=0, "",'Prediction Log'!D36)</f>
      </c>
      <c r="E35" s="58" t="n">
        <f>IF('Prediction Log'!E36=0, "",'Prediction Log'!E36)</f>
        <v>-20.398106856005199</v>
      </c>
      <c r="F35" s="65" t="str">
        <f>IF('Prediction Log'!H36=0, "",'Prediction Log'!H36)</f>
        <v>Purdue</v>
      </c>
      <c r="G35" s="64" t="str">
        <f>IF(ISBLANK(Games!B35), "",'Prediction Log'!$I36)</f>
        <v>Purdue</v>
      </c>
      <c r="H35" s="66" t="n">
        <f>'Prediction Log'!$J36</f>
        <v>0.96170346324261458</v>
      </c>
      <c r="I35" s="65" t="str">
        <f>IF(ISBLANK(Games!T35), "",IF(AND(Games!T35="",Games!U35=""),"",IF(ISTEXT(Games!U35), "Side",Games!T35)))</f>
      </c>
      <c r="J35" s="65" t="str">
        <f>IF(ISBLANK(Games!T35), "",IF(Table12[[#This Row],[Bet]]="Spread", Games!X35, ""))</f>
      </c>
      <c r="K35" s="65" t="str">
        <f>IF(ISBLANK(Games!U35), "",IF(ISTEXT(Games!U35), Games!U35, ""))</f>
      </c>
      <c r="L35" s="57" t="str">
        <f>IF(ISBLANK(Games!D35), "", Games!D35)</f>
      </c>
      <c r="M35" s="65"/>
      <c r="N35" s="75" t="str">
        <f>IF(Games!V35="", "",Games!V35)</f>
      </c>
      <c r="O35" s="75" t="str">
        <f>IF(Games!Z35=0, "",Games!Z35)</f>
      </c>
      <c r="P35" s="67"/>
      <c r="Q35" s="67" t="str">
        <f>IF(ISBLANK(Games!W35), "", Games!W35)</f>
      </c>
      <c r="R35" s="67" t="str">
        <f>IF(ISBLANK(Games!AA35), "", Games!AA35)</f>
      </c>
      <c r="S35" s="67"/>
      <c r="T35" s="68" t="str">
        <f t="shared" si="3"/>
      </c>
      <c r="U35" s="68" t="str">
        <f t="shared" si="4"/>
      </c>
      <c r="V35" s="68" t="str">
        <f t="shared" si="5"/>
      </c>
      <c r="W35" s="68" t="str">
        <f t="shared" si="6"/>
      </c>
      <c r="X35" s="68" t="n">
        <f t="shared" si="7"/>
        <v>0</v>
      </c>
      <c r="Y35" s="68" t="n">
        <f t="shared" si="8"/>
        <v>0</v>
      </c>
      <c r="Z35" s="67" t="str">
        <f>IF(OR('Prediction Log'!L36="", Table12[[#This Row],[Bet]]="", Table12[[#This Row],[Bet]]="Spread"), "",IF('Prediction Log'!L36=Table12[[#This Row],[Side]], "W", IF('Prediction Log'!L36&lt;&gt;Table12[[#This Row],[Side]], "L", "")))</f>
      </c>
      <c r="AA35" s="59" t="str">
        <f t="shared" si="9"/>
      </c>
      <c r="AB35" s="67" t="str">
        <f>IF(OR(Table12[[#This Row],[Bet]]="Side",Table12[[#This Row],[Bet]]="", 'Prediction Log'!L36=""), "",IF('Prediction Log'!U36="Y", "W", IF('Prediction Log'!U36="N", "L", "")))</f>
      </c>
      <c r="AC35" s="59" t="str">
        <f t="shared" si="10"/>
      </c>
      <c r="AD35" s="67"/>
      <c r="AE35" s="65" t="str">
        <f t="shared" si="11"/>
      </c>
      <c r="AF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">
      <c r="A36" s="65" t="n">
        <f>IF(ISBLANK(Games!A36), "", Games!A36)</f>
        <v>1</v>
      </c>
      <c r="B36" s="65" t="str">
        <f>IF('Prediction Log'!B37=0, "",'Prediction Log'!B37)</f>
        <v>West Virginia</v>
      </c>
      <c r="C36" s="65" t="str">
        <f>IF('Prediction Log'!C37=0, "",'Prediction Log'!C37)</f>
        <v>Penn State</v>
      </c>
      <c r="D36" s="65" t="n">
        <f>IF('Prediction Log'!D37=0, "",'Prediction Log'!D37)</f>
        <v>7.5</v>
      </c>
      <c r="E36" s="58" t="n">
        <f>IF('Prediction Log'!E37=0, "",'Prediction Log'!E37)</f>
        <v>35.799999999999997</v>
      </c>
      <c r="F36" s="65" t="str">
        <f>IF('Prediction Log'!H37=0, "",'Prediction Log'!H37)</f>
        <v>Penn State</v>
      </c>
      <c r="G36" s="64" t="str">
        <f>IF(ISBLANK(Games!B36), "",'Prediction Log'!$I37)</f>
        <v>Penn State</v>
      </c>
      <c r="H36" s="66" t="n">
        <f>'Prediction Log'!$J37</f>
        <v>0.76982485211101037</v>
      </c>
      <c r="I36" s="65" t="str">
        <f>IF(ISBLANK(Games!T36), "",IF(AND(Games!T36="",Games!U36=""),"",IF(ISTEXT(Games!U36), "Side",Games!T36)))</f>
        <v>Spread</v>
      </c>
      <c r="J36" s="65" t="str">
        <f>IF(ISBLANK(Games!T36), "",IF(Table12[[#This Row],[Bet]]="Spread", Games!X36, ""))</f>
        <v>Penn State</v>
      </c>
      <c r="K36" s="65" t="str">
        <f>IF(ISBLANK(Games!U36), "",IF(ISTEXT(Games!U36), Games!U36, ""))</f>
      </c>
      <c r="L36" s="57" t="n">
        <f>IF(ISBLANK(Games!D36), "", Games!D36)</f>
        <v>7.5</v>
      </c>
      <c r="M36" s="65"/>
      <c r="N36" s="75" t="str">
        <f>IF(Games!V36="", "",Games!V36)</f>
      </c>
      <c r="O36" s="75" t="n">
        <f>IF(Games!Z36=0, "",Games!Z36)</f>
        <v>4</v>
      </c>
      <c r="P36" s="67"/>
      <c r="Q36" s="67" t="str">
        <f>IF(ISBLANK(Games!W36), "", Games!W36)</f>
      </c>
      <c r="R36" s="67" t="n">
        <f>IF(ISBLANK(Games!AA36), "", Games!AA36)</f>
        <v>-110</v>
      </c>
      <c r="S36" s="67"/>
      <c r="T36" s="68" t="str">
        <f t="shared" si="3"/>
      </c>
      <c r="U36" s="68" t="str">
        <f t="shared" si="4"/>
      </c>
      <c r="V36" s="68" t="n">
        <f t="shared" si="5"/>
        <v>7.6363636363636367</v>
      </c>
      <c r="W36" s="68" t="n">
        <f t="shared" si="6"/>
        <v>3.6363636363636367</v>
      </c>
      <c r="X36" s="68" t="n">
        <f t="shared" si="7"/>
        <v>0</v>
      </c>
      <c r="Y36" s="68" t="n">
        <f t="shared" si="8"/>
        <v>0</v>
      </c>
      <c r="Z36" s="67" t="str">
        <f>IF(OR('Prediction Log'!L37="", Table12[[#This Row],[Bet]]="", Table12[[#This Row],[Bet]]="Spread"), "",IF('Prediction Log'!L37=Table12[[#This Row],[Side]], "W", IF('Prediction Log'!L37&lt;&gt;Table12[[#This Row],[Side]], "L", "")))</f>
      </c>
      <c r="AA36" s="59" t="str">
        <f t="shared" si="9"/>
      </c>
      <c r="AB36" s="67" t="str">
        <f>IF(OR(Table12[[#This Row],[Bet]]="Side",Table12[[#This Row],[Bet]]="", 'Prediction Log'!L37=""), "",IF('Prediction Log'!U37="Y", "W", IF('Prediction Log'!U37="N", "L", "")))</f>
        <v>W</v>
      </c>
      <c r="AC36" s="59" t="n">
        <f t="shared" si="10"/>
        <v>3.6363636363636367</v>
      </c>
      <c r="AD36" s="67"/>
      <c r="AE36" s="65" t="str">
        <f t="shared" si="11"/>
      </c>
      <c r="AF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">
      <c r="A37" s="65" t="n">
        <f>IF(ISBLANK(Games!A37), "", Games!A37)</f>
        <v>1</v>
      </c>
      <c r="B37" s="65" t="str">
        <f>IF('Prediction Log'!B38=0, "",'Prediction Log'!B38)</f>
        <v>Maryland</v>
      </c>
      <c r="C37" s="65" t="str">
        <f>IF('Prediction Log'!C38=0, "",'Prediction Log'!C38)</f>
        <v>Connecticut</v>
      </c>
      <c r="D37" s="65" t="n">
        <f>IF('Prediction Log'!D38=0, "",'Prediction Log'!D38)</f>
        <v>-20.5</v>
      </c>
      <c r="E37" s="58" t="n">
        <f>IF('Prediction Log'!E38=0, "",'Prediction Log'!E38)</f>
        <v>-50.1</v>
      </c>
      <c r="F37" s="65" t="str">
        <f>IF('Prediction Log'!H38=0, "",'Prediction Log'!H38)</f>
        <v>Maryland</v>
      </c>
      <c r="G37" s="64" t="str">
        <f>IF(ISBLANK(Games!B37), "",'Prediction Log'!$I38)</f>
        <v>Maryland</v>
      </c>
      <c r="H37" s="66" t="n">
        <f>'Prediction Log'!$J38</f>
        <v>0.95270374029961113</v>
      </c>
      <c r="I37" s="65" t="str">
        <f>IF(ISBLANK(Games!T37), "",IF(AND(Games!T37="",Games!U37=""),"",IF(ISTEXT(Games!U37), "Side",Games!T37)))</f>
      </c>
      <c r="J37" s="65" t="str">
        <f>IF(ISBLANK(Games!T37), "",IF(Table12[[#This Row],[Bet]]="Spread", Games!X37, ""))</f>
      </c>
      <c r="K37" s="65" t="str">
        <f>IF(ISBLANK(Games!U37), "",IF(ISTEXT(Games!U37), Games!U37, ""))</f>
      </c>
      <c r="L37" s="57" t="str">
        <f>IF(ISBLANK(Games!D37), "", Games!D37)</f>
        <v>-20.5</v>
      </c>
      <c r="M37" s="65"/>
      <c r="N37" s="75" t="str">
        <f>IF(Games!V37="", "",Games!V37)</f>
      </c>
      <c r="O37" s="75" t="str">
        <f>IF(Games!Z37=0, "",Games!Z37)</f>
      </c>
      <c r="P37" s="67"/>
      <c r="Q37" s="67" t="str">
        <f>IF(ISBLANK(Games!W37), "", Games!W37)</f>
      </c>
      <c r="R37" s="67" t="str">
        <f>IF(ISBLANK(Games!AA37), "", Games!AA37)</f>
      </c>
      <c r="S37" s="67"/>
      <c r="T37" s="68" t="str">
        <f t="shared" si="3"/>
      </c>
      <c r="U37" s="68" t="str">
        <f t="shared" si="4"/>
      </c>
      <c r="V37" s="68" t="str">
        <f t="shared" si="5"/>
      </c>
      <c r="W37" s="68" t="str">
        <f t="shared" si="6"/>
      </c>
      <c r="X37" s="68" t="n">
        <f t="shared" si="7"/>
        <v>0</v>
      </c>
      <c r="Y37" s="68" t="n">
        <f t="shared" si="8"/>
        <v>0</v>
      </c>
      <c r="Z37" s="67" t="str">
        <f>IF(OR('Prediction Log'!L38="", Table12[[#This Row],[Bet]]="", Table12[[#This Row],[Bet]]="Spread"), "",IF('Prediction Log'!L38=Table12[[#This Row],[Side]], "W", IF('Prediction Log'!L38&lt;&gt;Table12[[#This Row],[Side]], "L", "")))</f>
      </c>
      <c r="AA37" s="59" t="str">
        <f t="shared" si="9"/>
      </c>
      <c r="AB37" s="67" t="str">
        <f>IF(OR(Table12[[#This Row],[Bet]]="Side",Table12[[#This Row],[Bet]]="", 'Prediction Log'!L38=""), "",IF('Prediction Log'!U38="Y", "W", IF('Prediction Log'!U38="N", "L", "")))</f>
      </c>
      <c r="AC37" s="59" t="str">
        <f t="shared" si="10"/>
      </c>
      <c r="AD37" s="67"/>
      <c r="AE37" s="65" t="str">
        <f t="shared" si="11"/>
      </c>
      <c r="AF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">
      <c r="A38" s="65" t="n">
        <f>IF(ISBLANK(Games!A38), "", Games!A38)</f>
        <v>1</v>
      </c>
      <c r="B38" s="65" t="str">
        <f>IF('Prediction Log'!B39=0, "",'Prediction Log'!B39)</f>
        <v>Pittsburgh</v>
      </c>
      <c r="C38" s="65" t="str">
        <f>IF('Prediction Log'!C39=0, "",'Prediction Log'!C39)</f>
        <v>Kent State</v>
      </c>
      <c r="D38" s="65" t="n">
        <f>IF('Prediction Log'!D39=0, "",'Prediction Log'!D39)</f>
        <v>-23.5</v>
      </c>
      <c r="E38" s="58" t="n">
        <f>IF('Prediction Log'!E39=0, "",'Prediction Log'!E39)</f>
        <v>-64.3</v>
      </c>
      <c r="F38" s="65" t="str">
        <f>IF('Prediction Log'!H39=0, "",'Prediction Log'!H39)</f>
        <v>Pittsburgh</v>
      </c>
      <c r="G38" s="64" t="str">
        <f>IF(ISBLANK(Games!B38), "",'Prediction Log'!$I39)</f>
        <v>Pittsburgh</v>
      </c>
      <c r="H38" s="66" t="n">
        <f>'Prediction Log'!$J39</f>
        <v>0.90643185034289142</v>
      </c>
      <c r="I38" s="65" t="str">
        <f>IF(ISBLANK(Games!T38), "",IF(AND(Games!T38="",Games!U38=""),"",IF(ISTEXT(Games!U38), "Side",Games!T38)))</f>
      </c>
      <c r="J38" s="65" t="str">
        <f>IF(ISBLANK(Games!T38), "",IF(Table12[[#This Row],[Bet]]="Spread", Games!X38, ""))</f>
      </c>
      <c r="K38" s="65" t="str">
        <f>IF(ISBLANK(Games!U38), "",IF(ISTEXT(Games!U38), Games!U38, ""))</f>
      </c>
      <c r="L38" s="57" t="str">
        <f>IF(ISBLANK(Games!D38), "", Games!D38)</f>
        <v>-23.5</v>
      </c>
      <c r="M38" s="65"/>
      <c r="N38" s="75" t="str">
        <f>IF(Games!V38="", "",Games!V38)</f>
      </c>
      <c r="O38" s="75" t="str">
        <f>IF(Games!Z38=0, "",Games!Z38)</f>
      </c>
      <c r="P38" s="67"/>
      <c r="Q38" s="67" t="str">
        <f>IF(ISBLANK(Games!W38), "", Games!W38)</f>
      </c>
      <c r="R38" s="67" t="str">
        <f>IF(ISBLANK(Games!AA38), "", Games!AA38)</f>
      </c>
      <c r="S38" s="67"/>
      <c r="T38" s="68" t="str">
        <f t="shared" si="3"/>
      </c>
      <c r="U38" s="68" t="str">
        <f t="shared" si="4"/>
      </c>
      <c r="V38" s="68" t="str">
        <f t="shared" si="5"/>
      </c>
      <c r="W38" s="68" t="str">
        <f t="shared" si="6"/>
      </c>
      <c r="X38" s="68" t="n">
        <f t="shared" si="7"/>
        <v>0</v>
      </c>
      <c r="Y38" s="68" t="n">
        <f t="shared" si="8"/>
        <v>0</v>
      </c>
      <c r="Z38" s="67" t="str">
        <f>IF(OR('Prediction Log'!L39="", Table12[[#This Row],[Bet]]="", Table12[[#This Row],[Bet]]="Spread"), "",IF('Prediction Log'!L39=Table12[[#This Row],[Side]], "W", IF('Prediction Log'!L39&lt;&gt;Table12[[#This Row],[Side]], "L", "")))</f>
      </c>
      <c r="AA38" s="59" t="str">
        <f t="shared" si="9"/>
      </c>
      <c r="AB38" s="67" t="str">
        <f>IF(OR(Table12[[#This Row],[Bet]]="Side",Table12[[#This Row],[Bet]]="", 'Prediction Log'!L39=""), "",IF('Prediction Log'!U39="Y", "W", IF('Prediction Log'!U39="N", "L", "")))</f>
      </c>
      <c r="AC38" s="59" t="str">
        <f t="shared" si="10"/>
      </c>
      <c r="AD38" s="67"/>
      <c r="AE38" s="65" t="str">
        <f t="shared" si="11"/>
      </c>
      <c r="AF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">
      <c r="A39" s="65" t="n">
        <f>IF(ISBLANK(Games!A39), "", Games!A39)</f>
        <v>1</v>
      </c>
      <c r="B39" s="65" t="str">
        <f>IF('Prediction Log'!B40=0, "",'Prediction Log'!B40)</f>
        <v>Georgia</v>
      </c>
      <c r="C39" s="65" t="str">
        <f>IF('Prediction Log'!C40=0, "",'Prediction Log'!C40)</f>
        <v>Clemson</v>
      </c>
      <c r="D39" s="65" t="n">
        <f>IF('Prediction Log'!D40=0, "",'Prediction Log'!D40)</f>
        <v>-11.5</v>
      </c>
      <c r="E39" s="58" t="n">
        <f>IF('Prediction Log'!E40=0, "",'Prediction Log'!E40)</f>
        <v>-46.3</v>
      </c>
      <c r="F39" s="65" t="str">
        <f>IF('Prediction Log'!H40=0, "",'Prediction Log'!H40)</f>
        <v>Georgia</v>
      </c>
      <c r="G39" s="64" t="str">
        <f>IF(ISBLANK(Games!B39), "",'Prediction Log'!$I40)</f>
        <v>Georgia</v>
      </c>
      <c r="H39" s="66" t="n">
        <f>'Prediction Log'!$J40</f>
        <v>0.90456934995981964</v>
      </c>
      <c r="I39" s="65" t="str">
        <f>IF(ISBLANK(Games!T39), "",IF(AND(Games!T39="",Games!U39=""),"",IF(ISTEXT(Games!U39), "Side",Games!T39)))</f>
        <v>Spread</v>
      </c>
      <c r="J39" s="65" t="str">
        <f>IF(ISBLANK(Games!T39), "",IF(Table12[[#This Row],[Bet]]="Spread", Games!X39, ""))</f>
        <v>Georgia</v>
      </c>
      <c r="K39" s="65" t="str">
        <f>IF(ISBLANK(Games!U39), "",IF(ISTEXT(Games!U39), Games!U39, ""))</f>
      </c>
      <c r="L39" s="57" t="n">
        <f>IF(ISBLANK(Games!D39), "", Games!D39)</f>
        <v>-11.5</v>
      </c>
      <c r="M39" s="65"/>
      <c r="N39" s="75" t="str">
        <f>IF(Games!V39="", "",Games!V39)</f>
      </c>
      <c r="O39" s="75" t="n">
        <f>IF(Games!Z39=0, "",Games!Z39)</f>
        <v>3</v>
      </c>
      <c r="P39" s="67"/>
      <c r="Q39" s="67" t="str">
        <f>IF(ISBLANK(Games!W39), "", Games!W39)</f>
      </c>
      <c r="R39" s="67" t="n">
        <f>IF(ISBLANK(Games!AA39), "", Games!AA39)</f>
        <v>-110</v>
      </c>
      <c r="S39" s="67"/>
      <c r="T39" s="68" t="str">
        <f t="shared" si="3"/>
      </c>
      <c r="U39" s="68" t="str">
        <f t="shared" si="4"/>
      </c>
      <c r="V39" s="68" t="n">
        <f t="shared" si="5"/>
        <v>5.7272727272727266</v>
      </c>
      <c r="W39" s="68" t="n">
        <f t="shared" si="6"/>
        <v>2.7272727272727266</v>
      </c>
      <c r="X39" s="68" t="n">
        <f t="shared" si="7"/>
        <v>0</v>
      </c>
      <c r="Y39" s="68" t="n">
        <f t="shared" si="8"/>
        <v>0</v>
      </c>
      <c r="Z39" s="67" t="str">
        <f>IF(OR('Prediction Log'!L40="", Table12[[#This Row],[Bet]]="", Table12[[#This Row],[Bet]]="Spread"), "",IF('Prediction Log'!L40=Table12[[#This Row],[Side]], "W", IF('Prediction Log'!L40&lt;&gt;Table12[[#This Row],[Side]], "L", "")))</f>
      </c>
      <c r="AA39" s="59" t="str">
        <f t="shared" si="9"/>
      </c>
      <c r="AB39" s="67" t="str">
        <f>IF(OR(Table12[[#This Row],[Bet]]="Side",Table12[[#This Row],[Bet]]="", 'Prediction Log'!L40=""), "",IF('Prediction Log'!U40="Y", "W", IF('Prediction Log'!U40="N", "L", "")))</f>
        <v>W</v>
      </c>
      <c r="AC39" s="59" t="n">
        <f t="shared" si="10"/>
        <v>2.7272727272727266</v>
      </c>
      <c r="AD39" s="67"/>
      <c r="AE39" s="65" t="str">
        <f t="shared" si="11"/>
      </c>
      <c r="AF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">
      <c r="A40" s="65" t="n">
        <f>IF(ISBLANK(Games!A40), "", Games!A40)</f>
        <v>1</v>
      </c>
      <c r="B40" s="65" t="str">
        <f>IF('Prediction Log'!B41=0, "",'Prediction Log'!B41)</f>
        <v>Vanderbilt</v>
      </c>
      <c r="C40" s="65" t="str">
        <f>IF('Prediction Log'!C41=0, "",'Prediction Log'!C41)</f>
        <v>Virginia Tech</v>
      </c>
      <c r="D40" s="65" t="n">
        <f>IF('Prediction Log'!D41=0, "",'Prediction Log'!D41)</f>
        <v>13.5</v>
      </c>
      <c r="E40" s="58" t="n">
        <f>IF('Prediction Log'!E41=0, "",'Prediction Log'!E41)</f>
        <v>21.8</v>
      </c>
      <c r="F40" s="65" t="str">
        <f>IF('Prediction Log'!H41=0, "",'Prediction Log'!H41)</f>
        <v>Virginia Tech</v>
      </c>
      <c r="G40" s="64" t="str">
        <f>IF(ISBLANK(Games!B40), "",'Prediction Log'!$I41)</f>
        <v>Virginia Tech</v>
      </c>
      <c r="H40" s="66" t="n">
        <f>'Prediction Log'!$J41</f>
        <v>0.89001376761203932</v>
      </c>
      <c r="I40" s="65" t="str">
        <f>IF(ISBLANK(Games!T40), "",IF(AND(Games!T40="",Games!U40=""),"",IF(ISTEXT(Games!U40), "Side",Games!T40)))</f>
        <v>Spread</v>
      </c>
      <c r="J40" s="65" t="str">
        <f>IF(ISBLANK(Games!T40), "",IF(Table12[[#This Row],[Bet]]="Spread", Games!X40, ""))</f>
        <v>Virginia Tech</v>
      </c>
      <c r="K40" s="65" t="str">
        <f>IF(ISBLANK(Games!U40), "",IF(ISTEXT(Games!U40), Games!U40, ""))</f>
      </c>
      <c r="L40" s="57" t="str">
        <f>IF(ISBLANK(Games!D40), "", Games!D40)</f>
        <v>13.5</v>
      </c>
      <c r="M40" s="65"/>
      <c r="N40" s="75" t="str">
        <f>IF(Games!V40="", "",Games!V40)</f>
      </c>
      <c r="O40" s="75" t="n">
        <f>IF(Games!Z40=0, "",Games!Z40)</f>
        <v>3</v>
      </c>
      <c r="P40" s="67"/>
      <c r="Q40" s="67" t="str">
        <f>IF(ISBLANK(Games!W40), "", Games!W40)</f>
      </c>
      <c r="R40" s="67" t="n">
        <f>IF(ISBLANK(Games!AA40), "", Games!AA40)</f>
        <v>-101</v>
      </c>
      <c r="S40" s="67"/>
      <c r="T40" s="68" t="str">
        <f t="shared" si="3"/>
      </c>
      <c r="U40" s="68" t="str">
        <f t="shared" si="4"/>
      </c>
      <c r="V40" s="68" t="n">
        <f t="shared" si="5"/>
        <v>5.9702970297029703</v>
      </c>
      <c r="W40" s="68" t="n">
        <f t="shared" si="6"/>
        <v>2.9702970297029703</v>
      </c>
      <c r="X40" s="68" t="n">
        <f t="shared" si="7"/>
        <v>0</v>
      </c>
      <c r="Y40" s="68" t="n">
        <f t="shared" si="8"/>
        <v>0</v>
      </c>
      <c r="Z40" s="67" t="str">
        <f>IF(OR('Prediction Log'!L41="", Table12[[#This Row],[Bet]]="", Table12[[#This Row],[Bet]]="Spread"), "",IF('Prediction Log'!L41=Table12[[#This Row],[Side]], "W", IF('Prediction Log'!L41&lt;&gt;Table12[[#This Row],[Side]], "L", "")))</f>
      </c>
      <c r="AA40" s="59" t="str">
        <f t="shared" si="9"/>
      </c>
      <c r="AB40" s="67" t="str">
        <f>IF(OR(Table12[[#This Row],[Bet]]="Side",Table12[[#This Row],[Bet]]="", 'Prediction Log'!L41=""), "",IF('Prediction Log'!U41="Y", "W", IF('Prediction Log'!U41="N", "L", "")))</f>
        <v>W</v>
      </c>
      <c r="AC40" s="59" t="n">
        <f t="shared" si="10"/>
        <v>2.9702970297029703</v>
      </c>
      <c r="AD40" s="67"/>
      <c r="AE40" s="65" t="str">
        <f t="shared" si="11"/>
      </c>
      <c r="AF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">
      <c r="A41" s="65" t="n">
        <f>IF(ISBLANK(Games!A41), "", Games!A41)</f>
        <v>1</v>
      </c>
      <c r="B41" s="65" t="str">
        <f>IF('Prediction Log'!B42=0, "",'Prediction Log'!B42)</f>
        <v>Louisville</v>
      </c>
      <c r="C41" s="65" t="str">
        <f>IF('Prediction Log'!C42=0, "",'Prediction Log'!C42)</f>
        <v>Austin Peay</v>
      </c>
      <c r="D41" s="65" t="n">
        <f>IF('Prediction Log'!D42=0, "",'Prediction Log'!D42)</f>
        <v>-37.5</v>
      </c>
      <c r="E41" s="58" t="n">
        <f>IF('Prediction Log'!E42=0, "",'Prediction Log'!E42)</f>
        <v>-23.7857281438252</v>
      </c>
      <c r="F41" s="65" t="str">
        <f>IF('Prediction Log'!H42=0, "",'Prediction Log'!H42)</f>
        <v>Louisville</v>
      </c>
      <c r="G41" s="64" t="str">
        <f>IF(ISBLANK(Games!B41), "",'Prediction Log'!$I42)</f>
        <v>Louisville</v>
      </c>
      <c r="H41" s="66" t="n">
        <f>'Prediction Log'!$J42</f>
        <v>0.97612746581420196</v>
      </c>
      <c r="I41" s="65" t="str">
        <f>IF(ISBLANK(Games!T41), "",IF(AND(Games!T41="",Games!U41=""),"",IF(ISTEXT(Games!U41), "Side",Games!T41)))</f>
      </c>
      <c r="J41" s="65" t="str">
        <f>IF(ISBLANK(Games!T41), "",IF(Table12[[#This Row],[Bet]]="Spread", Games!X41, ""))</f>
      </c>
      <c r="K41" s="65" t="str">
        <f>IF(ISBLANK(Games!U41), "",IF(ISTEXT(Games!U41), Games!U41, ""))</f>
      </c>
      <c r="L41" s="57" t="n">
        <f>IF(ISBLANK(Games!D41), "", Games!D41)</f>
        <v>-37.5</v>
      </c>
      <c r="M41" s="65"/>
      <c r="N41" s="75" t="str">
        <f>IF(Games!V41="", "",Games!V41)</f>
      </c>
      <c r="O41" s="75" t="str">
        <f>IF(Games!Z41=0, "",Games!Z41)</f>
      </c>
      <c r="P41" s="67"/>
      <c r="Q41" s="67" t="str">
        <f>IF(ISBLANK(Games!W41), "", Games!W41)</f>
      </c>
      <c r="R41" s="67" t="str">
        <f>IF(ISBLANK(Games!AA41), "", Games!AA41)</f>
      </c>
      <c r="S41" s="67"/>
      <c r="T41" s="68" t="str">
        <f t="shared" si="3"/>
      </c>
      <c r="U41" s="68" t="str">
        <f t="shared" si="4"/>
      </c>
      <c r="V41" s="68" t="str">
        <f t="shared" si="5"/>
      </c>
      <c r="W41" s="68" t="str">
        <f t="shared" si="6"/>
      </c>
      <c r="X41" s="68" t="n">
        <f t="shared" si="7"/>
        <v>0</v>
      </c>
      <c r="Y41" s="68" t="n">
        <f t="shared" si="8"/>
        <v>0</v>
      </c>
      <c r="Z41" s="67" t="str">
        <f>IF(OR('Prediction Log'!L42="", Table12[[#This Row],[Bet]]="", Table12[[#This Row],[Bet]]="Spread"), "",IF('Prediction Log'!L42=Table12[[#This Row],[Side]], "W", IF('Prediction Log'!L42&lt;&gt;Table12[[#This Row],[Side]], "L", "")))</f>
      </c>
      <c r="AA41" s="59" t="str">
        <f t="shared" si="9"/>
      </c>
      <c r="AB41" s="67" t="str">
        <f>IF(OR(Table12[[#This Row],[Bet]]="Side",Table12[[#This Row],[Bet]]="", 'Prediction Log'!L42=""), "",IF('Prediction Log'!U42="Y", "W", IF('Prediction Log'!U42="N", "L", "")))</f>
      </c>
      <c r="AC41" s="59" t="str">
        <f t="shared" si="10"/>
      </c>
      <c r="AD41" s="67"/>
      <c r="AE41" s="65" t="str">
        <f t="shared" si="11"/>
      </c>
      <c r="AF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">
      <c r="A42" s="65" t="n">
        <f>IF(ISBLANK(Games!A42), "", Games!A42)</f>
        <v>1</v>
      </c>
      <c r="B42" s="65" t="str">
        <f>IF('Prediction Log'!B43=0, "",'Prediction Log'!B43)</f>
        <v>Navy</v>
      </c>
      <c r="C42" s="65" t="str">
        <f>IF('Prediction Log'!C43=0, "",'Prediction Log'!C43)</f>
        <v>Bucknell</v>
      </c>
      <c r="D42" s="65" t="n">
        <f>IF('Prediction Log'!D43=0, "",'Prediction Log'!D43)</f>
        <v>-31.5</v>
      </c>
      <c r="E42" s="58" t="n">
        <f>IF('Prediction Log'!E43=0, "",'Prediction Log'!E43)</f>
        <v>-9.9909327363639999</v>
      </c>
      <c r="F42" s="65" t="str">
        <f>IF('Prediction Log'!H43=0, "",'Prediction Log'!H43)</f>
        <v>Navy</v>
      </c>
      <c r="G42" s="64" t="str">
        <f>IF(ISBLANK(Games!B42), "",'Prediction Log'!$I43)</f>
        <v>Navy</v>
      </c>
      <c r="H42" s="66" t="n">
        <f>'Prediction Log'!$J43</f>
        <v>0.84885310037888273</v>
      </c>
      <c r="I42" s="65" t="str">
        <f>IF(ISBLANK(Games!T42), "",IF(AND(Games!T42="",Games!U42=""),"",IF(ISTEXT(Games!U42), "Side",Games!T42)))</f>
      </c>
      <c r="J42" s="65" t="str">
        <f>IF(ISBLANK(Games!T42), "",IF(Table12[[#This Row],[Bet]]="Spread", Games!X42, ""))</f>
      </c>
      <c r="K42" s="65" t="str">
        <f>IF(ISBLANK(Games!U42), "",IF(ISTEXT(Games!U42), Games!U42, ""))</f>
      </c>
      <c r="L42" s="57" t="n">
        <f>IF(ISBLANK(Games!D42), "", Games!D42)</f>
        <v>-31.5</v>
      </c>
      <c r="M42" s="65"/>
      <c r="N42" s="75" t="str">
        <f>IF(Games!V42="", "",Games!V42)</f>
      </c>
      <c r="O42" s="75" t="str">
        <f>IF(Games!Z42=0, "",Games!Z42)</f>
      </c>
      <c r="P42" s="67"/>
      <c r="Q42" s="67" t="str">
        <f>IF(ISBLANK(Games!W42), "", Games!W42)</f>
      </c>
      <c r="R42" s="67" t="str">
        <f>IF(ISBLANK(Games!AA42), "", Games!AA42)</f>
      </c>
      <c r="S42" s="67"/>
      <c r="T42" s="68" t="str">
        <f t="shared" si="3"/>
      </c>
      <c r="U42" s="68" t="str">
        <f t="shared" si="4"/>
      </c>
      <c r="V42" s="68" t="str">
        <f t="shared" si="5"/>
      </c>
      <c r="W42" s="68" t="str">
        <f t="shared" si="6"/>
      </c>
      <c r="X42" s="68" t="n">
        <f t="shared" si="7"/>
        <v>0</v>
      </c>
      <c r="Y42" s="68" t="n">
        <f t="shared" si="8"/>
        <v>0</v>
      </c>
      <c r="Z42" s="67" t="str">
        <f>IF(OR('Prediction Log'!L43="", Table12[[#This Row],[Bet]]="", Table12[[#This Row],[Bet]]="Spread"), "",IF('Prediction Log'!L43=Table12[[#This Row],[Side]], "W", IF('Prediction Log'!L43&lt;&gt;Table12[[#This Row],[Side]], "L", "")))</f>
      </c>
      <c r="AA42" s="59" t="str">
        <f t="shared" si="9"/>
      </c>
      <c r="AB42" s="67" t="str">
        <f>IF(OR(Table12[[#This Row],[Bet]]="Side",Table12[[#This Row],[Bet]]="", 'Prediction Log'!L43=""), "",IF('Prediction Log'!U43="Y", "W", IF('Prediction Log'!U43="N", "L", "")))</f>
      </c>
      <c r="AC42" s="59" t="str">
        <f t="shared" si="10"/>
      </c>
      <c r="AD42" s="67"/>
      <c r="AE42" s="65" t="str">
        <f t="shared" si="11"/>
      </c>
      <c r="AF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">
      <c r="A43" s="65" t="n">
        <f>IF(ISBLANK(Games!A43), "", Games!A43)</f>
        <v>1</v>
      </c>
      <c r="B43" s="65" t="str">
        <f>IF('Prediction Log'!B44=0, "",'Prediction Log'!B44)</f>
        <v>Tennessee</v>
      </c>
      <c r="C43" s="65" t="str">
        <f>IF('Prediction Log'!C44=0, "",'Prediction Log'!C44)</f>
        <v>Chattanooga</v>
      </c>
      <c r="D43" s="65" t="n">
        <f>IF('Prediction Log'!D44=0, "",'Prediction Log'!D44)</f>
        <v>-38.5</v>
      </c>
      <c r="E43" s="58" t="n">
        <f>IF('Prediction Log'!E44=0, "",'Prediction Log'!E44)</f>
        <v>-30.887929505411201</v>
      </c>
      <c r="F43" s="65" t="str">
        <f>IF('Prediction Log'!H44=0, "",'Prediction Log'!H44)</f>
        <v>Tennessee</v>
      </c>
      <c r="G43" s="64" t="str">
        <f>IF(ISBLANK(Games!B43), "",'Prediction Log'!$I44)</f>
        <v>Tennessee</v>
      </c>
      <c r="H43" s="66" t="n">
        <f>'Prediction Log'!$J44</f>
        <v>0.99127633172591501</v>
      </c>
      <c r="I43" s="65" t="str">
        <f>IF(ISBLANK(Games!T43), "",IF(AND(Games!T43="",Games!U43=""),"",IF(ISTEXT(Games!U43), "Side",Games!T43)))</f>
      </c>
      <c r="J43" s="65" t="str">
        <f>IF(ISBLANK(Games!T43), "",IF(Table12[[#This Row],[Bet]]="Spread", Games!X43, ""))</f>
      </c>
      <c r="K43" s="65" t="str">
        <f>IF(ISBLANK(Games!U43), "",IF(ISTEXT(Games!U43), Games!U43, ""))</f>
      </c>
      <c r="L43" s="57" t="n">
        <f>IF(ISBLANK(Games!D43), "", Games!D43)</f>
        <v>-38.5</v>
      </c>
      <c r="M43" s="65"/>
      <c r="N43" s="75" t="str">
        <f>IF(Games!V43="", "",Games!V43)</f>
      </c>
      <c r="O43" s="75" t="str">
        <f>IF(Games!Z43=0, "",Games!Z43)</f>
      </c>
      <c r="P43" s="67"/>
      <c r="Q43" s="67" t="str">
        <f>IF(ISBLANK(Games!W43), "", Games!W43)</f>
      </c>
      <c r="R43" s="67" t="str">
        <f>IF(ISBLANK(Games!AA43), "", Games!AA43)</f>
      </c>
      <c r="S43" s="67"/>
      <c r="T43" s="68" t="str">
        <f t="shared" si="3"/>
      </c>
      <c r="U43" s="68" t="str">
        <f t="shared" si="4"/>
      </c>
      <c r="V43" s="68" t="str">
        <f t="shared" si="5"/>
      </c>
      <c r="W43" s="68" t="str">
        <f t="shared" si="6"/>
      </c>
      <c r="X43" s="68" t="n">
        <f t="shared" si="7"/>
        <v>0</v>
      </c>
      <c r="Y43" s="68" t="n">
        <f t="shared" si="8"/>
        <v>0</v>
      </c>
      <c r="Z43" s="67" t="str">
        <f>IF(OR('Prediction Log'!L44="", Table12[[#This Row],[Bet]]="", Table12[[#This Row],[Bet]]="Spread"), "",IF('Prediction Log'!L44=Table12[[#This Row],[Side]], "W", IF('Prediction Log'!L44&lt;&gt;Table12[[#This Row],[Side]], "L", "")))</f>
      </c>
      <c r="AA43" s="59" t="str">
        <f t="shared" si="9"/>
      </c>
      <c r="AB43" s="67" t="str">
        <f>IF(OR(Table12[[#This Row],[Bet]]="Side",Table12[[#This Row],[Bet]]="", 'Prediction Log'!L44=""), "",IF('Prediction Log'!U44="Y", "W", IF('Prediction Log'!U44="N", "L", "")))</f>
      </c>
      <c r="AC43" s="59" t="str">
        <f t="shared" si="10"/>
      </c>
      <c r="AD43" s="67"/>
      <c r="AE43" s="65" t="str">
        <f t="shared" si="11"/>
      </c>
      <c r="AF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">
      <c r="A44" s="65" t="n">
        <f>IF(ISBLANK(Games!A44), "", Games!A44)</f>
        <v>1</v>
      </c>
      <c r="B44" s="65" t="str">
        <f>IF('Prediction Log'!B45=0, "",'Prediction Log'!B45)</f>
        <v>Oklahoma State</v>
      </c>
      <c r="C44" s="65" t="str">
        <f>IF('Prediction Log'!C45=0, "",'Prediction Log'!C45)</f>
        <v>South Dakota State</v>
      </c>
      <c r="D44" s="65" t="n">
        <f>IF('Prediction Log'!D45=0, "",'Prediction Log'!D45)</f>
        <v>-12.5</v>
      </c>
      <c r="E44" s="58" t="n">
        <f>IF('Prediction Log'!E45=0, "",'Prediction Log'!E45)</f>
        <v>-25.9579224265532</v>
      </c>
      <c r="F44" s="65" t="str">
        <f>IF('Prediction Log'!H45=0, "",'Prediction Log'!H45)</f>
        <v>Oklahoma State</v>
      </c>
      <c r="G44" s="64" t="str">
        <f>IF(ISBLANK(Games!B44), "",'Prediction Log'!$I45)</f>
        <v>Oklahoma State</v>
      </c>
      <c r="H44" s="66" t="n">
        <f>'Prediction Log'!$J45</f>
        <v>0.98242365139445431</v>
      </c>
      <c r="I44" s="65" t="str">
        <f>IF(ISBLANK(Games!T44), "",IF(AND(Games!T44="",Games!U44=""),"",IF(ISTEXT(Games!U44), "Side",Games!T44)))</f>
        <v>Spread</v>
      </c>
      <c r="J44" s="65" t="str">
        <f>IF(ISBLANK(Games!T44), "",IF(Table12[[#This Row],[Bet]]="Spread", Games!X44, ""))</f>
        <v>Oklahoma State</v>
      </c>
      <c r="K44" s="65" t="str">
        <f>IF(ISBLANK(Games!U44), "",IF(ISTEXT(Games!U44), Games!U44, ""))</f>
      </c>
      <c r="L44" s="57" t="n">
        <f>IF(ISBLANK(Games!D44), "", Games!D44)</f>
        <v>-12.5</v>
      </c>
      <c r="M44" s="65"/>
      <c r="N44" s="75" t="str">
        <f>IF(Games!V44="", "",Games!V44)</f>
      </c>
      <c r="O44" s="75" t="n">
        <f>IF(Games!Z44=0, "",Games!Z44)</f>
        <v>4</v>
      </c>
      <c r="P44" s="67"/>
      <c r="Q44" s="67" t="str">
        <f>IF(ISBLANK(Games!W44), "", Games!W44)</f>
      </c>
      <c r="R44" s="67" t="n">
        <f>IF(ISBLANK(Games!AA44), "", Games!AA44)</f>
        <v>-110</v>
      </c>
      <c r="S44" s="67"/>
      <c r="T44" s="68" t="str">
        <f t="shared" si="3"/>
      </c>
      <c r="U44" s="68" t="str">
        <f t="shared" si="4"/>
      </c>
      <c r="V44" s="68" t="n">
        <f t="shared" si="5"/>
        <v>7.6363636363636367</v>
      </c>
      <c r="W44" s="68" t="n">
        <f t="shared" si="6"/>
        <v>3.6363636363636367</v>
      </c>
      <c r="X44" s="68" t="n">
        <f t="shared" si="7"/>
        <v>0</v>
      </c>
      <c r="Y44" s="68" t="n">
        <f t="shared" si="8"/>
        <v>0</v>
      </c>
      <c r="Z44" s="67" t="str">
        <f>IF(OR('Prediction Log'!L45="", Table12[[#This Row],[Bet]]="", Table12[[#This Row],[Bet]]="Spread"), "",IF('Prediction Log'!L45=Table12[[#This Row],[Side]], "W", IF('Prediction Log'!L45&lt;&gt;Table12[[#This Row],[Side]], "L", "")))</f>
      </c>
      <c r="AA44" s="59" t="str">
        <f t="shared" si="9"/>
      </c>
      <c r="AB44" s="67" t="str">
        <f>IF(OR(Table12[[#This Row],[Bet]]="Side",Table12[[#This Row],[Bet]]="", 'Prediction Log'!L45=""), "",IF('Prediction Log'!U45="Y", "W", IF('Prediction Log'!U45="N", "L", "")))</f>
        <v>W</v>
      </c>
      <c r="AC44" s="59" t="n">
        <f t="shared" si="10"/>
        <v>3.6363636363636367</v>
      </c>
      <c r="AD44" s="67"/>
      <c r="AE44" s="65" t="str">
        <f t="shared" si="11"/>
      </c>
      <c r="AF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">
      <c r="A45" s="65" t="n">
        <f>IF(ISBLANK(Games!A45), "", Games!A45)</f>
        <v>1</v>
      </c>
      <c r="B45" s="65" t="str">
        <f>IF('Prediction Log'!B46=0, "",'Prediction Log'!B46)</f>
        <v>Cincinnati</v>
      </c>
      <c r="C45" s="65" t="str">
        <f>IF('Prediction Log'!C46=0, "",'Prediction Log'!C46)</f>
        <v>Towson</v>
      </c>
      <c r="D45" s="65" t="n">
        <f>IF('Prediction Log'!D46=0, "",'Prediction Log'!D46)</f>
        <v>-31.5</v>
      </c>
      <c r="E45" s="58" t="n">
        <f>IF('Prediction Log'!E46=0, "",'Prediction Log'!E46)</f>
        <v>-16.1003221913912</v>
      </c>
      <c r="F45" s="65" t="str">
        <f>IF('Prediction Log'!H46=0, "",'Prediction Log'!H46)</f>
        <v>Cincinnati</v>
      </c>
      <c r="G45" s="64" t="str">
        <f>IF(ISBLANK(Games!B45), "",'Prediction Log'!$I46)</f>
        <v>Cincinnati</v>
      </c>
      <c r="H45" s="66" t="n">
        <f>'Prediction Log'!$J46</f>
        <v>0.93117279373430939</v>
      </c>
      <c r="I45" s="65" t="str">
        <f>IF(ISBLANK(Games!T45), "",IF(AND(Games!T45="",Games!U45=""),"",IF(ISTEXT(Games!U45), "Side",Games!T45)))</f>
      </c>
      <c r="J45" s="65" t="str">
        <f>IF(ISBLANK(Games!T45), "",IF(Table12[[#This Row],[Bet]]="Spread", Games!X45, ""))</f>
      </c>
      <c r="K45" s="65" t="str">
        <f>IF(ISBLANK(Games!U45), "",IF(ISTEXT(Games!U45), Games!U45, ""))</f>
      </c>
      <c r="L45" s="57" t="n">
        <f>IF(ISBLANK(Games!D45), "", Games!D45)</f>
        <v>-31.5</v>
      </c>
      <c r="M45" s="65"/>
      <c r="N45" s="75" t="str">
        <f>IF(Games!V45="", "",Games!V45)</f>
      </c>
      <c r="O45" s="75" t="str">
        <f>IF(Games!Z45=0, "",Games!Z45)</f>
      </c>
      <c r="P45" s="67"/>
      <c r="Q45" s="67" t="str">
        <f>IF(ISBLANK(Games!W45), "", Games!W45)</f>
      </c>
      <c r="R45" s="67" t="str">
        <f>IF(ISBLANK(Games!AA45), "", Games!AA45)</f>
      </c>
      <c r="S45" s="67"/>
      <c r="T45" s="68" t="str">
        <f t="shared" si="3"/>
      </c>
      <c r="U45" s="68" t="str">
        <f t="shared" si="4"/>
      </c>
      <c r="V45" s="68" t="str">
        <f t="shared" si="5"/>
      </c>
      <c r="W45" s="68" t="str">
        <f t="shared" si="6"/>
      </c>
      <c r="X45" s="68" t="n">
        <f t="shared" si="7"/>
        <v>0</v>
      </c>
      <c r="Y45" s="68" t="n">
        <f t="shared" si="8"/>
        <v>0</v>
      </c>
      <c r="Z45" s="67" t="str">
        <f>IF(OR('Prediction Log'!L46="", Table12[[#This Row],[Bet]]="", Table12[[#This Row],[Bet]]="Spread"), "",IF('Prediction Log'!L46=Table12[[#This Row],[Side]], "W", IF('Prediction Log'!L46&lt;&gt;Table12[[#This Row],[Side]], "L", "")))</f>
      </c>
      <c r="AA45" s="59" t="str">
        <f t="shared" si="9"/>
      </c>
      <c r="AB45" s="67" t="str">
        <f>IF(OR(Table12[[#This Row],[Bet]]="Side",Table12[[#This Row],[Bet]]="", 'Prediction Log'!L46=""), "",IF('Prediction Log'!U46="Y", "W", IF('Prediction Log'!U46="N", "L", "")))</f>
      </c>
      <c r="AC45" s="59" t="str">
        <f t="shared" si="10"/>
      </c>
      <c r="AD45" s="67"/>
      <c r="AE45" s="65" t="str">
        <f t="shared" si="11"/>
      </c>
      <c r="AF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">
      <c r="A46" s="65" t="n">
        <f>IF(ISBLANK(Games!A46), "", Games!A46)</f>
        <v>1</v>
      </c>
      <c r="B46" s="65" t="str">
        <f>IF('Prediction Log'!B47=0, "",'Prediction Log'!B47)</f>
        <v>Washington State</v>
      </c>
      <c r="C46" s="65" t="str">
        <f>IF('Prediction Log'!C47=0, "",'Prediction Log'!C47)</f>
        <v>Portland State</v>
      </c>
      <c r="D46" s="65" t="n">
        <f>IF('Prediction Log'!D47=0, "",'Prediction Log'!D47)</f>
        <v>-27.5</v>
      </c>
      <c r="E46" s="58" t="n">
        <f>IF('Prediction Log'!E47=0, "",'Prediction Log'!E47)</f>
        <v>-20.839141931078</v>
      </c>
      <c r="F46" s="65" t="str">
        <f>IF('Prediction Log'!H47=0, "",'Prediction Log'!H47)</f>
        <v>Washington State</v>
      </c>
      <c r="G46" s="64" t="str">
        <f>IF(ISBLANK(Games!B46), "",'Prediction Log'!$I47)</f>
        <v>Washington State</v>
      </c>
      <c r="H46" s="66" t="n">
        <f>'Prediction Log'!$J47</f>
        <v>0.96397376769983545</v>
      </c>
      <c r="I46" s="65" t="str">
        <f>IF(ISBLANK(Games!T46), "",IF(AND(Games!T46="",Games!U46=""),"",IF(ISTEXT(Games!U46), "Side",Games!T46)))</f>
      </c>
      <c r="J46" s="65" t="str">
        <f>IF(ISBLANK(Games!T46), "",IF(Table12[[#This Row],[Bet]]="Spread", Games!X46, ""))</f>
      </c>
      <c r="K46" s="65" t="str">
        <f>IF(ISBLANK(Games!U46), "",IF(ISTEXT(Games!U46), Games!U46, ""))</f>
      </c>
      <c r="L46" s="57" t="n">
        <f>IF(ISBLANK(Games!D46), "", Games!D46)</f>
        <v>-27.5</v>
      </c>
      <c r="M46" s="65"/>
      <c r="N46" s="75" t="str">
        <f>IF(Games!V46="", "",Games!V46)</f>
      </c>
      <c r="O46" s="75" t="str">
        <f>IF(Games!Z46=0, "",Games!Z46)</f>
      </c>
      <c r="P46" s="67"/>
      <c r="Q46" s="67" t="str">
        <f>IF(ISBLANK(Games!W46), "", Games!W46)</f>
      </c>
      <c r="R46" s="67" t="str">
        <f>IF(ISBLANK(Games!AA46), "", Games!AA46)</f>
      </c>
      <c r="S46" s="67"/>
      <c r="T46" s="68" t="str">
        <f t="shared" si="3"/>
      </c>
      <c r="U46" s="68" t="str">
        <f t="shared" si="4"/>
      </c>
      <c r="V46" s="68" t="str">
        <f t="shared" si="5"/>
      </c>
      <c r="W46" s="68" t="str">
        <f t="shared" si="6"/>
      </c>
      <c r="X46" s="68" t="n">
        <f t="shared" si="7"/>
        <v>0</v>
      </c>
      <c r="Y46" s="68" t="n">
        <f t="shared" si="8"/>
        <v>0</v>
      </c>
      <c r="Z46" s="67" t="str">
        <f>IF(OR('Prediction Log'!L47="", Table12[[#This Row],[Bet]]="", Table12[[#This Row],[Bet]]="Spread"), "",IF('Prediction Log'!L47=Table12[[#This Row],[Side]], "W", IF('Prediction Log'!L47&lt;&gt;Table12[[#This Row],[Side]], "L", "")))</f>
      </c>
      <c r="AA46" s="59" t="str">
        <f t="shared" si="9"/>
      </c>
      <c r="AB46" s="67" t="str">
        <f>IF(OR(Table12[[#This Row],[Bet]]="Side",Table12[[#This Row],[Bet]]="", 'Prediction Log'!L47=""), "",IF('Prediction Log'!U47="Y", "W", IF('Prediction Log'!U47="N", "L", "")))</f>
      </c>
      <c r="AC46" s="59" t="str">
        <f t="shared" si="10"/>
      </c>
      <c r="AD46" s="67"/>
      <c r="AE46" s="65" t="str">
        <f t="shared" si="11"/>
      </c>
      <c r="AF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">
      <c r="A47" s="65" t="n">
        <f>IF(ISBLANK(Games!A47), "", Games!A47)</f>
        <v>1</v>
      </c>
      <c r="B47" s="65" t="str">
        <f>IF('Prediction Log'!B48=0, "",'Prediction Log'!B48)</f>
        <v>Indiana</v>
      </c>
      <c r="C47" s="65" t="str">
        <f>IF('Prediction Log'!C48=0, "",'Prediction Log'!C48)</f>
        <v>Florida International</v>
      </c>
      <c r="D47" s="65" t="n">
        <f>IF('Prediction Log'!D48=0, "",'Prediction Log'!D48)</f>
        <v>-20.5</v>
      </c>
      <c r="E47" s="58" t="n">
        <f>IF('Prediction Log'!E48=0, "",'Prediction Log'!E48)</f>
        <v>-42.6</v>
      </c>
      <c r="F47" s="65" t="str">
        <f>IF('Prediction Log'!H48=0, "",'Prediction Log'!H48)</f>
        <v>Indiana</v>
      </c>
      <c r="G47" s="64" t="str">
        <f>IF(ISBLANK(Games!B47), "",'Prediction Log'!$I48)</f>
        <v>Indiana</v>
      </c>
      <c r="H47" s="66" t="n">
        <f>'Prediction Log'!$J48</f>
        <v>0.83752027199209444</v>
      </c>
      <c r="I47" s="65" t="str">
        <f>IF(ISBLANK(Games!T47), "",IF(AND(Games!T47="",Games!U47=""),"",IF(ISTEXT(Games!U47), "Side",Games!T47)))</f>
      </c>
      <c r="J47" s="65" t="str">
        <f>IF(ISBLANK(Games!T47), "",IF(Table12[[#This Row],[Bet]]="Spread", Games!X47, ""))</f>
      </c>
      <c r="K47" s="65" t="str">
        <f>IF(ISBLANK(Games!U47), "",IF(ISTEXT(Games!U47), Games!U47, ""))</f>
      </c>
      <c r="L47" s="57" t="str">
        <f>IF(ISBLANK(Games!D47), "", Games!D47)</f>
        <v>-20.5</v>
      </c>
      <c r="M47" s="65"/>
      <c r="N47" s="75" t="str">
        <f>IF(Games!V47="", "",Games!V47)</f>
      </c>
      <c r="O47" s="75" t="str">
        <f>IF(Games!Z47=0, "",Games!Z47)</f>
      </c>
      <c r="P47" s="67"/>
      <c r="Q47" s="67" t="str">
        <f>IF(ISBLANK(Games!W47), "", Games!W47)</f>
      </c>
      <c r="R47" s="67" t="str">
        <f>IF(ISBLANK(Games!AA47), "", Games!AA47)</f>
      </c>
      <c r="S47" s="67"/>
      <c r="T47" s="68" t="str">
        <f t="shared" si="3"/>
      </c>
      <c r="U47" s="68" t="str">
        <f t="shared" si="4"/>
      </c>
      <c r="V47" s="68" t="str">
        <f t="shared" si="5"/>
      </c>
      <c r="W47" s="68" t="str">
        <f t="shared" si="6"/>
      </c>
      <c r="X47" s="68" t="n">
        <f t="shared" si="7"/>
        <v>0</v>
      </c>
      <c r="Y47" s="68" t="n">
        <f t="shared" si="8"/>
        <v>0</v>
      </c>
      <c r="Z47" s="67" t="str">
        <f>IF(OR('Prediction Log'!L48="", Table12[[#This Row],[Bet]]="", Table12[[#This Row],[Bet]]="Spread"), "",IF('Prediction Log'!L48=Table12[[#This Row],[Side]], "W", IF('Prediction Log'!L48&lt;&gt;Table12[[#This Row],[Side]], "L", "")))</f>
      </c>
      <c r="AA47" s="59" t="str">
        <f t="shared" si="9"/>
      </c>
      <c r="AB47" s="67" t="str">
        <f>IF(OR(Table12[[#This Row],[Bet]]="Side",Table12[[#This Row],[Bet]]="", 'Prediction Log'!L48=""), "",IF('Prediction Log'!U48="Y", "W", IF('Prediction Log'!U48="N", "L", "")))</f>
      </c>
      <c r="AC47" s="59" t="str">
        <f t="shared" si="10"/>
      </c>
      <c r="AD47" s="67"/>
      <c r="AE47" s="65" t="str">
        <f t="shared" si="11"/>
      </c>
      <c r="AF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">
      <c r="A48" s="65" t="n">
        <f>IF(ISBLANK(Games!A48), "", Games!A48)</f>
        <v>1</v>
      </c>
      <c r="B48" s="65" t="str">
        <f>IF('Prediction Log'!B49=0, "",'Prediction Log'!B49)</f>
        <v>UMass</v>
      </c>
      <c r="C48" s="65" t="str">
        <f>IF('Prediction Log'!C49=0, "",'Prediction Log'!C49)</f>
        <v>Eastern Michigan</v>
      </c>
      <c r="D48" s="65" t="n">
        <f>IF('Prediction Log'!D49=0, "",'Prediction Log'!D49)</f>
        <v>-2.5</v>
      </c>
      <c r="E48" s="58" t="n">
        <f>IF('Prediction Log'!E49=0, "",'Prediction Log'!E49)</f>
        <v>3.7</v>
      </c>
      <c r="F48" s="65" t="str">
        <f>IF('Prediction Log'!H49=0, "",'Prediction Log'!H49)</f>
        <v>Eastern Michigan</v>
      </c>
      <c r="G48" s="64" t="str">
        <f>IF(ISBLANK(Games!B48), "",'Prediction Log'!$I49)</f>
        <v>Eastern Michigan</v>
      </c>
      <c r="H48" s="66" t="n">
        <f>'Prediction Log'!$J49</f>
        <v>0.56415358798962101</v>
      </c>
      <c r="I48" s="65" t="str">
        <f>IF(ISBLANK(Games!T48), "",IF(AND(Games!T48="",Games!U48=""),"",IF(ISTEXT(Games!U48), "Side",Games!T48)))</f>
        <v>Side</v>
      </c>
      <c r="J48" s="65" t="str">
        <f>IF(ISBLANK(Games!T48), "",IF(Table12[[#This Row],[Bet]]="Spread", Games!X48, ""))</f>
      </c>
      <c r="K48" s="65" t="str">
        <f>IF(ISBLANK(Games!U48), "",IF(ISTEXT(Games!U48), Games!U48, ""))</f>
        <v>Eastern Michigan</v>
      </c>
      <c r="L48" s="57" t="str">
        <f>IF(ISBLANK(Games!D48), "", Games!D48)</f>
        <v>-2.5</v>
      </c>
      <c r="M48" s="65"/>
      <c r="N48" s="75" t="n">
        <f>IF(Games!V48="", "",Games!V48)</f>
        <v>2.5</v>
      </c>
      <c r="O48" s="75" t="str">
        <f>IF(Games!Z48=0, "",Games!Z48)</f>
      </c>
      <c r="P48" s="67"/>
      <c r="Q48" s="67" t="n">
        <f>IF(ISBLANK(Games!W48), "", Games!W48)</f>
        <v>110</v>
      </c>
      <c r="R48" s="67" t="str">
        <f>IF(ISBLANK(Games!AA48), "", Games!AA48)</f>
      </c>
      <c r="S48" s="67"/>
      <c r="T48" s="68" t="n">
        <f t="shared" si="3"/>
        <v>5.25</v>
      </c>
      <c r="U48" s="68" t="n">
        <f>IFERROR(T48-N48, "")</f>
        <v>2.75</v>
      </c>
      <c r="V48" s="68" t="str">
        <f t="shared" si="5"/>
      </c>
      <c r="W48" s="68" t="str">
        <f t="shared" si="6"/>
      </c>
      <c r="X48" s="68" t="n">
        <f t="shared" si="7"/>
        <v>0</v>
      </c>
      <c r="Y48" s="68" t="n">
        <f t="shared" si="8"/>
        <v>0</v>
      </c>
      <c r="Z48" s="67" t="str">
        <f>IF(OR('Prediction Log'!L49="", Table12[[#This Row],[Bet]]="", Table12[[#This Row],[Bet]]="Spread"), "",IF('Prediction Log'!L49=Table12[[#This Row],[Side]], "W", IF('Prediction Log'!L49&lt;&gt;Table12[[#This Row],[Side]], "L", "")))</f>
        <v>W</v>
      </c>
      <c r="AA48" s="59" t="n">
        <f t="shared" si="9"/>
        <v>2.75</v>
      </c>
      <c r="AB48" s="67" t="str">
        <f>IF(OR(Table12[[#This Row],[Bet]]="Side",Table12[[#This Row],[Bet]]="", 'Prediction Log'!L49=""), "",IF('Prediction Log'!U49="Y", "W", IF('Prediction Log'!U49="N", "L", "")))</f>
      </c>
      <c r="AC48" s="59" t="str">
        <f t="shared" si="10"/>
      </c>
      <c r="AD48" s="67"/>
      <c r="AE48" s="65" t="str">
        <f t="shared" si="11"/>
      </c>
      <c r="AF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">
      <c r="A49" s="65" t="n">
        <f>IF(ISBLANK(Games!A49), "", Games!A49)</f>
        <v>1</v>
      </c>
      <c r="B49" s="65" t="str">
        <f>IF('Prediction Log'!B50=0, "",'Prediction Log'!B50)</f>
        <v>Texas</v>
      </c>
      <c r="C49" s="65" t="str">
        <f>IF('Prediction Log'!C50=0, "",'Prediction Log'!C50)</f>
        <v>Colorado State</v>
      </c>
      <c r="D49" s="65" t="n">
        <f>IF('Prediction Log'!D50=0, "",'Prediction Log'!D50)</f>
        <v>-36.5</v>
      </c>
      <c r="E49" s="58" t="n">
        <f>IF('Prediction Log'!E50=0, "",'Prediction Log'!E50)</f>
        <v>-21.082517397685201</v>
      </c>
      <c r="F49" s="65" t="str">
        <f>IF('Prediction Log'!H50=0, "",'Prediction Log'!H50)</f>
        <v>Texas</v>
      </c>
      <c r="G49" s="64" t="str">
        <f>IF(ISBLANK(Games!B49), "",'Prediction Log'!$I50)</f>
        <v>Texas</v>
      </c>
      <c r="H49" s="66" t="n">
        <f>'Prediction Log'!$J50</f>
        <v>0.9651705416324482</v>
      </c>
      <c r="I49" s="65" t="str">
        <f>IF(ISBLANK(Games!T49), "",IF(AND(Games!T49="",Games!U49=""),"",IF(ISTEXT(Games!U49), "Side",Games!T49)))</f>
        <v>Spread</v>
      </c>
      <c r="J49" s="65" t="str">
        <f>IF(ISBLANK(Games!T49), "",IF(Table12[[#This Row],[Bet]]="Spread", Games!X49, ""))</f>
        <v>Colorado State</v>
      </c>
      <c r="K49" s="65" t="str">
        <f>IF(ISBLANK(Games!U49), "",IF(ISTEXT(Games!U49), Games!U49, ""))</f>
      </c>
      <c r="L49" s="57" t="n">
        <f>IF(ISBLANK(Games!D49), "", Games!D49)</f>
        <v>-36.5</v>
      </c>
      <c r="M49" s="65"/>
      <c r="N49" s="75" t="str">
        <f>IF(Games!V49="", "",Games!V49)</f>
      </c>
      <c r="O49" s="75" t="n">
        <f>IF(Games!Z49=0, "",Games!Z49)</f>
        <v>3</v>
      </c>
      <c r="P49" s="67"/>
      <c r="Q49" s="67" t="str">
        <f>IF(ISBLANK(Games!W49), "", Games!W49)</f>
      </c>
      <c r="R49" s="67" t="n">
        <f>IF(ISBLANK(Games!AA49), "", Games!AA49)</f>
        <v>-110</v>
      </c>
      <c r="S49" s="67"/>
      <c r="T49" s="68" t="str">
        <f t="shared" si="3"/>
      </c>
      <c r="U49" s="68" t="str">
        <f t="shared" si="4"/>
      </c>
      <c r="V49" s="68" t="n">
        <f t="shared" si="5"/>
        <v>5.7272727272727266</v>
      </c>
      <c r="W49" s="68" t="n">
        <f t="shared" si="6"/>
        <v>2.7272727272727266</v>
      </c>
      <c r="X49" s="68" t="n">
        <f t="shared" si="7"/>
        <v>0</v>
      </c>
      <c r="Y49" s="68" t="n">
        <f t="shared" si="8"/>
        <v>0</v>
      </c>
      <c r="Z49" s="67" t="str">
        <f>IF(OR('Prediction Log'!L50="", Table12[[#This Row],[Bet]]="", Table12[[#This Row],[Bet]]="Spread"), "",IF('Prediction Log'!L50=Table12[[#This Row],[Side]], "W", IF('Prediction Log'!L50&lt;&gt;Table12[[#This Row],[Side]], "L", "")))</f>
      </c>
      <c r="AA49" s="59" t="str">
        <f t="shared" si="9"/>
      </c>
      <c r="AB49" s="67" t="str">
        <f>IF(OR(Table12[[#This Row],[Bet]]="Side",Table12[[#This Row],[Bet]]="", 'Prediction Log'!L50=""), "",IF('Prediction Log'!U50="Y", "W", IF('Prediction Log'!U50="N", "L", "")))</f>
        <v>L</v>
      </c>
      <c r="AC49" s="59" t="n">
        <f t="shared" si="10"/>
        <v>-3</v>
      </c>
      <c r="AD49" s="67"/>
      <c r="AE49" s="65" t="str">
        <f t="shared" si="11"/>
      </c>
      <c r="AF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">
      <c r="A50" s="65" t="n">
        <f>IF(ISBLANK(Games!A50), "", Games!A50)</f>
        <v>1</v>
      </c>
      <c r="B50" s="65" t="str">
        <f>IF('Prediction Log'!B51=0, "",'Prediction Log'!B51)</f>
        <v>Iowa State</v>
      </c>
      <c r="C50" s="65" t="str">
        <f>IF('Prediction Log'!C51=0, "",'Prediction Log'!C51)</f>
        <v>North Dakota</v>
      </c>
      <c r="D50" s="65" t="n">
        <f>IF('Prediction Log'!D51=0, "",'Prediction Log'!D51)</f>
        <v>-28.5</v>
      </c>
      <c r="E50" s="58" t="n">
        <f>IF('Prediction Log'!E51=0, "",'Prediction Log'!E51)</f>
        <v>-28.6257778734456</v>
      </c>
      <c r="F50" s="65" t="str">
        <f>IF('Prediction Log'!H51=0, "",'Prediction Log'!H51)</f>
        <v>Iowa State</v>
      </c>
      <c r="G50" s="64" t="str">
        <f>IF(ISBLANK(Games!B50), "",'Prediction Log'!$I51)</f>
        <v>Iowa State</v>
      </c>
      <c r="H50" s="66" t="n">
        <f>'Prediction Log'!$J51</f>
        <v>0.98795995186459507</v>
      </c>
      <c r="I50" s="65" t="str">
        <f>IF(ISBLANK(Games!T50), "",IF(AND(Games!T50="",Games!U50=""),"",IF(ISTEXT(Games!U50), "Side",Games!T50)))</f>
      </c>
      <c r="J50" s="65" t="str">
        <f>IF(ISBLANK(Games!T50), "",IF(Table12[[#This Row],[Bet]]="Spread", Games!X50, ""))</f>
      </c>
      <c r="K50" s="65" t="str">
        <f>IF(ISBLANK(Games!U50), "",IF(ISTEXT(Games!U50), Games!U50, ""))</f>
      </c>
      <c r="L50" s="57" t="n">
        <f>IF(ISBLANK(Games!D50), "", Games!D50)</f>
        <v>-28.5</v>
      </c>
      <c r="M50" s="65"/>
      <c r="N50" s="75" t="str">
        <f>IF(Games!V50="", "",Games!V50)</f>
      </c>
      <c r="O50" s="75" t="str">
        <f>IF(Games!Z50=0, "",Games!Z50)</f>
      </c>
      <c r="P50" s="67"/>
      <c r="Q50" s="67" t="str">
        <f>IF(ISBLANK(Games!W50), "", Games!W50)</f>
      </c>
      <c r="R50" s="67" t="str">
        <f>IF(ISBLANK(Games!AA50), "", Games!AA50)</f>
      </c>
      <c r="S50" s="67"/>
      <c r="T50" s="68" t="str">
        <f t="shared" si="3"/>
      </c>
      <c r="U50" s="68" t="str">
        <f t="shared" si="4"/>
      </c>
      <c r="V50" s="68" t="str">
        <f t="shared" si="5"/>
      </c>
      <c r="W50" s="68" t="str">
        <f t="shared" si="6"/>
      </c>
      <c r="X50" s="68" t="n">
        <f t="shared" si="7"/>
        <v>0</v>
      </c>
      <c r="Y50" s="68" t="n">
        <f t="shared" si="8"/>
        <v>0</v>
      </c>
      <c r="Z50" s="67" t="str">
        <f>IF(OR('Prediction Log'!L51="", Table12[[#This Row],[Bet]]="", Table12[[#This Row],[Bet]]="Spread"), "",IF('Prediction Log'!L51=Table12[[#This Row],[Side]], "W", IF('Prediction Log'!L51&lt;&gt;Table12[[#This Row],[Side]], "L", "")))</f>
      </c>
      <c r="AA50" s="59" t="str">
        <f t="shared" si="9"/>
      </c>
      <c r="AB50" s="67" t="str">
        <f>IF(OR(Table12[[#This Row],[Bet]]="Side",Table12[[#This Row],[Bet]]="", 'Prediction Log'!L51=""), "",IF('Prediction Log'!U51="Y", "W", IF('Prediction Log'!U51="N", "L", "")))</f>
      </c>
      <c r="AC50" s="59" t="str">
        <f t="shared" si="10"/>
      </c>
      <c r="AD50" s="67"/>
      <c r="AE50" s="65" t="str">
        <f t="shared" si="11"/>
      </c>
      <c r="AF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">
      <c r="A51" s="65" t="n">
        <f>IF(ISBLANK(Games!A51), "", Games!A51)</f>
        <v>1</v>
      </c>
      <c r="B51" s="65" t="str">
        <f>IF('Prediction Log'!B52=0, "",'Prediction Log'!B52)</f>
        <v>Nebraska</v>
      </c>
      <c r="C51" s="65" t="str">
        <f>IF('Prediction Log'!C52=0, "",'Prediction Log'!C52)</f>
        <v>UTEP</v>
      </c>
      <c r="D51" s="65" t="n">
        <f>IF('Prediction Log'!D52=0, "",'Prediction Log'!D52)</f>
        <v>-27.5</v>
      </c>
      <c r="E51" s="58" t="n">
        <f>IF('Prediction Log'!E52=0, "",'Prediction Log'!E52)</f>
        <v>-42.7</v>
      </c>
      <c r="F51" s="65" t="str">
        <f>IF('Prediction Log'!H52=0, "",'Prediction Log'!H52)</f>
        <v>Nebraska</v>
      </c>
      <c r="G51" s="64" t="str">
        <f>IF(ISBLANK(Games!B51), "",'Prediction Log'!$I52)</f>
        <v>Nebraska</v>
      </c>
      <c r="H51" s="66" t="n">
        <f>'Prediction Log'!$J52</f>
        <v>0.87172545954058944</v>
      </c>
      <c r="I51" s="65" t="str">
        <f>IF(ISBLANK(Games!T51), "",IF(AND(Games!T51="",Games!U51=""),"",IF(ISTEXT(Games!U51), "Side",Games!T51)))</f>
      </c>
      <c r="J51" s="65" t="str">
        <f>IF(ISBLANK(Games!T51), "",IF(Table12[[#This Row],[Bet]]="Spread", Games!X51, ""))</f>
      </c>
      <c r="K51" s="65" t="str">
        <f>IF(ISBLANK(Games!U51), "",IF(ISTEXT(Games!U51), Games!U51, ""))</f>
      </c>
      <c r="L51" s="57" t="str">
        <f>IF(ISBLANK(Games!D51), "", Games!D51)</f>
        <v>-27.5</v>
      </c>
      <c r="M51" s="65"/>
      <c r="N51" s="75" t="str">
        <f>IF(Games!V51="", "",Games!V51)</f>
      </c>
      <c r="O51" s="75" t="str">
        <f>IF(Games!Z51=0, "",Games!Z51)</f>
      </c>
      <c r="P51" s="67"/>
      <c r="Q51" s="67" t="str">
        <f>IF(ISBLANK(Games!W51), "", Games!W51)</f>
      </c>
      <c r="R51" s="67" t="str">
        <f>IF(ISBLANK(Games!AA51), "", Games!AA51)</f>
      </c>
      <c r="S51" s="67"/>
      <c r="T51" s="68" t="str">
        <f t="shared" si="3"/>
      </c>
      <c r="U51" s="68" t="str">
        <f t="shared" si="4"/>
      </c>
      <c r="V51" s="68" t="str">
        <f t="shared" si="5"/>
      </c>
      <c r="W51" s="68" t="str">
        <f t="shared" si="6"/>
      </c>
      <c r="X51" s="68" t="n">
        <f t="shared" si="7"/>
        <v>0</v>
      </c>
      <c r="Y51" s="68" t="n">
        <f t="shared" si="8"/>
        <v>0</v>
      </c>
      <c r="Z51" s="67" t="str">
        <f>IF(OR('Prediction Log'!L52="", Table12[[#This Row],[Bet]]="", Table12[[#This Row],[Bet]]="Spread"), "",IF('Prediction Log'!L52=Table12[[#This Row],[Side]], "W", IF('Prediction Log'!L52&lt;&gt;Table12[[#This Row],[Side]], "L", "")))</f>
      </c>
      <c r="AA51" s="59" t="str">
        <f t="shared" si="9"/>
      </c>
      <c r="AB51" s="67" t="str">
        <f>IF(OR(Table12[[#This Row],[Bet]]="Side",Table12[[#This Row],[Bet]]="", 'Prediction Log'!L52=""), "",IF('Prediction Log'!U52="Y", "W", IF('Prediction Log'!U52="N", "L", "")))</f>
      </c>
      <c r="AC51" s="59" t="str">
        <f t="shared" si="10"/>
      </c>
      <c r="AD51" s="67"/>
      <c r="AE51" s="65" t="str">
        <f t="shared" si="11"/>
      </c>
      <c r="AF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">
      <c r="A52" s="65" t="n">
        <f>IF(ISBLANK(Games!A52), "", Games!A52)</f>
        <v>1</v>
      </c>
      <c r="B52" s="65" t="str">
        <f>IF('Prediction Log'!B53=0, "",'Prediction Log'!B53)</f>
        <v>Ohio State</v>
      </c>
      <c r="C52" s="65" t="str">
        <f>IF('Prediction Log'!C53=0, "",'Prediction Log'!C53)</f>
        <v>Akron</v>
      </c>
      <c r="D52" s="65" t="n">
        <f>IF('Prediction Log'!D53=0, "",'Prediction Log'!D53)</f>
        <v>-50.5</v>
      </c>
      <c r="E52" s="58" t="n">
        <f>IF('Prediction Log'!E53=0, "",'Prediction Log'!E53)</f>
        <v>-28.679564356093199</v>
      </c>
      <c r="F52" s="65" t="str">
        <f>IF('Prediction Log'!H53=0, "",'Prediction Log'!H53)</f>
        <v>Ohio State</v>
      </c>
      <c r="G52" s="64" t="str">
        <f>IF(ISBLANK(Games!B52), "",'Prediction Log'!$I53)</f>
        <v>Ohio State</v>
      </c>
      <c r="H52" s="66" t="n">
        <f>'Prediction Log'!$J53</f>
        <v>0.98805167882258937</v>
      </c>
      <c r="I52" s="65" t="str">
        <f>IF(ISBLANK(Games!T52), "",IF(AND(Games!T52="",Games!U52=""),"",IF(ISTEXT(Games!U52), "Side",Games!T52)))</f>
      </c>
      <c r="J52" s="65" t="str">
        <f>IF(ISBLANK(Games!T52), "",IF(Table12[[#This Row],[Bet]]="Spread", Games!X52, ""))</f>
      </c>
      <c r="K52" s="65" t="str">
        <f>IF(ISBLANK(Games!U52), "",IF(ISTEXT(Games!U52), Games!U52, ""))</f>
      </c>
      <c r="L52" s="57" t="str">
        <f>IF(ISBLANK(Games!D52), "", Games!D52)</f>
        <v>-50.5</v>
      </c>
      <c r="M52" s="65"/>
      <c r="N52" s="75" t="str">
        <f>IF(Games!V52="", "",Games!V52)</f>
      </c>
      <c r="O52" s="75" t="str">
        <f>IF(Games!Z52=0, "",Games!Z52)</f>
      </c>
      <c r="P52" s="67"/>
      <c r="Q52" s="67" t="str">
        <f>IF(ISBLANK(Games!W52), "", Games!W52)</f>
      </c>
      <c r="R52" s="67" t="str">
        <f>IF(ISBLANK(Games!AA52), "", Games!AA52)</f>
      </c>
      <c r="S52" s="67"/>
      <c r="T52" s="68" t="str">
        <f t="shared" si="3"/>
      </c>
      <c r="U52" s="68" t="str">
        <f t="shared" si="4"/>
      </c>
      <c r="V52" s="68" t="str">
        <f t="shared" si="5"/>
      </c>
      <c r="W52" s="68" t="str">
        <f t="shared" si="6"/>
      </c>
      <c r="X52" s="68" t="n">
        <f t="shared" si="7"/>
        <v>0</v>
      </c>
      <c r="Y52" s="68" t="n">
        <f t="shared" si="8"/>
        <v>0</v>
      </c>
      <c r="Z52" s="67" t="str">
        <f>IF(OR('Prediction Log'!L53="", Table12[[#This Row],[Bet]]="", Table12[[#This Row],[Bet]]="Spread"), "",IF('Prediction Log'!L53=Table12[[#This Row],[Side]], "W", IF('Prediction Log'!L53&lt;&gt;Table12[[#This Row],[Side]], "L", "")))</f>
      </c>
      <c r="AA52" s="59" t="str">
        <f t="shared" si="9"/>
      </c>
      <c r="AB52" s="67" t="str">
        <f>IF(OR(Table12[[#This Row],[Bet]]="Side",Table12[[#This Row],[Bet]]="", 'Prediction Log'!L53=""), "",IF('Prediction Log'!U53="Y", "W", IF('Prediction Log'!U53="N", "L", "")))</f>
      </c>
      <c r="AC52" s="59" t="str">
        <f t="shared" si="10"/>
      </c>
      <c r="AD52" s="67"/>
      <c r="AE52" s="65" t="str">
        <f t="shared" si="11"/>
      </c>
      <c r="AF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">
      <c r="A53" s="65" t="n">
        <f>IF(ISBLANK(Games!A53), "", Games!A53)</f>
        <v>1</v>
      </c>
      <c r="B53" s="65" t="str">
        <f>IF('Prediction Log'!B54=0, "",'Prediction Log'!B54)</f>
        <v>Northern Illinois</v>
      </c>
      <c r="C53" s="65" t="str">
        <f>IF('Prediction Log'!C54=0, "",'Prediction Log'!C54)</f>
        <v>Western Illinois</v>
      </c>
      <c r="D53" s="65" t="n">
        <f>IF('Prediction Log'!D54=0, "",'Prediction Log'!D54)</f>
        <v>-35.5</v>
      </c>
      <c r="E53" s="58" t="n">
        <f>IF('Prediction Log'!E54=0, "",'Prediction Log'!E54)</f>
        <v>-17.122648652459599</v>
      </c>
      <c r="F53" s="65" t="str">
        <f>IF('Prediction Log'!H54=0, "",'Prediction Log'!H54)</f>
        <v>Northern Illinois</v>
      </c>
      <c r="G53" s="64" t="str">
        <f>IF(ISBLANK(Games!B53), "",'Prediction Log'!$I54)</f>
        <v>Northern Illinois</v>
      </c>
      <c r="H53" s="66" t="n">
        <f>'Prediction Log'!$J54</f>
        <v>0.9400245318313204</v>
      </c>
      <c r="I53" s="65" t="str">
        <f>IF(ISBLANK(Games!T53), "",IF(AND(Games!T53="",Games!U53=""),"",IF(ISTEXT(Games!U53), "Side",Games!T53)))</f>
      </c>
      <c r="J53" s="65" t="str">
        <f>IF(ISBLANK(Games!T53), "",IF(Table12[[#This Row],[Bet]]="Spread", Games!X53, ""))</f>
      </c>
      <c r="K53" s="65" t="str">
        <f>IF(ISBLANK(Games!U53), "",IF(ISTEXT(Games!U53), Games!U53, ""))</f>
      </c>
      <c r="L53" s="57" t="n">
        <f>IF(ISBLANK(Games!D53), "", Games!D53)</f>
        <v>-35.5</v>
      </c>
      <c r="M53" s="65"/>
      <c r="N53" s="75" t="str">
        <f>IF(Games!V53="", "",Games!V53)</f>
      </c>
      <c r="O53" s="75" t="str">
        <f>IF(Games!Z53=0, "",Games!Z53)</f>
      </c>
      <c r="P53" s="67"/>
      <c r="Q53" s="67" t="str">
        <f>IF(ISBLANK(Games!W53), "", Games!W53)</f>
      </c>
      <c r="R53" s="67" t="str">
        <f>IF(ISBLANK(Games!AA53), "", Games!AA53)</f>
      </c>
      <c r="S53" s="67"/>
      <c r="T53" s="68" t="str">
        <f t="shared" si="3"/>
      </c>
      <c r="U53" s="68" t="str">
        <f t="shared" si="4"/>
      </c>
      <c r="V53" s="68" t="str">
        <f t="shared" si="5"/>
      </c>
      <c r="W53" s="68" t="str">
        <f t="shared" si="6"/>
      </c>
      <c r="X53" s="68" t="n">
        <f t="shared" si="7"/>
        <v>0</v>
      </c>
      <c r="Y53" s="68" t="n">
        <f t="shared" si="8"/>
        <v>0</v>
      </c>
      <c r="Z53" s="67" t="str">
        <f>IF(OR('Prediction Log'!L54="", Table12[[#This Row],[Bet]]="", Table12[[#This Row],[Bet]]="Spread"), "",IF('Prediction Log'!L54=Table12[[#This Row],[Side]], "W", IF('Prediction Log'!L54&lt;&gt;Table12[[#This Row],[Side]], "L", "")))</f>
      </c>
      <c r="AA53" s="59" t="str">
        <f t="shared" si="9"/>
      </c>
      <c r="AB53" s="67" t="str">
        <f>IF(OR(Table12[[#This Row],[Bet]]="Side",Table12[[#This Row],[Bet]]="", 'Prediction Log'!L54=""), "",IF('Prediction Log'!U54="Y", "W", IF('Prediction Log'!U54="N", "L", "")))</f>
      </c>
      <c r="AC53" s="59" t="str">
        <f t="shared" si="10"/>
      </c>
      <c r="AD53" s="67"/>
      <c r="AE53" s="65" t="str">
        <f t="shared" si="11"/>
      </c>
      <c r="AF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">
      <c r="A54" s="65" t="n">
        <f>IF(ISBLANK(Games!A54), "", Games!A54)</f>
        <v>1</v>
      </c>
      <c r="B54" s="65" t="str">
        <f>IF('Prediction Log'!B55=0, "",'Prediction Log'!B55)</f>
        <v>Northwestern</v>
      </c>
      <c r="C54" s="65" t="str">
        <f>IF('Prediction Log'!C55=0, "",'Prediction Log'!C55)</f>
        <v>Miami (OH)</v>
      </c>
      <c r="D54" s="65" t="n">
        <f>IF('Prediction Log'!D55=0, "",'Prediction Log'!D55)</f>
        <v>-4</v>
      </c>
      <c r="E54" s="58" t="n">
        <f>IF('Prediction Log'!E55=0, "",'Prediction Log'!E55)</f>
        <v>-16.5</v>
      </c>
      <c r="F54" s="65" t="str">
        <f>IF('Prediction Log'!H55=0, "",'Prediction Log'!H55)</f>
        <v>Northwestern</v>
      </c>
      <c r="G54" s="64" t="str">
        <f>IF(ISBLANK(Games!B54), "",'Prediction Log'!$I55)</f>
        <v>Miami (OH)</v>
      </c>
      <c r="H54" s="66" t="n">
        <f>'Prediction Log'!$J55</f>
        <v>0.53060435647524895</v>
      </c>
      <c r="I54" s="65" t="str">
        <f>IF(ISBLANK(Games!T54), "",IF(AND(Games!T54="",Games!U54=""),"",IF(ISTEXT(Games!U54), "Side",Games!T54)))</f>
      </c>
      <c r="J54" s="65" t="str">
        <f>IF(ISBLANK(Games!T54), "",IF(Table12[[#This Row],[Bet]]="Spread", Games!X54, ""))</f>
      </c>
      <c r="K54" s="65" t="str">
        <f>IF(ISBLANK(Games!U54), "",IF(ISTEXT(Games!U54), Games!U54, ""))</f>
      </c>
      <c r="L54" s="57" t="str">
        <f>IF(ISBLANK(Games!D54), "", Games!D54)</f>
        <v>-4</v>
      </c>
      <c r="M54" s="65"/>
      <c r="N54" s="75" t="str">
        <f>IF(Games!V54="", "",Games!V54)</f>
      </c>
      <c r="O54" s="75" t="str">
        <f>IF(Games!Z54=0, "",Games!Z54)</f>
      </c>
      <c r="P54" s="67"/>
      <c r="Q54" s="67" t="str">
        <f>IF(ISBLANK(Games!W54), "", Games!W54)</f>
      </c>
      <c r="R54" s="67" t="str">
        <f>IF(ISBLANK(Games!AA54), "", Games!AA54)</f>
      </c>
      <c r="S54" s="67"/>
      <c r="T54" s="68" t="str">
        <f t="shared" si="3"/>
      </c>
      <c r="U54" s="68" t="str">
        <f t="shared" si="4"/>
      </c>
      <c r="V54" s="68" t="str">
        <f t="shared" si="5"/>
      </c>
      <c r="W54" s="68" t="str">
        <f t="shared" si="6"/>
      </c>
      <c r="X54" s="68" t="n">
        <f t="shared" si="7"/>
        <v>0</v>
      </c>
      <c r="Y54" s="68" t="n">
        <f t="shared" si="8"/>
        <v>0</v>
      </c>
      <c r="Z54" s="67" t="str">
        <f>IF(OR('Prediction Log'!L55="", Table12[[#This Row],[Bet]]="", Table12[[#This Row],[Bet]]="Spread"), "",IF('Prediction Log'!L55=Table12[[#This Row],[Side]], "W", IF('Prediction Log'!L55&lt;&gt;Table12[[#This Row],[Side]], "L", "")))</f>
      </c>
      <c r="AA54" s="59" t="str">
        <f t="shared" si="9"/>
      </c>
      <c r="AB54" s="67" t="str">
        <f>IF(OR(Table12[[#This Row],[Bet]]="Side",Table12[[#This Row],[Bet]]="", 'Prediction Log'!L55=""), "",IF('Prediction Log'!U55="Y", "W", IF('Prediction Log'!U55="N", "L", "")))</f>
      </c>
      <c r="AC54" s="59" t="str">
        <f t="shared" si="10"/>
      </c>
      <c r="AD54" s="67"/>
      <c r="AE54" s="65" t="str">
        <f t="shared" si="11"/>
      </c>
      <c r="AF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">
      <c r="A55" s="65" t="n">
        <f>IF(ISBLANK(Games!A55), "", Games!A55)</f>
        <v>1</v>
      </c>
      <c r="B55" s="65" t="str">
        <f>IF('Prediction Log'!B56=0, "",'Prediction Log'!B56)</f>
        <v>UT San Antonio</v>
      </c>
      <c r="C55" s="65" t="str">
        <f>IF('Prediction Log'!C56=0, "",'Prediction Log'!C56)</f>
        <v>Kennesaw State</v>
      </c>
      <c r="D55" s="65" t="n">
        <f>IF('Prediction Log'!D56=0, "",'Prediction Log'!D56)</f>
        <v>-24</v>
      </c>
      <c r="E55" s="58" t="n">
        <f>IF('Prediction Log'!E56=0, "",'Prediction Log'!E56)</f>
        <v>-18.257670405506801</v>
      </c>
      <c r="F55" s="65" t="str">
        <f>IF('Prediction Log'!H56=0, "",'Prediction Log'!H56)</f>
        <v>UT San Antonio</v>
      </c>
      <c r="G55" s="64" t="str">
        <f>IF(ISBLANK(Games!B55), "",'Prediction Log'!$I56)</f>
        <v>UT San Antonio</v>
      </c>
      <c r="H55" s="66" t="n">
        <f>'Prediction Log'!$J56</f>
        <v>0.94859824845739149</v>
      </c>
      <c r="I55" s="65" t="str">
        <f>IF(ISBLANK(Games!T55), "",IF(AND(Games!T55="",Games!U55=""),"",IF(ISTEXT(Games!U55), "Side",Games!T55)))</f>
      </c>
      <c r="J55" s="65" t="str">
        <f>IF(ISBLANK(Games!T55), "",IF(Table12[[#This Row],[Bet]]="Spread", Games!X55, ""))</f>
      </c>
      <c r="K55" s="65" t="str">
        <f>IF(ISBLANK(Games!U55), "",IF(ISTEXT(Games!U55), Games!U55, ""))</f>
      </c>
      <c r="L55" s="57" t="str">
        <f>IF(ISBLANK(Games!D55), "", Games!D55)</f>
        <v>-24</v>
      </c>
      <c r="M55" s="65"/>
      <c r="N55" s="75" t="str">
        <f>IF(Games!V55="", "",Games!V55)</f>
      </c>
      <c r="O55" s="75" t="str">
        <f>IF(Games!Z55=0, "",Games!Z55)</f>
      </c>
      <c r="P55" s="67"/>
      <c r="Q55" s="67" t="str">
        <f>IF(ISBLANK(Games!W55), "", Games!W55)</f>
      </c>
      <c r="R55" s="67" t="str">
        <f>IF(ISBLANK(Games!AA55), "", Games!AA55)</f>
      </c>
      <c r="S55" s="67"/>
      <c r="T55" s="68" t="str">
        <f t="shared" si="3"/>
      </c>
      <c r="U55" s="68" t="str">
        <f t="shared" si="4"/>
      </c>
      <c r="V55" s="68" t="str">
        <f t="shared" si="5"/>
      </c>
      <c r="W55" s="68" t="str">
        <f t="shared" si="6"/>
      </c>
      <c r="X55" s="68" t="n">
        <f t="shared" si="7"/>
        <v>0</v>
      </c>
      <c r="Y55" s="68" t="n">
        <f t="shared" si="8"/>
        <v>0</v>
      </c>
      <c r="Z55" s="67" t="str">
        <f>IF(OR('Prediction Log'!L56="", Table12[[#This Row],[Bet]]="", Table12[[#This Row],[Bet]]="Spread"), "",IF('Prediction Log'!L56=Table12[[#This Row],[Side]], "W", IF('Prediction Log'!L56&lt;&gt;Table12[[#This Row],[Side]], "L", "")))</f>
      </c>
      <c r="AA55" s="59" t="str">
        <f t="shared" si="9"/>
      </c>
      <c r="AB55" s="67" t="str">
        <f>IF(OR(Table12[[#This Row],[Bet]]="Side",Table12[[#This Row],[Bet]]="", 'Prediction Log'!L56=""), "",IF('Prediction Log'!U56="Y", "W", IF('Prediction Log'!U56="N", "L", "")))</f>
      </c>
      <c r="AC55" s="59" t="str">
        <f t="shared" si="10"/>
      </c>
      <c r="AD55" s="67"/>
      <c r="AE55" s="65" t="str">
        <f t="shared" si="11"/>
      </c>
      <c r="AF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">
      <c r="A56" s="65" t="n">
        <f>IF(ISBLANK(Games!A56), "", Games!A56)</f>
        <v>1</v>
      </c>
      <c r="B56" s="65" t="str">
        <f>IF('Prediction Log'!B57=0, "",'Prediction Log'!B57)</f>
        <v>Syracuse</v>
      </c>
      <c r="C56" s="65" t="str">
        <f>IF('Prediction Log'!C57=0, "",'Prediction Log'!C57)</f>
        <v>Ohio</v>
      </c>
      <c r="D56" s="65" t="n">
        <f>IF('Prediction Log'!D57=0, "",'Prediction Log'!D57)</f>
        <v>-17.5</v>
      </c>
      <c r="E56" s="58" t="n">
        <f>IF('Prediction Log'!E57=0, "",'Prediction Log'!E57)</f>
        <v>-12.5</v>
      </c>
      <c r="F56" s="65" t="str">
        <f>IF('Prediction Log'!H57=0, "",'Prediction Log'!H57)</f>
        <v>Syracuse</v>
      </c>
      <c r="G56" s="64" t="str">
        <f>IF(ISBLANK(Games!B56), "",'Prediction Log'!$I57)</f>
        <v>Ohio</v>
      </c>
      <c r="H56" s="66" t="n">
        <f>'Prediction Log'!$J57</f>
        <v>0.54608044800074185</v>
      </c>
      <c r="I56" s="65" t="str">
        <f>IF(ISBLANK(Games!T56), "",IF(AND(Games!T56="",Games!U56=""),"",IF(ISTEXT(Games!U56), "Side",Games!T56)))</f>
      </c>
      <c r="J56" s="65" t="str">
        <f>IF(ISBLANK(Games!T56), "",IF(Table12[[#This Row],[Bet]]="Spread", Games!X56, ""))</f>
      </c>
      <c r="K56" s="65" t="str">
        <f>IF(ISBLANK(Games!U56), "",IF(ISTEXT(Games!U56), Games!U56, ""))</f>
      </c>
      <c r="L56" s="57" t="str">
        <f>IF(ISBLANK(Games!D56), "", Games!D56)</f>
        <v>-17.5</v>
      </c>
      <c r="M56" s="65"/>
      <c r="N56" s="75" t="str">
        <f>IF(Games!V56="", "",Games!V56)</f>
      </c>
      <c r="O56" s="75" t="str">
        <f>IF(Games!Z56=0, "",Games!Z56)</f>
      </c>
      <c r="P56" s="67"/>
      <c r="Q56" s="67" t="str">
        <f>IF(ISBLANK(Games!W56), "", Games!W56)</f>
      </c>
      <c r="R56" s="67" t="str">
        <f>IF(ISBLANK(Games!AA56), "", Games!AA56)</f>
      </c>
      <c r="S56" s="67"/>
      <c r="T56" s="68" t="str">
        <f t="shared" si="3"/>
      </c>
      <c r="U56" s="68" t="str">
        <f t="shared" si="4"/>
      </c>
      <c r="V56" s="68" t="str">
        <f t="shared" si="5"/>
      </c>
      <c r="W56" s="68" t="str">
        <f t="shared" si="6"/>
      </c>
      <c r="X56" s="68" t="n">
        <f t="shared" si="7"/>
        <v>0</v>
      </c>
      <c r="Y56" s="68" t="n">
        <f t="shared" si="8"/>
        <v>0</v>
      </c>
      <c r="Z56" s="67" t="str">
        <f>IF(OR('Prediction Log'!L57="", Table12[[#This Row],[Bet]]="", Table12[[#This Row],[Bet]]="Spread"), "",IF('Prediction Log'!L57=Table12[[#This Row],[Side]], "W", IF('Prediction Log'!L57&lt;&gt;Table12[[#This Row],[Side]], "L", "")))</f>
      </c>
      <c r="AA56" s="59" t="str">
        <f t="shared" si="9"/>
      </c>
      <c r="AB56" s="67" t="str">
        <f>IF(OR(Table12[[#This Row],[Bet]]="Side",Table12[[#This Row],[Bet]]="", 'Prediction Log'!L57=""), "",IF('Prediction Log'!U57="Y", "W", IF('Prediction Log'!U57="N", "L", "")))</f>
      </c>
      <c r="AC56" s="59" t="str">
        <f t="shared" si="10"/>
      </c>
      <c r="AD56" s="67"/>
      <c r="AE56" s="65" t="str">
        <f t="shared" si="11"/>
      </c>
      <c r="AF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">
      <c r="A57" s="65" t="n">
        <f>IF(ISBLANK(Games!A57), "", Games!A57)</f>
        <v>1</v>
      </c>
      <c r="B57" s="65" t="str">
        <f>IF('Prediction Log'!B58=0, "",'Prediction Log'!B58)</f>
        <v>Florida</v>
      </c>
      <c r="C57" s="65" t="str">
        <f>IF('Prediction Log'!C58=0, "",'Prediction Log'!C58)</f>
        <v>Miami</v>
      </c>
      <c r="D57" s="65" t="n">
        <f>IF('Prediction Log'!D58=0, "",'Prediction Log'!D58)</f>
        <v>2.5</v>
      </c>
      <c r="E57" s="58" t="n">
        <f>IF('Prediction Log'!E58=0, "",'Prediction Log'!E58)</f>
        <v>0.7</v>
      </c>
      <c r="F57" s="65" t="str">
        <f>IF('Prediction Log'!H58=0, "",'Prediction Log'!H58)</f>
        <v>Miami</v>
      </c>
      <c r="G57" s="64" t="str">
        <f>IF(ISBLANK(Games!B57), "",'Prediction Log'!$I58)</f>
        <v>Florida</v>
      </c>
      <c r="H57" s="66" t="n">
        <f>'Prediction Log'!$J58</f>
        <v>0.59466691018927809</v>
      </c>
      <c r="I57" s="65" t="str">
        <f>IF(ISBLANK(Games!T57), "",IF(AND(Games!T57="",Games!U57=""),"",IF(ISTEXT(Games!U57), "Side",Games!T57)))</f>
      </c>
      <c r="J57" s="65" t="str">
        <f>IF(ISBLANK(Games!T57), "",IF(Table12[[#This Row],[Bet]]="Spread", Games!X57, ""))</f>
      </c>
      <c r="K57" s="65" t="str">
        <f>IF(ISBLANK(Games!U57), "",IF(ISTEXT(Games!U57), Games!U57, ""))</f>
      </c>
      <c r="L57" s="57" t="str">
        <f>IF(ISBLANK(Games!D57), "", Games!D57)</f>
        <v>2.5</v>
      </c>
      <c r="M57" s="65"/>
      <c r="N57" s="75" t="str">
        <f>IF(Games!V57="", "",Games!V57)</f>
      </c>
      <c r="O57" s="75" t="str">
        <f>IF(Games!Z57=0, "",Games!Z57)</f>
      </c>
      <c r="P57" s="67"/>
      <c r="Q57" s="67" t="str">
        <f>IF(ISBLANK(Games!W57), "", Games!W57)</f>
      </c>
      <c r="R57" s="67" t="str">
        <f>IF(ISBLANK(Games!AA57), "", Games!AA57)</f>
      </c>
      <c r="S57" s="67"/>
      <c r="T57" s="68" t="str">
        <f t="shared" si="3"/>
      </c>
      <c r="U57" s="68" t="str">
        <f t="shared" si="4"/>
      </c>
      <c r="V57" s="68" t="str">
        <f t="shared" si="5"/>
      </c>
      <c r="W57" s="68" t="str">
        <f t="shared" si="6"/>
      </c>
      <c r="X57" s="68" t="n">
        <f t="shared" si="7"/>
        <v>0</v>
      </c>
      <c r="Y57" s="68" t="n">
        <f t="shared" si="8"/>
        <v>0</v>
      </c>
      <c r="Z57" s="67" t="str">
        <f>IF(OR('Prediction Log'!L58="", Table12[[#This Row],[Bet]]="", Table12[[#This Row],[Bet]]="Spread"), "",IF('Prediction Log'!L58=Table12[[#This Row],[Side]], "W", IF('Prediction Log'!L58&lt;&gt;Table12[[#This Row],[Side]], "L", "")))</f>
      </c>
      <c r="AA57" s="59" t="str">
        <f t="shared" si="9"/>
      </c>
      <c r="AB57" s="67" t="str">
        <f>IF(OR(Table12[[#This Row],[Bet]]="Side",Table12[[#This Row],[Bet]]="", 'Prediction Log'!L58=""), "",IF('Prediction Log'!U58="Y", "W", IF('Prediction Log'!U58="N", "L", "")))</f>
      </c>
      <c r="AC57" s="59" t="str">
        <f t="shared" si="10"/>
      </c>
      <c r="AD57" s="67"/>
      <c r="AE57" s="65" t="str">
        <f t="shared" si="11"/>
      </c>
      <c r="AF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">
      <c r="A58" s="65" t="n">
        <f>IF(ISBLANK(Games!A58), "", Games!A58)</f>
        <v>1</v>
      </c>
      <c r="B58" s="65" t="str">
        <f>IF('Prediction Log'!B59=0, "",'Prediction Log'!B59)</f>
        <v>Appalachian State</v>
      </c>
      <c r="C58" s="65" t="str">
        <f>IF('Prediction Log'!C59=0, "",'Prediction Log'!C59)</f>
        <v>East Tennessee State</v>
      </c>
      <c r="D58" s="65" t="n">
        <f>IF('Prediction Log'!D59=0, "",'Prediction Log'!D59)</f>
        <v>-34.5</v>
      </c>
      <c r="E58" s="58" t="n">
        <f>IF('Prediction Log'!E59=0, "",'Prediction Log'!E59)</f>
        <v>-27.708633939054401</v>
      </c>
      <c r="F58" s="65" t="str">
        <f>IF('Prediction Log'!H59=0, "",'Prediction Log'!H59)</f>
        <v>Appalachian State</v>
      </c>
      <c r="G58" s="64" t="str">
        <f>IF(ISBLANK(Games!B58), "",'Prediction Log'!$I59)</f>
        <v>Appalachian State</v>
      </c>
      <c r="H58" s="66" t="n">
        <f>'Prediction Log'!$J59</f>
        <v>0.98628447064828917</v>
      </c>
      <c r="I58" s="65" t="str">
        <f>IF(ISBLANK(Games!T58), "",IF(AND(Games!T58="",Games!U58=""),"",IF(ISTEXT(Games!U58), "Side",Games!T58)))</f>
      </c>
      <c r="J58" s="65" t="str">
        <f>IF(ISBLANK(Games!T58), "",IF(Table12[[#This Row],[Bet]]="Spread", Games!X58, ""))</f>
      </c>
      <c r="K58" s="65" t="str">
        <f>IF(ISBLANK(Games!U58), "",IF(ISTEXT(Games!U58), Games!U58, ""))</f>
      </c>
      <c r="L58" s="57" t="n">
        <f>IF(ISBLANK(Games!D58), "", Games!D58)</f>
        <v>-34.5</v>
      </c>
      <c r="M58" s="65"/>
      <c r="N58" s="75" t="str">
        <f>IF(Games!V58="", "",Games!V58)</f>
      </c>
      <c r="O58" s="75" t="str">
        <f>IF(Games!Z58=0, "",Games!Z58)</f>
      </c>
      <c r="P58" s="67"/>
      <c r="Q58" s="67" t="str">
        <f>IF(ISBLANK(Games!W58), "", Games!W58)</f>
      </c>
      <c r="R58" s="67" t="str">
        <f>IF(ISBLANK(Games!AA58), "", Games!AA58)</f>
      </c>
      <c r="S58" s="67"/>
      <c r="T58" s="68" t="str">
        <f t="shared" si="3"/>
      </c>
      <c r="U58" s="68" t="str">
        <f t="shared" si="4"/>
      </c>
      <c r="V58" s="68" t="str">
        <f t="shared" si="5"/>
      </c>
      <c r="W58" s="68" t="str">
        <f t="shared" si="6"/>
      </c>
      <c r="X58" s="68" t="n">
        <f t="shared" si="7"/>
        <v>0</v>
      </c>
      <c r="Y58" s="68" t="n">
        <f t="shared" si="8"/>
        <v>0</v>
      </c>
      <c r="Z58" s="67" t="str">
        <f>IF(OR('Prediction Log'!L59="", Table12[[#This Row],[Bet]]="", Table12[[#This Row],[Bet]]="Spread"), "",IF('Prediction Log'!L59=Table12[[#This Row],[Side]], "W", IF('Prediction Log'!L59&lt;&gt;Table12[[#This Row],[Side]], "L", "")))</f>
      </c>
      <c r="AA58" s="59" t="str">
        <f t="shared" si="9"/>
      </c>
      <c r="AB58" s="67" t="str">
        <f>IF(OR(Table12[[#This Row],[Bet]]="Side",Table12[[#This Row],[Bet]]="", 'Prediction Log'!L59=""), "",IF('Prediction Log'!U59="Y", "W", IF('Prediction Log'!U59="N", "L", "")))</f>
      </c>
      <c r="AC58" s="59" t="str">
        <f t="shared" si="10"/>
      </c>
      <c r="AD58" s="67"/>
      <c r="AE58" s="65" t="str">
        <f t="shared" si="11"/>
      </c>
      <c r="AF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">
      <c r="A59" s="65" t="n">
        <f>IF(ISBLANK(Games!A59), "", Games!A59)</f>
        <v>1</v>
      </c>
      <c r="B59" s="65" t="str">
        <f>IF('Prediction Log'!B60=0, "",'Prediction Log'!B60)</f>
        <v>Air Force</v>
      </c>
      <c r="C59" s="65" t="str">
        <f>IF('Prediction Log'!C60=0, "",'Prediction Log'!C60)</f>
        <v>Merrimack</v>
      </c>
      <c r="D59" s="65" t="n">
        <f>IF('Prediction Log'!D60=0, "",'Prediction Log'!D60)</f>
        <v>-29.5</v>
      </c>
      <c r="E59" s="58" t="n">
        <f>IF('Prediction Log'!E60=0, "",'Prediction Log'!E60)</f>
        <v>-18.0024122748708</v>
      </c>
      <c r="F59" s="65" t="str">
        <f>IF('Prediction Log'!H60=0, "",'Prediction Log'!H60)</f>
        <v>Air Force</v>
      </c>
      <c r="G59" s="64" t="str">
        <f>IF(ISBLANK(Games!B59), "",'Prediction Log'!$I60)</f>
        <v>Air Force</v>
      </c>
      <c r="H59" s="66" t="n">
        <f>'Prediction Log'!$J60</f>
        <v>0.94677728063592437</v>
      </c>
      <c r="I59" s="65" t="str">
        <f>IF(ISBLANK(Games!T59), "",IF(AND(Games!T59="",Games!U59=""),"",IF(ISTEXT(Games!U59), "Side",Games!T59)))</f>
      </c>
      <c r="J59" s="65" t="str">
        <f>IF(ISBLANK(Games!T59), "",IF(Table12[[#This Row],[Bet]]="Spread", Games!X59, ""))</f>
      </c>
      <c r="K59" s="65" t="str">
        <f>IF(ISBLANK(Games!U59), "",IF(ISTEXT(Games!U59), Games!U59, ""))</f>
      </c>
      <c r="L59" s="57" t="n">
        <f>IF(ISBLANK(Games!D59), "", Games!D59)</f>
        <v>-29.5</v>
      </c>
      <c r="M59" s="65"/>
      <c r="N59" s="75" t="str">
        <f>IF(Games!V59="", "",Games!V59)</f>
      </c>
      <c r="O59" s="75" t="str">
        <f>IF(Games!Z59=0, "",Games!Z59)</f>
      </c>
      <c r="P59" s="67"/>
      <c r="Q59" s="67" t="str">
        <f>IF(ISBLANK(Games!W59), "", Games!W59)</f>
      </c>
      <c r="R59" s="67" t="str">
        <f>IF(ISBLANK(Games!AA59), "", Games!AA59)</f>
      </c>
      <c r="S59" s="67"/>
      <c r="T59" s="68" t="str">
        <f t="shared" si="3"/>
      </c>
      <c r="U59" s="68" t="str">
        <f t="shared" si="4"/>
      </c>
      <c r="V59" s="68" t="str">
        <f t="shared" si="5"/>
      </c>
      <c r="W59" s="68" t="str">
        <f t="shared" si="6"/>
      </c>
      <c r="X59" s="68" t="n">
        <f t="shared" si="7"/>
        <v>0</v>
      </c>
      <c r="Y59" s="68" t="n">
        <f t="shared" si="8"/>
        <v>0</v>
      </c>
      <c r="Z59" s="67" t="str">
        <f>IF(OR('Prediction Log'!L60="", Table12[[#This Row],[Bet]]="", Table12[[#This Row],[Bet]]="Spread"), "",IF('Prediction Log'!L60=Table12[[#This Row],[Side]], "W", IF('Prediction Log'!L60&lt;&gt;Table12[[#This Row],[Side]], "L", "")))</f>
      </c>
      <c r="AA59" s="59" t="str">
        <f t="shared" si="9"/>
      </c>
      <c r="AB59" s="67" t="str">
        <f>IF(OR(Table12[[#This Row],[Bet]]="Side",Table12[[#This Row],[Bet]]="", 'Prediction Log'!L60=""), "",IF('Prediction Log'!U60="Y", "W", IF('Prediction Log'!U60="N", "L", "")))</f>
      </c>
      <c r="AC59" s="59" t="str">
        <f t="shared" si="10"/>
      </c>
      <c r="AD59" s="67"/>
      <c r="AE59" s="65" t="str">
        <f t="shared" si="11"/>
      </c>
      <c r="AF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">
      <c r="A60" s="65" t="n">
        <f>IF(ISBLANK(Games!A60), "", Games!A60)</f>
        <v>1</v>
      </c>
      <c r="B60" s="65" t="str">
        <f>IF('Prediction Log'!B61=0, "",'Prediction Log'!B61)</f>
        <v>Georgia Southern</v>
      </c>
      <c r="C60" s="65" t="str">
        <f>IF('Prediction Log'!C61=0, "",'Prediction Log'!C61)</f>
        <v>Boise State</v>
      </c>
      <c r="D60" s="65" t="n">
        <f>IF('Prediction Log'!D61=0, "",'Prediction Log'!D61)</f>
        <v>12</v>
      </c>
      <c r="E60" s="58" t="n">
        <f>IF('Prediction Log'!E61=0, "",'Prediction Log'!E61)</f>
        <v>23.7</v>
      </c>
      <c r="F60" s="65" t="str">
        <f>IF('Prediction Log'!H61=0, "",'Prediction Log'!H61)</f>
        <v>Boise State</v>
      </c>
      <c r="G60" s="64" t="str">
        <f>IF(ISBLANK(Games!B60), "",'Prediction Log'!$I61)</f>
        <v>Boise State</v>
      </c>
      <c r="H60" s="66" t="n">
        <f>'Prediction Log'!$J61</f>
        <v>0.76949807542123116</v>
      </c>
      <c r="I60" s="65" t="str">
        <f>IF(ISBLANK(Games!T60), "",IF(AND(Games!T60="",Games!U60=""),"",IF(ISTEXT(Games!U60), "Side",Games!T60)))</f>
      </c>
      <c r="J60" s="65" t="str">
        <f>IF(ISBLANK(Games!T60), "",IF(Table12[[#This Row],[Bet]]="Spread", Games!X60, ""))</f>
      </c>
      <c r="K60" s="65" t="str">
        <f>IF(ISBLANK(Games!U60), "",IF(ISTEXT(Games!U60), Games!U60, ""))</f>
      </c>
      <c r="L60" s="57" t="str">
        <f>IF(ISBLANK(Games!D60), "", Games!D60)</f>
        <v>12</v>
      </c>
      <c r="M60" s="65"/>
      <c r="N60" s="75" t="str">
        <f>IF(Games!V60="", "",Games!V60)</f>
      </c>
      <c r="O60" s="75" t="str">
        <f>IF(Games!Z60=0, "",Games!Z60)</f>
      </c>
      <c r="P60" s="67"/>
      <c r="Q60" s="67" t="str">
        <f>IF(ISBLANK(Games!W60), "", Games!W60)</f>
      </c>
      <c r="R60" s="67" t="str">
        <f>IF(ISBLANK(Games!AA60), "", Games!AA60)</f>
      </c>
      <c r="S60" s="67"/>
      <c r="T60" s="68" t="str">
        <f t="shared" si="3"/>
      </c>
      <c r="U60" s="68" t="str">
        <f t="shared" si="4"/>
      </c>
      <c r="V60" s="68" t="str">
        <f t="shared" si="5"/>
      </c>
      <c r="W60" s="68" t="str">
        <f t="shared" si="6"/>
      </c>
      <c r="X60" s="68" t="n">
        <f t="shared" si="7"/>
        <v>0</v>
      </c>
      <c r="Y60" s="68" t="n">
        <f t="shared" si="8"/>
        <v>0</v>
      </c>
      <c r="Z60" s="67" t="str">
        <f>IF(OR('Prediction Log'!L61="", Table12[[#This Row],[Bet]]="", Table12[[#This Row],[Bet]]="Spread"), "",IF('Prediction Log'!L61=Table12[[#This Row],[Side]], "W", IF('Prediction Log'!L61&lt;&gt;Table12[[#This Row],[Side]], "L", "")))</f>
      </c>
      <c r="AA60" s="59" t="str">
        <f t="shared" si="9"/>
      </c>
      <c r="AB60" s="67" t="str">
        <f>IF(OR(Table12[[#This Row],[Bet]]="Side",Table12[[#This Row],[Bet]]="", 'Prediction Log'!L61=""), "",IF('Prediction Log'!U61="Y", "W", IF('Prediction Log'!U61="N", "L", "")))</f>
      </c>
      <c r="AC60" s="59" t="str">
        <f t="shared" si="10"/>
      </c>
      <c r="AD60" s="67"/>
      <c r="AE60" s="65" t="str">
        <f t="shared" si="11"/>
      </c>
      <c r="AF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">
      <c r="A61" s="65" t="n">
        <f>IF(ISBLANK(Games!A61), "", Games!A61)</f>
        <v>1</v>
      </c>
      <c r="B61" s="65" t="str">
        <f>IF('Prediction Log'!B62=0, "",'Prediction Log'!B62)</f>
        <v>South Carolina</v>
      </c>
      <c r="C61" s="65" t="str">
        <f>IF('Prediction Log'!C62=0, "",'Prediction Log'!C62)</f>
        <v>Old Dominion</v>
      </c>
      <c r="D61" s="65" t="n">
        <f>IF('Prediction Log'!D62=0, "",'Prediction Log'!D62)</f>
        <v>-20</v>
      </c>
      <c r="E61" s="58" t="n">
        <f>IF('Prediction Log'!E62=0, "",'Prediction Log'!E62)</f>
        <v>-37.700000000000003</v>
      </c>
      <c r="F61" s="65" t="str">
        <f>IF('Prediction Log'!H62=0, "",'Prediction Log'!H62)</f>
        <v>South Carolina</v>
      </c>
      <c r="G61" s="64" t="str">
        <f>IF(ISBLANK(Games!B61), "",'Prediction Log'!$I62)</f>
        <v>South Carolina</v>
      </c>
      <c r="H61" s="66" t="n">
        <f>'Prediction Log'!$J62</f>
        <v>0.79120889876425871</v>
      </c>
      <c r="I61" s="65" t="str">
        <f>IF(ISBLANK(Games!T61), "",IF(AND(Games!T61="",Games!U61=""),"",IF(ISTEXT(Games!U61), "Side",Games!T61)))</f>
      </c>
      <c r="J61" s="65" t="str">
        <f>IF(ISBLANK(Games!T61), "",IF(Table12[[#This Row],[Bet]]="Spread", Games!X61, ""))</f>
      </c>
      <c r="K61" s="65" t="str">
        <f>IF(ISBLANK(Games!U61), "",IF(ISTEXT(Games!U61), Games!U61, ""))</f>
      </c>
      <c r="L61" s="57" t="str">
        <f>IF(ISBLANK(Games!D61), "", Games!D61)</f>
        <v>-20</v>
      </c>
      <c r="M61" s="65"/>
      <c r="N61" s="75" t="str">
        <f>IF(Games!V61="", "",Games!V61)</f>
      </c>
      <c r="O61" s="75" t="str">
        <f>IF(Games!Z61=0, "",Games!Z61)</f>
      </c>
      <c r="P61" s="67"/>
      <c r="Q61" s="67" t="str">
        <f>IF(ISBLANK(Games!W61), "", Games!W61)</f>
      </c>
      <c r="R61" s="67" t="str">
        <f>IF(ISBLANK(Games!AA61), "", Games!AA61)</f>
      </c>
      <c r="S61" s="67"/>
      <c r="T61" s="68" t="str">
        <f t="shared" si="3"/>
      </c>
      <c r="U61" s="68" t="str">
        <f t="shared" si="4"/>
      </c>
      <c r="V61" s="68" t="str">
        <f t="shared" si="5"/>
      </c>
      <c r="W61" s="68" t="str">
        <f t="shared" si="6"/>
      </c>
      <c r="X61" s="68" t="n">
        <f t="shared" si="7"/>
        <v>0</v>
      </c>
      <c r="Y61" s="68" t="n">
        <f t="shared" si="8"/>
        <v>0</v>
      </c>
      <c r="Z61" s="67" t="str">
        <f>IF(OR('Prediction Log'!L62="", Table12[[#This Row],[Bet]]="", Table12[[#This Row],[Bet]]="Spread"), "",IF('Prediction Log'!L62=Table12[[#This Row],[Side]], "W", IF('Prediction Log'!L62&lt;&gt;Table12[[#This Row],[Side]], "L", "")))</f>
      </c>
      <c r="AA61" s="59" t="str">
        <f t="shared" si="9"/>
      </c>
      <c r="AB61" s="67" t="str">
        <f>IF(OR(Table12[[#This Row],[Bet]]="Side",Table12[[#This Row],[Bet]]="", 'Prediction Log'!L62=""), "",IF('Prediction Log'!U62="Y", "W", IF('Prediction Log'!U62="N", "L", "")))</f>
      </c>
      <c r="AC61" s="59" t="str">
        <f t="shared" si="10"/>
      </c>
      <c r="AD61" s="67"/>
      <c r="AE61" s="65" t="str">
        <f t="shared" si="11"/>
      </c>
      <c r="AF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">
      <c r="A62" s="65" t="n">
        <f>IF(ISBLANK(Games!A62), "", Games!A62)</f>
        <v>1</v>
      </c>
      <c r="B62" s="65" t="str">
        <f>IF('Prediction Log'!B63=0, "",'Prediction Log'!B63)</f>
        <v>South Alabama</v>
      </c>
      <c r="C62" s="65" t="str">
        <f>IF('Prediction Log'!C63=0, "",'Prediction Log'!C63)</f>
        <v>North Texas</v>
      </c>
      <c r="D62" s="65" t="n">
        <f>IF('Prediction Log'!D63=0, "",'Prediction Log'!D63)</f>
        <v>-6</v>
      </c>
      <c r="E62" s="58" t="n">
        <f>IF('Prediction Log'!E63=0, "",'Prediction Log'!E63)</f>
        <v>-21.2</v>
      </c>
      <c r="F62" s="65" t="str">
        <f>IF('Prediction Log'!H63=0, "",'Prediction Log'!H63)</f>
        <v>South Alabama</v>
      </c>
      <c r="G62" s="64" t="str">
        <f>IF(ISBLANK(Games!B62), "",'Prediction Log'!$I63)</f>
        <v>South Alabama</v>
      </c>
      <c r="H62" s="66" t="n">
        <f>'Prediction Log'!$J63</f>
        <v>0.85869095779635407</v>
      </c>
      <c r="I62" s="65" t="str">
        <f>IF(ISBLANK(Games!T62), "",IF(AND(Games!T62="",Games!U62=""),"",IF(ISTEXT(Games!U62), "Side",Games!T62)))</f>
      </c>
      <c r="J62" s="65" t="str">
        <f>IF(ISBLANK(Games!T62), "",IF(Table12[[#This Row],[Bet]]="Spread", Games!X62, ""))</f>
      </c>
      <c r="K62" s="65" t="str">
        <f>IF(ISBLANK(Games!U62), "",IF(ISTEXT(Games!U62), Games!U62, ""))</f>
      </c>
      <c r="L62" s="57" t="str">
        <f>IF(ISBLANK(Games!D62), "", Games!D62)</f>
        <v>-6</v>
      </c>
      <c r="M62" s="65"/>
      <c r="N62" s="75" t="str">
        <f>IF(Games!V62="", "",Games!V62)</f>
      </c>
      <c r="O62" s="75" t="str">
        <f>IF(Games!Z62=0, "",Games!Z62)</f>
      </c>
      <c r="P62" s="67"/>
      <c r="Q62" s="67" t="str">
        <f>IF(ISBLANK(Games!W62), "", Games!W62)</f>
      </c>
      <c r="R62" s="67" t="str">
        <f>IF(ISBLANK(Games!AA62), "", Games!AA62)</f>
      </c>
      <c r="S62" s="67"/>
      <c r="T62" s="68" t="str">
        <f t="shared" si="3"/>
      </c>
      <c r="U62" s="68" t="str">
        <f t="shared" si="4"/>
      </c>
      <c r="V62" s="68" t="str">
        <f t="shared" si="5"/>
      </c>
      <c r="W62" s="68" t="str">
        <f t="shared" si="6"/>
      </c>
      <c r="X62" s="68" t="n">
        <f t="shared" si="7"/>
        <v>0</v>
      </c>
      <c r="Y62" s="68" t="n">
        <f t="shared" si="8"/>
        <v>0</v>
      </c>
      <c r="Z62" s="67" t="str">
        <f>IF(OR('Prediction Log'!L63="", Table12[[#This Row],[Bet]]="", Table12[[#This Row],[Bet]]="Spread"), "",IF('Prediction Log'!L63=Table12[[#This Row],[Side]], "W", IF('Prediction Log'!L63&lt;&gt;Table12[[#This Row],[Side]], "L", "")))</f>
      </c>
      <c r="AA62" s="59" t="str">
        <f t="shared" si="9"/>
      </c>
      <c r="AB62" s="67" t="str">
        <f>IF(OR(Table12[[#This Row],[Bet]]="Side",Table12[[#This Row],[Bet]]="", 'Prediction Log'!L63=""), "",IF('Prediction Log'!U63="Y", "W", IF('Prediction Log'!U63="N", "L", "")))</f>
      </c>
      <c r="AC62" s="59" t="str">
        <f t="shared" si="10"/>
      </c>
      <c r="AD62" s="67"/>
      <c r="AE62" s="65" t="str">
        <f t="shared" si="11"/>
      </c>
      <c r="AF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">
      <c r="A63" s="65" t="n">
        <f>IF(ISBLANK(Games!A63), "", Games!A63)</f>
        <v>1</v>
      </c>
      <c r="B63" s="65" t="str">
        <f>IF('Prediction Log'!B64=0, "",'Prediction Log'!B64)</f>
        <v>California</v>
      </c>
      <c r="C63" s="65" t="str">
        <f>IF('Prediction Log'!C64=0, "",'Prediction Log'!C64)</f>
        <v>UC Davis</v>
      </c>
      <c r="D63" s="65" t="n">
        <f>IF('Prediction Log'!D64=0, "",'Prediction Log'!D64)</f>
        <v>-20.5</v>
      </c>
      <c r="E63" s="58" t="n">
        <f>IF('Prediction Log'!E64=0, "",'Prediction Log'!E64)</f>
        <v>-20.978759530909599</v>
      </c>
      <c r="F63" s="65" t="str">
        <f>IF('Prediction Log'!H64=0, "",'Prediction Log'!H64)</f>
        <v>California</v>
      </c>
      <c r="G63" s="64" t="str">
        <f>IF(ISBLANK(Games!B63), "",'Prediction Log'!$I64)</f>
        <v>California</v>
      </c>
      <c r="H63" s="66" t="n">
        <f>'Prediction Log'!$J64</f>
        <v>0.9646650819878112</v>
      </c>
      <c r="I63" s="65" t="str">
        <f>IF(ISBLANK(Games!T63), "",IF(AND(Games!T63="",Games!U63=""),"",IF(ISTEXT(Games!U63), "Side",Games!T63)))</f>
      </c>
      <c r="J63" s="65" t="str">
        <f>IF(ISBLANK(Games!T63), "",IF(Table12[[#This Row],[Bet]]="Spread", Games!X63, ""))</f>
      </c>
      <c r="K63" s="65" t="str">
        <f>IF(ISBLANK(Games!U63), "",IF(ISTEXT(Games!U63), Games!U63, ""))</f>
      </c>
      <c r="L63" s="57" t="n">
        <f>IF(ISBLANK(Games!D63), "", Games!D63)</f>
        <v>-20.5</v>
      </c>
      <c r="M63" s="65"/>
      <c r="N63" s="75" t="str">
        <f>IF(Games!V63="", "",Games!V63)</f>
      </c>
      <c r="O63" s="75" t="str">
        <f>IF(Games!Z63=0, "",Games!Z63)</f>
      </c>
      <c r="P63" s="67"/>
      <c r="Q63" s="67" t="str">
        <f>IF(ISBLANK(Games!W63), "", Games!W63)</f>
      </c>
      <c r="R63" s="67" t="str">
        <f>IF(ISBLANK(Games!AA63), "", Games!AA63)</f>
      </c>
      <c r="S63" s="67"/>
      <c r="T63" s="68" t="str">
        <f t="shared" si="3"/>
      </c>
      <c r="U63" s="68" t="str">
        <f t="shared" si="4"/>
      </c>
      <c r="V63" s="68" t="str">
        <f t="shared" si="5"/>
      </c>
      <c r="W63" s="68" t="str">
        <f t="shared" si="6"/>
      </c>
      <c r="X63" s="68" t="n">
        <f t="shared" si="7"/>
        <v>0</v>
      </c>
      <c r="Y63" s="68" t="n">
        <f t="shared" si="8"/>
        <v>0</v>
      </c>
      <c r="Z63" s="67" t="str">
        <f>IF(OR('Prediction Log'!L64="", Table12[[#This Row],[Bet]]="", Table12[[#This Row],[Bet]]="Spread"), "",IF('Prediction Log'!L64=Table12[[#This Row],[Side]], "W", IF('Prediction Log'!L64&lt;&gt;Table12[[#This Row],[Side]], "L", "")))</f>
      </c>
      <c r="AA63" s="59" t="str">
        <f t="shared" si="9"/>
      </c>
      <c r="AB63" s="67" t="str">
        <f>IF(OR(Table12[[#This Row],[Bet]]="Side",Table12[[#This Row],[Bet]]="", 'Prediction Log'!L64=""), "",IF('Prediction Log'!U64="Y", "W", IF('Prediction Log'!U64="N", "L", "")))</f>
      </c>
      <c r="AC63" s="59" t="str">
        <f t="shared" si="10"/>
      </c>
      <c r="AD63" s="67"/>
      <c r="AE63" s="65" t="str">
        <f t="shared" si="11"/>
      </c>
      <c r="AF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">
      <c r="A64" s="65" t="n">
        <f>IF(ISBLANK(Games!A64), "", Games!A64)</f>
        <v>1</v>
      </c>
      <c r="B64" s="65" t="str">
        <f>IF('Prediction Log'!B65=0, "",'Prediction Log'!B65)</f>
        <v>Marshall</v>
      </c>
      <c r="C64" s="65" t="str">
        <f>IF('Prediction Log'!C65=0, "",'Prediction Log'!C65)</f>
        <v>Stony Brook</v>
      </c>
      <c r="D64" s="65" t="n">
        <f>IF('Prediction Log'!D65=0, "",'Prediction Log'!D65)</f>
        <v>-32.5</v>
      </c>
      <c r="E64" s="58" t="n">
        <f>IF('Prediction Log'!E65=0, "",'Prediction Log'!E65)</f>
        <v>-13.957726528456</v>
      </c>
      <c r="F64" s="65" t="str">
        <f>IF('Prediction Log'!H65=0, "",'Prediction Log'!H65)</f>
        <v>Marshall</v>
      </c>
      <c r="G64" s="64" t="str">
        <f>IF(ISBLANK(Games!B64), "",'Prediction Log'!$I65)</f>
        <v>Marshall</v>
      </c>
      <c r="H64" s="66" t="n">
        <f>'Prediction Log'!$J65</f>
        <v>0.90858687593012633</v>
      </c>
      <c r="I64" s="65" t="str">
        <f>IF(ISBLANK(Games!T64), "",IF(AND(Games!T64="",Games!U64=""),"",IF(ISTEXT(Games!U64), "Side",Games!T64)))</f>
      </c>
      <c r="J64" s="65" t="str">
        <f>IF(ISBLANK(Games!T64), "",IF(Table12[[#This Row],[Bet]]="Spread", Games!X64, ""))</f>
      </c>
      <c r="K64" s="65" t="str">
        <f>IF(ISBLANK(Games!U64), "",IF(ISTEXT(Games!U64), Games!U64, ""))</f>
      </c>
      <c r="L64" s="57" t="n">
        <f>IF(ISBLANK(Games!D64), "", Games!D64)</f>
        <v>-32.5</v>
      </c>
      <c r="M64" s="65"/>
      <c r="N64" s="75" t="str">
        <f>IF(Games!V64="", "",Games!V64)</f>
      </c>
      <c r="O64" s="75" t="str">
        <f>IF(Games!Z64=0, "",Games!Z64)</f>
      </c>
      <c r="P64" s="67"/>
      <c r="Q64" s="67" t="str">
        <f>IF(ISBLANK(Games!W64), "", Games!W64)</f>
      </c>
      <c r="R64" s="67" t="str">
        <f>IF(ISBLANK(Games!AA64), "", Games!AA64)</f>
      </c>
      <c r="S64" s="67"/>
      <c r="T64" s="68" t="str">
        <f t="shared" si="3"/>
      </c>
      <c r="U64" s="68" t="str">
        <f t="shared" si="4"/>
      </c>
      <c r="V64" s="68" t="str">
        <f t="shared" si="5"/>
      </c>
      <c r="W64" s="68" t="str">
        <f t="shared" si="6"/>
      </c>
      <c r="X64" s="68" t="n">
        <f t="shared" si="7"/>
        <v>0</v>
      </c>
      <c r="Y64" s="68" t="n">
        <f t="shared" si="8"/>
        <v>0</v>
      </c>
      <c r="Z64" s="67" t="str">
        <f>IF(OR('Prediction Log'!L65="", Table12[[#This Row],[Bet]]="", Table12[[#This Row],[Bet]]="Spread"), "",IF('Prediction Log'!L65=Table12[[#This Row],[Side]], "W", IF('Prediction Log'!L65&lt;&gt;Table12[[#This Row],[Side]], "L", "")))</f>
      </c>
      <c r="AA64" s="59" t="str">
        <f t="shared" si="9"/>
      </c>
      <c r="AB64" s="67" t="str">
        <f>IF(OR(Table12[[#This Row],[Bet]]="Side",Table12[[#This Row],[Bet]]="", 'Prediction Log'!L65=""), "",IF('Prediction Log'!U65="Y", "W", IF('Prediction Log'!U65="N", "L", "")))</f>
      </c>
      <c r="AC64" s="59" t="str">
        <f t="shared" si="10"/>
      </c>
      <c r="AD64" s="67"/>
      <c r="AE64" s="65" t="str">
        <f t="shared" si="11"/>
      </c>
      <c r="AF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">
      <c r="A65" s="65" t="n">
        <f>IF(ISBLANK(Games!A65), "", Games!A65)</f>
        <v>1</v>
      </c>
      <c r="B65" s="65" t="str">
        <f>IF('Prediction Log'!B66=0, "",'Prediction Log'!B66)</f>
        <v>Virginia</v>
      </c>
      <c r="C65" s="65" t="str">
        <f>IF('Prediction Log'!C66=0, "",'Prediction Log'!C66)</f>
        <v>Richmond</v>
      </c>
      <c r="D65" s="65" t="n">
        <f>IF('Prediction Log'!D66=0, "",'Prediction Log'!D66)</f>
        <v>-19.5</v>
      </c>
      <c r="E65" s="58" t="n">
        <f>IF('Prediction Log'!E66=0, "",'Prediction Log'!E66)</f>
        <v>-14.4648093673324</v>
      </c>
      <c r="F65" s="65" t="str">
        <f>IF('Prediction Log'!H66=0, "",'Prediction Log'!H66)</f>
        <v>Virginia</v>
      </c>
      <c r="G65" s="64" t="str">
        <f>IF(ISBLANK(Games!B65), "",'Prediction Log'!$I66)</f>
        <v>Virginia</v>
      </c>
      <c r="H65" s="66" t="n">
        <f>'Prediction Log'!$J66</f>
        <v>0.91446992703545049</v>
      </c>
      <c r="I65" s="65" t="str">
        <f>IF(ISBLANK(Games!T65), "",IF(AND(Games!T65="",Games!U65=""),"",IF(ISTEXT(Games!U65), "Side",Games!T65)))</f>
      </c>
      <c r="J65" s="65" t="str">
        <f>IF(ISBLANK(Games!T65), "",IF(Table12[[#This Row],[Bet]]="Spread", Games!X65, ""))</f>
      </c>
      <c r="K65" s="65" t="str">
        <f>IF(ISBLANK(Games!U65), "",IF(ISTEXT(Games!U65), Games!U65, ""))</f>
      </c>
      <c r="L65" s="57" t="n">
        <f>IF(ISBLANK(Games!D65), "", Games!D65)</f>
        <v>-19.5</v>
      </c>
      <c r="M65" s="65"/>
      <c r="N65" s="75" t="str">
        <f>IF(Games!V65="", "",Games!V65)</f>
      </c>
      <c r="O65" s="75" t="str">
        <f>IF(Games!Z65=0, "",Games!Z65)</f>
      </c>
      <c r="P65" s="67"/>
      <c r="Q65" s="67" t="str">
        <f>IF(ISBLANK(Games!W65), "", Games!W65)</f>
      </c>
      <c r="R65" s="67" t="str">
        <f>IF(ISBLANK(Games!AA65), "", Games!AA65)</f>
      </c>
      <c r="S65" s="67"/>
      <c r="T65" s="68" t="str">
        <f t="shared" si="3"/>
      </c>
      <c r="U65" s="68" t="str">
        <f t="shared" si="4"/>
      </c>
      <c r="V65" s="68" t="str">
        <f t="shared" si="5"/>
      </c>
      <c r="W65" s="68" t="str">
        <f t="shared" si="6"/>
      </c>
      <c r="X65" s="68" t="n">
        <f t="shared" si="7"/>
        <v>0</v>
      </c>
      <c r="Y65" s="68" t="n">
        <f t="shared" si="8"/>
        <v>0</v>
      </c>
      <c r="Z65" s="67" t="str">
        <f>IF(OR('Prediction Log'!L66="", Table12[[#This Row],[Bet]]="", Table12[[#This Row],[Bet]]="Spread"), "",IF('Prediction Log'!L66=Table12[[#This Row],[Side]], "W", IF('Prediction Log'!L66&lt;&gt;Table12[[#This Row],[Side]], "L", "")))</f>
      </c>
      <c r="AA65" s="59" t="str">
        <f t="shared" si="9"/>
      </c>
      <c r="AB65" s="67" t="str">
        <f>IF(OR(Table12[[#This Row],[Bet]]="Side",Table12[[#This Row],[Bet]]="", 'Prediction Log'!L66=""), "",IF('Prediction Log'!U66="Y", "W", IF('Prediction Log'!U66="N", "L", "")))</f>
      </c>
      <c r="AC65" s="59" t="str">
        <f t="shared" si="10"/>
      </c>
      <c r="AD65" s="67"/>
      <c r="AE65" s="65" t="str">
        <f t="shared" si="11"/>
      </c>
      <c r="AF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">
      <c r="A66" s="65" t="n">
        <f>IF(ISBLANK(Games!A66), "", Games!A66)</f>
        <v>1</v>
      </c>
      <c r="B66" s="65" t="str">
        <f>IF('Prediction Log'!B67=0, "",'Prediction Log'!B67)</f>
        <v>Liberty</v>
      </c>
      <c r="C66" s="65" t="str">
        <f>IF('Prediction Log'!C67=0, "",'Prediction Log'!C67)</f>
        <v>Campbell</v>
      </c>
      <c r="D66" s="65" t="n">
        <f>IF('Prediction Log'!D67=0, "",'Prediction Log'!D67)</f>
        <v>-39.5</v>
      </c>
      <c r="E66" s="58" t="n">
        <f>IF('Prediction Log'!E67=0, "",'Prediction Log'!E67)</f>
        <v>-27.442964084423199</v>
      </c>
      <c r="F66" s="65" t="str">
        <f>IF('Prediction Log'!H67=0, "",'Prediction Log'!H67)</f>
        <v>Liberty</v>
      </c>
      <c r="G66" s="64" t="str">
        <f>IF(ISBLANK(Games!B66), "",'Prediction Log'!$I67)</f>
        <v>Liberty</v>
      </c>
      <c r="H66" s="66" t="n">
        <f>'Prediction Log'!$J67</f>
        <v>0.98575754504433444</v>
      </c>
      <c r="I66" s="65" t="str">
        <f>IF(ISBLANK(Games!T66), "",IF(AND(Games!T66="",Games!U66=""),"",IF(ISTEXT(Games!U66), "Side",Games!T66)))</f>
      </c>
      <c r="J66" s="65" t="str">
        <f>IF(ISBLANK(Games!T66), "",IF(Table12[[#This Row],[Bet]]="Spread", Games!X66, ""))</f>
      </c>
      <c r="K66" s="65" t="str">
        <f>IF(ISBLANK(Games!U66), "",IF(ISTEXT(Games!U66), Games!U66, ""))</f>
      </c>
      <c r="L66" s="57" t="n">
        <f>IF(ISBLANK(Games!D66), "", Games!D66)</f>
        <v>-39.5</v>
      </c>
      <c r="M66" s="65"/>
      <c r="N66" s="75" t="str">
        <f>IF(Games!V66="", "",Games!V66)</f>
      </c>
      <c r="O66" s="75" t="str">
        <f>IF(Games!Z66=0, "",Games!Z66)</f>
      </c>
      <c r="P66" s="67"/>
      <c r="Q66" s="67" t="str">
        <f>IF(ISBLANK(Games!W66), "", Games!W66)</f>
      </c>
      <c r="R66" s="67" t="str">
        <f>IF(ISBLANK(Games!AA66), "", Games!AA66)</f>
      </c>
      <c r="S66" s="67"/>
      <c r="T66" s="68" t="str">
        <f t="shared" si="3"/>
      </c>
      <c r="U66" s="68" t="str">
        <f t="shared" si="4"/>
      </c>
      <c r="V66" s="68" t="str">
        <f t="shared" si="5"/>
      </c>
      <c r="W66" s="68" t="str">
        <f t="shared" si="6"/>
      </c>
      <c r="X66" s="68" t="n">
        <f t="shared" si="7"/>
        <v>0</v>
      </c>
      <c r="Y66" s="68" t="n">
        <f t="shared" si="8"/>
        <v>0</v>
      </c>
      <c r="Z66" s="67" t="str">
        <f>IF(OR('Prediction Log'!L67="", Table12[[#This Row],[Bet]]="", Table12[[#This Row],[Bet]]="Spread"), "",IF('Prediction Log'!L67=Table12[[#This Row],[Side]], "W", IF('Prediction Log'!L67&lt;&gt;Table12[[#This Row],[Side]], "L", "")))</f>
      </c>
      <c r="AA66" s="59" t="str">
        <f t="shared" si="9"/>
      </c>
      <c r="AB66" s="67" t="str">
        <f>IF(OR(Table12[[#This Row],[Bet]]="Side",Table12[[#This Row],[Bet]]="", 'Prediction Log'!L67=""), "",IF('Prediction Log'!U67="Y", "W", IF('Prediction Log'!U67="N", "L", "")))</f>
      </c>
      <c r="AC66" s="59" t="str">
        <f t="shared" ref="AC66:AC129" si="12">IF(AB66="W", W66, IF(AB66="L",-O66, ""))</f>
      </c>
      <c r="AD66" s="67"/>
      <c r="AE66" s="65" t="str">
        <f t="shared" si="11"/>
      </c>
      <c r="AF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">
      <c r="A67" s="65" t="n">
        <f>IF(ISBLANK(Games!A67), "", Games!A67)</f>
        <v>1</v>
      </c>
      <c r="B67" s="65" t="str">
        <f>IF('Prediction Log'!B68=0, "",'Prediction Log'!B68)</f>
        <v>East Carolina</v>
      </c>
      <c r="C67" s="65" t="str">
        <f>IF('Prediction Log'!C68=0, "",'Prediction Log'!C68)</f>
        <v>Norfolk State</v>
      </c>
      <c r="D67" s="65" t="n">
        <f>IF('Prediction Log'!D68=0, "",'Prediction Log'!D68)</f>
        <v>-33.5</v>
      </c>
      <c r="E67" s="58" t="n">
        <f>IF('Prediction Log'!E68=0, "",'Prediction Log'!E68)</f>
        <v>-13.568660050672401</v>
      </c>
      <c r="F67" s="65" t="str">
        <f>IF('Prediction Log'!H68=0, "",'Prediction Log'!H68)</f>
        <v>East Carolina</v>
      </c>
      <c r="G67" s="64" t="str">
        <f>IF(ISBLANK(Games!B67), "",'Prediction Log'!$I68)</f>
        <v>East Carolina</v>
      </c>
      <c r="H67" s="66" t="n">
        <f>'Prediction Log'!$J68</f>
        <v>0.90382882251586749</v>
      </c>
      <c r="I67" s="65" t="str">
        <f>IF(ISBLANK(Games!T67), "",IF(AND(Games!T67="",Games!U67=""),"",IF(ISTEXT(Games!U67), "Side",Games!T67)))</f>
      </c>
      <c r="J67" s="65" t="str">
        <f>IF(ISBLANK(Games!T67), "",IF(Table12[[#This Row],[Bet]]="Spread", Games!X67, ""))</f>
      </c>
      <c r="K67" s="65" t="str">
        <f>IF(ISBLANK(Games!U67), "",IF(ISTEXT(Games!U67), Games!U67, ""))</f>
      </c>
      <c r="L67" s="57" t="n">
        <f>IF(ISBLANK(Games!D67), "", Games!D67)</f>
        <v>-33.5</v>
      </c>
      <c r="M67" s="65"/>
      <c r="N67" s="75" t="str">
        <f>IF(Games!V67="", "",Games!V67)</f>
      </c>
      <c r="O67" s="75" t="str">
        <f>IF(Games!Z67=0, "",Games!Z67)</f>
      </c>
      <c r="P67" s="67"/>
      <c r="Q67" s="67" t="str">
        <f>IF(ISBLANK(Games!W67), "", Games!W67)</f>
      </c>
      <c r="R67" s="67" t="str">
        <f>IF(ISBLANK(Games!AA67), "", Games!AA67)</f>
      </c>
      <c r="S67" s="67"/>
      <c r="T67" s="68" t="str">
        <f t="shared" ref="T67:T130" si="13">IFERROR(N67+IF(Q67&lt;0, (N67/(Q67/-100)), N67*(Q67/100)), "")</f>
      </c>
      <c r="U67" s="68" t="str">
        <f t="shared" ref="U67:U130" si="14">IFERROR(T67-N67, "")</f>
      </c>
      <c r="V67" s="68" t="str">
        <f t="shared" ref="V67:V130" si="15">IFERROR(O67+IF(R67&lt;0, (O67/(R67/-100)), O67*(R67/100)), "")</f>
      </c>
      <c r="W67" s="68" t="str">
        <f t="shared" ref="W67:W130" si="16">IFERROR(V67-O67, "")</f>
      </c>
      <c r="X67" s="68" t="n">
        <f t="shared" ref="X67:X101" si="17">P67+IF(S67&lt;0, (P67/(S67/-100)), P67*(S67/100))</f>
        <v>0</v>
      </c>
      <c r="Y67" s="68" t="n">
        <f t="shared" ref="Y67:Y101" si="18">S67-P67</f>
        <v>0</v>
      </c>
      <c r="Z67" s="67" t="str">
        <f>IF(OR('Prediction Log'!L68="", Table12[[#This Row],[Bet]]="", Table12[[#This Row],[Bet]]="Spread"), "",IF('Prediction Log'!L68=Table12[[#This Row],[Side]], "W", IF('Prediction Log'!L68&lt;&gt;Table12[[#This Row],[Side]], "L", "")))</f>
      </c>
      <c r="AA67" s="59" t="str">
        <f t="shared" ref="AA67:AA101" si="19">IF(Z67="W", U67, IF(Z67="L",-N67, ""))</f>
      </c>
      <c r="AB67" s="67" t="str">
        <f>IF(OR(Table12[[#This Row],[Bet]]="Side",Table12[[#This Row],[Bet]]="", 'Prediction Log'!L68=""), "",IF('Prediction Log'!U68="Y", "W", IF('Prediction Log'!U68="N", "L", "")))</f>
      </c>
      <c r="AC67" s="59" t="str">
        <f t="shared" si="12"/>
      </c>
      <c r="AD67" s="67"/>
      <c r="AE67" s="65" t="str">
        <f t="shared" ref="AE67:AE130" si="20">IF(AD67="W", Y67, IF(AD67="L",-R67, ""))</f>
      </c>
      <c r="AF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">
      <c r="A68" s="65" t="n">
        <f>IF(ISBLANK(Games!A68), "", Games!A68)</f>
        <v>1</v>
      </c>
      <c r="B68" s="65" t="str">
        <f>IF('Prediction Log'!B69=0, "",'Prediction Log'!B69)</f>
        <v>Mississippi State</v>
      </c>
      <c r="C68" s="65" t="str">
        <f>IF('Prediction Log'!C69=0, "",'Prediction Log'!C69)</f>
        <v>Eastern Kentucky</v>
      </c>
      <c r="D68" s="65" t="n">
        <f>IF('Prediction Log'!D69=0, "",'Prediction Log'!D69)</f>
        <v>-24.5</v>
      </c>
      <c r="E68" s="58" t="n">
        <f>IF('Prediction Log'!E69=0, "",'Prediction Log'!E69)</f>
        <v>-17.032140609722401</v>
      </c>
      <c r="F68" s="65" t="str">
        <f>IF('Prediction Log'!H69=0, "",'Prediction Log'!H69)</f>
        <v>Mississippi State</v>
      </c>
      <c r="G68" s="64" t="str">
        <f>IF(ISBLANK(Games!B68), "",'Prediction Log'!$I69)</f>
        <v>Mississippi State</v>
      </c>
      <c r="H68" s="66" t="n">
        <f>'Prediction Log'!$J69</f>
        <v>0.93928597178746076</v>
      </c>
      <c r="I68" s="65" t="str">
        <f>IF(ISBLANK(Games!T68), "",IF(AND(Games!T68="",Games!U68=""),"",IF(ISTEXT(Games!U68), "Side",Games!T68)))</f>
      </c>
      <c r="J68" s="65" t="str">
        <f>IF(ISBLANK(Games!T68), "",IF(Table12[[#This Row],[Bet]]="Spread", Games!X68, ""))</f>
      </c>
      <c r="K68" s="65" t="str">
        <f>IF(ISBLANK(Games!U68), "",IF(ISTEXT(Games!U68), Games!U68, ""))</f>
      </c>
      <c r="L68" s="57" t="n">
        <f>IF(ISBLANK(Games!D68), "", Games!D68)</f>
        <v>-24.5</v>
      </c>
      <c r="M68" s="65"/>
      <c r="N68" s="75" t="str">
        <f>IF(Games!V68="", "",Games!V68)</f>
      </c>
      <c r="O68" s="75" t="str">
        <f>IF(Games!Z68=0, "",Games!Z68)</f>
      </c>
      <c r="P68" s="67"/>
      <c r="Q68" s="67" t="str">
        <f>IF(ISBLANK(Games!W68), "", Games!W68)</f>
      </c>
      <c r="R68" s="67" t="str">
        <f>IF(ISBLANK(Games!AA68), "", Games!AA68)</f>
      </c>
      <c r="S68" s="67"/>
      <c r="T68" s="68" t="str">
        <f t="shared" si="13"/>
      </c>
      <c r="U68" s="68" t="str">
        <f t="shared" si="14"/>
      </c>
      <c r="V68" s="68" t="str">
        <f t="shared" si="15"/>
      </c>
      <c r="W68" s="68" t="str">
        <f t="shared" si="16"/>
      </c>
      <c r="X68" s="68" t="n">
        <f t="shared" si="17"/>
        <v>0</v>
      </c>
      <c r="Y68" s="68" t="n">
        <f t="shared" si="18"/>
        <v>0</v>
      </c>
      <c r="Z68" s="67" t="str">
        <f>IF(OR('Prediction Log'!L69="", Table12[[#This Row],[Bet]]="", Table12[[#This Row],[Bet]]="Spread"), "",IF('Prediction Log'!L69=Table12[[#This Row],[Side]], "W", IF('Prediction Log'!L69&lt;&gt;Table12[[#This Row],[Side]], "L", "")))</f>
      </c>
      <c r="AA68" s="59" t="str">
        <f t="shared" si="19"/>
      </c>
      <c r="AB68" s="67" t="str">
        <f>IF(OR(Table12[[#This Row],[Bet]]="Side",Table12[[#This Row],[Bet]]="", 'Prediction Log'!L69=""), "",IF('Prediction Log'!U69="Y", "W", IF('Prediction Log'!U69="N", "L", "")))</f>
      </c>
      <c r="AC68" s="59" t="str">
        <f t="shared" si="12"/>
      </c>
      <c r="AD68" s="67"/>
      <c r="AE68" s="65" t="str">
        <f t="shared" si="20"/>
      </c>
      <c r="AF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">
      <c r="A69" s="65" t="n">
        <f>IF(ISBLANK(Games!A69), "", Games!A69)</f>
        <v>1</v>
      </c>
      <c r="B69" s="65" t="str">
        <f>IF('Prediction Log'!B70=0, "",'Prediction Log'!B70)</f>
        <v>Oregon State</v>
      </c>
      <c r="C69" s="65" t="str">
        <f>IF('Prediction Log'!C70=0, "",'Prediction Log'!C70)</f>
        <v>Idaho State</v>
      </c>
      <c r="D69" s="65" t="n">
        <f>IF('Prediction Log'!D70=0, "",'Prediction Log'!D70)</f>
        <v>-27.5</v>
      </c>
      <c r="E69" s="58" t="n">
        <f>IF('Prediction Log'!E70=0, "",'Prediction Log'!E70)</f>
        <v>-23.587774250653599</v>
      </c>
      <c r="F69" s="65" t="str">
        <f>IF('Prediction Log'!H70=0, "",'Prediction Log'!H70)</f>
        <v>Oregon State</v>
      </c>
      <c r="G69" s="64" t="str">
        <f>IF(ISBLANK(Games!B69), "",'Prediction Log'!$I70)</f>
        <v>Oregon State</v>
      </c>
      <c r="H69" s="66" t="n">
        <f>'Prediction Log'!$J70</f>
        <v>0.97545454175300605</v>
      </c>
      <c r="I69" s="65" t="str">
        <f>IF(ISBLANK(Games!T69), "",IF(AND(Games!T69="",Games!U69=""),"",IF(ISTEXT(Games!U69), "Side",Games!T69)))</f>
      </c>
      <c r="J69" s="65" t="str">
        <f>IF(ISBLANK(Games!T69), "",IF(Table12[[#This Row],[Bet]]="Spread", Games!X69, ""))</f>
      </c>
      <c r="K69" s="65" t="str">
        <f>IF(ISBLANK(Games!U69), "",IF(ISTEXT(Games!U69), Games!U69, ""))</f>
      </c>
      <c r="L69" s="57" t="n">
        <f>IF(ISBLANK(Games!D69), "", Games!D69)</f>
        <v>-27.5</v>
      </c>
      <c r="M69" s="65"/>
      <c r="N69" s="75" t="str">
        <f>IF(Games!V69="", "",Games!V69)</f>
      </c>
      <c r="O69" s="75" t="str">
        <f>IF(Games!Z69=0, "",Games!Z69)</f>
      </c>
      <c r="P69" s="67"/>
      <c r="Q69" s="67" t="str">
        <f>IF(ISBLANK(Games!W69), "", Games!W69)</f>
      </c>
      <c r="R69" s="67" t="str">
        <f>IF(ISBLANK(Games!AA69), "", Games!AA69)</f>
      </c>
      <c r="S69" s="67"/>
      <c r="T69" s="68" t="str">
        <f t="shared" si="13"/>
      </c>
      <c r="U69" s="68" t="str">
        <f t="shared" si="14"/>
      </c>
      <c r="V69" s="68" t="str">
        <f t="shared" si="15"/>
      </c>
      <c r="W69" s="68" t="str">
        <f t="shared" si="16"/>
      </c>
      <c r="X69" s="68" t="n">
        <f t="shared" si="17"/>
        <v>0</v>
      </c>
      <c r="Y69" s="68" t="n">
        <f t="shared" si="18"/>
        <v>0</v>
      </c>
      <c r="Z69" s="67" t="str">
        <f>IF(OR('Prediction Log'!L70="", Table12[[#This Row],[Bet]]="", Table12[[#This Row],[Bet]]="Spread"), "",IF('Prediction Log'!L70=Table12[[#This Row],[Side]], "W", IF('Prediction Log'!L70&lt;&gt;Table12[[#This Row],[Side]], "L", "")))</f>
      </c>
      <c r="AA69" s="59" t="str">
        <f t="shared" si="19"/>
      </c>
      <c r="AB69" s="67" t="str">
        <f>IF(OR(Table12[[#This Row],[Bet]]="Side",Table12[[#This Row],[Bet]]="", 'Prediction Log'!L70=""), "",IF('Prediction Log'!U70="Y", "W", IF('Prediction Log'!U70="N", "L", "")))</f>
      </c>
      <c r="AC69" s="59" t="str">
        <f t="shared" si="12"/>
      </c>
      <c r="AD69" s="67"/>
      <c r="AE69" s="65" t="str">
        <f t="shared" si="20"/>
      </c>
      <c r="AF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">
      <c r="A70" s="65" t="n">
        <f>IF(ISBLANK(Games!A70), "", Games!A70)</f>
        <v>1</v>
      </c>
      <c r="B70" s="65" t="str">
        <f>IF('Prediction Log'!B71=0, "",'Prediction Log'!B71)</f>
        <v>Arkansas State</v>
      </c>
      <c r="C70" s="65" t="str">
        <f>IF('Prediction Log'!C71=0, "",'Prediction Log'!C71)</f>
        <v>Central Arkansas</v>
      </c>
      <c r="D70" s="65" t="n">
        <f>IF('Prediction Log'!D71=0, "",'Prediction Log'!D71)</f>
        <v>-12.5</v>
      </c>
      <c r="E70" s="58" t="n">
        <f>IF('Prediction Log'!E71=0, "",'Prediction Log'!E71)</f>
        <v>-18.506807423166801</v>
      </c>
      <c r="F70" s="65" t="str">
        <f>IF('Prediction Log'!H71=0, "",'Prediction Log'!H71)</f>
        <v>Arkansas State</v>
      </c>
      <c r="G70" s="64" t="str">
        <f>IF(ISBLANK(Games!B70), "",'Prediction Log'!$I71)</f>
        <v>Arkansas State</v>
      </c>
      <c r="H70" s="66" t="n">
        <f>'Prediction Log'!$J71</f>
        <v>0.95031860652169164</v>
      </c>
      <c r="I70" s="65" t="str">
        <f>IF(ISBLANK(Games!T70), "",IF(AND(Games!T70="",Games!U70=""),"",IF(ISTEXT(Games!U70), "Side",Games!T70)))</f>
      </c>
      <c r="J70" s="65" t="str">
        <f>IF(ISBLANK(Games!T70), "",IF(Table12[[#This Row],[Bet]]="Spread", Games!X70, ""))</f>
      </c>
      <c r="K70" s="65" t="str">
        <f>IF(ISBLANK(Games!U70), "",IF(ISTEXT(Games!U70), Games!U70, ""))</f>
      </c>
      <c r="L70" s="57" t="n">
        <f>IF(ISBLANK(Games!D70), "", Games!D70)</f>
        <v>-12.5</v>
      </c>
      <c r="M70" s="65"/>
      <c r="N70" s="75" t="str">
        <f>IF(Games!V70="", "",Games!V70)</f>
      </c>
      <c r="O70" s="75" t="str">
        <f>IF(Games!Z70=0, "",Games!Z70)</f>
      </c>
      <c r="P70" s="67"/>
      <c r="Q70" s="67" t="str">
        <f>IF(ISBLANK(Games!W70), "", Games!W70)</f>
      </c>
      <c r="R70" s="67" t="str">
        <f>IF(ISBLANK(Games!AA70), "", Games!AA70)</f>
      </c>
      <c r="S70" s="67"/>
      <c r="T70" s="68" t="str">
        <f t="shared" si="13"/>
      </c>
      <c r="U70" s="68" t="str">
        <f t="shared" si="14"/>
      </c>
      <c r="V70" s="68" t="str">
        <f t="shared" si="15"/>
      </c>
      <c r="W70" s="68" t="str">
        <f t="shared" si="16"/>
      </c>
      <c r="X70" s="68" t="n">
        <f t="shared" si="17"/>
        <v>0</v>
      </c>
      <c r="Y70" s="68" t="n">
        <f t="shared" si="18"/>
        <v>0</v>
      </c>
      <c r="Z70" s="67" t="str">
        <f>IF(OR('Prediction Log'!L71="", Table12[[#This Row],[Bet]]="", Table12[[#This Row],[Bet]]="Spread"), "",IF('Prediction Log'!L71=Table12[[#This Row],[Side]], "W", IF('Prediction Log'!L71&lt;&gt;Table12[[#This Row],[Side]], "L", "")))</f>
      </c>
      <c r="AA70" s="59" t="str">
        <f t="shared" si="19"/>
      </c>
      <c r="AB70" s="67" t="str">
        <f>IF(OR(Table12[[#This Row],[Bet]]="Side",Table12[[#This Row],[Bet]]="", 'Prediction Log'!L71=""), "",IF('Prediction Log'!U71="Y", "W", IF('Prediction Log'!U71="N", "L", "")))</f>
      </c>
      <c r="AC70" s="59" t="str">
        <f t="shared" si="12"/>
      </c>
      <c r="AD70" s="67"/>
      <c r="AE70" s="65" t="str">
        <f t="shared" si="20"/>
      </c>
      <c r="AF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">
      <c r="A71" s="65" t="n">
        <f>IF(ISBLANK(Games!A71), "", Games!A71)</f>
        <v>1</v>
      </c>
      <c r="B71" s="65" t="str">
        <f>IF('Prediction Log'!B72=0, "",'Prediction Log'!B72)</f>
        <v>Ole Miss</v>
      </c>
      <c r="C71" s="65" t="str">
        <f>IF('Prediction Log'!C72=0, "",'Prediction Log'!C72)</f>
        <v>Furman</v>
      </c>
      <c r="D71" s="65" t="n">
        <f>IF('Prediction Log'!D72=0, "",'Prediction Log'!D72)</f>
        <v>-42.5</v>
      </c>
      <c r="E71" s="58" t="n">
        <f>IF('Prediction Log'!E72=0, "",'Prediction Log'!E72)</f>
        <v>-33.142400142335603</v>
      </c>
      <c r="F71" s="65" t="str">
        <f>IF('Prediction Log'!H72=0, "",'Prediction Log'!H72)</f>
        <v>Ole Miss</v>
      </c>
      <c r="G71" s="64" t="str">
        <f>IF(ISBLANK(Games!B71), "",'Prediction Log'!$I72)</f>
        <v>Ole Miss</v>
      </c>
      <c r="H71" s="66" t="n">
        <f>'Prediction Log'!$J72</f>
        <v>0.99367812766227892</v>
      </c>
      <c r="I71" s="65" t="str">
        <f>IF(ISBLANK(Games!T71), "",IF(AND(Games!T71="",Games!U71=""),"",IF(ISTEXT(Games!U71), "Side",Games!T71)))</f>
      </c>
      <c r="J71" s="65" t="str">
        <f>IF(ISBLANK(Games!T71), "",IF(Table12[[#This Row],[Bet]]="Spread", Games!X71, ""))</f>
      </c>
      <c r="K71" s="65" t="str">
        <f>IF(ISBLANK(Games!U71), "",IF(ISTEXT(Games!U71), Games!U71, ""))</f>
      </c>
      <c r="L71" s="57" t="n">
        <f>IF(ISBLANK(Games!D71), "", Games!D71)</f>
        <v>-42.5</v>
      </c>
      <c r="M71" s="65"/>
      <c r="N71" s="75" t="str">
        <f>IF(Games!V71="", "",Games!V71)</f>
      </c>
      <c r="O71" s="75" t="str">
        <f>IF(Games!Z71=0, "",Games!Z71)</f>
      </c>
      <c r="P71" s="67"/>
      <c r="Q71" s="67" t="str">
        <f>IF(ISBLANK(Games!W71), "", Games!W71)</f>
      </c>
      <c r="R71" s="67" t="str">
        <f>IF(ISBLANK(Games!AA71), "", Games!AA71)</f>
      </c>
      <c r="S71" s="67"/>
      <c r="T71" s="68" t="str">
        <f t="shared" si="13"/>
      </c>
      <c r="U71" s="68" t="str">
        <f t="shared" si="14"/>
      </c>
      <c r="V71" s="68" t="str">
        <f t="shared" si="15"/>
      </c>
      <c r="W71" s="68" t="str">
        <f t="shared" si="16"/>
      </c>
      <c r="X71" s="68" t="n">
        <f t="shared" si="17"/>
        <v>0</v>
      </c>
      <c r="Y71" s="68" t="n">
        <f t="shared" si="18"/>
        <v>0</v>
      </c>
      <c r="Z71" s="67" t="str">
        <f>IF(OR('Prediction Log'!L72="", Table12[[#This Row],[Bet]]="", Table12[[#This Row],[Bet]]="Spread"), "",IF('Prediction Log'!L72=Table12[[#This Row],[Side]], "W", IF('Prediction Log'!L72&lt;&gt;Table12[[#This Row],[Side]], "L", "")))</f>
      </c>
      <c r="AA71" s="59" t="str">
        <f t="shared" si="19"/>
      </c>
      <c r="AB71" s="67" t="str">
        <f>IF(OR(Table12[[#This Row],[Bet]]="Side",Table12[[#This Row],[Bet]]="", 'Prediction Log'!L72=""), "",IF('Prediction Log'!U72="Y", "W", IF('Prediction Log'!U72="N", "L", "")))</f>
      </c>
      <c r="AC71" s="59" t="str">
        <f t="shared" si="12"/>
      </c>
      <c r="AD71" s="67"/>
      <c r="AE71" s="65" t="str">
        <f t="shared" si="20"/>
      </c>
      <c r="AF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">
      <c r="A72" s="65" t="n">
        <f>IF(ISBLANK(Games!A72), "", Games!A72)</f>
        <v>1</v>
      </c>
      <c r="B72" s="65" t="str">
        <f>IF('Prediction Log'!B73=0, "",'Prediction Log'!B73)</f>
        <v>Memphis</v>
      </c>
      <c r="C72" s="65" t="str">
        <f>IF('Prediction Log'!C73=0, "",'Prediction Log'!C73)</f>
        <v>North Alabama</v>
      </c>
      <c r="D72" s="65" t="n">
        <f>IF('Prediction Log'!D73=0, "",'Prediction Log'!D73)</f>
        <v>-36.5</v>
      </c>
      <c r="E72" s="58" t="n">
        <f>IF('Prediction Log'!E73=0, "",'Prediction Log'!E73)</f>
        <v>-28.273732135845599</v>
      </c>
      <c r="F72" s="65" t="str">
        <f>IF('Prediction Log'!H73=0, "",'Prediction Log'!H73)</f>
        <v>Memphis</v>
      </c>
      <c r="G72" s="64" t="str">
        <f>IF(ISBLANK(Games!B72), "",'Prediction Log'!$I73)</f>
        <v>Memphis</v>
      </c>
      <c r="H72" s="66" t="n">
        <f>'Prediction Log'!$J73</f>
        <v>0.98734216512841411</v>
      </c>
      <c r="I72" s="65" t="str">
        <f>IF(ISBLANK(Games!T72), "",IF(AND(Games!T72="",Games!U72=""),"",IF(ISTEXT(Games!U72), "Side",Games!T72)))</f>
      </c>
      <c r="J72" s="65" t="str">
        <f>IF(ISBLANK(Games!T72), "",IF(Table12[[#This Row],[Bet]]="Spread", Games!X72, ""))</f>
      </c>
      <c r="K72" s="65" t="str">
        <f>IF(ISBLANK(Games!U72), "",IF(ISTEXT(Games!U72), Games!U72, ""))</f>
      </c>
      <c r="L72" s="57" t="n">
        <f>IF(ISBLANK(Games!D72), "", Games!D72)</f>
        <v>-36.5</v>
      </c>
      <c r="M72" s="65"/>
      <c r="N72" s="75" t="str">
        <f>IF(Games!V72="", "",Games!V72)</f>
      </c>
      <c r="O72" s="75" t="str">
        <f>IF(Games!Z72=0, "",Games!Z72)</f>
      </c>
      <c r="P72" s="67"/>
      <c r="Q72" s="67" t="str">
        <f>IF(ISBLANK(Games!W72), "", Games!W72)</f>
      </c>
      <c r="R72" s="67" t="str">
        <f>IF(ISBLANK(Games!AA72), "", Games!AA72)</f>
      </c>
      <c r="S72" s="67"/>
      <c r="T72" s="68" t="str">
        <f t="shared" si="13"/>
      </c>
      <c r="U72" s="68" t="str">
        <f t="shared" si="14"/>
      </c>
      <c r="V72" s="68" t="str">
        <f t="shared" si="15"/>
      </c>
      <c r="W72" s="68" t="str">
        <f t="shared" si="16"/>
      </c>
      <c r="X72" s="68" t="n">
        <f t="shared" si="17"/>
        <v>0</v>
      </c>
      <c r="Y72" s="68" t="n">
        <f t="shared" si="18"/>
        <v>0</v>
      </c>
      <c r="Z72" s="67" t="str">
        <f>IF(OR('Prediction Log'!L73="", Table12[[#This Row],[Bet]]="", Table12[[#This Row],[Bet]]="Spread"), "",IF('Prediction Log'!L73=Table12[[#This Row],[Side]], "W", IF('Prediction Log'!L73&lt;&gt;Table12[[#This Row],[Side]], "L", "")))</f>
      </c>
      <c r="AA72" s="59" t="str">
        <f t="shared" si="19"/>
      </c>
      <c r="AB72" s="67" t="str">
        <f>IF(OR(Table12[[#This Row],[Bet]]="Side",Table12[[#This Row],[Bet]]="", 'Prediction Log'!L73=""), "",IF('Prediction Log'!U73="Y", "W", IF('Prediction Log'!U73="N", "L", "")))</f>
      </c>
      <c r="AC72" s="59" t="str">
        <f t="shared" si="12"/>
      </c>
      <c r="AD72" s="67"/>
      <c r="AE72" s="65" t="str">
        <f t="shared" si="20"/>
      </c>
      <c r="AF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">
      <c r="A73" s="65" t="n">
        <f>IF(ISBLANK(Games!A73), "", Games!A73)</f>
        <v>1</v>
      </c>
      <c r="B73" s="65" t="str">
        <f>IF('Prediction Log'!B74=0, "",'Prediction Log'!B74)</f>
        <v>Middle Tennessee</v>
      </c>
      <c r="C73" s="65" t="str">
        <f>IF('Prediction Log'!C74=0, "",'Prediction Log'!C74)</f>
        <v>Tennessee Tech</v>
      </c>
      <c r="D73" s="65" t="n">
        <f>IF('Prediction Log'!D74=0, "",'Prediction Log'!D74)</f>
        <v>-24.5</v>
      </c>
      <c r="E73" s="58" t="n">
        <f>IF('Prediction Log'!E74=0, "",'Prediction Log'!E74)</f>
        <v>-15.411515110351599</v>
      </c>
      <c r="F73" s="65" t="str">
        <f>IF('Prediction Log'!H74=0, "",'Prediction Log'!H74)</f>
        <v>Middle Tennessee</v>
      </c>
      <c r="G73" s="64" t="str">
        <f>IF(ISBLANK(Games!B73), "",'Prediction Log'!$I74)</f>
        <v>Middle Tennessee</v>
      </c>
      <c r="H73" s="66" t="n">
        <f>'Prediction Log'!$J74</f>
        <v>0.9245417332593856</v>
      </c>
      <c r="I73" s="65" t="str">
        <f>IF(ISBLANK(Games!T73), "",IF(AND(Games!T73="",Games!U73=""),"",IF(ISTEXT(Games!U73), "Side",Games!T73)))</f>
      </c>
      <c r="J73" s="65" t="str">
        <f>IF(ISBLANK(Games!T73), "",IF(Table12[[#This Row],[Bet]]="Spread", Games!X73, ""))</f>
      </c>
      <c r="K73" s="65" t="str">
        <f>IF(ISBLANK(Games!U73), "",IF(ISTEXT(Games!U73), Games!U73, ""))</f>
      </c>
      <c r="L73" s="57" t="n">
        <f>IF(ISBLANK(Games!D73), "", Games!D73)</f>
        <v>-24.5</v>
      </c>
      <c r="M73" s="65"/>
      <c r="N73" s="75" t="str">
        <f>IF(Games!V73="", "",Games!V73)</f>
      </c>
      <c r="O73" s="75" t="str">
        <f>IF(Games!Z73=0, "",Games!Z73)</f>
      </c>
      <c r="P73" s="67"/>
      <c r="Q73" s="67" t="str">
        <f>IF(ISBLANK(Games!W73), "", Games!W73)</f>
      </c>
      <c r="R73" s="67" t="str">
        <f>IF(ISBLANK(Games!AA73), "", Games!AA73)</f>
      </c>
      <c r="S73" s="67"/>
      <c r="T73" s="68" t="str">
        <f t="shared" si="13"/>
      </c>
      <c r="U73" s="68" t="str">
        <f t="shared" si="14"/>
      </c>
      <c r="V73" s="68" t="str">
        <f t="shared" si="15"/>
      </c>
      <c r="W73" s="68" t="str">
        <f t="shared" si="16"/>
      </c>
      <c r="X73" s="68" t="n">
        <f t="shared" si="17"/>
        <v>0</v>
      </c>
      <c r="Y73" s="68" t="n">
        <f t="shared" si="18"/>
        <v>0</v>
      </c>
      <c r="Z73" s="67" t="str">
        <f>IF(OR('Prediction Log'!L74="", Table12[[#This Row],[Bet]]="", Table12[[#This Row],[Bet]]="Spread"), "",IF('Prediction Log'!L74=Table12[[#This Row],[Side]], "W", IF('Prediction Log'!L74&lt;&gt;Table12[[#This Row],[Side]], "L", "")))</f>
      </c>
      <c r="AA73" s="59" t="str">
        <f t="shared" si="19"/>
      </c>
      <c r="AB73" s="67" t="str">
        <f>IF(OR(Table12[[#This Row],[Bet]]="Side",Table12[[#This Row],[Bet]]="", 'Prediction Log'!L74=""), "",IF('Prediction Log'!U74="Y", "W", IF('Prediction Log'!U74="N", "L", "")))</f>
      </c>
      <c r="AC73" s="59" t="str">
        <f t="shared" si="12"/>
      </c>
      <c r="AD73" s="67"/>
      <c r="AE73" s="65" t="str">
        <f t="shared" si="20"/>
      </c>
      <c r="AF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">
      <c r="A74" s="65" t="n">
        <f>IF(ISBLANK(Games!A74), "", Games!A74)</f>
        <v>1</v>
      </c>
      <c r="B74" s="65" t="str">
        <f>IF('Prediction Log'!B75=0, "",'Prediction Log'!B75)</f>
        <v>Alabama</v>
      </c>
      <c r="C74" s="65" t="str">
        <f>IF('Prediction Log'!C75=0, "",'Prediction Log'!C75)</f>
        <v>Western Kentucky</v>
      </c>
      <c r="D74" s="65" t="n">
        <f>IF('Prediction Log'!D75=0, "",'Prediction Log'!D75)</f>
        <v>-32.5</v>
      </c>
      <c r="E74" s="58" t="n">
        <f>IF('Prediction Log'!E75=0, "",'Prediction Log'!E75)</f>
        <v>-21.189766836254002</v>
      </c>
      <c r="F74" s="65" t="str">
        <f>IF('Prediction Log'!H75=0, "",'Prediction Log'!H75)</f>
        <v>Alabama</v>
      </c>
      <c r="G74" s="64" t="str">
        <f>IF(ISBLANK(Games!B74), "",'Prediction Log'!$I75)</f>
        <v>Alabama</v>
      </c>
      <c r="H74" s="66" t="n">
        <f>'Prediction Log'!$J75</f>
        <v>0.96568568250892706</v>
      </c>
      <c r="I74" s="65" t="str">
        <f>IF(ISBLANK(Games!T74), "",IF(AND(Games!T74="",Games!U74=""),"",IF(ISTEXT(Games!U74), "Side",Games!T74)))</f>
      </c>
      <c r="J74" s="65" t="str">
        <f>IF(ISBLANK(Games!T74), "",IF(Table12[[#This Row],[Bet]]="Spread", Games!X74, ""))</f>
      </c>
      <c r="K74" s="65" t="str">
        <f>IF(ISBLANK(Games!U74), "",IF(ISTEXT(Games!U74), Games!U74, ""))</f>
      </c>
      <c r="L74" s="57" t="n">
        <f>IF(ISBLANK(Games!D74), "", Games!D74)</f>
        <v>-32.5</v>
      </c>
      <c r="M74" s="65"/>
      <c r="N74" s="75" t="str">
        <f>IF(Games!V74="", "",Games!V74)</f>
      </c>
      <c r="O74" s="75" t="str">
        <f>IF(Games!Z74=0, "",Games!Z74)</f>
      </c>
      <c r="P74" s="67"/>
      <c r="Q74" s="67" t="str">
        <f>IF(ISBLANK(Games!W74), "", Games!W74)</f>
      </c>
      <c r="R74" s="67" t="str">
        <f>IF(ISBLANK(Games!AA74), "", Games!AA74)</f>
      </c>
      <c r="S74" s="67"/>
      <c r="T74" s="68" t="str">
        <f t="shared" si="13"/>
      </c>
      <c r="U74" s="68" t="str">
        <f t="shared" si="14"/>
      </c>
      <c r="V74" s="68" t="str">
        <f t="shared" si="15"/>
      </c>
      <c r="W74" s="68" t="str">
        <f t="shared" si="16"/>
      </c>
      <c r="X74" s="68" t="n">
        <f t="shared" si="17"/>
        <v>0</v>
      </c>
      <c r="Y74" s="68" t="n">
        <f t="shared" si="18"/>
        <v>0</v>
      </c>
      <c r="Z74" s="67" t="str">
        <f>IF(OR('Prediction Log'!L75="", Table12[[#This Row],[Bet]]="", Table12[[#This Row],[Bet]]="Spread"), "",IF('Prediction Log'!L75=Table12[[#This Row],[Side]], "W", IF('Prediction Log'!L75&lt;&gt;Table12[[#This Row],[Side]], "L", "")))</f>
      </c>
      <c r="AA74" s="59" t="str">
        <f t="shared" si="19"/>
      </c>
      <c r="AB74" s="67" t="str">
        <f>IF(OR(Table12[[#This Row],[Bet]]="Side",Table12[[#This Row],[Bet]]="", 'Prediction Log'!L75=""), "",IF('Prediction Log'!U75="Y", "W", IF('Prediction Log'!U75="N", "L", "")))</f>
      </c>
      <c r="AC74" s="59" t="str">
        <f t="shared" si="12"/>
      </c>
      <c r="AD74" s="67"/>
      <c r="AE74" s="65" t="str">
        <f t="shared" si="20"/>
      </c>
      <c r="AF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">
      <c r="A75" s="65" t="n">
        <f>IF(ISBLANK(Games!A75), "", Games!A75)</f>
        <v>1</v>
      </c>
      <c r="B75" s="65" t="str">
        <f>IF('Prediction Log'!B76=0, "",'Prediction Log'!B76)</f>
        <v>Houston</v>
      </c>
      <c r="C75" s="65" t="str">
        <f>IF('Prediction Log'!C76=0, "",'Prediction Log'!C76)</f>
        <v>UNLV</v>
      </c>
      <c r="D75" s="65" t="n">
        <f>IF('Prediction Log'!D76=0, "",'Prediction Log'!D76)</f>
        <v>-1.5</v>
      </c>
      <c r="E75" s="58" t="n">
        <f>IF('Prediction Log'!E76=0, "",'Prediction Log'!E76)</f>
        <v>4.3</v>
      </c>
      <c r="F75" s="65" t="str">
        <f>IF('Prediction Log'!H76=0, "",'Prediction Log'!H76)</f>
        <v>UNLV</v>
      </c>
      <c r="G75" s="64" t="str">
        <f>IF(ISBLANK(Games!B75), "",'Prediction Log'!$I76)</f>
        <v>Houston</v>
      </c>
      <c r="H75" s="66" t="n">
        <f>'Prediction Log'!$J76</f>
        <v>0.52476409220898812</v>
      </c>
      <c r="I75" s="65" t="str">
        <f>IF(ISBLANK(Games!T75), "",IF(AND(Games!T75="",Games!U75=""),"",IF(ISTEXT(Games!U75), "Side",Games!T75)))</f>
      </c>
      <c r="J75" s="65" t="str">
        <f>IF(ISBLANK(Games!T75), "",IF(Table12[[#This Row],[Bet]]="Spread", Games!X75, ""))</f>
      </c>
      <c r="K75" s="65" t="str">
        <f>IF(ISBLANK(Games!U75), "",IF(ISTEXT(Games!U75), Games!U75, ""))</f>
      </c>
      <c r="L75" s="57" t="str">
        <f>IF(ISBLANK(Games!D75), "", Games!D75)</f>
        <v>-1.5</v>
      </c>
      <c r="M75" s="65"/>
      <c r="N75" s="75" t="str">
        <f>IF(Games!V75="", "",Games!V75)</f>
      </c>
      <c r="O75" s="75" t="str">
        <f>IF(Games!Z75=0, "",Games!Z75)</f>
      </c>
      <c r="P75" s="67"/>
      <c r="Q75" s="67" t="str">
        <f>IF(ISBLANK(Games!W75), "", Games!W75)</f>
      </c>
      <c r="R75" s="67" t="str">
        <f>IF(ISBLANK(Games!AA75), "", Games!AA75)</f>
      </c>
      <c r="S75" s="67"/>
      <c r="T75" s="68" t="str">
        <f t="shared" si="13"/>
      </c>
      <c r="U75" s="68" t="str">
        <f t="shared" si="14"/>
      </c>
      <c r="V75" s="68" t="str">
        <f t="shared" si="15"/>
      </c>
      <c r="W75" s="68" t="str">
        <f t="shared" si="16"/>
      </c>
      <c r="X75" s="68" t="n">
        <f t="shared" si="17"/>
        <v>0</v>
      </c>
      <c r="Y75" s="68" t="n">
        <f t="shared" si="18"/>
        <v>0</v>
      </c>
      <c r="Z75" s="67" t="str">
        <f>IF(OR('Prediction Log'!L76="", Table12[[#This Row],[Bet]]="", Table12[[#This Row],[Bet]]="Spread"), "",IF('Prediction Log'!L76=Table12[[#This Row],[Side]], "W", IF('Prediction Log'!L76&lt;&gt;Table12[[#This Row],[Side]], "L", "")))</f>
      </c>
      <c r="AA75" s="59" t="str">
        <f t="shared" si="19"/>
      </c>
      <c r="AB75" s="67" t="str">
        <f>IF(OR(Table12[[#This Row],[Bet]]="Side",Table12[[#This Row],[Bet]]="", 'Prediction Log'!L76=""), "",IF('Prediction Log'!U76="Y", "W", IF('Prediction Log'!U76="N", "L", "")))</f>
      </c>
      <c r="AC75" s="59" t="str">
        <f t="shared" si="12"/>
      </c>
      <c r="AD75" s="67"/>
      <c r="AE75" s="65" t="str">
        <f t="shared" si="20"/>
      </c>
      <c r="AF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">
      <c r="A76" s="65" t="n">
        <f>IF(ISBLANK(Games!A76), "", Games!A76)</f>
        <v>1</v>
      </c>
      <c r="B76" s="65" t="str">
        <f>IF('Prediction Log'!B77=0, "",'Prediction Log'!B77)</f>
        <v>Baylor</v>
      </c>
      <c r="C76" s="65" t="str">
        <f>IF('Prediction Log'!C77=0, "",'Prediction Log'!C77)</f>
        <v>Tarleton State</v>
      </c>
      <c r="D76" s="65" t="n">
        <f>IF('Prediction Log'!D77=0, "",'Prediction Log'!D77)</f>
        <v>-30.5</v>
      </c>
      <c r="E76" s="58" t="n">
        <f>IF('Prediction Log'!E77=0, "",'Prediction Log'!E77)</f>
        <v>-17.313905471667201</v>
      </c>
      <c r="F76" s="65" t="str">
        <f>IF('Prediction Log'!H77=0, "",'Prediction Log'!H77)</f>
        <v>Baylor</v>
      </c>
      <c r="G76" s="64" t="str">
        <f>IF(ISBLANK(Games!B76), "",'Prediction Log'!$I77)</f>
        <v>Baylor</v>
      </c>
      <c r="H76" s="66" t="n">
        <f>'Prediction Log'!$J77</f>
        <v>0.94155763055451192</v>
      </c>
      <c r="I76" s="65" t="str">
        <f>IF(ISBLANK(Games!T76), "",IF(AND(Games!T76="",Games!U76=""),"",IF(ISTEXT(Games!U76), "Side",Games!T76)))</f>
      </c>
      <c r="J76" s="65" t="str">
        <f>IF(ISBLANK(Games!T76), "",IF(Table12[[#This Row],[Bet]]="Spread", Games!X76, ""))</f>
      </c>
      <c r="K76" s="65" t="str">
        <f>IF(ISBLANK(Games!U76), "",IF(ISTEXT(Games!U76), Games!U76, ""))</f>
      </c>
      <c r="L76" s="57" t="n">
        <f>IF(ISBLANK(Games!D76), "", Games!D76)</f>
        <v>-30.5</v>
      </c>
      <c r="M76" s="65"/>
      <c r="N76" s="75" t="str">
        <f>IF(Games!V76="", "",Games!V76)</f>
      </c>
      <c r="O76" s="75" t="str">
        <f>IF(Games!Z76=0, "",Games!Z76)</f>
      </c>
      <c r="P76" s="67"/>
      <c r="Q76" s="67" t="str">
        <f>IF(ISBLANK(Games!W76), "", Games!W76)</f>
      </c>
      <c r="R76" s="67" t="str">
        <f>IF(ISBLANK(Games!AA76), "", Games!AA76)</f>
      </c>
      <c r="S76" s="67"/>
      <c r="T76" s="68" t="str">
        <f t="shared" si="13"/>
      </c>
      <c r="U76" s="68" t="str">
        <f t="shared" si="14"/>
      </c>
      <c r="V76" s="68" t="str">
        <f t="shared" si="15"/>
      </c>
      <c r="W76" s="68" t="str">
        <f t="shared" si="16"/>
      </c>
      <c r="X76" s="68" t="n">
        <f t="shared" si="17"/>
        <v>0</v>
      </c>
      <c r="Y76" s="68" t="n">
        <f t="shared" si="18"/>
        <v>0</v>
      </c>
      <c r="Z76" s="67" t="str">
        <f>IF(OR('Prediction Log'!L77="", Table12[[#This Row],[Bet]]="", Table12[[#This Row],[Bet]]="Spread"), "",IF('Prediction Log'!L77=Table12[[#This Row],[Side]], "W", IF('Prediction Log'!L77&lt;&gt;Table12[[#This Row],[Side]], "L", "")))</f>
      </c>
      <c r="AA76" s="59" t="str">
        <f t="shared" si="19"/>
      </c>
      <c r="AB76" s="67" t="str">
        <f>IF(OR(Table12[[#This Row],[Bet]]="Side",Table12[[#This Row],[Bet]]="", 'Prediction Log'!L77=""), "",IF('Prediction Log'!U77="Y", "W", IF('Prediction Log'!U77="N", "L", "")))</f>
      </c>
      <c r="AC76" s="59" t="str">
        <f t="shared" si="12"/>
      </c>
      <c r="AD76" s="67"/>
      <c r="AE76" s="65" t="str">
        <f t="shared" si="20"/>
      </c>
      <c r="AF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">
      <c r="A77" s="65" t="n">
        <f>IF(ISBLANK(Games!A77), "", Games!A77)</f>
        <v>1</v>
      </c>
      <c r="B77" s="65" t="str">
        <f>IF('Prediction Log'!B78=0, "",'Prediction Log'!B78)</f>
        <v>Rice</v>
      </c>
      <c r="C77" s="65" t="str">
        <f>IF('Prediction Log'!C78=0, "",'Prediction Log'!C78)</f>
        <v>Sam Houston State</v>
      </c>
      <c r="D77" s="65" t="n">
        <f>IF('Prediction Log'!D78=0, "",'Prediction Log'!D78)</f>
        <v>-10.5</v>
      </c>
      <c r="E77" s="58" t="n">
        <f>IF('Prediction Log'!E78=0, "",'Prediction Log'!E78)</f>
        <v>-15.7</v>
      </c>
      <c r="F77" s="65" t="str">
        <f>IF('Prediction Log'!H78=0, "",'Prediction Log'!H78)</f>
        <v>Rice</v>
      </c>
      <c r="G77" s="64" t="str">
        <f>IF(ISBLANK(Games!B77), "",'Prediction Log'!$I78)</f>
        <v>Rice</v>
      </c>
      <c r="H77" s="66" t="n">
        <f>'Prediction Log'!$J78</f>
        <v>0.66157422404750521</v>
      </c>
      <c r="I77" s="65" t="str">
        <f>IF(ISBLANK(Games!T77), "",IF(AND(Games!T77="",Games!U77=""),"",IF(ISTEXT(Games!U77), "Side",Games!T77)))</f>
      </c>
      <c r="J77" s="65" t="str">
        <f>IF(ISBLANK(Games!T77), "",IF(Table12[[#This Row],[Bet]]="Spread", Games!X77, ""))</f>
      </c>
      <c r="K77" s="65" t="str">
        <f>IF(ISBLANK(Games!U77), "",IF(ISTEXT(Games!U77), Games!U77, ""))</f>
      </c>
      <c r="L77" s="57" t="str">
        <f>IF(ISBLANK(Games!D77), "", Games!D77)</f>
        <v>-10.5</v>
      </c>
      <c r="M77" s="65"/>
      <c r="N77" s="75" t="str">
        <f>IF(Games!V77="", "",Games!V77)</f>
      </c>
      <c r="O77" s="75" t="str">
        <f>IF(Games!Z77=0, "",Games!Z77)</f>
      </c>
      <c r="P77" s="67"/>
      <c r="Q77" s="67" t="str">
        <f>IF(ISBLANK(Games!W77), "", Games!W77)</f>
      </c>
      <c r="R77" s="67" t="str">
        <f>IF(ISBLANK(Games!AA77), "", Games!AA77)</f>
      </c>
      <c r="S77" s="67"/>
      <c r="T77" s="68" t="str">
        <f t="shared" si="13"/>
      </c>
      <c r="U77" s="68" t="str">
        <f t="shared" si="14"/>
      </c>
      <c r="V77" s="68" t="str">
        <f t="shared" si="15"/>
      </c>
      <c r="W77" s="68" t="str">
        <f t="shared" si="16"/>
      </c>
      <c r="X77" s="68" t="n">
        <f t="shared" si="17"/>
        <v>0</v>
      </c>
      <c r="Y77" s="68" t="n">
        <f t="shared" si="18"/>
        <v>0</v>
      </c>
      <c r="Z77" s="67" t="str">
        <f>IF(OR('Prediction Log'!L78="", Table12[[#This Row],[Bet]]="", Table12[[#This Row],[Bet]]="Spread"), "",IF('Prediction Log'!L78=Table12[[#This Row],[Side]], "W", IF('Prediction Log'!L78&lt;&gt;Table12[[#This Row],[Side]], "L", "")))</f>
      </c>
      <c r="AA77" s="59" t="str">
        <f t="shared" si="19"/>
      </c>
      <c r="AB77" s="67" t="str">
        <f>IF(OR(Table12[[#This Row],[Bet]]="Side",Table12[[#This Row],[Bet]]="", 'Prediction Log'!L78=""), "",IF('Prediction Log'!U78="Y", "W", IF('Prediction Log'!U78="N", "L", "")))</f>
      </c>
      <c r="AC77" s="59" t="str">
        <f t="shared" si="12"/>
      </c>
      <c r="AD77" s="67"/>
      <c r="AE77" s="65" t="str">
        <f t="shared" si="20"/>
      </c>
      <c r="AF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">
      <c r="A78" s="65" t="n">
        <f>IF(ISBLANK(Games!A78), "", Games!A78)</f>
        <v>1</v>
      </c>
      <c r="B78" s="65" t="str">
        <f>IF('Prediction Log'!B79=0, "",'Prediction Log'!B79)</f>
        <v>Troy</v>
      </c>
      <c r="C78" s="65" t="str">
        <f>IF('Prediction Log'!C79=0, "",'Prediction Log'!C79)</f>
        <v>Nevada</v>
      </c>
      <c r="D78" s="65" t="n">
        <f>IF('Prediction Log'!D79=0, "",'Prediction Log'!D79)</f>
        <v>-15.5</v>
      </c>
      <c r="E78" s="58" t="n">
        <f>IF('Prediction Log'!E79=0, "",'Prediction Log'!E79)</f>
        <v>-55.3</v>
      </c>
      <c r="F78" s="65" t="str">
        <f>IF('Prediction Log'!H79=0, "",'Prediction Log'!H79)</f>
        <v>Troy</v>
      </c>
      <c r="G78" s="64" t="str">
        <f>IF(ISBLANK(Games!B78), "",'Prediction Log'!$I79)</f>
        <v>Troy</v>
      </c>
      <c r="H78" s="66" t="n">
        <f>'Prediction Log'!$J79</f>
        <v>0.94516084102782238</v>
      </c>
      <c r="I78" s="65" t="str">
        <f>IF(ISBLANK(Games!T78), "",IF(AND(Games!T78="",Games!U78=""),"",IF(ISTEXT(Games!U78), "Side",Games!T78)))</f>
      </c>
      <c r="J78" s="65" t="str">
        <f>IF(ISBLANK(Games!T78), "",IF(Table12[[#This Row],[Bet]]="Spread", Games!X78, ""))</f>
      </c>
      <c r="K78" s="65" t="str">
        <f>IF(ISBLANK(Games!U78), "",IF(ISTEXT(Games!U78), Games!U78, ""))</f>
      </c>
      <c r="L78" s="57" t="str">
        <f>IF(ISBLANK(Games!D78), "", Games!D78)</f>
        <v>-15.5</v>
      </c>
      <c r="M78" s="65"/>
      <c r="N78" s="75" t="str">
        <f>IF(Games!V78="", "",Games!V78)</f>
      </c>
      <c r="O78" s="75" t="str">
        <f>IF(Games!Z78=0, "",Games!Z78)</f>
      </c>
      <c r="P78" s="67"/>
      <c r="Q78" s="67" t="str">
        <f>IF(ISBLANK(Games!W78), "", Games!W78)</f>
      </c>
      <c r="R78" s="67" t="str">
        <f>IF(ISBLANK(Games!AA78), "", Games!AA78)</f>
      </c>
      <c r="S78" s="67"/>
      <c r="T78" s="68" t="str">
        <f t="shared" si="13"/>
      </c>
      <c r="U78" s="68" t="str">
        <f t="shared" si="14"/>
      </c>
      <c r="V78" s="68" t="str">
        <f t="shared" si="15"/>
      </c>
      <c r="W78" s="68" t="str">
        <f t="shared" si="16"/>
      </c>
      <c r="X78" s="68" t="n">
        <f t="shared" si="17"/>
        <v>0</v>
      </c>
      <c r="Y78" s="68" t="n">
        <f t="shared" si="18"/>
        <v>0</v>
      </c>
      <c r="Z78" s="67" t="str">
        <f>IF(OR('Prediction Log'!L79="", Table12[[#This Row],[Bet]]="", Table12[[#This Row],[Bet]]="Spread"), "",IF('Prediction Log'!L79=Table12[[#This Row],[Side]], "W", IF('Prediction Log'!L79&lt;&gt;Table12[[#This Row],[Side]], "L", "")))</f>
      </c>
      <c r="AA78" s="59" t="str">
        <f t="shared" si="19"/>
      </c>
      <c r="AB78" s="67" t="str">
        <f>IF(OR(Table12[[#This Row],[Bet]]="Side",Table12[[#This Row],[Bet]]="", 'Prediction Log'!L79=""), "",IF('Prediction Log'!U79="Y", "W", IF('Prediction Log'!U79="N", "L", "")))</f>
      </c>
      <c r="AC78" s="59" t="str">
        <f t="shared" si="12"/>
      </c>
      <c r="AD78" s="67"/>
      <c r="AE78" s="65" t="str">
        <f t="shared" si="20"/>
      </c>
      <c r="AF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">
      <c r="A79" s="65" t="n">
        <f>IF(ISBLANK(Games!A79), "", Games!A79)</f>
        <v>1</v>
      </c>
      <c r="B79" s="65" t="str">
        <f>IF('Prediction Log'!B80=0, "",'Prediction Log'!B80)</f>
        <v>Kansas State</v>
      </c>
      <c r="C79" s="65" t="str">
        <f>IF('Prediction Log'!C80=0, "",'Prediction Log'!C80)</f>
        <v>UT Martin</v>
      </c>
      <c r="D79" s="65" t="n">
        <f>IF('Prediction Log'!D80=0, "",'Prediction Log'!D80)</f>
        <v>-36.5</v>
      </c>
      <c r="E79" s="58" t="n">
        <f>IF('Prediction Log'!E80=0, "",'Prediction Log'!E80)</f>
        <v>-32.318441711929999</v>
      </c>
      <c r="F79" s="65" t="str">
        <f>IF('Prediction Log'!H80=0, "",'Prediction Log'!H80)</f>
        <v>Kansas State</v>
      </c>
      <c r="G79" s="64" t="str">
        <f>IF(ISBLANK(Games!B79), "",'Prediction Log'!$I80)</f>
        <v>Kansas State</v>
      </c>
      <c r="H79" s="66" t="n">
        <f>'Prediction Log'!$J80</f>
        <v>0.99288790395590631</v>
      </c>
      <c r="I79" s="65" t="str">
        <f>IF(ISBLANK(Games!T79), "",IF(AND(Games!T79="",Games!U79=""),"",IF(ISTEXT(Games!U79), "Side",Games!T79)))</f>
      </c>
      <c r="J79" s="65" t="str">
        <f>IF(ISBLANK(Games!T79), "",IF(Table12[[#This Row],[Bet]]="Spread", Games!X79, ""))</f>
      </c>
      <c r="K79" s="65" t="str">
        <f>IF(ISBLANK(Games!U79), "",IF(ISTEXT(Games!U79), Games!U79, ""))</f>
      </c>
      <c r="L79" s="57" t="n">
        <f>IF(ISBLANK(Games!D79), "", Games!D79)</f>
        <v>-36.5</v>
      </c>
      <c r="M79" s="65"/>
      <c r="N79" s="75" t="str">
        <f>IF(Games!V79="", "",Games!V79)</f>
      </c>
      <c r="O79" s="75" t="str">
        <f>IF(Games!Z79=0, "",Games!Z79)</f>
      </c>
      <c r="P79" s="67"/>
      <c r="Q79" s="67" t="str">
        <f>IF(ISBLANK(Games!W79), "", Games!W79)</f>
      </c>
      <c r="R79" s="67" t="str">
        <f>IF(ISBLANK(Games!AA79), "", Games!AA79)</f>
      </c>
      <c r="S79" s="67"/>
      <c r="T79" s="68" t="str">
        <f t="shared" si="13"/>
      </c>
      <c r="U79" s="68" t="str">
        <f t="shared" si="14"/>
      </c>
      <c r="V79" s="68" t="str">
        <f t="shared" si="15"/>
      </c>
      <c r="W79" s="68" t="str">
        <f t="shared" si="16"/>
      </c>
      <c r="X79" s="68" t="n">
        <f t="shared" si="17"/>
        <v>0</v>
      </c>
      <c r="Y79" s="68" t="n">
        <f t="shared" si="18"/>
        <v>0</v>
      </c>
      <c r="Z79" s="67" t="str">
        <f>IF(OR('Prediction Log'!L80="", Table12[[#This Row],[Bet]]="", Table12[[#This Row],[Bet]]="Spread"), "",IF('Prediction Log'!L80=Table12[[#This Row],[Side]], "W", IF('Prediction Log'!L80&lt;&gt;Table12[[#This Row],[Side]], "L", "")))</f>
      </c>
      <c r="AA79" s="59" t="str">
        <f t="shared" si="19"/>
      </c>
      <c r="AB79" s="67" t="str">
        <f>IF(OR(Table12[[#This Row],[Bet]]="Side",Table12[[#This Row],[Bet]]="", 'Prediction Log'!L80=""), "",IF('Prediction Log'!U80="Y", "W", IF('Prediction Log'!U80="N", "L", "")))</f>
      </c>
      <c r="AC79" s="59" t="str">
        <f t="shared" si="12"/>
      </c>
      <c r="AD79" s="67"/>
      <c r="AE79" s="65" t="str">
        <f t="shared" si="20"/>
      </c>
      <c r="AF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">
      <c r="A80" s="65" t="n">
        <f>IF(ISBLANK(Games!A80), "", Games!A80)</f>
        <v>1</v>
      </c>
      <c r="B80" s="65" t="str">
        <f>IF('Prediction Log'!B81=0, "",'Prediction Log'!B81)</f>
        <v>South Florida</v>
      </c>
      <c r="C80" s="65" t="str">
        <f>IF('Prediction Log'!C81=0, "",'Prediction Log'!C81)</f>
        <v>Bethune-Cookman</v>
      </c>
      <c r="D80" s="65" t="str">
        <f>IF('Prediction Log'!D81=0, "",'Prediction Log'!D81)</f>
      </c>
      <c r="E80" s="58" t="n">
        <f>IF('Prediction Log'!E81=0, "",'Prediction Log'!E81)</f>
        <v>-21.297574579451599</v>
      </c>
      <c r="F80" s="65" t="str">
        <f>IF('Prediction Log'!H81=0, "",'Prediction Log'!H81)</f>
        <v>South Florida</v>
      </c>
      <c r="G80" s="64" t="str">
        <f>IF(ISBLANK(Games!B80), "",'Prediction Log'!$I81)</f>
        <v>South Florida</v>
      </c>
      <c r="H80" s="66" t="n">
        <f>'Prediction Log'!$J81</f>
        <v>0.96619609543935114</v>
      </c>
      <c r="I80" s="65" t="str">
        <f>IF(ISBLANK(Games!T80), "",IF(AND(Games!T80="",Games!U80=""),"",IF(ISTEXT(Games!U80), "Side",Games!T80)))</f>
      </c>
      <c r="J80" s="65" t="str">
        <f>IF(ISBLANK(Games!T80), "",IF(Table12[[#This Row],[Bet]]="Spread", Games!X80, ""))</f>
      </c>
      <c r="K80" s="65" t="str">
        <f>IF(ISBLANK(Games!U80), "",IF(ISTEXT(Games!U80), Games!U80, ""))</f>
      </c>
      <c r="L80" s="57" t="str">
        <f>IF(ISBLANK(Games!D80), "", Games!D80)</f>
      </c>
      <c r="M80" s="65"/>
      <c r="N80" s="75" t="str">
        <f>IF(Games!V80="", "",Games!V80)</f>
      </c>
      <c r="O80" s="75" t="str">
        <f>IF(Games!Z80=0, "",Games!Z80)</f>
      </c>
      <c r="P80" s="67"/>
      <c r="Q80" s="67" t="str">
        <f>IF(ISBLANK(Games!W80), "", Games!W80)</f>
      </c>
      <c r="R80" s="67" t="str">
        <f>IF(ISBLANK(Games!AA80), "", Games!AA80)</f>
      </c>
      <c r="S80" s="67"/>
      <c r="T80" s="68" t="str">
        <f t="shared" si="13"/>
      </c>
      <c r="U80" s="68" t="str">
        <f t="shared" si="14"/>
      </c>
      <c r="V80" s="68" t="str">
        <f t="shared" si="15"/>
      </c>
      <c r="W80" s="68" t="str">
        <f t="shared" si="16"/>
      </c>
      <c r="X80" s="68" t="n">
        <f t="shared" si="17"/>
        <v>0</v>
      </c>
      <c r="Y80" s="68" t="n">
        <f t="shared" si="18"/>
        <v>0</v>
      </c>
      <c r="Z80" s="67" t="str">
        <f>IF(OR('Prediction Log'!L81="", Table12[[#This Row],[Bet]]="", Table12[[#This Row],[Bet]]="Spread"), "",IF('Prediction Log'!L81=Table12[[#This Row],[Side]], "W", IF('Prediction Log'!L81&lt;&gt;Table12[[#This Row],[Side]], "L", "")))</f>
      </c>
      <c r="AA80" s="59" t="str">
        <f t="shared" si="19"/>
      </c>
      <c r="AB80" s="67" t="str">
        <f>IF(OR(Table12[[#This Row],[Bet]]="Side",Table12[[#This Row],[Bet]]="", 'Prediction Log'!L81=""), "",IF('Prediction Log'!U81="Y", "W", IF('Prediction Log'!U81="N", "L", "")))</f>
      </c>
      <c r="AC80" s="59" t="str">
        <f t="shared" si="12"/>
      </c>
      <c r="AD80" s="67"/>
      <c r="AE80" s="65" t="str">
        <f t="shared" si="20"/>
      </c>
      <c r="AF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1">
      <c r="A81" s="65" t="n">
        <f>IF(ISBLANK(Games!A81), "", Games!A81)</f>
        <v>1</v>
      </c>
      <c r="B81" s="65" t="str">
        <f>IF('Prediction Log'!B82=0, "",'Prediction Log'!B82)</f>
        <v>Oregon</v>
      </c>
      <c r="C81" s="65" t="str">
        <f>IF('Prediction Log'!C82=0, "",'Prediction Log'!C82)</f>
        <v>Idaho</v>
      </c>
      <c r="D81" s="65" t="n">
        <f>IF('Prediction Log'!D82=0, "",'Prediction Log'!D82)</f>
        <v>-44.5</v>
      </c>
      <c r="E81" s="58" t="n">
        <f>IF('Prediction Log'!E82=0, "",'Prediction Log'!E82)</f>
        <v>-40.120990410296002</v>
      </c>
      <c r="F81" s="65" t="str">
        <f>IF('Prediction Log'!H82=0, "",'Prediction Log'!H82)</f>
        <v>Oregon</v>
      </c>
      <c r="G81" s="64" t="str">
        <f>IF(ISBLANK(Games!B81), "",'Prediction Log'!$I82)</f>
        <v>Oregon</v>
      </c>
      <c r="H81" s="66" t="n">
        <f>'Prediction Log'!$J82</f>
        <v>0.99767497739746613</v>
      </c>
      <c r="I81" s="65" t="str">
        <f>IF(ISBLANK(Games!T81), "",IF(AND(Games!T81="",Games!U81=""),"",IF(ISTEXT(Games!U81), "Side",Games!T81)))</f>
      </c>
      <c r="J81" s="65" t="str">
        <f>IF(ISBLANK(Games!T81), "",IF(Table12[[#This Row],[Bet]]="Spread", Games!X81, ""))</f>
      </c>
      <c r="K81" s="65" t="str">
        <f>IF(ISBLANK(Games!U81), "",IF(ISTEXT(Games!U81), Games!U81, ""))</f>
      </c>
      <c r="L81" s="57" t="n">
        <f>IF(ISBLANK(Games!D81), "", Games!D81)</f>
        <v>-44.5</v>
      </c>
      <c r="M81" s="65"/>
      <c r="N81" s="75" t="str">
        <f>IF(Games!V81="", "",Games!V81)</f>
      </c>
      <c r="O81" s="75" t="str">
        <f>IF(Games!Z81=0, "",Games!Z81)</f>
      </c>
      <c r="P81" s="67"/>
      <c r="Q81" s="67" t="str">
        <f>IF(ISBLANK(Games!W81), "", Games!W81)</f>
      </c>
      <c r="R81" s="67" t="str">
        <f>IF(ISBLANK(Games!AA81), "", Games!AA81)</f>
      </c>
      <c r="S81" s="67"/>
      <c r="T81" s="68" t="str">
        <f t="shared" si="13"/>
      </c>
      <c r="U81" s="68" t="str">
        <f t="shared" si="14"/>
      </c>
      <c r="V81" s="68" t="str">
        <f t="shared" si="15"/>
      </c>
      <c r="W81" s="68" t="str">
        <f t="shared" si="16"/>
      </c>
      <c r="X81" s="68" t="n">
        <f t="shared" si="17"/>
        <v>0</v>
      </c>
      <c r="Y81" s="68" t="n">
        <f t="shared" si="18"/>
        <v>0</v>
      </c>
      <c r="Z81" s="67" t="str">
        <f>IF(OR('Prediction Log'!L82="", Table12[[#This Row],[Bet]]="", Table12[[#This Row],[Bet]]="Spread"), "",IF('Prediction Log'!L82=Table12[[#This Row],[Side]], "W", IF('Prediction Log'!L82&lt;&gt;Table12[[#This Row],[Side]], "L", "")))</f>
      </c>
      <c r="AA81" s="59" t="str">
        <f t="shared" si="19"/>
      </c>
      <c r="AB81" s="67" t="str">
        <f>IF(OR(Table12[[#This Row],[Bet]]="Side",Table12[[#This Row],[Bet]]="", 'Prediction Log'!L82=""), "",IF('Prediction Log'!U82="Y", "W", IF('Prediction Log'!U82="N", "L", "")))</f>
      </c>
      <c r="AC81" s="59" t="str">
        <f t="shared" si="12"/>
      </c>
      <c r="AD81" s="67"/>
      <c r="AE81" s="65" t="str">
        <f t="shared" si="20"/>
      </c>
      <c r="AF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2">
      <c r="A82" s="65" t="n">
        <f>IF(ISBLANK(Games!A82), "", Games!A82)</f>
        <v>1</v>
      </c>
      <c r="B82" s="65" t="str">
        <f>IF('Prediction Log'!B83=0, "",'Prediction Log'!B83)</f>
        <v>Michigan</v>
      </c>
      <c r="C82" s="65" t="str">
        <f>IF('Prediction Log'!C83=0, "",'Prediction Log'!C83)</f>
        <v>Fresno State</v>
      </c>
      <c r="D82" s="65" t="n">
        <f>IF('Prediction Log'!D83=0, "",'Prediction Log'!D83)</f>
        <v>-21</v>
      </c>
      <c r="E82" s="58" t="n">
        <f>IF('Prediction Log'!E83=0, "",'Prediction Log'!E83)</f>
        <v>-67.8</v>
      </c>
      <c r="F82" s="65" t="str">
        <f>IF('Prediction Log'!H83=0, "",'Prediction Log'!H83)</f>
        <v>Michigan</v>
      </c>
      <c r="G82" s="64" t="str">
        <f>IF(ISBLANK(Games!B82), "",'Prediction Log'!$I83)</f>
        <v>Michigan</v>
      </c>
      <c r="H82" s="66" t="n">
        <f>'Prediction Log'!$J83</f>
        <v>0.92692816398884148</v>
      </c>
      <c r="I82" s="65" t="str">
        <f>IF(ISBLANK(Games!T82), "",IF(AND(Games!T82="",Games!U82=""),"",IF(ISTEXT(Games!U82), "Side",Games!T82)))</f>
      </c>
      <c r="J82" s="65" t="str">
        <f>IF(ISBLANK(Games!T82), "",IF(Table12[[#This Row],[Bet]]="Spread", Games!X82, ""))</f>
      </c>
      <c r="K82" s="65" t="str">
        <f>IF(ISBLANK(Games!U82), "",IF(ISTEXT(Games!U82), Games!U82, ""))</f>
      </c>
      <c r="L82" s="57" t="str">
        <f>IF(ISBLANK(Games!D82), "", Games!D82)</f>
        <v>-21</v>
      </c>
      <c r="M82" s="65"/>
      <c r="N82" s="75" t="str">
        <f>IF(Games!V82="", "",Games!V82)</f>
      </c>
      <c r="O82" s="75" t="str">
        <f>IF(Games!Z82=0, "",Games!Z82)</f>
      </c>
      <c r="P82" s="67"/>
      <c r="Q82" s="67" t="str">
        <f>IF(ISBLANK(Games!W82), "", Games!W82)</f>
      </c>
      <c r="R82" s="67" t="str">
        <f>IF(ISBLANK(Games!AA82), "", Games!AA82)</f>
      </c>
      <c r="S82" s="67"/>
      <c r="T82" s="68" t="str">
        <f t="shared" si="13"/>
      </c>
      <c r="U82" s="68" t="str">
        <f t="shared" si="14"/>
      </c>
      <c r="V82" s="68" t="str">
        <f t="shared" si="15"/>
      </c>
      <c r="W82" s="68" t="str">
        <f t="shared" si="16"/>
      </c>
      <c r="X82" s="68" t="n">
        <f t="shared" si="17"/>
        <v>0</v>
      </c>
      <c r="Y82" s="68" t="n">
        <f t="shared" si="18"/>
        <v>0</v>
      </c>
      <c r="Z82" s="67" t="str">
        <f>IF(OR('Prediction Log'!L83="", Table12[[#This Row],[Bet]]="", Table12[[#This Row],[Bet]]="Spread"), "",IF('Prediction Log'!L83=Table12[[#This Row],[Side]], "W", IF('Prediction Log'!L83&lt;&gt;Table12[[#This Row],[Side]], "L", "")))</f>
      </c>
      <c r="AA82" s="59" t="str">
        <f t="shared" si="19"/>
      </c>
      <c r="AB82" s="67" t="str">
        <f>IF(OR(Table12[[#This Row],[Bet]]="Side",Table12[[#This Row],[Bet]]="", 'Prediction Log'!L83=""), "",IF('Prediction Log'!U83="Y", "W", IF('Prediction Log'!U83="N", "L", "")))</f>
      </c>
      <c r="AC82" s="59" t="str">
        <f t="shared" si="12"/>
      </c>
      <c r="AD82" s="67"/>
      <c r="AE82" s="65" t="str">
        <f t="shared" si="20"/>
      </c>
      <c r="AF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3">
      <c r="A83" s="65" t="n">
        <f>IF(ISBLANK(Games!A83), "", Games!A83)</f>
        <v>1</v>
      </c>
      <c r="B83" s="65" t="str">
        <f>IF('Prediction Log'!B84=0, "",'Prediction Log'!B84)</f>
        <v>Auburn</v>
      </c>
      <c r="C83" s="65" t="str">
        <f>IF('Prediction Log'!C84=0, "",'Prediction Log'!C84)</f>
        <v>Alabama A&amp;M</v>
      </c>
      <c r="D83" s="65" t="n">
        <f>IF('Prediction Log'!D84=0, "",'Prediction Log'!D84)</f>
        <v>-48.5</v>
      </c>
      <c r="E83" s="58" t="n">
        <f>IF('Prediction Log'!E84=0, "",'Prediction Log'!E84)</f>
        <v>-25.4456186044312</v>
      </c>
      <c r="F83" s="65" t="str">
        <f>IF('Prediction Log'!H84=0, "",'Prediction Log'!H84)</f>
        <v>Auburn</v>
      </c>
      <c r="G83" s="64" t="str">
        <f>IF(ISBLANK(Games!B83), "",'Prediction Log'!$I84)</f>
        <v>Auburn</v>
      </c>
      <c r="H83" s="66" t="n">
        <f>'Prediction Log'!$J84</f>
        <v>0.98110425598210493</v>
      </c>
      <c r="I83" s="65" t="str">
        <f>IF(ISBLANK(Games!T83), "",IF(AND(Games!T83="",Games!U83=""),"",IF(ISTEXT(Games!U83), "Side",Games!T83)))</f>
      </c>
      <c r="J83" s="65" t="str">
        <f>IF(ISBLANK(Games!T83), "",IF(Table12[[#This Row],[Bet]]="Spread", Games!X83, ""))</f>
      </c>
      <c r="K83" s="65" t="str">
        <f>IF(ISBLANK(Games!U83), "",IF(ISTEXT(Games!U83), Games!U83, ""))</f>
      </c>
      <c r="L83" s="57" t="n">
        <f>IF(ISBLANK(Games!D83), "", Games!D83)</f>
        <v>-48.5</v>
      </c>
      <c r="M83" s="65"/>
      <c r="N83" s="75" t="str">
        <f>IF(Games!V83="", "",Games!V83)</f>
      </c>
      <c r="O83" s="75" t="str">
        <f>IF(Games!Z83=0, "",Games!Z83)</f>
      </c>
      <c r="P83" s="67"/>
      <c r="Q83" s="67" t="str">
        <f>IF(ISBLANK(Games!W83), "", Games!W83)</f>
      </c>
      <c r="R83" s="67" t="str">
        <f>IF(ISBLANK(Games!AA83), "", Games!AA83)</f>
      </c>
      <c r="S83" s="67"/>
      <c r="T83" s="68" t="str">
        <f t="shared" si="13"/>
      </c>
      <c r="U83" s="68" t="str">
        <f t="shared" si="14"/>
      </c>
      <c r="V83" s="68" t="str">
        <f t="shared" si="15"/>
      </c>
      <c r="W83" s="68" t="str">
        <f t="shared" si="16"/>
      </c>
      <c r="X83" s="68" t="n">
        <f t="shared" si="17"/>
        <v>0</v>
      </c>
      <c r="Y83" s="68" t="n">
        <f t="shared" si="18"/>
        <v>0</v>
      </c>
      <c r="Z83" s="67" t="str">
        <f>IF(OR('Prediction Log'!L84="", Table12[[#This Row],[Bet]]="", Table12[[#This Row],[Bet]]="Spread"), "",IF('Prediction Log'!L84=Table12[[#This Row],[Side]], "W", IF('Prediction Log'!L84&lt;&gt;Table12[[#This Row],[Side]], "L", "")))</f>
      </c>
      <c r="AA83" s="59" t="str">
        <f t="shared" si="19"/>
      </c>
      <c r="AB83" s="67" t="str">
        <f>IF(OR(Table12[[#This Row],[Bet]]="Side",Table12[[#This Row],[Bet]]="", 'Prediction Log'!L84=""), "",IF('Prediction Log'!U84="Y", "W", IF('Prediction Log'!U84="N", "L", "")))</f>
      </c>
      <c r="AC83" s="59" t="str">
        <f t="shared" si="12"/>
      </c>
      <c r="AD83" s="67"/>
      <c r="AE83" s="65" t="str">
        <f t="shared" si="20"/>
      </c>
      <c r="AF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4">
      <c r="A84" s="65" t="n">
        <f>IF(ISBLANK(Games!A84), "", Games!A84)</f>
        <v>1</v>
      </c>
      <c r="B84" s="65" t="str">
        <f>IF('Prediction Log'!B85=0, "",'Prediction Log'!B85)</f>
        <v>Texas Tech</v>
      </c>
      <c r="C84" s="65" t="str">
        <f>IF('Prediction Log'!C85=0, "",'Prediction Log'!C85)</f>
        <v>Abilene Christian</v>
      </c>
      <c r="D84" s="65" t="n">
        <f>IF('Prediction Log'!D85=0, "",'Prediction Log'!D85)</f>
        <v>-31.5</v>
      </c>
      <c r="E84" s="58" t="n">
        <f>IF('Prediction Log'!E85=0, "",'Prediction Log'!E85)</f>
        <v>-24.370669516298399</v>
      </c>
      <c r="F84" s="65" t="str">
        <f>IF('Prediction Log'!H85=0, "",'Prediction Log'!H85)</f>
        <v>Texas Tech</v>
      </c>
      <c r="G84" s="64" t="str">
        <f>IF(ISBLANK(Games!B84), "",'Prediction Log'!$I85)</f>
        <v>Texas Tech</v>
      </c>
      <c r="H84" s="66" t="n">
        <f>'Prediction Log'!$J85</f>
        <v>0.97801241541270967</v>
      </c>
      <c r="I84" s="65" t="str">
        <f>IF(ISBLANK(Games!T84), "",IF(AND(Games!T84="",Games!U84=""),"",IF(ISTEXT(Games!U84), "Side",Games!T84)))</f>
      </c>
      <c r="J84" s="65" t="str">
        <f>IF(ISBLANK(Games!T84), "",IF(Table12[[#This Row],[Bet]]="Spread", Games!X84, ""))</f>
      </c>
      <c r="K84" s="65" t="str">
        <f>IF(ISBLANK(Games!U84), "",IF(ISTEXT(Games!U84), Games!U84, ""))</f>
      </c>
      <c r="L84" s="57" t="n">
        <f>IF(ISBLANK(Games!D84), "", Games!D84)</f>
        <v>-31.5</v>
      </c>
      <c r="M84" s="65"/>
      <c r="N84" s="75" t="str">
        <f>IF(Games!V84="", "",Games!V84)</f>
      </c>
      <c r="O84" s="75" t="str">
        <f>IF(Games!Z84=0, "",Games!Z84)</f>
      </c>
      <c r="P84" s="67"/>
      <c r="Q84" s="67" t="str">
        <f>IF(ISBLANK(Games!W84), "", Games!W84)</f>
      </c>
      <c r="R84" s="67" t="str">
        <f>IF(ISBLANK(Games!AA84), "", Games!AA84)</f>
      </c>
      <c r="S84" s="67"/>
      <c r="T84" s="68" t="str">
        <f t="shared" si="13"/>
      </c>
      <c r="U84" s="68" t="str">
        <f t="shared" si="14"/>
      </c>
      <c r="V84" s="68" t="str">
        <f t="shared" si="15"/>
      </c>
      <c r="W84" s="68" t="str">
        <f t="shared" si="16"/>
      </c>
      <c r="X84" s="68" t="n">
        <f t="shared" si="17"/>
        <v>0</v>
      </c>
      <c r="Y84" s="68" t="n">
        <f t="shared" si="18"/>
        <v>0</v>
      </c>
      <c r="Z84" s="67" t="str">
        <f>IF(OR('Prediction Log'!L85="", Table12[[#This Row],[Bet]]="", Table12[[#This Row],[Bet]]="Spread"), "",IF('Prediction Log'!L85=Table12[[#This Row],[Side]], "W", IF('Prediction Log'!L85&lt;&gt;Table12[[#This Row],[Side]], "L", "")))</f>
      </c>
      <c r="AA84" s="59" t="str">
        <f t="shared" si="19"/>
      </c>
      <c r="AB84" s="67" t="str">
        <f>IF(OR(Table12[[#This Row],[Bet]]="Side",Table12[[#This Row],[Bet]]="", 'Prediction Log'!L85=""), "",IF('Prediction Log'!U85="Y", "W", IF('Prediction Log'!U85="N", "L", "")))</f>
      </c>
      <c r="AC84" s="59" t="str">
        <f t="shared" si="12"/>
      </c>
      <c r="AD84" s="67"/>
      <c r="AE84" s="65" t="str">
        <f t="shared" si="20"/>
      </c>
      <c r="AF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5">
      <c r="A85" s="65" t="n">
        <f>IF(ISBLANK(Games!A85), "", Games!A85)</f>
        <v>1</v>
      </c>
      <c r="B85" s="65" t="str">
        <f>IF('Prediction Log'!B86=0, "",'Prediction Log'!B86)</f>
        <v>Hawai'i</v>
      </c>
      <c r="C85" s="65" t="str">
        <f>IF('Prediction Log'!C86=0, "",'Prediction Log'!C86)</f>
        <v>UCLA</v>
      </c>
      <c r="D85" s="65" t="n">
        <f>IF('Prediction Log'!D86=0, "",'Prediction Log'!D86)</f>
        <v>14.5</v>
      </c>
      <c r="E85" s="58" t="n">
        <f>IF('Prediction Log'!E86=0, "",'Prediction Log'!E86)</f>
        <v>39.6</v>
      </c>
      <c r="F85" s="65" t="str">
        <f>IF('Prediction Log'!H86=0, "",'Prediction Log'!H86)</f>
        <v>UCLA</v>
      </c>
      <c r="G85" s="64" t="str">
        <f>IF(ISBLANK(Games!B85), "",'Prediction Log'!$I86)</f>
        <v>UCLA</v>
      </c>
      <c r="H85" s="66" t="n">
        <f>'Prediction Log'!$J86</f>
        <v>0.79544120960489728</v>
      </c>
      <c r="I85" s="65" t="str">
        <f>IF(ISBLANK(Games!T85), "",IF(AND(Games!T85="",Games!U85=""),"",IF(ISTEXT(Games!U85), "Side",Games!T85)))</f>
      </c>
      <c r="J85" s="65" t="str">
        <f>IF(ISBLANK(Games!T85), "",IF(Table12[[#This Row],[Bet]]="Spread", Games!X85, ""))</f>
      </c>
      <c r="K85" s="65" t="str">
        <f>IF(ISBLANK(Games!U85), "",IF(ISTEXT(Games!U85), Games!U85, ""))</f>
      </c>
      <c r="L85" s="57" t="n">
        <f>IF(ISBLANK(Games!D85), "", Games!D85)</f>
        <v>14.5</v>
      </c>
      <c r="M85" s="65"/>
      <c r="N85" s="75" t="str">
        <f>IF(Games!V85="", "",Games!V85)</f>
      </c>
      <c r="O85" s="75" t="str">
        <f>IF(Games!Z85=0, "",Games!Z85)</f>
      </c>
      <c r="P85" s="67"/>
      <c r="Q85" s="67" t="str">
        <f>IF(ISBLANK(Games!W85), "", Games!W85)</f>
      </c>
      <c r="R85" s="67" t="str">
        <f>IF(ISBLANK(Games!AA85), "", Games!AA85)</f>
      </c>
      <c r="S85" s="67"/>
      <c r="T85" s="68" t="str">
        <f t="shared" si="13"/>
      </c>
      <c r="U85" s="68" t="str">
        <f t="shared" si="14"/>
      </c>
      <c r="V85" s="68" t="str">
        <f t="shared" si="15"/>
      </c>
      <c r="W85" s="68" t="str">
        <f t="shared" si="16"/>
      </c>
      <c r="X85" s="68" t="n">
        <f t="shared" si="17"/>
        <v>0</v>
      </c>
      <c r="Y85" s="68" t="n">
        <f t="shared" si="18"/>
        <v>0</v>
      </c>
      <c r="Z85" s="67" t="str">
        <f>IF(OR('Prediction Log'!L86="", Table12[[#This Row],[Bet]]="", Table12[[#This Row],[Bet]]="Spread"), "",IF('Prediction Log'!L86=Table12[[#This Row],[Side]], "W", IF('Prediction Log'!L86&lt;&gt;Table12[[#This Row],[Side]], "L", "")))</f>
      </c>
      <c r="AA85" s="59" t="str">
        <f t="shared" si="19"/>
      </c>
      <c r="AB85" s="67" t="str">
        <f>IF(OR(Table12[[#This Row],[Bet]]="Side",Table12[[#This Row],[Bet]]="", 'Prediction Log'!L86=""), "",IF('Prediction Log'!U86="Y", "W", IF('Prediction Log'!U86="N", "L", "")))</f>
      </c>
      <c r="AC85" s="59" t="str">
        <f t="shared" si="12"/>
      </c>
      <c r="AD85" s="67"/>
      <c r="AE85" s="65" t="str">
        <f t="shared" si="20"/>
      </c>
      <c r="AF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6">
      <c r="A86" s="65" t="n">
        <f>IF(ISBLANK(Games!A86), "", Games!A86)</f>
        <v>1</v>
      </c>
      <c r="B86" s="65" t="str">
        <f>IF('Prediction Log'!B87=0, "",'Prediction Log'!B87)</f>
        <v>Texas A&amp;M</v>
      </c>
      <c r="C86" s="65" t="str">
        <f>IF('Prediction Log'!C87=0, "",'Prediction Log'!C87)</f>
        <v>Notre Dame</v>
      </c>
      <c r="D86" s="65" t="n">
        <f>IF('Prediction Log'!D87=0, "",'Prediction Log'!D87)</f>
        <v>-2.5</v>
      </c>
      <c r="E86" s="58" t="n">
        <f>IF('Prediction Log'!E87=0, "",'Prediction Log'!E87)</f>
        <v>9.6</v>
      </c>
      <c r="F86" s="65" t="str">
        <f>IF('Prediction Log'!H87=0, "",'Prediction Log'!H87)</f>
        <v>Notre Dame</v>
      </c>
      <c r="G86" s="64" t="str">
        <f>IF(ISBLANK(Games!B86), "",'Prediction Log'!$I87)</f>
        <v>Notre Dame</v>
      </c>
      <c r="H86" s="66" t="n">
        <f>'Prediction Log'!$J87</f>
        <v>0.6528175474869089</v>
      </c>
      <c r="I86" s="65" t="str">
        <f>IF(ISBLANK(Games!T86), "",IF(AND(Games!T86="",Games!U86=""),"",IF(ISTEXT(Games!U86), "Side",Games!T86)))</f>
        <v>Spread</v>
      </c>
      <c r="J86" s="65" t="str">
        <f>IF(ISBLANK(Games!T86), "",IF(Table12[[#This Row],[Bet]]="Spread", Games!X86, ""))</f>
        <v>Notre Dame</v>
      </c>
      <c r="K86" s="65" t="str">
        <f>IF(ISBLANK(Games!U86), "",IF(ISTEXT(Games!U86), Games!U86, ""))</f>
      </c>
      <c r="L86" s="57" t="str">
        <f>IF(ISBLANK(Games!D86), "", Games!D86)</f>
        <v>-2.5</v>
      </c>
      <c r="M86" s="65"/>
      <c r="N86" s="75" t="str">
        <f>IF(Games!V86="", "",Games!V86)</f>
      </c>
      <c r="O86" s="75" t="n">
        <f>IF(Games!Z86=0, "",Games!Z86)</f>
        <v>3</v>
      </c>
      <c r="P86" s="67"/>
      <c r="Q86" s="67" t="str">
        <f>IF(ISBLANK(Games!W86), "", Games!W86)</f>
      </c>
      <c r="R86" s="67" t="n">
        <f>IF(ISBLANK(Games!AA86), "", Games!AA86)</f>
        <v>140</v>
      </c>
      <c r="S86" s="67"/>
      <c r="T86" s="68" t="str">
        <f t="shared" si="13"/>
      </c>
      <c r="U86" s="68" t="str">
        <f t="shared" si="14"/>
      </c>
      <c r="V86" s="68" t="n">
        <f t="shared" si="15"/>
        <v>7.1999999999999993</v>
      </c>
      <c r="W86" s="68" t="n">
        <f t="shared" si="16"/>
        <v>4.1999999999999993</v>
      </c>
      <c r="X86" s="68" t="n">
        <f t="shared" si="17"/>
        <v>0</v>
      </c>
      <c r="Y86" s="68" t="n">
        <f t="shared" si="18"/>
        <v>0</v>
      </c>
      <c r="Z86" s="67" t="str">
        <f>IF(OR('Prediction Log'!L87="", Table12[[#This Row],[Bet]]="", Table12[[#This Row],[Bet]]="Spread"), "",IF('Prediction Log'!L87=Table12[[#This Row],[Side]], "W", IF('Prediction Log'!L87&lt;&gt;Table12[[#This Row],[Side]], "L", "")))</f>
      </c>
      <c r="AA86" s="59" t="str">
        <f t="shared" si="19"/>
      </c>
      <c r="AB86" s="67" t="str">
        <f>IF(OR(Table12[[#This Row],[Bet]]="Side",Table12[[#This Row],[Bet]]="", 'Prediction Log'!L87=""), "",IF('Prediction Log'!U87="Y", "W", IF('Prediction Log'!U87="N", "L", "")))</f>
        <v>L</v>
      </c>
      <c r="AC86" s="59" t="n">
        <f t="shared" si="12"/>
        <v>-3</v>
      </c>
      <c r="AD86" s="67"/>
      <c r="AE86" s="65" t="str">
        <f t="shared" si="20"/>
      </c>
      <c r="AF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7">
      <c r="A87" s="65" t="n">
        <f>IF(ISBLANK(Games!A87), "", Games!A87)</f>
        <v>1</v>
      </c>
      <c r="B87" s="65" t="str">
        <f>IF('Prediction Log'!B88=0, "",'Prediction Log'!B88)</f>
        <v>Kentucky</v>
      </c>
      <c r="C87" s="65" t="str">
        <f>IF('Prediction Log'!C88=0, "",'Prediction Log'!C88)</f>
        <v>Southern Mississippi</v>
      </c>
      <c r="D87" s="65" t="n">
        <f>IF('Prediction Log'!D88=0, "",'Prediction Log'!D88)</f>
        <v>-25.5</v>
      </c>
      <c r="E87" s="58" t="n">
        <f>IF('Prediction Log'!E88=0, "",'Prediction Log'!E88)</f>
        <v>-50</v>
      </c>
      <c r="F87" s="65" t="str">
        <f>IF('Prediction Log'!H88=0, "",'Prediction Log'!H88)</f>
        <v>Kentucky</v>
      </c>
      <c r="G87" s="64" t="str">
        <f>IF(ISBLANK(Games!B87), "",'Prediction Log'!$I88)</f>
        <v>Kentucky</v>
      </c>
      <c r="H87" s="66" t="n">
        <f>'Prediction Log'!$J88</f>
        <v>0.92336769261813212</v>
      </c>
      <c r="I87" s="65" t="str">
        <f>IF(ISBLANK(Games!T87), "",IF(AND(Games!T87="",Games!U87=""),"",IF(ISTEXT(Games!U87), "Side",Games!T87)))</f>
      </c>
      <c r="J87" s="65" t="str">
        <f>IF(ISBLANK(Games!T87), "",IF(Table12[[#This Row],[Bet]]="Spread", Games!X87, ""))</f>
      </c>
      <c r="K87" s="65" t="str">
        <f>IF(ISBLANK(Games!U87), "",IF(ISTEXT(Games!U87), Games!U87, ""))</f>
      </c>
      <c r="L87" s="57" t="str">
        <f>IF(ISBLANK(Games!D87), "", Games!D87)</f>
        <v>-25.5</v>
      </c>
      <c r="M87" s="65"/>
      <c r="N87" s="75" t="str">
        <f>IF(Games!V87="", "",Games!V87)</f>
      </c>
      <c r="O87" s="75" t="str">
        <f>IF(Games!Z87=0, "",Games!Z87)</f>
      </c>
      <c r="P87" s="67"/>
      <c r="Q87" s="67" t="str">
        <f>IF(ISBLANK(Games!W87), "", Games!W87)</f>
      </c>
      <c r="R87" s="67" t="str">
        <f>IF(ISBLANK(Games!AA87), "", Games!AA87)</f>
      </c>
      <c r="S87" s="67"/>
      <c r="T87" s="68" t="str">
        <f t="shared" si="13"/>
      </c>
      <c r="U87" s="68" t="str">
        <f t="shared" si="14"/>
      </c>
      <c r="V87" s="68" t="str">
        <f t="shared" si="15"/>
      </c>
      <c r="W87" s="68" t="str">
        <f t="shared" si="16"/>
      </c>
      <c r="X87" s="68" t="n">
        <f t="shared" si="17"/>
        <v>0</v>
      </c>
      <c r="Y87" s="68" t="n">
        <f t="shared" si="18"/>
        <v>0</v>
      </c>
      <c r="Z87" s="67" t="str">
        <f>IF(OR('Prediction Log'!L88="", Table12[[#This Row],[Bet]]="", Table12[[#This Row],[Bet]]="Spread"), "",IF('Prediction Log'!L88=Table12[[#This Row],[Side]], "W", IF('Prediction Log'!L88&lt;&gt;Table12[[#This Row],[Side]], "L", "")))</f>
      </c>
      <c r="AA87" s="59" t="str">
        <f t="shared" si="19"/>
      </c>
      <c r="AB87" s="67" t="str">
        <f>IF(OR(Table12[[#This Row],[Bet]]="Side",Table12[[#This Row],[Bet]]="", 'Prediction Log'!L88=""), "",IF('Prediction Log'!U88="Y", "W", IF('Prediction Log'!U88="N", "L", "")))</f>
      </c>
      <c r="AC87" s="59" t="str">
        <f t="shared" si="12"/>
      </c>
      <c r="AD87" s="67"/>
      <c r="AE87" s="65" t="str">
        <f t="shared" si="20"/>
      </c>
      <c r="AF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8">
      <c r="A88" s="65" t="n">
        <f>IF(ISBLANK(Games!A88), "", Games!A88)</f>
        <v>1</v>
      </c>
      <c r="B88" s="65" t="str">
        <f>IF('Prediction Log'!B89=0, "",'Prediction Log'!B89)</f>
        <v>Charlotte</v>
      </c>
      <c r="C88" s="65" t="str">
        <f>IF('Prediction Log'!C89=0, "",'Prediction Log'!C89)</f>
        <v>James Madison</v>
      </c>
      <c r="D88" s="65" t="n">
        <f>IF('Prediction Log'!D89=0, "",'Prediction Log'!D89)</f>
        <v>7.5</v>
      </c>
      <c r="E88" s="58" t="n">
        <f>IF('Prediction Log'!E89=0, "",'Prediction Log'!E89)</f>
        <v>55.8</v>
      </c>
      <c r="F88" s="65" t="str">
        <f>IF('Prediction Log'!H89=0, "",'Prediction Log'!H89)</f>
        <v>James Madison</v>
      </c>
      <c r="G88" s="64" t="str">
        <f>IF(ISBLANK(Games!B88), "",'Prediction Log'!$I89)</f>
        <v>James Madison</v>
      </c>
      <c r="H88" s="66" t="n">
        <f>'Prediction Log'!$J89</f>
        <v>0.8665086864552014</v>
      </c>
      <c r="I88" s="65" t="str">
        <f>IF(ISBLANK(Games!T88), "",IF(AND(Games!T88="",Games!U88=""),"",IF(ISTEXT(Games!U88), "Side",Games!T88)))</f>
      </c>
      <c r="J88" s="65" t="str">
        <f>IF(ISBLANK(Games!T88), "",IF(Table12[[#This Row],[Bet]]="Spread", Games!X88, ""))</f>
      </c>
      <c r="K88" s="65" t="str">
        <f>IF(ISBLANK(Games!U88), "",IF(ISTEXT(Games!U88), Games!U88, ""))</f>
      </c>
      <c r="L88" s="57" t="str">
        <f>IF(ISBLANK(Games!D88), "", Games!D88)</f>
        <v>7.5</v>
      </c>
      <c r="M88" s="65"/>
      <c r="N88" s="75" t="str">
        <f>IF(Games!V88="", "",Games!V88)</f>
      </c>
      <c r="O88" s="75" t="str">
        <f>IF(Games!Z88=0, "",Games!Z88)</f>
      </c>
      <c r="P88" s="67"/>
      <c r="Q88" s="67" t="str">
        <f>IF(ISBLANK(Games!W88), "", Games!W88)</f>
      </c>
      <c r="R88" s="67" t="str">
        <f>IF(ISBLANK(Games!AA88), "", Games!AA88)</f>
      </c>
      <c r="S88" s="67"/>
      <c r="T88" s="68" t="str">
        <f t="shared" si="13"/>
      </c>
      <c r="U88" s="68" t="str">
        <f t="shared" si="14"/>
      </c>
      <c r="V88" s="68" t="str">
        <f t="shared" si="15"/>
      </c>
      <c r="W88" s="68" t="str">
        <f t="shared" si="16"/>
      </c>
      <c r="X88" s="68" t="n">
        <f t="shared" si="17"/>
        <v>0</v>
      </c>
      <c r="Y88" s="68" t="n">
        <f t="shared" si="18"/>
        <v>0</v>
      </c>
      <c r="Z88" s="67" t="str">
        <f>IF(OR('Prediction Log'!L89="", Table12[[#This Row],[Bet]]="", Table12[[#This Row],[Bet]]="Spread"), "",IF('Prediction Log'!L89=Table12[[#This Row],[Side]], "W", IF('Prediction Log'!L89&lt;&gt;Table12[[#This Row],[Side]], "L", "")))</f>
      </c>
      <c r="AA88" s="59" t="str">
        <f t="shared" si="19"/>
      </c>
      <c r="AB88" s="67" t="str">
        <f>IF(OR(Table12[[#This Row],[Bet]]="Side",Table12[[#This Row],[Bet]]="", 'Prediction Log'!L89=""), "",IF('Prediction Log'!U89="Y", "W", IF('Prediction Log'!U89="N", "L", "")))</f>
      </c>
      <c r="AC88" s="59" t="str">
        <f t="shared" si="12"/>
      </c>
      <c r="AD88" s="67"/>
      <c r="AE88" s="65" t="str">
        <f t="shared" si="20"/>
      </c>
      <c r="AF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9">
      <c r="A89" s="65" t="n">
        <f>IF(ISBLANK(Games!A89), "", Games!A89)</f>
        <v>1</v>
      </c>
      <c r="B89" s="65" t="str">
        <f>IF('Prediction Log'!B90=0, "",'Prediction Log'!B90)</f>
        <v>Georgia Tech</v>
      </c>
      <c r="C89" s="65" t="str">
        <f>IF('Prediction Log'!C90=0, "",'Prediction Log'!C90)</f>
        <v>Georgia State</v>
      </c>
      <c r="D89" s="65" t="n">
        <f>IF('Prediction Log'!D90=0, "",'Prediction Log'!D90)</f>
        <v>-20.5</v>
      </c>
      <c r="E89" s="58" t="n">
        <f>IF('Prediction Log'!E90=0, "",'Prediction Log'!E90)</f>
        <v>-18</v>
      </c>
      <c r="F89" s="65" t="str">
        <f>IF('Prediction Log'!H90=0, "",'Prediction Log'!H90)</f>
        <v>Georgia Tech</v>
      </c>
      <c r="G89" s="64" t="str">
        <f>IF(ISBLANK(Games!B89), "",'Prediction Log'!$I90)</f>
        <v>Georgia Tech</v>
      </c>
      <c r="H89" s="66" t="n">
        <f>'Prediction Log'!$J90</f>
        <v>0.82221498736908349</v>
      </c>
      <c r="I89" s="65" t="str">
        <f>IF(ISBLANK(Games!T89), "",IF(AND(Games!T89="",Games!U89=""),"",IF(ISTEXT(Games!U89), "Side",Games!T89)))</f>
      </c>
      <c r="J89" s="65" t="str">
        <f>IF(ISBLANK(Games!T89), "",IF(Table12[[#This Row],[Bet]]="Spread", Games!X89, ""))</f>
      </c>
      <c r="K89" s="65" t="str">
        <f>IF(ISBLANK(Games!U89), "",IF(ISTEXT(Games!U89), Games!U89, ""))</f>
      </c>
      <c r="L89" s="57" t="str">
        <f>IF(ISBLANK(Games!D89), "", Games!D89)</f>
        <v>-20.5</v>
      </c>
      <c r="M89" s="65"/>
      <c r="N89" s="75" t="str">
        <f>IF(Games!V89="", "",Games!V89)</f>
      </c>
      <c r="O89" s="75" t="str">
        <f>IF(Games!Z89=0, "",Games!Z89)</f>
      </c>
      <c r="P89" s="67"/>
      <c r="Q89" s="67" t="str">
        <f>IF(ISBLANK(Games!W89), "", Games!W89)</f>
      </c>
      <c r="R89" s="67" t="str">
        <f>IF(ISBLANK(Games!AA89), "", Games!AA89)</f>
      </c>
      <c r="S89" s="67"/>
      <c r="T89" s="68" t="str">
        <f t="shared" si="13"/>
      </c>
      <c r="U89" s="68" t="str">
        <f t="shared" si="14"/>
      </c>
      <c r="V89" s="68" t="str">
        <f t="shared" si="15"/>
      </c>
      <c r="W89" s="68" t="str">
        <f t="shared" si="16"/>
      </c>
      <c r="X89" s="68" t="n">
        <f t="shared" si="17"/>
        <v>0</v>
      </c>
      <c r="Y89" s="68" t="n">
        <f t="shared" si="18"/>
        <v>0</v>
      </c>
      <c r="Z89" s="67" t="str">
        <f>IF(OR('Prediction Log'!L90="", Table12[[#This Row],[Bet]]="", Table12[[#This Row],[Bet]]="Spread"), "",IF('Prediction Log'!L90=Table12[[#This Row],[Side]], "W", IF('Prediction Log'!L90&lt;&gt;Table12[[#This Row],[Side]], "L", "")))</f>
      </c>
      <c r="AA89" s="59" t="str">
        <f t="shared" si="19"/>
      </c>
      <c r="AB89" s="67" t="str">
        <f>IF(OR(Table12[[#This Row],[Bet]]="Side",Table12[[#This Row],[Bet]]="", 'Prediction Log'!L90=""), "",IF('Prediction Log'!U90="Y", "W", IF('Prediction Log'!U90="N", "L", "")))</f>
      </c>
      <c r="AC89" s="59" t="str">
        <f t="shared" si="12"/>
      </c>
      <c r="AD89" s="67"/>
      <c r="AE89" s="65" t="str">
        <f t="shared" si="20"/>
      </c>
      <c r="AF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0">
      <c r="A90" s="65" t="n">
        <f>IF(ISBLANK(Games!A90), "", Games!A90)</f>
        <v>1</v>
      </c>
      <c r="B90" s="65" t="str">
        <f>IF('Prediction Log'!B91=0, "",'Prediction Log'!B91)</f>
        <v>SMU</v>
      </c>
      <c r="C90" s="65" t="str">
        <f>IF('Prediction Log'!C91=0, "",'Prediction Log'!C91)</f>
        <v>Houston Christian</v>
      </c>
      <c r="D90" s="65" t="n">
        <f>IF('Prediction Log'!D91=0, "",'Prediction Log'!D91)</f>
        <v>-44.5</v>
      </c>
      <c r="E90" s="58" t="n">
        <f>IF('Prediction Log'!E91=0, "",'Prediction Log'!E91)</f>
        <v>-34.167705660108801</v>
      </c>
      <c r="F90" s="65" t="str">
        <f>IF('Prediction Log'!H91=0, "",'Prediction Log'!H91)</f>
        <v>SMU</v>
      </c>
      <c r="G90" s="64" t="str">
        <f>IF(ISBLANK(Games!B90), "",'Prediction Log'!$I91)</f>
        <v>SMU</v>
      </c>
      <c r="H90" s="66" t="n">
        <f>'Prediction Log'!$J91</f>
        <v>0.99454065003571879</v>
      </c>
      <c r="I90" s="65" t="str">
        <f>IF(ISBLANK(Games!T90), "",IF(AND(Games!T90="",Games!U90=""),"",IF(ISTEXT(Games!U90), "Side",Games!T90)))</f>
      </c>
      <c r="J90" s="65" t="str">
        <f>IF(ISBLANK(Games!T90), "",IF(Table12[[#This Row],[Bet]]="Spread", Games!X90, ""))</f>
      </c>
      <c r="K90" s="65" t="str">
        <f>IF(ISBLANK(Games!U90), "",IF(ISTEXT(Games!U90), Games!U90, ""))</f>
      </c>
      <c r="L90" s="57" t="n">
        <f>IF(ISBLANK(Games!D90), "", Games!D90)</f>
        <v>-44.5</v>
      </c>
      <c r="M90" s="65"/>
      <c r="N90" s="75" t="str">
        <f>IF(Games!V90="", "",Games!V90)</f>
      </c>
      <c r="O90" s="75" t="str">
        <f>IF(Games!Z90=0, "",Games!Z90)</f>
      </c>
      <c r="P90" s="67"/>
      <c r="Q90" s="67" t="str">
        <f>IF(ISBLANK(Games!W90), "", Games!W90)</f>
      </c>
      <c r="R90" s="67" t="str">
        <f>IF(ISBLANK(Games!AA90), "", Games!AA90)</f>
      </c>
      <c r="S90" s="67"/>
      <c r="T90" s="68" t="str">
        <f t="shared" si="13"/>
      </c>
      <c r="U90" s="68" t="str">
        <f t="shared" si="14"/>
      </c>
      <c r="V90" s="68" t="str">
        <f t="shared" si="15"/>
      </c>
      <c r="W90" s="68" t="str">
        <f t="shared" si="16"/>
      </c>
      <c r="X90" s="68" t="n">
        <f t="shared" si="17"/>
        <v>0</v>
      </c>
      <c r="Y90" s="68" t="n">
        <f t="shared" si="18"/>
        <v>0</v>
      </c>
      <c r="Z90" s="67" t="str">
        <f>IF(OR('Prediction Log'!L91="", Table12[[#This Row],[Bet]]="", Table12[[#This Row],[Bet]]="Spread"), "",IF('Prediction Log'!L91=Table12[[#This Row],[Side]], "W", IF('Prediction Log'!L91&lt;&gt;Table12[[#This Row],[Side]], "L", "")))</f>
      </c>
      <c r="AA90" s="59" t="str">
        <f t="shared" si="19"/>
      </c>
      <c r="AB90" s="67" t="str">
        <f>IF(OR(Table12[[#This Row],[Bet]]="Side",Table12[[#This Row],[Bet]]="", 'Prediction Log'!L91=""), "",IF('Prediction Log'!U91="Y", "W", IF('Prediction Log'!U91="N", "L", "")))</f>
      </c>
      <c r="AC90" s="59" t="str">
        <f t="shared" si="12"/>
      </c>
      <c r="AD90" s="67"/>
      <c r="AE90" s="65" t="str">
        <f t="shared" si="20"/>
      </c>
      <c r="AF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1" ht="10.25" customHeight="1">
      <c r="A91" s="65" t="n">
        <f>IF(ISBLANK(Games!A91), "", Games!A91)</f>
        <v>1</v>
      </c>
      <c r="B91" s="65" t="str">
        <f>IF('Prediction Log'!B92=0, "",'Prediction Log'!B92)</f>
        <v>Louisiana</v>
      </c>
      <c r="C91" s="65" t="str">
        <f>IF('Prediction Log'!C92=0, "",'Prediction Log'!C92)</f>
        <v>Grambling</v>
      </c>
      <c r="D91" s="65" t="str">
        <f>IF('Prediction Log'!D92=0, "",'Prediction Log'!D92)</f>
      </c>
      <c r="E91" s="58" t="n">
        <f>IF('Prediction Log'!E92=0, "",'Prediction Log'!E92)</f>
        <v>-18.668598852337201</v>
      </c>
      <c r="F91" s="65" t="str">
        <f>IF('Prediction Log'!H92=0, "",'Prediction Log'!H92)</f>
        <v>Louisiana</v>
      </c>
      <c r="G91" s="64" t="str">
        <f>IF(ISBLANK(Games!B91), "",'Prediction Log'!$I92)</f>
        <v>Louisiana</v>
      </c>
      <c r="H91" s="66" t="n">
        <f>'Prediction Log'!$J92</f>
        <v>0.95140644622030979</v>
      </c>
      <c r="I91" s="65" t="str">
        <f>IF(ISBLANK(Games!T91), "",IF(AND(Games!T91="",Games!U91=""),"",IF(ISTEXT(Games!U91), "Side",Games!T91)))</f>
      </c>
      <c r="J91" s="65" t="str">
        <f>IF(ISBLANK(Games!T91), "",IF(Table12[[#This Row],[Bet]]="Spread", Games!X91, ""))</f>
      </c>
      <c r="K91" s="65" t="str">
        <f>IF(ISBLANK(Games!U91), "",IF(ISTEXT(Games!U91), Games!U91, ""))</f>
      </c>
      <c r="L91" s="57" t="str">
        <f>IF(ISBLANK(Games!D91), "", Games!D91)</f>
      </c>
      <c r="M91" s="65"/>
      <c r="N91" s="75" t="str">
        <f>IF(Games!V91="", "",Games!V91)</f>
      </c>
      <c r="O91" s="75" t="str">
        <f>IF(Games!Z91=0, "",Games!Z91)</f>
      </c>
      <c r="P91" s="67"/>
      <c r="Q91" s="67" t="str">
        <f>IF(ISBLANK(Games!W91), "", Games!W91)</f>
      </c>
      <c r="R91" s="67" t="str">
        <f>IF(ISBLANK(Games!AA91), "", Games!AA91)</f>
      </c>
      <c r="S91" s="67"/>
      <c r="T91" s="68" t="str">
        <f t="shared" si="13"/>
      </c>
      <c r="U91" s="68" t="str">
        <f t="shared" si="14"/>
      </c>
      <c r="V91" s="68" t="str">
        <f t="shared" si="15"/>
      </c>
      <c r="W91" s="68" t="str">
        <f t="shared" si="16"/>
      </c>
      <c r="X91" s="68" t="n">
        <f t="shared" si="17"/>
        <v>0</v>
      </c>
      <c r="Y91" s="68" t="n">
        <f t="shared" si="18"/>
        <v>0</v>
      </c>
      <c r="Z91" s="67" t="str">
        <f>IF(OR('Prediction Log'!L92="", Table12[[#This Row],[Bet]]="", Table12[[#This Row],[Bet]]="Spread"), "",IF('Prediction Log'!L92=Table12[[#This Row],[Side]], "W", IF('Prediction Log'!L92&lt;&gt;Table12[[#This Row],[Side]], "L", "")))</f>
      </c>
      <c r="AA91" s="59" t="str">
        <f t="shared" si="19"/>
      </c>
      <c r="AB91" s="67" t="str">
        <f>IF(OR(Table12[[#This Row],[Bet]]="Side",Table12[[#This Row],[Bet]]="", 'Prediction Log'!L92=""), "",IF('Prediction Log'!U92="Y", "W", IF('Prediction Log'!U92="N", "L", "")))</f>
      </c>
      <c r="AC91" s="59" t="str">
        <f t="shared" si="12"/>
      </c>
      <c r="AD91" s="67"/>
      <c r="AE91" s="65" t="str">
        <f t="shared" si="20"/>
      </c>
      <c r="AF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2" ht="10.25" customHeight="1">
      <c r="A92" s="65" t="n">
        <f>IF(ISBLANK(Games!A92), "", Games!A92)</f>
        <v>1</v>
      </c>
      <c r="B92" s="65" t="str">
        <f>IF('Prediction Log'!B93=0, "",'Prediction Log'!B93)</f>
        <v>Louisiana Tech</v>
      </c>
      <c r="C92" s="65" t="str">
        <f>IF('Prediction Log'!C93=0, "",'Prediction Log'!C93)</f>
        <v>Nicholls</v>
      </c>
      <c r="D92" s="65" t="str">
        <f>IF('Prediction Log'!D93=0, "",'Prediction Log'!D93)</f>
      </c>
      <c r="E92" s="58" t="n">
        <f>IF('Prediction Log'!E93=0, "",'Prediction Log'!E93)</f>
        <v>-7.9069049199755996</v>
      </c>
      <c r="F92" s="65" t="str">
        <f>IF('Prediction Log'!H93=0, "",'Prediction Log'!H93)</f>
        <v>Louisiana Tech</v>
      </c>
      <c r="G92" s="64" t="str">
        <f>IF(ISBLANK(Games!B92), "",'Prediction Log'!$I93)</f>
        <v>Louisiana Tech</v>
      </c>
      <c r="H92" s="66" t="n">
        <f>'Prediction Log'!$J93</f>
        <v>0.80623328867444155</v>
      </c>
      <c r="I92" s="65" t="str">
        <f>IF(ISBLANK(Games!T92), "",IF(AND(Games!T92="",Games!U92=""),"",IF(ISTEXT(Games!U92), "Side",Games!T92)))</f>
      </c>
      <c r="J92" s="65" t="str">
        <f>IF(ISBLANK(Games!T92), "",IF(Table12[[#This Row],[Bet]]="Spread", Games!X92, ""))</f>
      </c>
      <c r="K92" s="65" t="str">
        <f>IF(ISBLANK(Games!U92), "",IF(ISTEXT(Games!U92), Games!U92, ""))</f>
      </c>
      <c r="L92" s="57" t="str">
        <f>IF(ISBLANK(Games!D92), "", Games!D92)</f>
      </c>
      <c r="M92" s="65"/>
      <c r="N92" s="75" t="str">
        <f>IF(Games!V92="", "",Games!V92)</f>
      </c>
      <c r="O92" s="75" t="str">
        <f>IF(Games!Z92=0, "",Games!Z92)</f>
      </c>
      <c r="P92" s="67"/>
      <c r="Q92" s="67" t="str">
        <f>IF(ISBLANK(Games!W92), "", Games!W92)</f>
      </c>
      <c r="R92" s="67" t="str">
        <f>IF(ISBLANK(Games!AA92), "", Games!AA92)</f>
      </c>
      <c r="S92" s="67"/>
      <c r="T92" s="68" t="str">
        <f t="shared" si="13"/>
      </c>
      <c r="U92" s="68" t="str">
        <f t="shared" si="14"/>
      </c>
      <c r="V92" s="68" t="str">
        <f t="shared" si="15"/>
      </c>
      <c r="W92" s="68" t="str">
        <f t="shared" si="16"/>
      </c>
      <c r="X92" s="68" t="n">
        <f t="shared" si="17"/>
        <v>0</v>
      </c>
      <c r="Y92" s="68" t="n">
        <f t="shared" si="18"/>
        <v>0</v>
      </c>
      <c r="Z92" s="67" t="str">
        <f>IF(OR('Prediction Log'!L93="", Table12[[#This Row],[Bet]]="", Table12[[#This Row],[Bet]]="Spread"), "",IF('Prediction Log'!L93=Table12[[#This Row],[Side]], "W", IF('Prediction Log'!L93&lt;&gt;Table12[[#This Row],[Side]], "L", "")))</f>
      </c>
      <c r="AA92" s="59" t="str">
        <f t="shared" si="19"/>
      </c>
      <c r="AB92" s="67" t="str">
        <f>IF(OR(Table12[[#This Row],[Bet]]="Side",Table12[[#This Row],[Bet]]="", 'Prediction Log'!L93=""), "",IF('Prediction Log'!U93="Y", "W", IF('Prediction Log'!U93="N", "L", "")))</f>
      </c>
      <c r="AC92" s="59" t="str">
        <f t="shared" si="12"/>
      </c>
      <c r="AD92" s="67"/>
      <c r="AE92" s="65" t="str">
        <f t="shared" si="20"/>
      </c>
      <c r="AF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3">
      <c r="A93" s="65" t="n">
        <f>IF(ISBLANK(Games!A93), "", Games!A93)</f>
        <v>1</v>
      </c>
      <c r="B93" s="65" t="str">
        <f>IF('Prediction Log'!B94=0, "",'Prediction Log'!B94)</f>
        <v>Texas State</v>
      </c>
      <c r="C93" s="65" t="str">
        <f>IF('Prediction Log'!C94=0, "",'Prediction Log'!C94)</f>
        <v>Lamar</v>
      </c>
      <c r="D93" s="65" t="str">
        <f>IF('Prediction Log'!D94=0, "",'Prediction Log'!D94)</f>
      </c>
      <c r="E93" s="58" t="n">
        <f>IF('Prediction Log'!E94=0, "",'Prediction Log'!E94)</f>
        <v>-16.450274771128001</v>
      </c>
      <c r="F93" s="65" t="str">
        <f>IF('Prediction Log'!H94=0, "",'Prediction Log'!H94)</f>
        <v>Texas State</v>
      </c>
      <c r="G93" s="64" t="str">
        <f>IF(ISBLANK(Games!B93), "",'Prediction Log'!$I94)</f>
        <v>Texas State</v>
      </c>
      <c r="H93" s="66" t="n">
        <f>'Prediction Log'!$J94</f>
        <v>0.93433125679934681</v>
      </c>
      <c r="I93" s="65" t="str">
        <f>IF(ISBLANK(Games!T93), "",IF(AND(Games!T93="",Games!U93=""),"",IF(ISTEXT(Games!U93), "Side",Games!T93)))</f>
      </c>
      <c r="J93" s="65" t="str">
        <f>IF(ISBLANK(Games!T93), "",IF(Table12[[#This Row],[Bet]]="Spread", Games!X93, ""))</f>
      </c>
      <c r="K93" s="65" t="str">
        <f>IF(ISBLANK(Games!U93), "",IF(ISTEXT(Games!U93), Games!U93, ""))</f>
      </c>
      <c r="L93" s="57" t="str">
        <f>IF(ISBLANK(Games!D93), "", Games!D93)</f>
      </c>
      <c r="M93" s="65"/>
      <c r="N93" s="75" t="str">
        <f>IF(Games!V93="", "",Games!V93)</f>
      </c>
      <c r="O93" s="75" t="str">
        <f>IF(Games!Z93=0, "",Games!Z93)</f>
      </c>
      <c r="P93" s="67"/>
      <c r="Q93" s="67" t="str">
        <f>IF(ISBLANK(Games!W93), "", Games!W93)</f>
      </c>
      <c r="R93" s="67" t="str">
        <f>IF(ISBLANK(Games!AA93), "", Games!AA93)</f>
      </c>
      <c r="S93" s="67"/>
      <c r="T93" s="68" t="str">
        <f t="shared" si="13"/>
      </c>
      <c r="U93" s="68" t="str">
        <f t="shared" si="14"/>
      </c>
      <c r="V93" s="68" t="str">
        <f t="shared" si="15"/>
      </c>
      <c r="W93" s="68" t="str">
        <f t="shared" si="16"/>
      </c>
      <c r="X93" s="68" t="n">
        <f t="shared" si="17"/>
        <v>0</v>
      </c>
      <c r="Y93" s="68" t="n">
        <f t="shared" si="18"/>
        <v>0</v>
      </c>
      <c r="Z93" s="67" t="str">
        <f>IF(OR('Prediction Log'!L94="", Table12[[#This Row],[Bet]]="", Table12[[#This Row],[Bet]]="Spread"), "",IF('Prediction Log'!L94=Table12[[#This Row],[Side]], "W", IF('Prediction Log'!L94&lt;&gt;Table12[[#This Row],[Side]], "L", "")))</f>
      </c>
      <c r="AA93" s="59" t="str">
        <f t="shared" si="19"/>
      </c>
      <c r="AB93" s="67" t="str">
        <f>IF(OR(Table12[[#This Row],[Bet]]="Side",Table12[[#This Row],[Bet]]="", 'Prediction Log'!L94=""), "",IF('Prediction Log'!U94="Y", "W", IF('Prediction Log'!U94="N", "L", "")))</f>
      </c>
      <c r="AC93" s="59" t="str">
        <f t="shared" si="12"/>
      </c>
      <c r="AD93" s="67"/>
      <c r="AE93" s="65" t="str">
        <f t="shared" si="20"/>
      </c>
      <c r="AF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4">
      <c r="A94" s="65" t="n">
        <f>IF(ISBLANK(Games!A94), "", Games!A94)</f>
        <v>1</v>
      </c>
      <c r="B94" s="65" t="str">
        <f>IF('Prediction Log'!B95=0, "",'Prediction Log'!B95)</f>
        <v>BYU</v>
      </c>
      <c r="C94" s="65" t="str">
        <f>IF('Prediction Log'!C95=0, "",'Prediction Log'!C95)</f>
        <v>Southern Illinois</v>
      </c>
      <c r="D94" s="65" t="str">
        <f>IF('Prediction Log'!D95=0, "",'Prediction Log'!D95)</f>
      </c>
      <c r="E94" s="58" t="n">
        <f>IF('Prediction Log'!E95=0, "",'Prediction Log'!E95)</f>
        <v>-16.493486635338002</v>
      </c>
      <c r="F94" s="65" t="str">
        <f>IF('Prediction Log'!H95=0, "",'Prediction Log'!H95)</f>
        <v>BYU</v>
      </c>
      <c r="G94" s="64" t="str">
        <f>IF(ISBLANK(Games!B94), "",'Prediction Log'!$I95)</f>
        <v>BYU</v>
      </c>
      <c r="H94" s="66" t="n">
        <f>'Prediction Log'!$J95</f>
        <v>0.93471178378443864</v>
      </c>
      <c r="I94" s="65" t="str">
        <f>IF(ISBLANK(Games!T94), "",IF(AND(Games!T94="",Games!U94=""),"",IF(ISTEXT(Games!U94), "Side",Games!T94)))</f>
      </c>
      <c r="J94" s="65" t="str">
        <f>IF(ISBLANK(Games!T94), "",IF(Table12[[#This Row],[Bet]]="Spread", Games!X94, ""))</f>
      </c>
      <c r="K94" s="65" t="str">
        <f>IF(ISBLANK(Games!U94), "",IF(ISTEXT(Games!U94), Games!U94, ""))</f>
      </c>
      <c r="L94" s="57" t="str">
        <f>IF(ISBLANK(Games!D94), "", Games!D94)</f>
      </c>
      <c r="M94" s="65"/>
      <c r="N94" s="75" t="str">
        <f>IF(Games!V94="", "",Games!V94)</f>
      </c>
      <c r="O94" s="75" t="str">
        <f>IF(Games!Z94=0, "",Games!Z94)</f>
      </c>
      <c r="P94" s="67"/>
      <c r="Q94" s="67" t="str">
        <f>IF(ISBLANK(Games!W94), "", Games!W94)</f>
      </c>
      <c r="R94" s="67" t="str">
        <f>IF(ISBLANK(Games!AA94), "", Games!AA94)</f>
      </c>
      <c r="S94" s="67"/>
      <c r="T94" s="68" t="str">
        <f t="shared" si="13"/>
      </c>
      <c r="U94" s="68" t="str">
        <f t="shared" si="14"/>
      </c>
      <c r="V94" s="68" t="str">
        <f t="shared" si="15"/>
      </c>
      <c r="W94" s="68" t="str">
        <f t="shared" si="16"/>
      </c>
      <c r="X94" s="68" t="n">
        <f t="shared" si="17"/>
        <v>0</v>
      </c>
      <c r="Y94" s="68" t="n">
        <f t="shared" si="18"/>
        <v>0</v>
      </c>
      <c r="Z94" s="67" t="str">
        <f>IF(OR('Prediction Log'!L95="", Table12[[#This Row],[Bet]]="", Table12[[#This Row],[Bet]]="Spread"), "",IF('Prediction Log'!L95=Table12[[#This Row],[Side]], "W", IF('Prediction Log'!L95&lt;&gt;Table12[[#This Row],[Side]], "L", "")))</f>
      </c>
      <c r="AA94" s="59" t="str">
        <f t="shared" si="19"/>
      </c>
      <c r="AB94" s="67" t="str">
        <f>IF(OR(Table12[[#This Row],[Bet]]="Side",Table12[[#This Row],[Bet]]="", 'Prediction Log'!L95=""), "",IF('Prediction Log'!U95="Y", "W", IF('Prediction Log'!U95="N", "L", "")))</f>
      </c>
      <c r="AC94" s="59" t="str">
        <f t="shared" si="12"/>
      </c>
      <c r="AD94" s="67"/>
      <c r="AE94" s="65" t="str">
        <f t="shared" si="20"/>
      </c>
      <c r="AF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5">
      <c r="A95" s="65" t="n">
        <f>IF(ISBLANK(Games!A95), "", Games!A95)</f>
        <v>1</v>
      </c>
      <c r="B95" s="65" t="str">
        <f>IF('Prediction Log'!B96=0, "",'Prediction Log'!B96)</f>
        <v>San Diego State</v>
      </c>
      <c r="C95" s="65" t="str">
        <f>IF('Prediction Log'!C96=0, "",'Prediction Log'!C96)</f>
        <v>Texas A&amp;M-Commerce</v>
      </c>
      <c r="D95" s="65" t="str">
        <f>IF('Prediction Log'!D96=0, "",'Prediction Log'!D96)</f>
      </c>
      <c r="E95" s="58" t="n">
        <f>IF('Prediction Log'!E96=0, "",'Prediction Log'!E96)</f>
        <v>-13.965480915514799</v>
      </c>
      <c r="F95" s="65" t="str">
        <f>IF('Prediction Log'!H96=0, "",'Prediction Log'!H96)</f>
        <v>San Diego State</v>
      </c>
      <c r="G95" s="64" t="str">
        <f>IF(ISBLANK(Games!B95), "",'Prediction Log'!$I96)</f>
        <v>San Diego State</v>
      </c>
      <c r="H95" s="66" t="n">
        <f>'Prediction Log'!$J96</f>
        <v>0.90867952054290624</v>
      </c>
      <c r="I95" s="65" t="str">
        <f>IF(ISBLANK(Games!T95), "",IF(AND(Games!T95="",Games!U95=""),"",IF(ISTEXT(Games!U95), "Side",Games!T95)))</f>
      </c>
      <c r="J95" s="65" t="str">
        <f>IF(ISBLANK(Games!T95), "",IF(Table12[[#This Row],[Bet]]="Spread", Games!X95, ""))</f>
      </c>
      <c r="K95" s="65" t="str">
        <f>IF(ISBLANK(Games!U95), "",IF(ISTEXT(Games!U95), Games!U95, ""))</f>
      </c>
      <c r="L95" s="57" t="str">
        <f>IF(ISBLANK(Games!D95), "", Games!D95)</f>
      </c>
      <c r="M95" s="65"/>
      <c r="N95" s="75" t="str">
        <f>IF(Games!V95="", "",Games!V95)</f>
      </c>
      <c r="O95" s="75" t="str">
        <f>IF(Games!Z95=0, "",Games!Z95)</f>
      </c>
      <c r="P95" s="67"/>
      <c r="Q95" s="67" t="str">
        <f>IF(ISBLANK(Games!W95), "", Games!W95)</f>
      </c>
      <c r="R95" s="67" t="str">
        <f>IF(ISBLANK(Games!AA95), "", Games!AA95)</f>
      </c>
      <c r="S95" s="67"/>
      <c r="T95" s="68" t="str">
        <f t="shared" si="13"/>
      </c>
      <c r="U95" s="68" t="str">
        <f t="shared" si="14"/>
      </c>
      <c r="V95" s="68" t="str">
        <f t="shared" si="15"/>
      </c>
      <c r="W95" s="68" t="str">
        <f t="shared" si="16"/>
      </c>
      <c r="X95" s="68" t="n">
        <f t="shared" si="17"/>
        <v>0</v>
      </c>
      <c r="Y95" s="68" t="n">
        <f t="shared" si="18"/>
        <v>0</v>
      </c>
      <c r="Z95" s="67" t="str">
        <f>IF(OR('Prediction Log'!L96="", Table12[[#This Row],[Bet]]="", Table12[[#This Row],[Bet]]="Spread"), "",IF('Prediction Log'!L96=Table12[[#This Row],[Side]], "W", IF('Prediction Log'!L96&lt;&gt;Table12[[#This Row],[Side]], "L", "")))</f>
      </c>
      <c r="AA95" s="59" t="str">
        <f t="shared" si="19"/>
      </c>
      <c r="AB95" s="67" t="str">
        <f>IF(OR(Table12[[#This Row],[Bet]]="Side",Table12[[#This Row],[Bet]]="", 'Prediction Log'!L96=""), "",IF('Prediction Log'!U96="Y", "W", IF('Prediction Log'!U96="N", "L", "")))</f>
      </c>
      <c r="AC95" s="59" t="str">
        <f t="shared" si="12"/>
      </c>
      <c r="AD95" s="67"/>
      <c r="AE95" s="65" t="str">
        <f t="shared" si="20"/>
      </c>
      <c r="AF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6">
      <c r="A96" s="65" t="n">
        <f>IF(ISBLANK(Games!A96), "", Games!A96)</f>
        <v>1</v>
      </c>
      <c r="B96" s="65" t="str">
        <f>IF('Prediction Log'!B97=0, "",'Prediction Log'!B97)</f>
        <v>New Mexico State</v>
      </c>
      <c r="C96" s="65" t="str">
        <f>IF('Prediction Log'!C97=0, "",'Prediction Log'!C97)</f>
        <v>Southeast Missouri State</v>
      </c>
      <c r="D96" s="65" t="n">
        <f>IF('Prediction Log'!D97=0, "",'Prediction Log'!D97)</f>
        <v>-9.5</v>
      </c>
      <c r="E96" s="58" t="n">
        <f>IF('Prediction Log'!E97=0, "",'Prediction Log'!E97)</f>
        <v>-13.031144979498</v>
      </c>
      <c r="F96" s="65" t="str">
        <f>IF('Prediction Log'!H97=0, "",'Prediction Log'!H97)</f>
        <v>New Mexico State</v>
      </c>
      <c r="G96" s="64" t="str">
        <f>IF(ISBLANK(Games!B96), "",'Prediction Log'!$I97)</f>
        <v>New Mexico State</v>
      </c>
      <c r="H96" s="66" t="n">
        <f>'Prediction Log'!$J97</f>
        <v>0.89689173890414653</v>
      </c>
      <c r="I96" s="65" t="str">
        <f>IF(ISBLANK(Games!T96), "",IF(AND(Games!T96="",Games!U96=""),"",IF(ISTEXT(Games!U96), "Side",Games!T96)))</f>
      </c>
      <c r="J96" s="65" t="str">
        <f>IF(ISBLANK(Games!T96), "",IF(Table12[[#This Row],[Bet]]="Spread", Games!X96, ""))</f>
      </c>
      <c r="K96" s="65" t="str">
        <f>IF(ISBLANK(Games!U96), "",IF(ISTEXT(Games!U96), Games!U96, ""))</f>
      </c>
      <c r="L96" s="57" t="n">
        <f>IF(ISBLANK(Games!D96), "", Games!D96)</f>
        <v>-9.5</v>
      </c>
      <c r="M96" s="65"/>
      <c r="N96" s="75" t="str">
        <f>IF(Games!V96="", "",Games!V96)</f>
      </c>
      <c r="O96" s="75" t="str">
        <f>IF(Games!Z96=0, "",Games!Z96)</f>
      </c>
      <c r="P96" s="67"/>
      <c r="Q96" s="67" t="str">
        <f>IF(ISBLANK(Games!W96), "", Games!W96)</f>
      </c>
      <c r="R96" s="67" t="str">
        <f>IF(ISBLANK(Games!AA96), "", Games!AA96)</f>
      </c>
      <c r="S96" s="67"/>
      <c r="T96" s="68" t="str">
        <f t="shared" si="13"/>
      </c>
      <c r="U96" s="68" t="str">
        <f t="shared" si="14"/>
      </c>
      <c r="V96" s="68" t="str">
        <f t="shared" si="15"/>
      </c>
      <c r="W96" s="68" t="str">
        <f t="shared" si="16"/>
      </c>
      <c r="X96" s="68" t="n">
        <f t="shared" si="17"/>
        <v>0</v>
      </c>
      <c r="Y96" s="68" t="n">
        <f t="shared" si="18"/>
        <v>0</v>
      </c>
      <c r="Z96" s="67" t="str">
        <f>IF(OR('Prediction Log'!L97="", Table12[[#This Row],[Bet]]="", Table12[[#This Row],[Bet]]="Spread"), "",IF('Prediction Log'!L97=Table12[[#This Row],[Side]], "W", IF('Prediction Log'!L97&lt;&gt;Table12[[#This Row],[Side]], "L", "")))</f>
      </c>
      <c r="AA96" s="59" t="str">
        <f t="shared" si="19"/>
      </c>
      <c r="AB96" s="67" t="str">
        <f>IF(OR(Table12[[#This Row],[Bet]]="Side",Table12[[#This Row],[Bet]]="", 'Prediction Log'!L97=""), "",IF('Prediction Log'!U97="Y", "W", IF('Prediction Log'!U97="N", "L", "")))</f>
      </c>
      <c r="AC96" s="59" t="str">
        <f t="shared" si="12"/>
      </c>
      <c r="AD96" s="67"/>
      <c r="AE96" s="65" t="str">
        <f t="shared" si="20"/>
      </c>
      <c r="AF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7">
      <c r="A97" s="65" t="n">
        <f>IF(ISBLANK(Games!A97), "", Games!A97)</f>
        <v>1</v>
      </c>
      <c r="B97" s="65" t="str">
        <f>IF('Prediction Log'!B98=0, "",'Prediction Log'!B98)</f>
        <v>Arizona State</v>
      </c>
      <c r="C97" s="65" t="str">
        <f>IF('Prediction Log'!C98=0, "",'Prediction Log'!C98)</f>
        <v>Wyoming</v>
      </c>
      <c r="D97" s="65" t="n">
        <f>IF('Prediction Log'!D98=0, "",'Prediction Log'!D98)</f>
        <v>7</v>
      </c>
      <c r="E97" s="58" t="n">
        <f>IF('Prediction Log'!E98=0, "",'Prediction Log'!E98)</f>
        <v>10.7</v>
      </c>
      <c r="F97" s="65" t="str">
        <f>IF('Prediction Log'!H98=0, "",'Prediction Log'!H98)</f>
        <v>Wyoming</v>
      </c>
      <c r="G97" s="64" t="str">
        <f>IF(ISBLANK(Games!B97), "",'Prediction Log'!$I98)</f>
        <v>Wyoming</v>
      </c>
      <c r="H97" s="66" t="n">
        <f>'Prediction Log'!$J98</f>
        <v>0.52856975979692022</v>
      </c>
      <c r="I97" s="65" t="str">
        <f>IF(ISBLANK(Games!T97), "",IF(AND(Games!T97="",Games!U97=""),"",IF(ISTEXT(Games!U97), "Side",Games!T97)))</f>
        <v>Spread</v>
      </c>
      <c r="J97" s="65" t="str">
        <f>IF(ISBLANK(Games!T97), "",IF(Table12[[#This Row],[Bet]]="Spread", Games!X97, ""))</f>
        <v>Wyoming</v>
      </c>
      <c r="K97" s="65" t="str">
        <f>IF(ISBLANK(Games!U97), "",IF(ISTEXT(Games!U97), Games!U97, ""))</f>
      </c>
      <c r="L97" s="57" t="n">
        <f>IF(ISBLANK(Games!D97), "", Games!D97)</f>
        <v>7</v>
      </c>
      <c r="M97" s="65"/>
      <c r="N97" s="75" t="str">
        <f>IF(Games!V97="", "",Games!V97)</f>
      </c>
      <c r="O97" s="75" t="n">
        <f>IF(Games!Z97=0, "",Games!Z97)</f>
        <v>2</v>
      </c>
      <c r="P97" s="67"/>
      <c r="Q97" s="67" t="str">
        <f>IF(ISBLANK(Games!W97), "", Games!W97)</f>
      </c>
      <c r="R97" s="67" t="n">
        <f>IF(ISBLANK(Games!AA97), "", Games!AA97)</f>
        <v>-110</v>
      </c>
      <c r="S97" s="67"/>
      <c r="T97" s="68" t="str">
        <f t="shared" si="13"/>
      </c>
      <c r="U97" s="68" t="str">
        <f t="shared" si="14"/>
      </c>
      <c r="V97" s="68" t="n">
        <f t="shared" si="15"/>
        <v>3.8181818181818183</v>
      </c>
      <c r="W97" s="68" t="n">
        <f t="shared" si="16"/>
        <v>1.8181818181818183</v>
      </c>
      <c r="X97" s="68" t="n">
        <f t="shared" si="17"/>
        <v>0</v>
      </c>
      <c r="Y97" s="68" t="n">
        <f t="shared" si="18"/>
        <v>0</v>
      </c>
      <c r="Z97" s="67" t="str">
        <f>IF(OR('Prediction Log'!L98="", Table12[[#This Row],[Bet]]="", Table12[[#This Row],[Bet]]="Spread"), "",IF('Prediction Log'!L98=Table12[[#This Row],[Side]], "W", IF('Prediction Log'!L98&lt;&gt;Table12[[#This Row],[Side]], "L", "")))</f>
      </c>
      <c r="AA97" s="59" t="str">
        <f t="shared" si="19"/>
      </c>
      <c r="AB97" s="67" t="str">
        <f>IF(OR(Table12[[#This Row],[Bet]]="Side",Table12[[#This Row],[Bet]]="", 'Prediction Log'!L98=""), "",IF('Prediction Log'!U98="Y", "W", IF('Prediction Log'!U98="N", "L", "")))</f>
        <v>L</v>
      </c>
      <c r="AC97" s="59" t="n">
        <f t="shared" si="12"/>
        <v>-2</v>
      </c>
      <c r="AD97" s="67"/>
      <c r="AE97" s="65" t="str">
        <f t="shared" si="20"/>
      </c>
      <c r="AF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8">
      <c r="A98" s="65" t="n">
        <f>IF(ISBLANK(Games!A98), "", Games!A98)</f>
        <v>1</v>
      </c>
      <c r="B98" s="65" t="str">
        <f>IF('Prediction Log'!B99=0, "",'Prediction Log'!B99)</f>
        <v>Arizona</v>
      </c>
      <c r="C98" s="65" t="str">
        <f>IF('Prediction Log'!C99=0, "",'Prediction Log'!C99)</f>
        <v>New Mexico</v>
      </c>
      <c r="D98" s="65" t="n">
        <f>IF('Prediction Log'!D99=0, "",'Prediction Log'!D99)</f>
        <v>-30.5</v>
      </c>
      <c r="E98" s="58" t="n">
        <f>IF('Prediction Log'!E99=0, "",'Prediction Log'!E99)</f>
        <v>-23.156320677089099</v>
      </c>
      <c r="F98" s="65" t="str">
        <f>IF('Prediction Log'!H99=0, "",'Prediction Log'!H99)</f>
        <v>Arizona</v>
      </c>
      <c r="G98" s="64" t="str">
        <f>IF(ISBLANK(Games!B98), "",'Prediction Log'!$I99)</f>
        <v>Arizona</v>
      </c>
      <c r="H98" s="66" t="n">
        <f>'Prediction Log'!$J99</f>
        <v>0.97392317819215035</v>
      </c>
      <c r="I98" s="65" t="str">
        <f>IF(ISBLANK(Games!T98), "",IF(AND(Games!T98="",Games!U98=""),"",IF(ISTEXT(Games!U98), "Side",Games!T98)))</f>
      </c>
      <c r="J98" s="65" t="str">
        <f>IF(ISBLANK(Games!T98), "",IF(Table12[[#This Row],[Bet]]="Spread", Games!X98, ""))</f>
      </c>
      <c r="K98" s="65" t="str">
        <f>IF(ISBLANK(Games!U98), "",IF(ISTEXT(Games!U98), Games!U98, ""))</f>
      </c>
      <c r="L98" s="57" t="str">
        <f>IF(ISBLANK(Games!D98), "", Games!D98)</f>
        <v>-30.5</v>
      </c>
      <c r="M98" s="65"/>
      <c r="N98" s="75" t="str">
        <f>IF(Games!V98="", "",Games!V98)</f>
      </c>
      <c r="O98" s="75" t="str">
        <f>IF(Games!Z98=0, "",Games!Z98)</f>
      </c>
      <c r="P98" s="67"/>
      <c r="Q98" s="67" t="str">
        <f>IF(ISBLANK(Games!W98), "", Games!W98)</f>
      </c>
      <c r="R98" s="67" t="str">
        <f>IF(ISBLANK(Games!AA98), "", Games!AA98)</f>
      </c>
      <c r="S98" s="67"/>
      <c r="T98" s="68" t="str">
        <f t="shared" si="13"/>
      </c>
      <c r="U98" s="68" t="str">
        <f t="shared" si="14"/>
      </c>
      <c r="V98" s="68" t="str">
        <f t="shared" si="15"/>
      </c>
      <c r="W98" s="68" t="str">
        <f t="shared" si="16"/>
      </c>
      <c r="X98" s="68" t="n">
        <f t="shared" si="17"/>
        <v>0</v>
      </c>
      <c r="Y98" s="68" t="n">
        <f t="shared" si="18"/>
        <v>0</v>
      </c>
      <c r="Z98" s="67" t="str">
        <f>IF(OR('Prediction Log'!L99="", Table12[[#This Row],[Bet]]="", Table12[[#This Row],[Bet]]="Spread"), "",IF('Prediction Log'!L99=Table12[[#This Row],[Side]], "W", IF('Prediction Log'!L99&lt;&gt;Table12[[#This Row],[Side]], "L", "")))</f>
      </c>
      <c r="AA98" s="59" t="str">
        <f t="shared" si="19"/>
      </c>
      <c r="AB98" s="67" t="str">
        <f>IF(OR(Table12[[#This Row],[Bet]]="Side",Table12[[#This Row],[Bet]]="", 'Prediction Log'!L99=""), "",IF('Prediction Log'!U99="Y", "W", IF('Prediction Log'!U99="N", "L", "")))</f>
      </c>
      <c r="AC98" s="59" t="str">
        <f t="shared" si="12"/>
      </c>
      <c r="AD98" s="67"/>
      <c r="AE98" s="65" t="str">
        <f t="shared" si="20"/>
      </c>
      <c r="AF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9">
      <c r="A99" s="65" t="n">
        <f>IF(ISBLANK(Games!A99), "", Games!A99)</f>
        <v>1</v>
      </c>
      <c r="B99" s="65" t="str">
        <f>IF('Prediction Log'!B100=0, "",'Prediction Log'!B100)</f>
        <v>Washington</v>
      </c>
      <c r="C99" s="65" t="str">
        <f>IF('Prediction Log'!C100=0, "",'Prediction Log'!C100)</f>
        <v>Weber State</v>
      </c>
      <c r="D99" s="65" t="n">
        <f>IF('Prediction Log'!D100=0, "",'Prediction Log'!D100)</f>
        <v>-29</v>
      </c>
      <c r="E99" s="58" t="n">
        <f>IF('Prediction Log'!E100=0, "",'Prediction Log'!E100)</f>
        <v>-27.720043961184</v>
      </c>
      <c r="F99" s="65" t="str">
        <f>IF('Prediction Log'!H100=0, "",'Prediction Log'!H100)</f>
        <v>Washington</v>
      </c>
      <c r="G99" s="64" t="str">
        <f>IF(ISBLANK(Games!B99), "",'Prediction Log'!$I100)</f>
        <v>Washington</v>
      </c>
      <c r="H99" s="66" t="n">
        <f>'Prediction Log'!$J100</f>
        <v>0.98630666539638789</v>
      </c>
      <c r="I99" s="65" t="str">
        <f>IF(ISBLANK(Games!T99), "",IF(AND(Games!T99="",Games!U99=""),"",IF(ISTEXT(Games!U99), "Side",Games!T99)))</f>
      </c>
      <c r="J99" s="65" t="str">
        <f>IF(ISBLANK(Games!T99), "",IF(Table12[[#This Row],[Bet]]="Spread", Games!X99, ""))</f>
      </c>
      <c r="K99" s="65" t="str">
        <f>IF(ISBLANK(Games!U99), "",IF(ISTEXT(Games!U99), Games!U99, ""))</f>
      </c>
      <c r="L99" s="57" t="n">
        <f>IF(ISBLANK(Games!D99), "", Games!D99)</f>
        <v>-29</v>
      </c>
      <c r="M99" s="65"/>
      <c r="N99" s="75" t="str">
        <f>IF(Games!V99="", "",Games!V99)</f>
      </c>
      <c r="O99" s="75" t="str">
        <f>IF(Games!Z99=0, "",Games!Z99)</f>
      </c>
      <c r="P99" s="67"/>
      <c r="Q99" s="67" t="str">
        <f>IF(ISBLANK(Games!W99), "", Games!W99)</f>
      </c>
      <c r="R99" s="67" t="str">
        <f>IF(ISBLANK(Games!AA99), "", Games!AA99)</f>
      </c>
      <c r="S99" s="67"/>
      <c r="T99" s="68" t="str">
        <f t="shared" si="13"/>
      </c>
      <c r="U99" s="68" t="str">
        <f t="shared" si="14"/>
      </c>
      <c r="V99" s="68" t="str">
        <f t="shared" si="15"/>
      </c>
      <c r="W99" s="68" t="str">
        <f t="shared" si="16"/>
      </c>
      <c r="X99" s="68" t="n">
        <f t="shared" si="17"/>
        <v>0</v>
      </c>
      <c r="Y99" s="68" t="n">
        <f t="shared" si="18"/>
        <v>0</v>
      </c>
      <c r="Z99" s="67" t="str">
        <f>IF(OR('Prediction Log'!L100="", Table12[[#This Row],[Bet]]="", Table12[[#This Row],[Bet]]="Spread"), "",IF('Prediction Log'!L100=Table12[[#This Row],[Side]], "W", IF('Prediction Log'!L100&lt;&gt;Table12[[#This Row],[Side]], "L", "")))</f>
      </c>
      <c r="AA99" s="59" t="str">
        <f t="shared" si="19"/>
      </c>
      <c r="AB99" s="67" t="str">
        <f>IF(OR(Table12[[#This Row],[Bet]]="Side",Table12[[#This Row],[Bet]]="", 'Prediction Log'!L100=""), "",IF('Prediction Log'!U100="Y", "W", IF('Prediction Log'!U100="N", "L", "")))</f>
      </c>
      <c r="AC99" s="59" t="str">
        <f t="shared" si="12"/>
      </c>
      <c r="AD99" s="67"/>
      <c r="AE99" s="65" t="str">
        <f t="shared" si="20"/>
      </c>
      <c r="AF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0">
      <c r="A100" s="65" t="n">
        <f>IF(ISBLANK(Games!A100), "", Games!A100)</f>
        <v>1</v>
      </c>
      <c r="B100" s="65" t="str">
        <f>IF('Prediction Log'!B101=0, "",'Prediction Log'!B101)</f>
        <v>LSU</v>
      </c>
      <c r="C100" s="65" t="str">
        <f>IF('Prediction Log'!C101=0, "",'Prediction Log'!C101)</f>
        <v>USC</v>
      </c>
      <c r="D100" s="65" t="n">
        <f>IF('Prediction Log'!D101=0, "",'Prediction Log'!D101)</f>
        <v>4</v>
      </c>
      <c r="E100" s="58" t="n">
        <f>IF('Prediction Log'!E101=0, "",'Prediction Log'!E101)</f>
        <v>-15.4</v>
      </c>
      <c r="F100" s="65" t="str">
        <f>IF('Prediction Log'!H101=0, "",'Prediction Log'!H101)</f>
        <v>LSU</v>
      </c>
      <c r="G100" s="64" t="str">
        <f>IF(ISBLANK(Games!B100), "",'Prediction Log'!$I101)</f>
        <v>LSU</v>
      </c>
      <c r="H100" s="66" t="n">
        <f>'Prediction Log'!$J101</f>
        <v>0.71587572891310769</v>
      </c>
      <c r="I100" s="65" t="str">
        <f>IF(ISBLANK(Games!T100), "",IF(AND(Games!T100="",Games!U100=""),"",IF(ISTEXT(Games!U100), "Side",Games!T100)))</f>
        <v>Spread</v>
      </c>
      <c r="J100" s="65" t="str">
        <f>IF(ISBLANK(Games!T100), "",IF(Table12[[#This Row],[Bet]]="Spread", Games!X100, ""))</f>
        <v>LSU</v>
      </c>
      <c r="K100" s="65" t="str">
        <f>IF(ISBLANK(Games!U100), "",IF(ISTEXT(Games!U100), Games!U100, ""))</f>
      </c>
      <c r="L100" s="57" t="n">
        <f>IF(ISBLANK(Games!D100), "", Games!D100)</f>
        <v>4</v>
      </c>
      <c r="M100" s="65"/>
      <c r="N100" s="75" t="str">
        <f>IF(Games!V100="", "",Games!V100)</f>
      </c>
      <c r="O100" s="75" t="n">
        <f>IF(Games!Z100=0, "",Games!Z100)</f>
        <v>3</v>
      </c>
      <c r="P100" s="67"/>
      <c r="Q100" s="67" t="str">
        <f>IF(ISBLANK(Games!W100), "", Games!W100)</f>
      </c>
      <c r="R100" s="67" t="n">
        <f>IF(ISBLANK(Games!AA100), "", Games!AA100)</f>
        <v>-110</v>
      </c>
      <c r="S100" s="67"/>
      <c r="T100" s="68" t="str">
        <f t="shared" si="13"/>
      </c>
      <c r="U100" s="68" t="str">
        <f t="shared" si="14"/>
      </c>
      <c r="V100" s="68" t="n">
        <f t="shared" si="15"/>
        <v>5.7272727272727266</v>
      </c>
      <c r="W100" s="68" t="n">
        <f t="shared" si="16"/>
        <v>2.7272727272727266</v>
      </c>
      <c r="X100" s="68" t="n">
        <f t="shared" si="17"/>
        <v>0</v>
      </c>
      <c r="Y100" s="68" t="n">
        <f t="shared" si="18"/>
        <v>0</v>
      </c>
      <c r="Z100" s="67" t="str">
        <f>IF(OR('Prediction Log'!L101="", Table12[[#This Row],[Bet]]="", Table12[[#This Row],[Bet]]="Spread"), "",IF('Prediction Log'!L101=Table12[[#This Row],[Side]], "W", IF('Prediction Log'!L101&lt;&gt;Table12[[#This Row],[Side]], "L", "")))</f>
      </c>
      <c r="AA100" s="59" t="str">
        <f t="shared" si="19"/>
      </c>
      <c r="AB100" s="67" t="str">
        <f>IF(OR(Table12[[#This Row],[Bet]]="Side",Table12[[#This Row],[Bet]]="", 'Prediction Log'!L101=""), "",IF('Prediction Log'!U101="Y", "W", IF('Prediction Log'!U101="N", "L", "")))</f>
      </c>
      <c r="AC100" s="59" t="str">
        <f t="shared" si="12"/>
      </c>
      <c r="AD100" s="67"/>
      <c r="AE100" s="65" t="str">
        <f t="shared" si="20"/>
      </c>
      <c r="AF1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1">
      <c r="A101" s="65" t="n">
        <f>IF(ISBLANK(Games!A101), "", Games!A101)</f>
        <v>1</v>
      </c>
      <c r="B101" s="65" t="str">
        <f>IF('Prediction Log'!B102=0, "",'Prediction Log'!B102)</f>
        <v>Florida State</v>
      </c>
      <c r="C101" s="65" t="str">
        <f>IF('Prediction Log'!C102=0, "",'Prediction Log'!C102)</f>
        <v>Boston College</v>
      </c>
      <c r="D101" s="65" t="n">
        <f>IF('Prediction Log'!D102=0, "",'Prediction Log'!D102)</f>
        <v>-17</v>
      </c>
      <c r="E101" s="58" t="n">
        <f>IF('Prediction Log'!E102=0, "",'Prediction Log'!E102)</f>
        <v>-53.4</v>
      </c>
      <c r="F101" s="65" t="str">
        <f>IF('Prediction Log'!H102=0, "",'Prediction Log'!H102)</f>
        <v>Florida State</v>
      </c>
      <c r="G101" s="64" t="str">
        <f>IF(ISBLANK(Games!B101), "",'Prediction Log'!$I102)</f>
        <v>Florida State</v>
      </c>
      <c r="H101" s="66" t="n">
        <f>'Prediction Log'!$J102</f>
        <v>0.81966974659280711</v>
      </c>
      <c r="I101" s="65" t="str">
        <f>IF(ISBLANK(Games!T101), "",IF(AND(Games!T101="",Games!U101=""),"",IF(ISTEXT(Games!U101), "Side",Games!T101)))</f>
        <v>Spread</v>
      </c>
      <c r="J101" s="65" t="str">
        <f>IF(ISBLANK(Games!T101), "",IF(Table12[[#This Row],[Bet]]="Spread", Games!X101, ""))</f>
        <v>Florida State</v>
      </c>
      <c r="K101" s="65" t="str">
        <f>IF(ISBLANK(Games!U101), "",IF(ISTEXT(Games!U101), Games!U101, ""))</f>
      </c>
      <c r="L101" s="57" t="n">
        <f>IF(ISBLANK(Games!D101), "", Games!D101)</f>
        <v>-17</v>
      </c>
      <c r="M101" s="65"/>
      <c r="N101" s="75" t="str">
        <f>IF(Games!V101="", "",Games!V101)</f>
      </c>
      <c r="O101" s="75" t="n">
        <f>IF(Games!Z101=0, "",Games!Z101)</f>
        <v>2</v>
      </c>
      <c r="P101" s="67"/>
      <c r="Q101" s="67" t="str">
        <f>IF(ISBLANK(Games!W101), "", Games!W101)</f>
      </c>
      <c r="R101" s="67" t="n">
        <f>IF(ISBLANK(Games!AA101), "", Games!AA101)</f>
        <v>-110</v>
      </c>
      <c r="S101" s="67"/>
      <c r="T101" s="68" t="str">
        <f t="shared" si="13"/>
      </c>
      <c r="U101" s="68" t="str">
        <f t="shared" si="14"/>
      </c>
      <c r="V101" s="68" t="n">
        <f t="shared" si="15"/>
        <v>3.8181818181818183</v>
      </c>
      <c r="W101" s="68" t="n">
        <f t="shared" si="16"/>
        <v>1.8181818181818183</v>
      </c>
      <c r="X101" s="68" t="n">
        <f t="shared" si="17"/>
        <v>0</v>
      </c>
      <c r="Y101" s="68" t="n">
        <f t="shared" si="18"/>
        <v>0</v>
      </c>
      <c r="Z101" s="67" t="str">
        <f>IF(OR('Prediction Log'!L102="", Table12[[#This Row],[Bet]]="", Table12[[#This Row],[Bet]]="Spread"), "",IF('Prediction Log'!L102=Table12[[#This Row],[Side]], "W", IF('Prediction Log'!L102&lt;&gt;Table12[[#This Row],[Side]], "L", "")))</f>
      </c>
      <c r="AA101" s="59" t="str">
        <f t="shared" si="19"/>
      </c>
      <c r="AB101" s="67" t="str">
        <f>IF(OR(Table12[[#This Row],[Bet]]="Side",Table12[[#This Row],[Bet]]="", 'Prediction Log'!L102=""), "",IF('Prediction Log'!U102="Y", "W", IF('Prediction Log'!U102="N", "L", "")))</f>
      </c>
      <c r="AC101" s="59" t="str">
        <f t="shared" si="12"/>
      </c>
      <c r="AD101" s="67"/>
      <c r="AE101" s="65" t="str">
        <f t="shared" si="20"/>
      </c>
      <c r="AF1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2">
      <c r="A102" s="65" t="str">
        <f>IF(ISBLANK(Games!A102), "", Games!A102)</f>
      </c>
      <c r="B102" s="65" t="str">
        <f>IF('Prediction Log'!B103=0, "",'Prediction Log'!B103)</f>
      </c>
      <c r="C102" s="65" t="str">
        <f>IF('Prediction Log'!C103=0, "",'Prediction Log'!C103)</f>
      </c>
      <c r="D102" s="65" t="str">
        <f>IF('Prediction Log'!D103=0, "",'Prediction Log'!D103)</f>
      </c>
      <c r="E102" s="58" t="str">
        <f>IF('Prediction Log'!E103=0, "",'Prediction Log'!E103)</f>
      </c>
      <c r="F102" s="65" t="str">
        <f>IF('Prediction Log'!H103=0, "",'Prediction Log'!H103)</f>
      </c>
      <c r="G102" s="64" t="str">
        <f>IF(ISBLANK(Games!B102), "",'Prediction Log'!$I103)</f>
      </c>
      <c r="H102" s="66" t="n">
        <f>'Prediction Log'!$J103</f>
        <v>0</v>
      </c>
      <c r="I102" s="65" t="str">
        <f>IF(ISBLANK(Games!T102), "",IF(AND(Games!T102="",Games!U102=""),"",IF(ISTEXT(Games!U102), "Side",Games!T102)))</f>
      </c>
      <c r="J102" s="65" t="str">
        <f>IF(ISBLANK(Games!T102), "",IF(Table12[[#This Row],[Bet]]="Spread", Games!X102, ""))</f>
      </c>
      <c r="K102" s="65" t="str">
        <f>IF(ISBLANK(Games!U102), "",IF(ISTEXT(Games!U102), Games!U102, ""))</f>
      </c>
      <c r="L102" s="57" t="str">
        <f>IF(ISBLANK(Games!D102), "", Games!D102)</f>
      </c>
      <c r="M102" s="65"/>
      <c r="N102" s="75" t="str">
        <f>IF(Games!V102="", "",Games!V102)</f>
      </c>
      <c r="O102" s="75" t="str">
        <f>IF(Games!Z102=0, "",Games!Z102)</f>
      </c>
      <c r="P102" s="67"/>
      <c r="Q102" s="67" t="str">
        <f>IF(ISBLANK(Games!W102), "", Games!W102)</f>
      </c>
      <c r="R102" s="67" t="str">
        <f>IF(ISBLANK(Games!AA102), "", Games!AA102)</f>
      </c>
      <c r="S102" s="67"/>
      <c r="T102" s="68" t="str">
        <f t="shared" si="13"/>
      </c>
      <c r="U102" s="68" t="str">
        <f t="shared" si="14"/>
      </c>
      <c r="V102" s="68" t="str">
        <f t="shared" si="15"/>
      </c>
      <c r="W102" s="68" t="str">
        <f t="shared" si="16"/>
      </c>
      <c r="X102" s="68" t="n">
        <f t="shared" ref="X102:X165" si="21">P102+IF(S102&lt;0, (P102/(S102/-100)), P102*(S102/100))</f>
        <v>0</v>
      </c>
      <c r="Y102" s="68" t="n">
        <f t="shared" ref="Y102:Y165" si="22">S102-P102</f>
        <v>0</v>
      </c>
      <c r="Z102" s="67" t="str">
        <f>IF(OR('Prediction Log'!L103="", Table12[[#This Row],[Bet]]="", Table12[[#This Row],[Bet]]="Spread"), "",IF('Prediction Log'!L103=Table12[[#This Row],[Side]], "W", IF('Prediction Log'!L103&lt;&gt;Table12[[#This Row],[Side]], "L", "")))</f>
      </c>
      <c r="AA102" s="59" t="str">
        <f t="shared" ref="AA102:AA165" si="23">IF(Z102="W", U102, IF(Z102="L",-N102, ""))</f>
      </c>
      <c r="AB102" s="67" t="str">
        <f>IF(OR(Table12[[#This Row],[Bet]]="Side",Table12[[#This Row],[Bet]]="", 'Prediction Log'!L103=""), "",IF('Prediction Log'!U103="Y", "W", IF('Prediction Log'!U103="N", "L", "")))</f>
      </c>
      <c r="AC102" s="59" t="str">
        <f t="shared" si="12"/>
      </c>
      <c r="AD102" s="67"/>
      <c r="AE102" s="65" t="str">
        <f t="shared" si="20"/>
      </c>
      <c r="AF1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3">
      <c r="A103" s="65" t="str">
        <f>IF(ISBLANK(Games!A103), "", Games!A103)</f>
      </c>
      <c r="B103" s="65" t="str">
        <f>IF('Prediction Log'!B104=0, "",'Prediction Log'!B104)</f>
      </c>
      <c r="C103" s="65" t="str">
        <f>IF('Prediction Log'!C104=0, "",'Prediction Log'!C104)</f>
      </c>
      <c r="D103" s="65" t="str">
        <f>IF('Prediction Log'!D104=0, "",'Prediction Log'!D104)</f>
      </c>
      <c r="E103" s="58" t="str">
        <f>IF('Prediction Log'!E104=0, "",'Prediction Log'!E104)</f>
      </c>
      <c r="F103" s="65" t="str">
        <f>IF('Prediction Log'!H104=0, "",'Prediction Log'!H104)</f>
      </c>
      <c r="G103" s="64" t="str">
        <f>IF(ISBLANK(Games!B103), "",'Prediction Log'!$I104)</f>
      </c>
      <c r="H103" s="66" t="n">
        <f>'Prediction Log'!$J104</f>
        <v>0</v>
      </c>
      <c r="I103" s="65" t="str">
        <f>IF(ISBLANK(Games!T103), "",IF(AND(Games!T103="",Games!U103=""),"",IF(ISTEXT(Games!U103), "Side",Games!T103)))</f>
      </c>
      <c r="J103" s="65" t="str">
        <f>IF(ISBLANK(Games!T103), "",IF(Table12[[#This Row],[Bet]]="Spread", Games!X103, ""))</f>
      </c>
      <c r="K103" s="65" t="str">
        <f>IF(ISBLANK(Games!U103), "",IF(ISTEXT(Games!U103), Games!U103, ""))</f>
      </c>
      <c r="L103" s="57" t="str">
        <f>IF(ISBLANK(Games!D103), "", Games!D103)</f>
      </c>
      <c r="M103" s="65"/>
      <c r="N103" s="75" t="str">
        <f>IF(Games!V103="", "",Games!V103)</f>
      </c>
      <c r="O103" s="75" t="str">
        <f>IF(Games!Z103=0, "",Games!Z103)</f>
      </c>
      <c r="P103" s="67"/>
      <c r="Q103" s="67" t="str">
        <f>IF(ISBLANK(Games!W103), "", Games!W103)</f>
      </c>
      <c r="R103" s="67" t="str">
        <f>IF(ISBLANK(Games!AA103), "", Games!AA103)</f>
      </c>
      <c r="S103" s="67"/>
      <c r="T103" s="68" t="str">
        <f t="shared" si="13"/>
      </c>
      <c r="U103" s="68" t="str">
        <f t="shared" si="14"/>
      </c>
      <c r="V103" s="68" t="str">
        <f t="shared" si="15"/>
      </c>
      <c r="W103" s="68" t="str">
        <f t="shared" si="16"/>
      </c>
      <c r="X103" s="68" t="n">
        <f t="shared" si="21"/>
        <v>0</v>
      </c>
      <c r="Y103" s="68" t="n">
        <f t="shared" si="22"/>
        <v>0</v>
      </c>
      <c r="Z103" s="67" t="str">
        <f>IF(OR('Prediction Log'!L104="", Table12[[#This Row],[Bet]]="", Table12[[#This Row],[Bet]]="Spread"), "",IF('Prediction Log'!L104=Table12[[#This Row],[Side]], "W", IF('Prediction Log'!L104&lt;&gt;Table12[[#This Row],[Side]], "L", "")))</f>
      </c>
      <c r="AA103" s="59" t="str">
        <f t="shared" si="23"/>
      </c>
      <c r="AB103" s="67" t="str">
        <f>IF(OR(Table12[[#This Row],[Bet]]="Side",Table12[[#This Row],[Bet]]="", 'Prediction Log'!L104=""), "",IF('Prediction Log'!U104="Y", "W", IF('Prediction Log'!U104="N", "L", "")))</f>
      </c>
      <c r="AC103" s="59" t="str">
        <f t="shared" si="12"/>
      </c>
      <c r="AD103" s="67"/>
      <c r="AE103" s="65" t="str">
        <f t="shared" si="20"/>
      </c>
      <c r="AF1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4">
      <c r="A104" s="65" t="str">
        <f>IF(ISBLANK(Games!A104), "", Games!A104)</f>
      </c>
      <c r="B104" s="65" t="str">
        <f>IF('Prediction Log'!B105=0, "",'Prediction Log'!B105)</f>
      </c>
      <c r="C104" s="65" t="str">
        <f>IF('Prediction Log'!C105=0, "",'Prediction Log'!C105)</f>
      </c>
      <c r="D104" s="65" t="str">
        <f>IF('Prediction Log'!D105=0, "",'Prediction Log'!D105)</f>
      </c>
      <c r="E104" s="58" t="str">
        <f>IF('Prediction Log'!E105=0, "",'Prediction Log'!E105)</f>
      </c>
      <c r="F104" s="65" t="str">
        <f>IF('Prediction Log'!H105=0, "",'Prediction Log'!H105)</f>
      </c>
      <c r="G104" s="64" t="str">
        <f>IF(ISBLANK(Games!B104), "",'Prediction Log'!$I105)</f>
      </c>
      <c r="H104" s="66" t="n">
        <f>'Prediction Log'!$J105</f>
        <v>0</v>
      </c>
      <c r="I104" s="65" t="str">
        <f>IF(ISBLANK(Games!T104), "",IF(AND(Games!T104="",Games!U104=""),"",IF(ISTEXT(Games!U104), "Side",Games!T104)))</f>
      </c>
      <c r="J104" s="65" t="str">
        <f>IF(ISBLANK(Games!T104), "",IF(Table12[[#This Row],[Bet]]="Spread", Games!X104, ""))</f>
      </c>
      <c r="K104" s="65" t="str">
        <f>IF(ISBLANK(Games!U104), "",IF(ISTEXT(Games!U104), Games!U104, ""))</f>
      </c>
      <c r="L104" s="57" t="str">
        <f>IF(ISBLANK(Games!D104), "", Games!D104)</f>
      </c>
      <c r="M104" s="65"/>
      <c r="N104" s="75" t="str">
        <f>IF(Games!V104="", "",Games!V104)</f>
      </c>
      <c r="O104" s="75" t="str">
        <f>IF(Games!Z104=0, "",Games!Z104)</f>
      </c>
      <c r="P104" s="67"/>
      <c r="Q104" s="67" t="str">
        <f>IF(ISBLANK(Games!W104), "", Games!W104)</f>
      </c>
      <c r="R104" s="67" t="str">
        <f>IF(ISBLANK(Games!AA104), "", Games!AA104)</f>
      </c>
      <c r="S104" s="67"/>
      <c r="T104" s="68" t="str">
        <f t="shared" si="13"/>
      </c>
      <c r="U104" s="68" t="str">
        <f t="shared" si="14"/>
      </c>
      <c r="V104" s="68" t="str">
        <f t="shared" si="15"/>
      </c>
      <c r="W104" s="68" t="str">
        <f t="shared" si="16"/>
      </c>
      <c r="X104" s="68" t="n">
        <f t="shared" si="21"/>
        <v>0</v>
      </c>
      <c r="Y104" s="68" t="n">
        <f t="shared" si="22"/>
        <v>0</v>
      </c>
      <c r="Z104" s="67" t="str">
        <f>IF(OR('Prediction Log'!L105="", Table12[[#This Row],[Bet]]="", Table12[[#This Row],[Bet]]="Spread"), "",IF('Prediction Log'!L105=Table12[[#This Row],[Side]], "W", IF('Prediction Log'!L105&lt;&gt;Table12[[#This Row],[Side]], "L", "")))</f>
      </c>
      <c r="AA104" s="59" t="str">
        <f t="shared" si="23"/>
      </c>
      <c r="AB104" s="67" t="str">
        <f>IF(OR(Table12[[#This Row],[Bet]]="Side",Table12[[#This Row],[Bet]]="", 'Prediction Log'!L105=""), "",IF('Prediction Log'!U105="Y", "W", IF('Prediction Log'!U105="N", "L", "")))</f>
      </c>
      <c r="AC104" s="59" t="str">
        <f t="shared" si="12"/>
      </c>
      <c r="AD104" s="67"/>
      <c r="AE104" s="65" t="str">
        <f t="shared" si="20"/>
      </c>
      <c r="AF1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5">
      <c r="A105" s="65" t="str">
        <f>IF(ISBLANK(Games!A105), "", Games!A105)</f>
      </c>
      <c r="B105" s="65" t="str">
        <f>IF('Prediction Log'!B106=0, "",'Prediction Log'!B106)</f>
      </c>
      <c r="C105" s="65" t="str">
        <f>IF('Prediction Log'!C106=0, "",'Prediction Log'!C106)</f>
      </c>
      <c r="D105" s="65" t="str">
        <f>IF('Prediction Log'!D106=0, "",'Prediction Log'!D106)</f>
      </c>
      <c r="E105" s="58" t="str">
        <f>IF('Prediction Log'!E106=0, "",'Prediction Log'!E106)</f>
      </c>
      <c r="F105" s="65" t="str">
        <f>IF('Prediction Log'!H106=0, "",'Prediction Log'!H106)</f>
      </c>
      <c r="G105" s="64" t="str">
        <f>IF(ISBLANK(Games!B105), "",'Prediction Log'!$I106)</f>
      </c>
      <c r="H105" s="66" t="n">
        <f>'Prediction Log'!$J106</f>
        <v>0</v>
      </c>
      <c r="I105" s="65" t="str">
        <f>IF(ISBLANK(Games!T105), "",IF(AND(Games!T105="",Games!U105=""),"",IF(ISTEXT(Games!U105), "Side",Games!T105)))</f>
      </c>
      <c r="J105" s="65" t="str">
        <f>IF(ISBLANK(Games!T105), "",IF(Table12[[#This Row],[Bet]]="Spread", Games!X105, ""))</f>
      </c>
      <c r="K105" s="65" t="str">
        <f>IF(ISBLANK(Games!U105), "",IF(ISTEXT(Games!U105), Games!U105, ""))</f>
      </c>
      <c r="L105" s="57" t="str">
        <f>IF(ISBLANK(Games!D105), "", Games!D105)</f>
      </c>
      <c r="M105" s="65"/>
      <c r="N105" s="75" t="str">
        <f>IF(Games!V105="", "",Games!V105)</f>
      </c>
      <c r="O105" s="75" t="str">
        <f>IF(Games!Z105=0, "",Games!Z105)</f>
      </c>
      <c r="P105" s="67"/>
      <c r="Q105" s="67" t="str">
        <f>IF(ISBLANK(Games!W105), "", Games!W105)</f>
      </c>
      <c r="R105" s="67" t="str">
        <f>IF(ISBLANK(Games!AA105), "", Games!AA105)</f>
      </c>
      <c r="S105" s="67"/>
      <c r="T105" s="68" t="str">
        <f t="shared" si="13"/>
      </c>
      <c r="U105" s="68" t="str">
        <f t="shared" si="14"/>
      </c>
      <c r="V105" s="68" t="str">
        <f t="shared" si="15"/>
      </c>
      <c r="W105" s="68" t="str">
        <f t="shared" si="16"/>
      </c>
      <c r="X105" s="68" t="n">
        <f t="shared" si="21"/>
        <v>0</v>
      </c>
      <c r="Y105" s="68" t="n">
        <f t="shared" si="22"/>
        <v>0</v>
      </c>
      <c r="Z105" s="67" t="str">
        <f>IF(OR('Prediction Log'!L106="", Table12[[#This Row],[Bet]]="", Table12[[#This Row],[Bet]]="Spread"), "",IF('Prediction Log'!L106=Table12[[#This Row],[Side]], "W", IF('Prediction Log'!L106&lt;&gt;Table12[[#This Row],[Side]], "L", "")))</f>
      </c>
      <c r="AA105" s="59" t="str">
        <f t="shared" si="23"/>
      </c>
      <c r="AB105" s="67" t="str">
        <f>IF(OR(Table12[[#This Row],[Bet]]="Side",Table12[[#This Row],[Bet]]="", 'Prediction Log'!L106=""), "",IF('Prediction Log'!U106="Y", "W", IF('Prediction Log'!U106="N", "L", "")))</f>
      </c>
      <c r="AC105" s="59" t="str">
        <f t="shared" si="12"/>
      </c>
      <c r="AD105" s="67"/>
      <c r="AE105" s="65" t="str">
        <f t="shared" si="20"/>
      </c>
      <c r="AF1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6">
      <c r="A106" s="65" t="str">
        <f>IF(ISBLANK(Games!A106), "", Games!A106)</f>
      </c>
      <c r="B106" s="65" t="str">
        <f>IF('Prediction Log'!B107=0, "",'Prediction Log'!B107)</f>
      </c>
      <c r="C106" s="65" t="str">
        <f>IF('Prediction Log'!C107=0, "",'Prediction Log'!C107)</f>
      </c>
      <c r="D106" s="65" t="str">
        <f>IF('Prediction Log'!D107=0, "",'Prediction Log'!D107)</f>
      </c>
      <c r="E106" s="58" t="str">
        <f>IF('Prediction Log'!E107=0, "",'Prediction Log'!E107)</f>
      </c>
      <c r="F106" s="65" t="str">
        <f>IF('Prediction Log'!H107=0, "",'Prediction Log'!H107)</f>
      </c>
      <c r="G106" s="64" t="str">
        <f>IF(ISBLANK(Games!B106), "",'Prediction Log'!$I107)</f>
      </c>
      <c r="H106" s="66" t="n">
        <f>'Prediction Log'!$J107</f>
        <v>0</v>
      </c>
      <c r="I106" s="65" t="str">
        <f>IF(ISBLANK(Games!T106), "",IF(AND(Games!T106="",Games!U106=""),"",IF(ISTEXT(Games!U106), "Side",Games!T106)))</f>
      </c>
      <c r="J106" s="65" t="str">
        <f>IF(ISBLANK(Games!T106), "",IF(Table12[[#This Row],[Bet]]="Spread", Games!X106, ""))</f>
      </c>
      <c r="K106" s="65" t="str">
        <f>IF(ISBLANK(Games!U106), "",IF(ISTEXT(Games!U106), Games!U106, ""))</f>
      </c>
      <c r="L106" s="57" t="str">
        <f>IF(ISBLANK(Games!D106), "", Games!D106)</f>
      </c>
      <c r="M106" s="65"/>
      <c r="N106" s="75" t="str">
        <f>IF(Games!V106="", "",Games!V106)</f>
      </c>
      <c r="O106" s="75" t="str">
        <f>IF(Games!Z106=0, "",Games!Z106)</f>
      </c>
      <c r="P106" s="67"/>
      <c r="Q106" s="67" t="str">
        <f>IF(ISBLANK(Games!W106), "", Games!W106)</f>
      </c>
      <c r="R106" s="67" t="str">
        <f>IF(ISBLANK(Games!AA106), "", Games!AA106)</f>
      </c>
      <c r="S106" s="67"/>
      <c r="T106" s="68" t="str">
        <f t="shared" si="13"/>
      </c>
      <c r="U106" s="68" t="str">
        <f t="shared" si="14"/>
      </c>
      <c r="V106" s="68" t="str">
        <f t="shared" si="15"/>
      </c>
      <c r="W106" s="68" t="str">
        <f t="shared" si="16"/>
      </c>
      <c r="X106" s="68" t="n">
        <f t="shared" si="21"/>
        <v>0</v>
      </c>
      <c r="Y106" s="68" t="n">
        <f t="shared" si="22"/>
        <v>0</v>
      </c>
      <c r="Z106" s="67" t="str">
        <f>IF(OR('Prediction Log'!L107="", Table12[[#This Row],[Bet]]="", Table12[[#This Row],[Bet]]="Spread"), "",IF('Prediction Log'!L107=Table12[[#This Row],[Side]], "W", IF('Prediction Log'!L107&lt;&gt;Table12[[#This Row],[Side]], "L", "")))</f>
      </c>
      <c r="AA106" s="59" t="str">
        <f t="shared" si="23"/>
      </c>
      <c r="AB106" s="67" t="str">
        <f>IF(OR(Table12[[#This Row],[Bet]]="Side",Table12[[#This Row],[Bet]]="", 'Prediction Log'!L107=""), "",IF('Prediction Log'!U107="Y", "W", IF('Prediction Log'!U107="N", "L", "")))</f>
      </c>
      <c r="AC106" s="59" t="str">
        <f t="shared" si="12"/>
      </c>
      <c r="AD106" s="67"/>
      <c r="AE106" s="65" t="str">
        <f t="shared" si="20"/>
      </c>
      <c r="AF1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7">
      <c r="A107" s="65" t="str">
        <f>IF(ISBLANK(Games!A107), "", Games!A107)</f>
      </c>
      <c r="B107" s="65" t="str">
        <f>IF('Prediction Log'!B108=0, "",'Prediction Log'!B108)</f>
      </c>
      <c r="C107" s="65" t="str">
        <f>IF('Prediction Log'!C108=0, "",'Prediction Log'!C108)</f>
      </c>
      <c r="D107" s="65" t="str">
        <f>IF('Prediction Log'!D108=0, "",'Prediction Log'!D108)</f>
      </c>
      <c r="E107" s="58" t="str">
        <f>IF('Prediction Log'!E108=0, "",'Prediction Log'!E108)</f>
      </c>
      <c r="F107" s="65" t="str">
        <f>IF('Prediction Log'!H108=0, "",'Prediction Log'!H108)</f>
      </c>
      <c r="G107" s="64" t="str">
        <f>IF(ISBLANK(Games!B107), "",'Prediction Log'!$I108)</f>
      </c>
      <c r="H107" s="66" t="n">
        <f>'Prediction Log'!$J108</f>
        <v>0</v>
      </c>
      <c r="I107" s="65" t="str">
        <f>IF(ISBLANK(Games!T107), "",IF(AND(Games!T107="",Games!U107=""),"",IF(ISTEXT(Games!U107), "Side",Games!T107)))</f>
      </c>
      <c r="J107" s="65" t="str">
        <f>IF(ISBLANK(Games!T107), "",IF(Table12[[#This Row],[Bet]]="Spread", Games!X107, ""))</f>
      </c>
      <c r="K107" s="65" t="str">
        <f>IF(ISBLANK(Games!U107), "",IF(ISTEXT(Games!U107), Games!U107, ""))</f>
      </c>
      <c r="L107" s="57" t="str">
        <f>IF(ISBLANK(Games!D107), "", Games!D107)</f>
      </c>
      <c r="M107" s="65"/>
      <c r="N107" s="75" t="str">
        <f>IF(Games!V107="", "",Games!V107)</f>
      </c>
      <c r="O107" s="75" t="str">
        <f>IF(Games!Z107=0, "",Games!Z107)</f>
      </c>
      <c r="P107" s="67"/>
      <c r="Q107" s="67" t="str">
        <f>IF(ISBLANK(Games!W107), "", Games!W107)</f>
      </c>
      <c r="R107" s="67" t="str">
        <f>IF(ISBLANK(Games!AA107), "", Games!AA107)</f>
      </c>
      <c r="S107" s="67"/>
      <c r="T107" s="68" t="str">
        <f t="shared" si="13"/>
      </c>
      <c r="U107" s="68" t="str">
        <f t="shared" si="14"/>
      </c>
      <c r="V107" s="68" t="str">
        <f t="shared" si="15"/>
      </c>
      <c r="W107" s="68" t="str">
        <f t="shared" si="16"/>
      </c>
      <c r="X107" s="68" t="n">
        <f t="shared" si="21"/>
        <v>0</v>
      </c>
      <c r="Y107" s="68" t="n">
        <f t="shared" si="22"/>
        <v>0</v>
      </c>
      <c r="Z107" s="67" t="str">
        <f>IF(OR('Prediction Log'!L108="", Table12[[#This Row],[Bet]]="", Table12[[#This Row],[Bet]]="Spread"), "",IF('Prediction Log'!L108=Table12[[#This Row],[Side]], "W", IF('Prediction Log'!L108&lt;&gt;Table12[[#This Row],[Side]], "L", "")))</f>
      </c>
      <c r="AA107" s="59" t="str">
        <f t="shared" si="23"/>
      </c>
      <c r="AB107" s="67" t="str">
        <f>IF(OR(Table12[[#This Row],[Bet]]="Side",Table12[[#This Row],[Bet]]="", 'Prediction Log'!L108=""), "",IF('Prediction Log'!U108="Y", "W", IF('Prediction Log'!U108="N", "L", "")))</f>
      </c>
      <c r="AC107" s="59" t="str">
        <f t="shared" si="12"/>
      </c>
      <c r="AD107" s="67"/>
      <c r="AE107" s="65" t="str">
        <f t="shared" si="20"/>
      </c>
      <c r="AF1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8">
      <c r="A108" s="65" t="str">
        <f>IF(ISBLANK(Games!A108), "", Games!A108)</f>
      </c>
      <c r="B108" s="65" t="str">
        <f>IF('Prediction Log'!B109=0, "",'Prediction Log'!B109)</f>
      </c>
      <c r="C108" s="65" t="str">
        <f>IF('Prediction Log'!C109=0, "",'Prediction Log'!C109)</f>
      </c>
      <c r="D108" s="65" t="str">
        <f>IF('Prediction Log'!D109=0, "",'Prediction Log'!D109)</f>
      </c>
      <c r="E108" s="58" t="str">
        <f>IF('Prediction Log'!E109=0, "",'Prediction Log'!E109)</f>
      </c>
      <c r="F108" s="65" t="str">
        <f>IF('Prediction Log'!H109=0, "",'Prediction Log'!H109)</f>
      </c>
      <c r="G108" s="64" t="str">
        <f>IF(ISBLANK(Games!B108), "",'Prediction Log'!$I109)</f>
      </c>
      <c r="H108" s="66" t="n">
        <f>'Prediction Log'!$J109</f>
        <v>0</v>
      </c>
      <c r="I108" s="65" t="str">
        <f>IF(ISBLANK(Games!T108), "",IF(AND(Games!T108="",Games!U108=""),"",IF(ISTEXT(Games!U108), "Side",Games!T108)))</f>
      </c>
      <c r="J108" s="65" t="str">
        <f>IF(ISBLANK(Games!T108), "",IF(Table12[[#This Row],[Bet]]="Spread", Games!X108, ""))</f>
      </c>
      <c r="K108" s="65" t="str">
        <f>IF(ISBLANK(Games!U108), "",IF(ISTEXT(Games!U108), Games!U108, ""))</f>
      </c>
      <c r="L108" s="57" t="str">
        <f>IF(ISBLANK(Games!D108), "", Games!D108)</f>
      </c>
      <c r="M108" s="65"/>
      <c r="N108" s="75" t="str">
        <f>IF(Games!V108="", "",Games!V108)</f>
      </c>
      <c r="O108" s="75" t="str">
        <f>IF(Games!Z108=0, "",Games!Z108)</f>
      </c>
      <c r="P108" s="67"/>
      <c r="Q108" s="67" t="str">
        <f>IF(ISBLANK(Games!W108), "", Games!W108)</f>
      </c>
      <c r="R108" s="67" t="str">
        <f>IF(ISBLANK(Games!AA108), "", Games!AA108)</f>
      </c>
      <c r="S108" s="67"/>
      <c r="T108" s="68" t="str">
        <f t="shared" si="13"/>
      </c>
      <c r="U108" s="68" t="str">
        <f t="shared" si="14"/>
      </c>
      <c r="V108" s="68" t="str">
        <f t="shared" si="15"/>
      </c>
      <c r="W108" s="68" t="str">
        <f t="shared" si="16"/>
      </c>
      <c r="X108" s="68" t="n">
        <f t="shared" si="21"/>
        <v>0</v>
      </c>
      <c r="Y108" s="68" t="n">
        <f t="shared" si="22"/>
        <v>0</v>
      </c>
      <c r="Z108" s="67" t="str">
        <f>IF(OR('Prediction Log'!L109="", Table12[[#This Row],[Bet]]="", Table12[[#This Row],[Bet]]="Spread"), "",IF('Prediction Log'!L109=Table12[[#This Row],[Side]], "W", IF('Prediction Log'!L109&lt;&gt;Table12[[#This Row],[Side]], "L", "")))</f>
      </c>
      <c r="AA108" s="59" t="str">
        <f t="shared" si="23"/>
      </c>
      <c r="AB108" s="67" t="str">
        <f>IF(OR(Table12[[#This Row],[Bet]]="Side",Table12[[#This Row],[Bet]]="", 'Prediction Log'!L109=""), "",IF('Prediction Log'!U109="Y", "W", IF('Prediction Log'!U109="N", "L", "")))</f>
      </c>
      <c r="AC108" s="59" t="str">
        <f t="shared" si="12"/>
      </c>
      <c r="AD108" s="67"/>
      <c r="AE108" s="65" t="str">
        <f t="shared" si="20"/>
      </c>
      <c r="AF1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9">
      <c r="A109" s="65" t="str">
        <f>IF(ISBLANK(Games!A109), "", Games!A109)</f>
      </c>
      <c r="B109" s="65" t="str">
        <f>IF('Prediction Log'!B110=0, "",'Prediction Log'!B110)</f>
      </c>
      <c r="C109" s="65" t="str">
        <f>IF('Prediction Log'!C110=0, "",'Prediction Log'!C110)</f>
      </c>
      <c r="D109" s="65" t="str">
        <f>IF('Prediction Log'!D110=0, "",'Prediction Log'!D110)</f>
      </c>
      <c r="E109" s="58" t="str">
        <f>IF('Prediction Log'!E110=0, "",'Prediction Log'!E110)</f>
      </c>
      <c r="F109" s="65" t="str">
        <f>IF('Prediction Log'!H110=0, "",'Prediction Log'!H110)</f>
      </c>
      <c r="G109" s="64" t="str">
        <f>IF(ISBLANK(Games!B109), "",'Prediction Log'!$I110)</f>
      </c>
      <c r="H109" s="66" t="n">
        <f>'Prediction Log'!$J110</f>
        <v>0</v>
      </c>
      <c r="I109" s="65" t="str">
        <f>IF(ISBLANK(Games!T109), "",IF(AND(Games!T109="",Games!U109=""),"",IF(ISTEXT(Games!U109), "Side",Games!T109)))</f>
      </c>
      <c r="J109" s="65" t="str">
        <f>IF(ISBLANK(Games!T109), "",IF(Table12[[#This Row],[Bet]]="Spread", Games!X109, ""))</f>
      </c>
      <c r="K109" s="65" t="str">
        <f>IF(ISBLANK(Games!U109), "",IF(ISTEXT(Games!U109), Games!U109, ""))</f>
      </c>
      <c r="L109" s="57" t="str">
        <f>IF(ISBLANK(Games!D109), "", Games!D109)</f>
      </c>
      <c r="M109" s="65"/>
      <c r="N109" s="75" t="str">
        <f>IF(Games!V109="", "",Games!V109)</f>
      </c>
      <c r="O109" s="75" t="str">
        <f>IF(Games!Z109=0, "",Games!Z109)</f>
      </c>
      <c r="P109" s="67"/>
      <c r="Q109" s="67" t="str">
        <f>IF(ISBLANK(Games!W109), "", Games!W109)</f>
      </c>
      <c r="R109" s="67" t="str">
        <f>IF(ISBLANK(Games!AA109), "", Games!AA109)</f>
      </c>
      <c r="S109" s="67"/>
      <c r="T109" s="68" t="str">
        <f t="shared" si="13"/>
      </c>
      <c r="U109" s="68" t="str">
        <f t="shared" si="14"/>
      </c>
      <c r="V109" s="68" t="str">
        <f t="shared" si="15"/>
      </c>
      <c r="W109" s="68" t="str">
        <f t="shared" si="16"/>
      </c>
      <c r="X109" s="68" t="n">
        <f t="shared" si="21"/>
        <v>0</v>
      </c>
      <c r="Y109" s="68" t="n">
        <f t="shared" si="22"/>
        <v>0</v>
      </c>
      <c r="Z109" s="67" t="str">
        <f>IF(OR('Prediction Log'!L110="", Table12[[#This Row],[Bet]]="", Table12[[#This Row],[Bet]]="Spread"), "",IF('Prediction Log'!L110=Table12[[#This Row],[Side]], "W", IF('Prediction Log'!L110&lt;&gt;Table12[[#This Row],[Side]], "L", "")))</f>
      </c>
      <c r="AA109" s="59" t="str">
        <f t="shared" si="23"/>
      </c>
      <c r="AB109" s="67" t="str">
        <f>IF(OR(Table12[[#This Row],[Bet]]="Side",Table12[[#This Row],[Bet]]="", 'Prediction Log'!L110=""), "",IF('Prediction Log'!U110="Y", "W", IF('Prediction Log'!U110="N", "L", "")))</f>
      </c>
      <c r="AC109" s="59" t="str">
        <f t="shared" si="12"/>
      </c>
      <c r="AD109" s="67"/>
      <c r="AE109" s="65" t="str">
        <f t="shared" si="20"/>
      </c>
      <c r="AF1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0">
      <c r="A110" s="65" t="str">
        <f>IF(ISBLANK(Games!A110), "", Games!A110)</f>
      </c>
      <c r="B110" s="65" t="str">
        <f>IF('Prediction Log'!B111=0, "",'Prediction Log'!B111)</f>
      </c>
      <c r="C110" s="65" t="str">
        <f>IF('Prediction Log'!C111=0, "",'Prediction Log'!C111)</f>
      </c>
      <c r="D110" s="65" t="str">
        <f>IF('Prediction Log'!D111=0, "",'Prediction Log'!D111)</f>
      </c>
      <c r="E110" s="58" t="str">
        <f>IF('Prediction Log'!E111=0, "",'Prediction Log'!E111)</f>
      </c>
      <c r="F110" s="65" t="str">
        <f>IF('Prediction Log'!H111=0, "",'Prediction Log'!H111)</f>
      </c>
      <c r="G110" s="64" t="str">
        <f>IF(ISBLANK(Games!B110), "",'Prediction Log'!$I111)</f>
      </c>
      <c r="H110" s="66" t="n">
        <f>'Prediction Log'!$J111</f>
        <v>0</v>
      </c>
      <c r="I110" s="65" t="str">
        <f>IF(ISBLANK(Games!T110), "",IF(AND(Games!T110="",Games!U110=""),"",IF(ISTEXT(Games!U110), "Side",Games!T110)))</f>
      </c>
      <c r="J110" s="65" t="str">
        <f>IF(ISBLANK(Games!T110), "",IF(Table12[[#This Row],[Bet]]="Spread", Games!X110, ""))</f>
      </c>
      <c r="K110" s="65" t="str">
        <f>IF(ISBLANK(Games!U110), "",IF(ISTEXT(Games!U110), Games!U110, ""))</f>
      </c>
      <c r="L110" s="57" t="str">
        <f>IF(ISBLANK(Games!D110), "", Games!D110)</f>
      </c>
      <c r="M110" s="65"/>
      <c r="N110" s="75" t="str">
        <f>IF(Games!V110="", "",Games!V110)</f>
      </c>
      <c r="O110" s="75" t="str">
        <f>IF(Games!Z110=0, "",Games!Z110)</f>
      </c>
      <c r="P110" s="67"/>
      <c r="Q110" s="67" t="str">
        <f>IF(ISBLANK(Games!W110), "", Games!W110)</f>
      </c>
      <c r="R110" s="67" t="str">
        <f>IF(ISBLANK(Games!AA110), "", Games!AA110)</f>
      </c>
      <c r="S110" s="67"/>
      <c r="T110" s="68" t="str">
        <f t="shared" si="13"/>
      </c>
      <c r="U110" s="68" t="str">
        <f t="shared" si="14"/>
      </c>
      <c r="V110" s="68" t="str">
        <f t="shared" si="15"/>
      </c>
      <c r="W110" s="68" t="str">
        <f t="shared" si="16"/>
      </c>
      <c r="X110" s="68" t="n">
        <f t="shared" si="21"/>
        <v>0</v>
      </c>
      <c r="Y110" s="68" t="n">
        <f t="shared" si="22"/>
        <v>0</v>
      </c>
      <c r="Z110" s="67" t="str">
        <f>IF(OR('Prediction Log'!L111="", Table12[[#This Row],[Bet]]="", Table12[[#This Row],[Bet]]="Spread"), "",IF('Prediction Log'!L111=Table12[[#This Row],[Side]], "W", IF('Prediction Log'!L111&lt;&gt;Table12[[#This Row],[Side]], "L", "")))</f>
      </c>
      <c r="AA110" s="59" t="str">
        <f t="shared" si="23"/>
      </c>
      <c r="AB110" s="67" t="str">
        <f>IF(OR(Table12[[#This Row],[Bet]]="Side",Table12[[#This Row],[Bet]]="", 'Prediction Log'!L111=""), "",IF('Prediction Log'!U111="Y", "W", IF('Prediction Log'!U111="N", "L", "")))</f>
      </c>
      <c r="AC110" s="59" t="str">
        <f t="shared" si="12"/>
      </c>
      <c r="AD110" s="67"/>
      <c r="AE110" s="65" t="str">
        <f t="shared" si="20"/>
      </c>
      <c r="AF1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1">
      <c r="A111" s="65" t="str">
        <f>IF(ISBLANK(Games!A111), "", Games!A111)</f>
      </c>
      <c r="B111" s="65" t="str">
        <f>IF('Prediction Log'!B112=0, "",'Prediction Log'!B112)</f>
      </c>
      <c r="C111" s="65" t="str">
        <f>IF('Prediction Log'!C112=0, "",'Prediction Log'!C112)</f>
      </c>
      <c r="D111" s="65" t="str">
        <f>IF('Prediction Log'!D112=0, "",'Prediction Log'!D112)</f>
      </c>
      <c r="E111" s="58" t="str">
        <f>IF('Prediction Log'!E112=0, "",'Prediction Log'!E112)</f>
      </c>
      <c r="F111" s="65" t="str">
        <f>IF('Prediction Log'!H112=0, "",'Prediction Log'!H112)</f>
      </c>
      <c r="G111" s="64" t="str">
        <f>IF(ISBLANK(Games!B111), "",'Prediction Log'!$I112)</f>
      </c>
      <c r="H111" s="66" t="n">
        <f>'Prediction Log'!$J112</f>
        <v>0</v>
      </c>
      <c r="I111" s="65" t="str">
        <f>IF(ISBLANK(Games!T111), "",IF(AND(Games!T111="",Games!U111=""),"",IF(ISTEXT(Games!U111), "Side",Games!T111)))</f>
      </c>
      <c r="J111" s="65" t="str">
        <f>IF(ISBLANK(Games!T111), "",IF(Table12[[#This Row],[Bet]]="Spread", Games!X111, ""))</f>
      </c>
      <c r="K111" s="65" t="str">
        <f>IF(ISBLANK(Games!U111), "",IF(ISTEXT(Games!U111), Games!U111, ""))</f>
      </c>
      <c r="L111" s="57" t="str">
        <f>IF(ISBLANK(Games!D111), "", Games!D111)</f>
      </c>
      <c r="M111" s="65"/>
      <c r="N111" s="75" t="str">
        <f>IF(Games!V111="", "",Games!V111)</f>
      </c>
      <c r="O111" s="75" t="str">
        <f>IF(Games!Z111=0, "",Games!Z111)</f>
      </c>
      <c r="P111" s="67"/>
      <c r="Q111" s="67" t="str">
        <f>IF(ISBLANK(Games!W111), "", Games!W111)</f>
      </c>
      <c r="R111" s="67" t="str">
        <f>IF(ISBLANK(Games!AA111), "", Games!AA111)</f>
      </c>
      <c r="S111" s="67"/>
      <c r="T111" s="68" t="str">
        <f t="shared" si="13"/>
      </c>
      <c r="U111" s="68" t="str">
        <f t="shared" si="14"/>
      </c>
      <c r="V111" s="68" t="str">
        <f t="shared" si="15"/>
      </c>
      <c r="W111" s="68" t="str">
        <f t="shared" si="16"/>
      </c>
      <c r="X111" s="68" t="n">
        <f t="shared" si="21"/>
        <v>0</v>
      </c>
      <c r="Y111" s="68" t="n">
        <f t="shared" si="22"/>
        <v>0</v>
      </c>
      <c r="Z111" s="67" t="str">
        <f>IF(OR('Prediction Log'!L112="", Table12[[#This Row],[Bet]]="", Table12[[#This Row],[Bet]]="Spread"), "",IF('Prediction Log'!L112=Table12[[#This Row],[Side]], "W", IF('Prediction Log'!L112&lt;&gt;Table12[[#This Row],[Side]], "L", "")))</f>
      </c>
      <c r="AA111" s="59" t="str">
        <f t="shared" si="23"/>
      </c>
      <c r="AB111" s="67" t="str">
        <f>IF(OR(Table12[[#This Row],[Bet]]="Side",Table12[[#This Row],[Bet]]="", 'Prediction Log'!L112=""), "",IF('Prediction Log'!U112="Y", "W", IF('Prediction Log'!U112="N", "L", "")))</f>
      </c>
      <c r="AC111" s="59" t="str">
        <f t="shared" si="12"/>
      </c>
      <c r="AD111" s="67"/>
      <c r="AE111" s="65" t="str">
        <f t="shared" si="20"/>
      </c>
      <c r="AF1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2">
      <c r="A112" s="65" t="str">
        <f>IF(ISBLANK(Games!A112), "", Games!A112)</f>
      </c>
      <c r="B112" s="65" t="str">
        <f>IF('Prediction Log'!B113=0, "",'Prediction Log'!B113)</f>
      </c>
      <c r="C112" s="65" t="str">
        <f>IF('Prediction Log'!C113=0, "",'Prediction Log'!C113)</f>
      </c>
      <c r="D112" s="65" t="str">
        <f>IF('Prediction Log'!D113=0, "",'Prediction Log'!D113)</f>
      </c>
      <c r="E112" s="58" t="str">
        <f>IF('Prediction Log'!E113=0, "",'Prediction Log'!E113)</f>
      </c>
      <c r="F112" s="65" t="str">
        <f>IF('Prediction Log'!H113=0, "",'Prediction Log'!H113)</f>
      </c>
      <c r="G112" s="64" t="str">
        <f>IF(ISBLANK(Games!B112), "",'Prediction Log'!$I113)</f>
      </c>
      <c r="H112" s="66" t="n">
        <f>'Prediction Log'!$J113</f>
        <v>0</v>
      </c>
      <c r="I112" s="65" t="str">
        <f>IF(ISBLANK(Games!T112), "",IF(AND(Games!T112="",Games!U112=""),"",IF(ISTEXT(Games!U112), "Side",Games!T112)))</f>
      </c>
      <c r="J112" s="65" t="str">
        <f>IF(ISBLANK(Games!T112), "",IF(Table12[[#This Row],[Bet]]="Spread", Games!X112, ""))</f>
      </c>
      <c r="K112" s="65" t="str">
        <f>IF(ISBLANK(Games!U112), "",IF(ISTEXT(Games!U112), Games!U112, ""))</f>
      </c>
      <c r="L112" s="57" t="str">
        <f>IF(ISBLANK(Games!D112), "", Games!D112)</f>
      </c>
      <c r="M112" s="65"/>
      <c r="N112" s="75" t="str">
        <f>IF(Games!V112="", "",Games!V112)</f>
      </c>
      <c r="O112" s="75" t="str">
        <f>IF(Games!Z112=0, "",Games!Z112)</f>
      </c>
      <c r="P112" s="67"/>
      <c r="Q112" s="67" t="str">
        <f>IF(ISBLANK(Games!W112), "", Games!W112)</f>
      </c>
      <c r="R112" s="67" t="str">
        <f>IF(ISBLANK(Games!AA112), "", Games!AA112)</f>
      </c>
      <c r="S112" s="67"/>
      <c r="T112" s="68" t="str">
        <f t="shared" si="13"/>
      </c>
      <c r="U112" s="68" t="str">
        <f t="shared" si="14"/>
      </c>
      <c r="V112" s="68" t="str">
        <f t="shared" si="15"/>
      </c>
      <c r="W112" s="68" t="str">
        <f t="shared" si="16"/>
      </c>
      <c r="X112" s="68" t="n">
        <f t="shared" si="21"/>
        <v>0</v>
      </c>
      <c r="Y112" s="68" t="n">
        <f t="shared" si="22"/>
        <v>0</v>
      </c>
      <c r="Z112" s="67" t="str">
        <f>IF(OR('Prediction Log'!L113="", Table12[[#This Row],[Bet]]="", Table12[[#This Row],[Bet]]="Spread"), "",IF('Prediction Log'!L113=Table12[[#This Row],[Side]], "W", IF('Prediction Log'!L113&lt;&gt;Table12[[#This Row],[Side]], "L", "")))</f>
      </c>
      <c r="AA112" s="59" t="str">
        <f t="shared" si="23"/>
      </c>
      <c r="AB112" s="67" t="str">
        <f>IF(OR(Table12[[#This Row],[Bet]]="Side",Table12[[#This Row],[Bet]]="", 'Prediction Log'!L113=""), "",IF('Prediction Log'!U113="Y", "W", IF('Prediction Log'!U113="N", "L", "")))</f>
      </c>
      <c r="AC112" s="59" t="str">
        <f t="shared" si="12"/>
      </c>
      <c r="AD112" s="67"/>
      <c r="AE112" s="65" t="str">
        <f t="shared" si="20"/>
      </c>
      <c r="AF1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3">
      <c r="A113" s="65" t="str">
        <f>IF(ISBLANK(Games!A113), "", Games!A113)</f>
      </c>
      <c r="B113" s="65" t="str">
        <f>IF('Prediction Log'!B114=0, "",'Prediction Log'!B114)</f>
      </c>
      <c r="C113" s="65" t="str">
        <f>IF('Prediction Log'!C114=0, "",'Prediction Log'!C114)</f>
      </c>
      <c r="D113" s="65" t="str">
        <f>IF('Prediction Log'!D114=0, "",'Prediction Log'!D114)</f>
      </c>
      <c r="E113" s="58" t="str">
        <f>IF('Prediction Log'!E114=0, "",'Prediction Log'!E114)</f>
      </c>
      <c r="F113" s="65" t="str">
        <f>IF('Prediction Log'!H114=0, "",'Prediction Log'!H114)</f>
      </c>
      <c r="G113" s="64" t="str">
        <f>IF(ISBLANK(Games!B113), "",'Prediction Log'!$I114)</f>
      </c>
      <c r="H113" s="66" t="n">
        <f>'Prediction Log'!$J114</f>
        <v>0</v>
      </c>
      <c r="I113" s="65" t="str">
        <f>IF(ISBLANK(Games!T113), "",IF(AND(Games!T113="",Games!U113=""),"",IF(ISTEXT(Games!U113), "Side",Games!T113)))</f>
      </c>
      <c r="J113" s="65" t="str">
        <f>IF(ISBLANK(Games!T113), "",IF(Table12[[#This Row],[Bet]]="Spread", Games!X113, ""))</f>
      </c>
      <c r="K113" s="65" t="str">
        <f>IF(ISBLANK(Games!U113), "",IF(ISTEXT(Games!U113), Games!U113, ""))</f>
      </c>
      <c r="L113" s="57" t="str">
        <f>IF(ISBLANK(Games!D113), "", Games!D113)</f>
      </c>
      <c r="M113" s="65"/>
      <c r="N113" s="75" t="str">
        <f>IF(Games!V113="", "",Games!V113)</f>
      </c>
      <c r="O113" s="75" t="str">
        <f>IF(Games!Z113=0, "",Games!Z113)</f>
      </c>
      <c r="P113" s="67"/>
      <c r="Q113" s="67" t="str">
        <f>IF(ISBLANK(Games!W113), "", Games!W113)</f>
      </c>
      <c r="R113" s="67" t="str">
        <f>IF(ISBLANK(Games!AA113), "", Games!AA113)</f>
      </c>
      <c r="S113" s="67"/>
      <c r="T113" s="68" t="str">
        <f t="shared" si="13"/>
      </c>
      <c r="U113" s="68" t="str">
        <f t="shared" si="14"/>
      </c>
      <c r="V113" s="68" t="str">
        <f t="shared" si="15"/>
      </c>
      <c r="W113" s="68" t="str">
        <f t="shared" si="16"/>
      </c>
      <c r="X113" s="68" t="n">
        <f t="shared" si="21"/>
        <v>0</v>
      </c>
      <c r="Y113" s="68" t="n">
        <f t="shared" si="22"/>
        <v>0</v>
      </c>
      <c r="Z113" s="67" t="str">
        <f>IF(OR('Prediction Log'!L114="", Table12[[#This Row],[Bet]]="", Table12[[#This Row],[Bet]]="Spread"), "",IF('Prediction Log'!L114=Table12[[#This Row],[Side]], "W", IF('Prediction Log'!L114&lt;&gt;Table12[[#This Row],[Side]], "L", "")))</f>
      </c>
      <c r="AA113" s="59" t="str">
        <f t="shared" si="23"/>
      </c>
      <c r="AB113" s="67" t="str">
        <f>IF(OR(Table12[[#This Row],[Bet]]="Side",Table12[[#This Row],[Bet]]="", 'Prediction Log'!L114=""), "",IF('Prediction Log'!U114="Y", "W", IF('Prediction Log'!U114="N", "L", "")))</f>
      </c>
      <c r="AC113" s="59" t="str">
        <f t="shared" si="12"/>
      </c>
      <c r="AD113" s="67"/>
      <c r="AE113" s="65" t="str">
        <f t="shared" si="20"/>
      </c>
      <c r="AF1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4">
      <c r="A114" s="65" t="str">
        <f>IF(ISBLANK(Games!A114), "", Games!A114)</f>
      </c>
      <c r="B114" s="65" t="str">
        <f>IF('Prediction Log'!B115=0, "",'Prediction Log'!B115)</f>
      </c>
      <c r="C114" s="65" t="str">
        <f>IF('Prediction Log'!C115=0, "",'Prediction Log'!C115)</f>
      </c>
      <c r="D114" s="65" t="str">
        <f>IF('Prediction Log'!D115=0, "",'Prediction Log'!D115)</f>
      </c>
      <c r="E114" s="58" t="str">
        <f>IF('Prediction Log'!E115=0, "",'Prediction Log'!E115)</f>
      </c>
      <c r="F114" s="65" t="str">
        <f>IF('Prediction Log'!H115=0, "",'Prediction Log'!H115)</f>
      </c>
      <c r="G114" s="64" t="str">
        <f>IF(ISBLANK(Games!B114), "",'Prediction Log'!$I115)</f>
      </c>
      <c r="H114" s="66" t="n">
        <f>'Prediction Log'!$J115</f>
        <v>0</v>
      </c>
      <c r="I114" s="65" t="str">
        <f>IF(ISBLANK(Games!T114), "",IF(AND(Games!T114="",Games!U114=""),"",IF(ISTEXT(Games!U114), "Side",Games!T114)))</f>
      </c>
      <c r="J114" s="65" t="str">
        <f>IF(ISBLANK(Games!T114), "",IF(Table12[[#This Row],[Bet]]="Spread", Games!X114, ""))</f>
      </c>
      <c r="K114" s="65" t="str">
        <f>IF(ISBLANK(Games!U114), "",IF(ISTEXT(Games!U114), Games!U114, ""))</f>
      </c>
      <c r="L114" s="57" t="str">
        <f>IF(ISBLANK(Games!D114), "", Games!D114)</f>
      </c>
      <c r="M114" s="65"/>
      <c r="N114" s="75" t="str">
        <f>IF(Games!V114="", "",Games!V114)</f>
      </c>
      <c r="O114" s="75" t="str">
        <f>IF(Games!Z114=0, "",Games!Z114)</f>
      </c>
      <c r="P114" s="67"/>
      <c r="Q114" s="67" t="str">
        <f>IF(ISBLANK(Games!W114), "", Games!W114)</f>
      </c>
      <c r="R114" s="67" t="str">
        <f>IF(ISBLANK(Games!AA114), "", Games!AA114)</f>
      </c>
      <c r="S114" s="67"/>
      <c r="T114" s="68" t="str">
        <f t="shared" si="13"/>
      </c>
      <c r="U114" s="68" t="str">
        <f t="shared" si="14"/>
      </c>
      <c r="V114" s="68" t="str">
        <f t="shared" si="15"/>
      </c>
      <c r="W114" s="68" t="str">
        <f t="shared" si="16"/>
      </c>
      <c r="X114" s="68" t="n">
        <f t="shared" si="21"/>
        <v>0</v>
      </c>
      <c r="Y114" s="68" t="n">
        <f t="shared" si="22"/>
        <v>0</v>
      </c>
      <c r="Z114" s="67" t="str">
        <f>IF(OR('Prediction Log'!L115="", Table12[[#This Row],[Bet]]="", Table12[[#This Row],[Bet]]="Spread"), "",IF('Prediction Log'!L115=Table12[[#This Row],[Side]], "W", IF('Prediction Log'!L115&lt;&gt;Table12[[#This Row],[Side]], "L", "")))</f>
      </c>
      <c r="AA114" s="59" t="str">
        <f t="shared" si="23"/>
      </c>
      <c r="AB114" s="67" t="str">
        <f>IF(OR(Table12[[#This Row],[Bet]]="Side",Table12[[#This Row],[Bet]]="", 'Prediction Log'!L115=""), "",IF('Prediction Log'!U115="Y", "W", IF('Prediction Log'!U115="N", "L", "")))</f>
      </c>
      <c r="AC114" s="59" t="str">
        <f t="shared" si="12"/>
      </c>
      <c r="AD114" s="67"/>
      <c r="AE114" s="65" t="str">
        <f t="shared" si="20"/>
      </c>
      <c r="AF1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5">
      <c r="A115" s="65" t="str">
        <f>IF(ISBLANK(Games!A115), "", Games!A115)</f>
      </c>
      <c r="B115" s="65" t="str">
        <f>IF('Prediction Log'!B116=0, "",'Prediction Log'!B116)</f>
      </c>
      <c r="C115" s="65" t="str">
        <f>IF('Prediction Log'!C116=0, "",'Prediction Log'!C116)</f>
      </c>
      <c r="D115" s="65" t="str">
        <f>IF('Prediction Log'!D116=0, "",'Prediction Log'!D116)</f>
      </c>
      <c r="E115" s="58" t="str">
        <f>IF('Prediction Log'!E116=0, "",'Prediction Log'!E116)</f>
      </c>
      <c r="F115" s="65" t="str">
        <f>IF('Prediction Log'!H116=0, "",'Prediction Log'!H116)</f>
      </c>
      <c r="G115" s="64" t="str">
        <f>IF(ISBLANK(Games!B115), "",'Prediction Log'!$I116)</f>
      </c>
      <c r="H115" s="66" t="n">
        <f>'Prediction Log'!$J116</f>
        <v>0</v>
      </c>
      <c r="I115" s="65" t="str">
        <f>IF(ISBLANK(Games!T115), "",IF(AND(Games!T115="",Games!U115=""),"",IF(ISTEXT(Games!U115), "Side",Games!T115)))</f>
      </c>
      <c r="J115" s="65" t="str">
        <f>IF(ISBLANK(Games!T115), "",IF(Table12[[#This Row],[Bet]]="Spread", Games!X115, ""))</f>
      </c>
      <c r="K115" s="65" t="str">
        <f>IF(ISBLANK(Games!U115), "",IF(ISTEXT(Games!U115), Games!U115, ""))</f>
      </c>
      <c r="L115" s="57" t="str">
        <f>IF(ISBLANK(Games!D115), "", Games!D115)</f>
      </c>
      <c r="M115" s="65"/>
      <c r="N115" s="75" t="str">
        <f>IF(Games!V115="", "",Games!V115)</f>
      </c>
      <c r="O115" s="75" t="str">
        <f>IF(Games!Z115=0, "",Games!Z115)</f>
      </c>
      <c r="P115" s="67"/>
      <c r="Q115" s="67" t="str">
        <f>IF(ISBLANK(Games!W115), "", Games!W115)</f>
      </c>
      <c r="R115" s="67" t="str">
        <f>IF(ISBLANK(Games!AA115), "", Games!AA115)</f>
      </c>
      <c r="S115" s="67"/>
      <c r="T115" s="68" t="str">
        <f t="shared" si="13"/>
      </c>
      <c r="U115" s="68" t="str">
        <f t="shared" si="14"/>
      </c>
      <c r="V115" s="68" t="str">
        <f t="shared" si="15"/>
      </c>
      <c r="W115" s="68" t="str">
        <f t="shared" si="16"/>
      </c>
      <c r="X115" s="68" t="n">
        <f t="shared" si="21"/>
        <v>0</v>
      </c>
      <c r="Y115" s="68" t="n">
        <f t="shared" si="22"/>
        <v>0</v>
      </c>
      <c r="Z115" s="67" t="str">
        <f>IF(OR('Prediction Log'!L116="", Table12[[#This Row],[Bet]]="", Table12[[#This Row],[Bet]]="Spread"), "",IF('Prediction Log'!L116=Table12[[#This Row],[Side]], "W", IF('Prediction Log'!L116&lt;&gt;Table12[[#This Row],[Side]], "L", "")))</f>
      </c>
      <c r="AA115" s="59" t="str">
        <f t="shared" si="23"/>
      </c>
      <c r="AB115" s="67" t="str">
        <f>IF(OR(Table12[[#This Row],[Bet]]="Side",Table12[[#This Row],[Bet]]="", 'Prediction Log'!L116=""), "",IF('Prediction Log'!U116="Y", "W", IF('Prediction Log'!U116="N", "L", "")))</f>
      </c>
      <c r="AC115" s="59" t="str">
        <f t="shared" si="12"/>
      </c>
      <c r="AD115" s="67"/>
      <c r="AE115" s="65" t="str">
        <f t="shared" si="20"/>
      </c>
      <c r="AF1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6">
      <c r="A116" s="65" t="str">
        <f>IF(ISBLANK(Games!A116), "", Games!A116)</f>
      </c>
      <c r="B116" s="65" t="str">
        <f>IF('Prediction Log'!B117=0, "",'Prediction Log'!B117)</f>
      </c>
      <c r="C116" s="65" t="str">
        <f>IF('Prediction Log'!C117=0, "",'Prediction Log'!C117)</f>
      </c>
      <c r="D116" s="65" t="str">
        <f>IF('Prediction Log'!D117=0, "",'Prediction Log'!D117)</f>
      </c>
      <c r="E116" s="58" t="str">
        <f>IF('Prediction Log'!E117=0, "",'Prediction Log'!E117)</f>
      </c>
      <c r="F116" s="65" t="str">
        <f>IF('Prediction Log'!H117=0, "",'Prediction Log'!H117)</f>
      </c>
      <c r="G116" s="64" t="str">
        <f>IF(ISBLANK(Games!B116), "",'Prediction Log'!$I117)</f>
      </c>
      <c r="H116" s="66" t="n">
        <f>'Prediction Log'!$J117</f>
        <v>0</v>
      </c>
      <c r="I116" s="65" t="str">
        <f>IF(ISBLANK(Games!T116), "",IF(AND(Games!T116="",Games!U116=""),"",IF(ISTEXT(Games!U116), "Side",Games!T116)))</f>
      </c>
      <c r="J116" s="65" t="str">
        <f>IF(ISBLANK(Games!T116), "",IF(Table12[[#This Row],[Bet]]="Spread", Games!X116, ""))</f>
      </c>
      <c r="K116" s="65" t="str">
        <f>IF(ISBLANK(Games!U116), "",IF(ISTEXT(Games!U116), Games!U116, ""))</f>
      </c>
      <c r="L116" s="57" t="str">
        <f>IF(ISBLANK(Games!D116), "", Games!D116)</f>
      </c>
      <c r="M116" s="65"/>
      <c r="N116" s="75" t="str">
        <f>IF(Games!V116="", "",Games!V116)</f>
      </c>
      <c r="O116" s="75" t="str">
        <f>IF(Games!Z116=0, "",Games!Z116)</f>
      </c>
      <c r="P116" s="67"/>
      <c r="Q116" s="67" t="str">
        <f>IF(ISBLANK(Games!W116), "", Games!W116)</f>
      </c>
      <c r="R116" s="67" t="str">
        <f>IF(ISBLANK(Games!AA116), "", Games!AA116)</f>
      </c>
      <c r="S116" s="67"/>
      <c r="T116" s="68" t="str">
        <f t="shared" si="13"/>
      </c>
      <c r="U116" s="68" t="str">
        <f t="shared" si="14"/>
      </c>
      <c r="V116" s="68" t="str">
        <f t="shared" si="15"/>
      </c>
      <c r="W116" s="68" t="str">
        <f t="shared" si="16"/>
      </c>
      <c r="X116" s="68" t="n">
        <f t="shared" si="21"/>
        <v>0</v>
      </c>
      <c r="Y116" s="68" t="n">
        <f t="shared" si="22"/>
        <v>0</v>
      </c>
      <c r="Z116" s="67" t="str">
        <f>IF(OR('Prediction Log'!L117="", Table12[[#This Row],[Bet]]="", Table12[[#This Row],[Bet]]="Spread"), "",IF('Prediction Log'!L117=Table12[[#This Row],[Side]], "W", IF('Prediction Log'!L117&lt;&gt;Table12[[#This Row],[Side]], "L", "")))</f>
      </c>
      <c r="AA116" s="59" t="str">
        <f t="shared" si="23"/>
      </c>
      <c r="AB116" s="67" t="str">
        <f>IF(OR(Table12[[#This Row],[Bet]]="Side",Table12[[#This Row],[Bet]]="", 'Prediction Log'!L117=""), "",IF('Prediction Log'!U117="Y", "W", IF('Prediction Log'!U117="N", "L", "")))</f>
      </c>
      <c r="AC116" s="59" t="str">
        <f t="shared" si="12"/>
      </c>
      <c r="AD116" s="67"/>
      <c r="AE116" s="65" t="str">
        <f t="shared" si="20"/>
      </c>
      <c r="AF1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7">
      <c r="A117" s="65" t="str">
        <f>IF(ISBLANK(Games!A117), "", Games!A117)</f>
      </c>
      <c r="B117" s="65" t="str">
        <f>IF('Prediction Log'!B118=0, "",'Prediction Log'!B118)</f>
      </c>
      <c r="C117" s="65" t="str">
        <f>IF('Prediction Log'!C118=0, "",'Prediction Log'!C118)</f>
      </c>
      <c r="D117" s="65" t="str">
        <f>IF('Prediction Log'!D118=0, "",'Prediction Log'!D118)</f>
      </c>
      <c r="E117" s="58" t="str">
        <f>IF('Prediction Log'!E118=0, "",'Prediction Log'!E118)</f>
      </c>
      <c r="F117" s="65" t="str">
        <f>IF('Prediction Log'!H118=0, "",'Prediction Log'!H118)</f>
      </c>
      <c r="G117" s="64" t="str">
        <f>IF(ISBLANK(Games!B117), "",'Prediction Log'!$I118)</f>
      </c>
      <c r="H117" s="66" t="n">
        <f>'Prediction Log'!$J118</f>
        <v>0</v>
      </c>
      <c r="I117" s="65" t="str">
        <f>IF(ISBLANK(Games!T117), "",IF(AND(Games!T117="",Games!U117=""),"",IF(ISTEXT(Games!U117), "Side",Games!T117)))</f>
      </c>
      <c r="J117" s="65" t="str">
        <f>IF(ISBLANK(Games!T117), "",IF(Table12[[#This Row],[Bet]]="Spread", Games!X117, ""))</f>
      </c>
      <c r="K117" s="65" t="str">
        <f>IF(ISBLANK(Games!U117), "",IF(ISTEXT(Games!U117), Games!U117, ""))</f>
      </c>
      <c r="L117" s="57" t="str">
        <f>IF(ISBLANK(Games!D117), "", Games!D117)</f>
      </c>
      <c r="M117" s="65"/>
      <c r="N117" s="75" t="str">
        <f>IF(Games!V117="", "",Games!V117)</f>
      </c>
      <c r="O117" s="75" t="str">
        <f>IF(Games!Z117=0, "",Games!Z117)</f>
      </c>
      <c r="P117" s="67"/>
      <c r="Q117" s="67" t="str">
        <f>IF(ISBLANK(Games!W117), "", Games!W117)</f>
      </c>
      <c r="R117" s="67" t="str">
        <f>IF(ISBLANK(Games!AA117), "", Games!AA117)</f>
      </c>
      <c r="S117" s="67"/>
      <c r="T117" s="68" t="str">
        <f t="shared" si="13"/>
      </c>
      <c r="U117" s="68" t="str">
        <f t="shared" si="14"/>
      </c>
      <c r="V117" s="68" t="str">
        <f t="shared" si="15"/>
      </c>
      <c r="W117" s="68" t="str">
        <f t="shared" si="16"/>
      </c>
      <c r="X117" s="68" t="n">
        <f t="shared" si="21"/>
        <v>0</v>
      </c>
      <c r="Y117" s="68" t="n">
        <f t="shared" si="22"/>
        <v>0</v>
      </c>
      <c r="Z117" s="67" t="str">
        <f>IF(OR('Prediction Log'!L118="", Table12[[#This Row],[Bet]]="", Table12[[#This Row],[Bet]]="Spread"), "",IF('Prediction Log'!L118=Table12[[#This Row],[Side]], "W", IF('Prediction Log'!L118&lt;&gt;Table12[[#This Row],[Side]], "L", "")))</f>
      </c>
      <c r="AA117" s="59" t="str">
        <f t="shared" si="23"/>
      </c>
      <c r="AB117" s="67" t="str">
        <f>IF(OR(Table12[[#This Row],[Bet]]="Side",Table12[[#This Row],[Bet]]="", 'Prediction Log'!L118=""), "",IF('Prediction Log'!U118="Y", "W", IF('Prediction Log'!U118="N", "L", "")))</f>
      </c>
      <c r="AC117" s="59" t="str">
        <f t="shared" si="12"/>
      </c>
      <c r="AD117" s="67"/>
      <c r="AE117" s="65" t="str">
        <f t="shared" si="20"/>
      </c>
      <c r="AF1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8">
      <c r="A118" s="65" t="str">
        <f>IF(ISBLANK(Games!A118), "", Games!A118)</f>
      </c>
      <c r="B118" s="65" t="str">
        <f>IF('Prediction Log'!B119=0, "",'Prediction Log'!B119)</f>
      </c>
      <c r="C118" s="65" t="str">
        <f>IF('Prediction Log'!C119=0, "",'Prediction Log'!C119)</f>
      </c>
      <c r="D118" s="65" t="str">
        <f>IF('Prediction Log'!D119=0, "",'Prediction Log'!D119)</f>
      </c>
      <c r="E118" s="58" t="str">
        <f>IF('Prediction Log'!E119=0, "",'Prediction Log'!E119)</f>
      </c>
      <c r="F118" s="65" t="str">
        <f>IF('Prediction Log'!H119=0, "",'Prediction Log'!H119)</f>
      </c>
      <c r="G118" s="64" t="str">
        <f>IF(ISBLANK(Games!B118), "",'Prediction Log'!$I119)</f>
      </c>
      <c r="H118" s="66" t="n">
        <f>'Prediction Log'!$J119</f>
        <v>0</v>
      </c>
      <c r="I118" s="65" t="str">
        <f>IF(ISBLANK(Games!T118), "",IF(AND(Games!T118="",Games!U118=""),"",IF(ISTEXT(Games!U118), "Side",Games!T118)))</f>
      </c>
      <c r="J118" s="65" t="str">
        <f>IF(ISBLANK(Games!T118), "",IF(Table12[[#This Row],[Bet]]="Spread", Games!X118, ""))</f>
      </c>
      <c r="K118" s="65" t="str">
        <f>IF(ISBLANK(Games!U118), "",IF(ISTEXT(Games!U118), Games!U118, ""))</f>
      </c>
      <c r="L118" s="57" t="str">
        <f>IF(ISBLANK(Games!D118), "", Games!D118)</f>
      </c>
      <c r="M118" s="65"/>
      <c r="N118" s="75" t="str">
        <f>IF(Games!V118="", "",Games!V118)</f>
      </c>
      <c r="O118" s="75" t="str">
        <f>IF(Games!Z118=0, "",Games!Z118)</f>
      </c>
      <c r="P118" s="67"/>
      <c r="Q118" s="67" t="str">
        <f>IF(ISBLANK(Games!W118), "", Games!W118)</f>
      </c>
      <c r="R118" s="67" t="str">
        <f>IF(ISBLANK(Games!AA118), "", Games!AA118)</f>
      </c>
      <c r="S118" s="67"/>
      <c r="T118" s="68" t="str">
        <f t="shared" si="13"/>
      </c>
      <c r="U118" s="68" t="str">
        <f t="shared" si="14"/>
      </c>
      <c r="V118" s="68" t="str">
        <f t="shared" si="15"/>
      </c>
      <c r="W118" s="68" t="str">
        <f t="shared" si="16"/>
      </c>
      <c r="X118" s="68" t="n">
        <f t="shared" si="21"/>
        <v>0</v>
      </c>
      <c r="Y118" s="68" t="n">
        <f t="shared" si="22"/>
        <v>0</v>
      </c>
      <c r="Z118" s="67" t="str">
        <f>IF(OR('Prediction Log'!L119="", Table12[[#This Row],[Bet]]="", Table12[[#This Row],[Bet]]="Spread"), "",IF('Prediction Log'!L119=Table12[[#This Row],[Side]], "W", IF('Prediction Log'!L119&lt;&gt;Table12[[#This Row],[Side]], "L", "")))</f>
      </c>
      <c r="AA118" s="59" t="str">
        <f t="shared" si="23"/>
      </c>
      <c r="AB118" s="67" t="str">
        <f>IF(OR(Table12[[#This Row],[Bet]]="Side",Table12[[#This Row],[Bet]]="", 'Prediction Log'!L119=""), "",IF('Prediction Log'!U119="Y", "W", IF('Prediction Log'!U119="N", "L", "")))</f>
      </c>
      <c r="AC118" s="59" t="str">
        <f t="shared" si="12"/>
      </c>
      <c r="AD118" s="67"/>
      <c r="AE118" s="65" t="str">
        <f t="shared" si="20"/>
      </c>
      <c r="AF1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9">
      <c r="A119" s="65" t="str">
        <f>IF(ISBLANK(Games!A119), "", Games!A119)</f>
      </c>
      <c r="B119" s="65" t="str">
        <f>IF('Prediction Log'!B120=0, "",'Prediction Log'!B120)</f>
      </c>
      <c r="C119" s="65" t="str">
        <f>IF('Prediction Log'!C120=0, "",'Prediction Log'!C120)</f>
      </c>
      <c r="D119" s="65" t="str">
        <f>IF('Prediction Log'!D120=0, "",'Prediction Log'!D120)</f>
      </c>
      <c r="E119" s="58" t="str">
        <f>IF('Prediction Log'!E120=0, "",'Prediction Log'!E120)</f>
      </c>
      <c r="F119" s="65" t="str">
        <f>IF('Prediction Log'!H120=0, "",'Prediction Log'!H120)</f>
      </c>
      <c r="G119" s="64" t="str">
        <f>IF(ISBLANK(Games!B119), "",'Prediction Log'!$I120)</f>
      </c>
      <c r="H119" s="66" t="n">
        <f>'Prediction Log'!$J120</f>
        <v>0</v>
      </c>
      <c r="I119" s="65" t="str">
        <f>IF(ISBLANK(Games!T119), "",IF(AND(Games!T119="",Games!U119=""),"",IF(ISTEXT(Games!U119), "Side",Games!T119)))</f>
      </c>
      <c r="J119" s="65" t="str">
        <f>IF(ISBLANK(Games!T119), "",IF(Table12[[#This Row],[Bet]]="Spread", Games!X119, ""))</f>
      </c>
      <c r="K119" s="65" t="str">
        <f>IF(ISBLANK(Games!U119), "",IF(ISTEXT(Games!U119), Games!U119, ""))</f>
      </c>
      <c r="L119" s="57" t="str">
        <f>IF(ISBLANK(Games!D119), "", Games!D119)</f>
      </c>
      <c r="M119" s="65"/>
      <c r="N119" s="75" t="str">
        <f>IF(Games!V119="", "",Games!V119)</f>
      </c>
      <c r="O119" s="75" t="str">
        <f>IF(Games!Z119=0, "",Games!Z119)</f>
      </c>
      <c r="P119" s="67"/>
      <c r="Q119" s="67" t="str">
        <f>IF(ISBLANK(Games!W119), "", Games!W119)</f>
      </c>
      <c r="R119" s="67" t="str">
        <f>IF(ISBLANK(Games!AA119), "", Games!AA119)</f>
      </c>
      <c r="S119" s="67"/>
      <c r="T119" s="68" t="str">
        <f t="shared" si="13"/>
      </c>
      <c r="U119" s="68" t="str">
        <f t="shared" si="14"/>
      </c>
      <c r="V119" s="68" t="str">
        <f t="shared" si="15"/>
      </c>
      <c r="W119" s="68" t="str">
        <f t="shared" si="16"/>
      </c>
      <c r="X119" s="68" t="n">
        <f t="shared" si="21"/>
        <v>0</v>
      </c>
      <c r="Y119" s="68" t="n">
        <f t="shared" si="22"/>
        <v>0</v>
      </c>
      <c r="Z119" s="67" t="str">
        <f>IF(OR('Prediction Log'!L120="", Table12[[#This Row],[Bet]]="", Table12[[#This Row],[Bet]]="Spread"), "",IF('Prediction Log'!L120=Table12[[#This Row],[Side]], "W", IF('Prediction Log'!L120&lt;&gt;Table12[[#This Row],[Side]], "L", "")))</f>
      </c>
      <c r="AA119" s="59" t="str">
        <f t="shared" si="23"/>
      </c>
      <c r="AB119" s="67" t="str">
        <f>IF(OR(Table12[[#This Row],[Bet]]="Side",Table12[[#This Row],[Bet]]="", 'Prediction Log'!L120=""), "",IF('Prediction Log'!U120="Y", "W", IF('Prediction Log'!U120="N", "L", "")))</f>
      </c>
      <c r="AC119" s="59" t="str">
        <f t="shared" si="12"/>
      </c>
      <c r="AD119" s="67"/>
      <c r="AE119" s="65" t="str">
        <f t="shared" si="20"/>
      </c>
      <c r="AF1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0">
      <c r="A120" s="65" t="str">
        <f>IF(ISBLANK(Games!A120), "", Games!A120)</f>
      </c>
      <c r="B120" s="65" t="str">
        <f>IF('Prediction Log'!B121=0, "",'Prediction Log'!B121)</f>
      </c>
      <c r="C120" s="65" t="str">
        <f>IF('Prediction Log'!C121=0, "",'Prediction Log'!C121)</f>
      </c>
      <c r="D120" s="65" t="str">
        <f>IF('Prediction Log'!D121=0, "",'Prediction Log'!D121)</f>
      </c>
      <c r="E120" s="58" t="str">
        <f>IF('Prediction Log'!E121=0, "",'Prediction Log'!E121)</f>
      </c>
      <c r="F120" s="65" t="str">
        <f>IF('Prediction Log'!H121=0, "",'Prediction Log'!H121)</f>
      </c>
      <c r="G120" s="64" t="str">
        <f>IF(ISBLANK(Games!B120), "",'Prediction Log'!$I121)</f>
      </c>
      <c r="H120" s="66" t="n">
        <f>'Prediction Log'!$J121</f>
        <v>0</v>
      </c>
      <c r="I120" s="65" t="str">
        <f>IF(ISBLANK(Games!T120), "",IF(AND(Games!T120="",Games!U120=""),"",IF(ISTEXT(Games!U120), "Side",Games!T120)))</f>
      </c>
      <c r="J120" s="65" t="str">
        <f>IF(ISBLANK(Games!T120), "",IF(Table12[[#This Row],[Bet]]="Spread", Games!X120, ""))</f>
      </c>
      <c r="K120" s="65" t="str">
        <f>IF(ISBLANK(Games!U120), "",IF(ISTEXT(Games!U120), Games!U120, ""))</f>
      </c>
      <c r="L120" s="57" t="str">
        <f>IF(ISBLANK(Games!D120), "", Games!D120)</f>
      </c>
      <c r="M120" s="65"/>
      <c r="N120" s="75" t="str">
        <f>IF(Games!V120="", "",Games!V120)</f>
      </c>
      <c r="O120" s="75" t="str">
        <f>IF(Games!Z120=0, "",Games!Z120)</f>
      </c>
      <c r="P120" s="67"/>
      <c r="Q120" s="67" t="str">
        <f>IF(ISBLANK(Games!W120), "", Games!W120)</f>
      </c>
      <c r="R120" s="67" t="str">
        <f>IF(ISBLANK(Games!AA120), "", Games!AA120)</f>
      </c>
      <c r="S120" s="67"/>
      <c r="T120" s="68" t="str">
        <f t="shared" si="13"/>
      </c>
      <c r="U120" s="68" t="str">
        <f t="shared" si="14"/>
      </c>
      <c r="V120" s="68" t="str">
        <f t="shared" si="15"/>
      </c>
      <c r="W120" s="68" t="str">
        <f t="shared" si="16"/>
      </c>
      <c r="X120" s="68" t="n">
        <f t="shared" si="21"/>
        <v>0</v>
      </c>
      <c r="Y120" s="68" t="n">
        <f t="shared" si="22"/>
        <v>0</v>
      </c>
      <c r="Z120" s="67" t="str">
        <f>IF(OR('Prediction Log'!L121="", Table12[[#This Row],[Bet]]="", Table12[[#This Row],[Bet]]="Spread"), "",IF('Prediction Log'!L121=Table12[[#This Row],[Side]], "W", IF('Prediction Log'!L121&lt;&gt;Table12[[#This Row],[Side]], "L", "")))</f>
      </c>
      <c r="AA120" s="59" t="str">
        <f t="shared" si="23"/>
      </c>
      <c r="AB120" s="67" t="str">
        <f>IF(OR(Table12[[#This Row],[Bet]]="Side",Table12[[#This Row],[Bet]]="", 'Prediction Log'!L121=""), "",IF('Prediction Log'!U121="Y", "W", IF('Prediction Log'!U121="N", "L", "")))</f>
      </c>
      <c r="AC120" s="59" t="str">
        <f t="shared" si="12"/>
      </c>
      <c r="AD120" s="67"/>
      <c r="AE120" s="65" t="str">
        <f t="shared" si="20"/>
      </c>
      <c r="AF1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1">
      <c r="A121" s="65" t="str">
        <f>IF(ISBLANK(Games!A121), "", Games!A121)</f>
      </c>
      <c r="B121" s="65" t="str">
        <f>IF('Prediction Log'!B122=0, "",'Prediction Log'!B122)</f>
      </c>
      <c r="C121" s="65" t="str">
        <f>IF('Prediction Log'!C122=0, "",'Prediction Log'!C122)</f>
      </c>
      <c r="D121" s="65" t="str">
        <f>IF('Prediction Log'!D122=0, "",'Prediction Log'!D122)</f>
      </c>
      <c r="E121" s="58" t="str">
        <f>IF('Prediction Log'!E122=0, "",'Prediction Log'!E122)</f>
      </c>
      <c r="F121" s="65" t="str">
        <f>IF('Prediction Log'!H122=0, "",'Prediction Log'!H122)</f>
      </c>
      <c r="G121" s="64" t="str">
        <f>IF(ISBLANK(Games!B121), "",'Prediction Log'!$I122)</f>
      </c>
      <c r="H121" s="66" t="n">
        <f>'Prediction Log'!$J122</f>
        <v>0</v>
      </c>
      <c r="I121" s="65" t="str">
        <f>IF(ISBLANK(Games!T121), "",IF(AND(Games!T121="",Games!U121=""),"",IF(ISTEXT(Games!U121), "Side",Games!T121)))</f>
      </c>
      <c r="J121" s="65" t="str">
        <f>IF(ISBLANK(Games!T121), "",IF(Table12[[#This Row],[Bet]]="Spread", Games!X121, ""))</f>
      </c>
      <c r="K121" s="65" t="str">
        <f>IF(ISBLANK(Games!U121), "",IF(ISTEXT(Games!U121), Games!U121, ""))</f>
      </c>
      <c r="L121" s="57" t="str">
        <f>IF(ISBLANK(Games!D121), "", Games!D121)</f>
      </c>
      <c r="M121" s="65"/>
      <c r="N121" s="75" t="str">
        <f>IF(Games!V121="", "",Games!V121)</f>
      </c>
      <c r="O121" s="75" t="str">
        <f>IF(Games!Z121=0, "",Games!Z121)</f>
      </c>
      <c r="P121" s="67"/>
      <c r="Q121" s="67" t="str">
        <f>IF(ISBLANK(Games!W121), "", Games!W121)</f>
      </c>
      <c r="R121" s="67" t="str">
        <f>IF(ISBLANK(Games!AA121), "", Games!AA121)</f>
      </c>
      <c r="S121" s="67"/>
      <c r="T121" s="68" t="str">
        <f t="shared" si="13"/>
      </c>
      <c r="U121" s="68" t="str">
        <f t="shared" si="14"/>
      </c>
      <c r="V121" s="68" t="str">
        <f t="shared" si="15"/>
      </c>
      <c r="W121" s="68" t="str">
        <f t="shared" si="16"/>
      </c>
      <c r="X121" s="68" t="n">
        <f t="shared" si="21"/>
        <v>0</v>
      </c>
      <c r="Y121" s="68" t="n">
        <f t="shared" si="22"/>
        <v>0</v>
      </c>
      <c r="Z121" s="67" t="str">
        <f>IF(OR('Prediction Log'!L122="", Table12[[#This Row],[Bet]]="", Table12[[#This Row],[Bet]]="Spread"), "",IF('Prediction Log'!L122=Table12[[#This Row],[Side]], "W", IF('Prediction Log'!L122&lt;&gt;Table12[[#This Row],[Side]], "L", "")))</f>
      </c>
      <c r="AA121" s="59" t="str">
        <f t="shared" si="23"/>
      </c>
      <c r="AB121" s="67" t="str">
        <f>IF(OR(Table12[[#This Row],[Bet]]="Side",Table12[[#This Row],[Bet]]="", 'Prediction Log'!L122=""), "",IF('Prediction Log'!U122="Y", "W", IF('Prediction Log'!U122="N", "L", "")))</f>
      </c>
      <c r="AC121" s="59" t="str">
        <f t="shared" si="12"/>
      </c>
      <c r="AD121" s="67"/>
      <c r="AE121" s="65" t="str">
        <f t="shared" si="20"/>
      </c>
      <c r="AF1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2">
      <c r="A122" s="65" t="str">
        <f>IF(ISBLANK(Games!A122), "", Games!A122)</f>
      </c>
      <c r="B122" s="65" t="str">
        <f>IF('Prediction Log'!B123=0, "",'Prediction Log'!B123)</f>
      </c>
      <c r="C122" s="65" t="str">
        <f>IF('Prediction Log'!C123=0, "",'Prediction Log'!C123)</f>
      </c>
      <c r="D122" s="65" t="str">
        <f>IF('Prediction Log'!D123=0, "",'Prediction Log'!D123)</f>
      </c>
      <c r="E122" s="58" t="str">
        <f>IF('Prediction Log'!E123=0, "",'Prediction Log'!E123)</f>
      </c>
      <c r="F122" s="65" t="str">
        <f>IF('Prediction Log'!H123=0, "",'Prediction Log'!H123)</f>
      </c>
      <c r="G122" s="64" t="str">
        <f>IF(ISBLANK(Games!B122), "",'Prediction Log'!$I123)</f>
      </c>
      <c r="H122" s="66" t="n">
        <f>'Prediction Log'!$J123</f>
        <v>0</v>
      </c>
      <c r="I122" s="65" t="str">
        <f>IF(ISBLANK(Games!T122), "",IF(AND(Games!T122="",Games!U122=""),"",IF(ISTEXT(Games!U122), "Side",Games!T122)))</f>
      </c>
      <c r="J122" s="65" t="str">
        <f>IF(ISBLANK(Games!T122), "",IF(Table12[[#This Row],[Bet]]="Spread", Games!X122, ""))</f>
      </c>
      <c r="K122" s="65" t="str">
        <f>IF(ISBLANK(Games!U122), "",IF(ISTEXT(Games!U122), Games!U122, ""))</f>
      </c>
      <c r="L122" s="57" t="str">
        <f>IF(ISBLANK(Games!D122), "", Games!D122)</f>
      </c>
      <c r="M122" s="65"/>
      <c r="N122" s="75" t="str">
        <f>IF(Games!V122="", "",Games!V122)</f>
      </c>
      <c r="O122" s="75" t="str">
        <f>IF(Games!Z122=0, "",Games!Z122)</f>
      </c>
      <c r="P122" s="67"/>
      <c r="Q122" s="67" t="str">
        <f>IF(ISBLANK(Games!W122), "", Games!W122)</f>
      </c>
      <c r="R122" s="67" t="str">
        <f>IF(ISBLANK(Games!AA122), "", Games!AA122)</f>
      </c>
      <c r="S122" s="67"/>
      <c r="T122" s="68" t="str">
        <f t="shared" si="13"/>
      </c>
      <c r="U122" s="68" t="str">
        <f t="shared" si="14"/>
      </c>
      <c r="V122" s="68" t="str">
        <f t="shared" si="15"/>
      </c>
      <c r="W122" s="68" t="str">
        <f t="shared" si="16"/>
      </c>
      <c r="X122" s="68" t="n">
        <f t="shared" si="21"/>
        <v>0</v>
      </c>
      <c r="Y122" s="68" t="n">
        <f t="shared" si="22"/>
        <v>0</v>
      </c>
      <c r="Z122" s="67" t="str">
        <f>IF(OR('Prediction Log'!L123="", Table12[[#This Row],[Bet]]="", Table12[[#This Row],[Bet]]="Spread"), "",IF('Prediction Log'!L123=Table12[[#This Row],[Side]], "W", IF('Prediction Log'!L123&lt;&gt;Table12[[#This Row],[Side]], "L", "")))</f>
      </c>
      <c r="AA122" s="59" t="str">
        <f t="shared" si="23"/>
      </c>
      <c r="AB122" s="67" t="str">
        <f>IF(OR(Table12[[#This Row],[Bet]]="Side",Table12[[#This Row],[Bet]]="", 'Prediction Log'!L123=""), "",IF('Prediction Log'!U123="Y", "W", IF('Prediction Log'!U123="N", "L", "")))</f>
      </c>
      <c r="AC122" s="59" t="str">
        <f t="shared" si="12"/>
      </c>
      <c r="AD122" s="67"/>
      <c r="AE122" s="65" t="str">
        <f t="shared" si="20"/>
      </c>
      <c r="AF1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3">
      <c r="A123" s="65" t="str">
        <f>IF(ISBLANK(Games!A123), "", Games!A123)</f>
      </c>
      <c r="B123" s="65" t="str">
        <f>IF('Prediction Log'!B124=0, "",'Prediction Log'!B124)</f>
      </c>
      <c r="C123" s="65" t="str">
        <f>IF('Prediction Log'!C124=0, "",'Prediction Log'!C124)</f>
      </c>
      <c r="D123" s="65" t="str">
        <f>IF('Prediction Log'!D124=0, "",'Prediction Log'!D124)</f>
      </c>
      <c r="E123" s="58" t="str">
        <f>IF('Prediction Log'!E124=0, "",'Prediction Log'!E124)</f>
      </c>
      <c r="F123" s="65" t="str">
        <f>IF('Prediction Log'!H124=0, "",'Prediction Log'!H124)</f>
      </c>
      <c r="G123" s="64" t="str">
        <f>IF(ISBLANK(Games!B123), "",'Prediction Log'!$I124)</f>
      </c>
      <c r="H123" s="66" t="n">
        <f>'Prediction Log'!$J124</f>
        <v>0</v>
      </c>
      <c r="I123" s="65" t="str">
        <f>IF(ISBLANK(Games!T123), "",IF(AND(Games!T123="",Games!U123=""),"",IF(ISTEXT(Games!U123), "Side",Games!T123)))</f>
      </c>
      <c r="J123" s="65" t="str">
        <f>IF(ISBLANK(Games!T123), "",IF(Table12[[#This Row],[Bet]]="Spread", Games!X123, ""))</f>
      </c>
      <c r="K123" s="65" t="str">
        <f>IF(ISBLANK(Games!U123), "",IF(ISTEXT(Games!U123), Games!U123, ""))</f>
      </c>
      <c r="L123" s="57" t="str">
        <f>IF(ISBLANK(Games!D123), "", Games!D123)</f>
      </c>
      <c r="M123" s="65"/>
      <c r="N123" s="75" t="str">
        <f>IF(Games!V123="", "",Games!V123)</f>
      </c>
      <c r="O123" s="75" t="str">
        <f>IF(Games!Z123=0, "",Games!Z123)</f>
      </c>
      <c r="P123" s="67"/>
      <c r="Q123" s="67" t="str">
        <f>IF(ISBLANK(Games!W123), "", Games!W123)</f>
      </c>
      <c r="R123" s="67" t="str">
        <f>IF(ISBLANK(Games!AA123), "", Games!AA123)</f>
      </c>
      <c r="S123" s="67"/>
      <c r="T123" s="68" t="str">
        <f t="shared" si="13"/>
      </c>
      <c r="U123" s="68" t="str">
        <f t="shared" si="14"/>
      </c>
      <c r="V123" s="68" t="str">
        <f t="shared" si="15"/>
      </c>
      <c r="W123" s="68" t="str">
        <f t="shared" si="16"/>
      </c>
      <c r="X123" s="68" t="n">
        <f t="shared" si="21"/>
        <v>0</v>
      </c>
      <c r="Y123" s="68" t="n">
        <f t="shared" si="22"/>
        <v>0</v>
      </c>
      <c r="Z123" s="67" t="str">
        <f>IF(OR('Prediction Log'!L124="", Table12[[#This Row],[Bet]]="", Table12[[#This Row],[Bet]]="Spread"), "",IF('Prediction Log'!L124=Table12[[#This Row],[Side]], "W", IF('Prediction Log'!L124&lt;&gt;Table12[[#This Row],[Side]], "L", "")))</f>
      </c>
      <c r="AA123" s="59" t="str">
        <f t="shared" si="23"/>
      </c>
      <c r="AB123" s="67" t="str">
        <f>IF(OR(Table12[[#This Row],[Bet]]="Side",Table12[[#This Row],[Bet]]="", 'Prediction Log'!L124=""), "",IF('Prediction Log'!U124="Y", "W", IF('Prediction Log'!U124="N", "L", "")))</f>
      </c>
      <c r="AC123" s="59" t="str">
        <f t="shared" si="12"/>
      </c>
      <c r="AD123" s="67"/>
      <c r="AE123" s="65" t="str">
        <f t="shared" si="20"/>
      </c>
      <c r="AF1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4">
      <c r="A124" s="65" t="str">
        <f>IF(ISBLANK(Games!A124), "", Games!A124)</f>
      </c>
      <c r="B124" s="65" t="str">
        <f>IF('Prediction Log'!B125=0, "",'Prediction Log'!B125)</f>
      </c>
      <c r="C124" s="65" t="str">
        <f>IF('Prediction Log'!C125=0, "",'Prediction Log'!C125)</f>
      </c>
      <c r="D124" s="65" t="str">
        <f>IF('Prediction Log'!D125=0, "",'Prediction Log'!D125)</f>
      </c>
      <c r="E124" s="58" t="str">
        <f>IF('Prediction Log'!E125=0, "",'Prediction Log'!E125)</f>
      </c>
      <c r="F124" s="65" t="str">
        <f>IF('Prediction Log'!H125=0, "",'Prediction Log'!H125)</f>
      </c>
      <c r="G124" s="64" t="str">
        <f>IF(ISBLANK(Games!B124), "",'Prediction Log'!$I125)</f>
      </c>
      <c r="H124" s="66" t="n">
        <f>'Prediction Log'!$J125</f>
        <v>0</v>
      </c>
      <c r="I124" s="65" t="str">
        <f>IF(ISBLANK(Games!T124), "",IF(AND(Games!T124="",Games!U124=""),"",IF(ISTEXT(Games!U124), "Side",Games!T124)))</f>
      </c>
      <c r="J124" s="65" t="str">
        <f>IF(ISBLANK(Games!T124), "",IF(Table12[[#This Row],[Bet]]="Spread", Games!X124, ""))</f>
      </c>
      <c r="K124" s="65" t="str">
        <f>IF(ISBLANK(Games!U124), "",IF(ISTEXT(Games!U124), Games!U124, ""))</f>
      </c>
      <c r="L124" s="57" t="str">
        <f>IF(ISBLANK(Games!D124), "", Games!D124)</f>
      </c>
      <c r="M124" s="65"/>
      <c r="N124" s="75" t="str">
        <f>IF(Games!V124="", "",Games!V124)</f>
      </c>
      <c r="O124" s="75" t="str">
        <f>IF(Games!Z124=0, "",Games!Z124)</f>
      </c>
      <c r="P124" s="67"/>
      <c r="Q124" s="67" t="str">
        <f>IF(ISBLANK(Games!W124), "", Games!W124)</f>
      </c>
      <c r="R124" s="67" t="str">
        <f>IF(ISBLANK(Games!AA124), "", Games!AA124)</f>
      </c>
      <c r="S124" s="67"/>
      <c r="T124" s="68" t="str">
        <f t="shared" si="13"/>
      </c>
      <c r="U124" s="68" t="str">
        <f t="shared" si="14"/>
      </c>
      <c r="V124" s="68" t="str">
        <f t="shared" si="15"/>
      </c>
      <c r="W124" s="68" t="str">
        <f t="shared" si="16"/>
      </c>
      <c r="X124" s="68" t="n">
        <f t="shared" si="21"/>
        <v>0</v>
      </c>
      <c r="Y124" s="68" t="n">
        <f t="shared" si="22"/>
        <v>0</v>
      </c>
      <c r="Z124" s="67" t="str">
        <f>IF(OR('Prediction Log'!L125="", Table12[[#This Row],[Bet]]="", Table12[[#This Row],[Bet]]="Spread"), "",IF('Prediction Log'!L125=Table12[[#This Row],[Side]], "W", IF('Prediction Log'!L125&lt;&gt;Table12[[#This Row],[Side]], "L", "")))</f>
      </c>
      <c r="AA124" s="59" t="str">
        <f t="shared" si="23"/>
      </c>
      <c r="AB124" s="67" t="str">
        <f>IF(OR(Table12[[#This Row],[Bet]]="Side",Table12[[#This Row],[Bet]]="", 'Prediction Log'!L125=""), "",IF('Prediction Log'!U125="Y", "W", IF('Prediction Log'!U125="N", "L", "")))</f>
      </c>
      <c r="AC124" s="59" t="str">
        <f t="shared" si="12"/>
      </c>
      <c r="AD124" s="67"/>
      <c r="AE124" s="65" t="str">
        <f t="shared" si="20"/>
      </c>
      <c r="AF1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5">
      <c r="A125" s="65" t="str">
        <f>IF(ISBLANK(Games!A125), "", Games!A125)</f>
      </c>
      <c r="B125" s="65" t="str">
        <f>IF('Prediction Log'!B126=0, "",'Prediction Log'!B126)</f>
      </c>
      <c r="C125" s="65" t="str">
        <f>IF('Prediction Log'!C126=0, "",'Prediction Log'!C126)</f>
      </c>
      <c r="D125" s="65" t="str">
        <f>IF('Prediction Log'!D126=0, "",'Prediction Log'!D126)</f>
      </c>
      <c r="E125" s="58" t="str">
        <f>IF('Prediction Log'!E126=0, "",'Prediction Log'!E126)</f>
      </c>
      <c r="F125" s="65" t="str">
        <f>IF('Prediction Log'!H126=0, "",'Prediction Log'!H126)</f>
      </c>
      <c r="G125" s="64" t="str">
        <f>IF(ISBLANK(Games!B125), "",'Prediction Log'!$I126)</f>
      </c>
      <c r="H125" s="66" t="n">
        <f>'Prediction Log'!$J126</f>
        <v>0</v>
      </c>
      <c r="I125" s="65" t="str">
        <f>IF(ISBLANK(Games!T125), "",IF(AND(Games!T125="",Games!U125=""),"",IF(ISTEXT(Games!U125), "Side",Games!T125)))</f>
      </c>
      <c r="J125" s="65" t="str">
        <f>IF(ISBLANK(Games!T125), "",IF(Table12[[#This Row],[Bet]]="Spread", Games!X125, ""))</f>
      </c>
      <c r="K125" s="65" t="str">
        <f>IF(ISBLANK(Games!U125), "",IF(ISTEXT(Games!U125), Games!U125, ""))</f>
      </c>
      <c r="L125" s="57" t="str">
        <f>IF(ISBLANK(Games!D125), "", Games!D125)</f>
      </c>
      <c r="M125" s="65"/>
      <c r="N125" s="75" t="str">
        <f>IF(Games!V125="", "",Games!V125)</f>
      </c>
      <c r="O125" s="75" t="str">
        <f>IF(Games!Z125=0, "",Games!Z125)</f>
      </c>
      <c r="P125" s="67"/>
      <c r="Q125" s="67" t="str">
        <f>IF(ISBLANK(Games!W125), "", Games!W125)</f>
      </c>
      <c r="R125" s="67" t="str">
        <f>IF(ISBLANK(Games!AA125), "", Games!AA125)</f>
      </c>
      <c r="S125" s="67"/>
      <c r="T125" s="68" t="str">
        <f t="shared" si="13"/>
      </c>
      <c r="U125" s="68" t="str">
        <f t="shared" si="14"/>
      </c>
      <c r="V125" s="68" t="str">
        <f t="shared" si="15"/>
      </c>
      <c r="W125" s="68" t="str">
        <f t="shared" si="16"/>
      </c>
      <c r="X125" s="68" t="n">
        <f t="shared" si="21"/>
        <v>0</v>
      </c>
      <c r="Y125" s="68" t="n">
        <f t="shared" si="22"/>
        <v>0</v>
      </c>
      <c r="Z125" s="67" t="str">
        <f>IF(OR('Prediction Log'!L126="", Table12[[#This Row],[Bet]]="", Table12[[#This Row],[Bet]]="Spread"), "",IF('Prediction Log'!L126=Table12[[#This Row],[Side]], "W", IF('Prediction Log'!L126&lt;&gt;Table12[[#This Row],[Side]], "L", "")))</f>
      </c>
      <c r="AA125" s="59" t="str">
        <f t="shared" si="23"/>
      </c>
      <c r="AB125" s="67" t="str">
        <f>IF(OR(Table12[[#This Row],[Bet]]="Side",Table12[[#This Row],[Bet]]="", 'Prediction Log'!L126=""), "",IF('Prediction Log'!U126="Y", "W", IF('Prediction Log'!U126="N", "L", "")))</f>
      </c>
      <c r="AC125" s="59" t="str">
        <f t="shared" si="12"/>
      </c>
      <c r="AD125" s="67"/>
      <c r="AE125" s="65" t="str">
        <f t="shared" si="20"/>
      </c>
      <c r="AF1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6">
      <c r="A126" s="65" t="str">
        <f>IF(ISBLANK(Games!A126), "", Games!A126)</f>
      </c>
      <c r="B126" s="65" t="str">
        <f>IF('Prediction Log'!B127=0, "",'Prediction Log'!B127)</f>
      </c>
      <c r="C126" s="65" t="str">
        <f>IF('Prediction Log'!C127=0, "",'Prediction Log'!C127)</f>
      </c>
      <c r="D126" s="65" t="str">
        <f>IF('Prediction Log'!D127=0, "",'Prediction Log'!D127)</f>
      </c>
      <c r="E126" s="58" t="str">
        <f>IF('Prediction Log'!E127=0, "",'Prediction Log'!E127)</f>
      </c>
      <c r="F126" s="65" t="str">
        <f>IF('Prediction Log'!H127=0, "",'Prediction Log'!H127)</f>
      </c>
      <c r="G126" s="64" t="str">
        <f>IF(ISBLANK(Games!B126), "",'Prediction Log'!$I127)</f>
      </c>
      <c r="H126" s="66" t="n">
        <f>'Prediction Log'!$J127</f>
        <v>0</v>
      </c>
      <c r="I126" s="65" t="str">
        <f>IF(ISBLANK(Games!T126), "",IF(AND(Games!T126="",Games!U126=""),"",IF(ISTEXT(Games!U126), "Side",Games!T126)))</f>
      </c>
      <c r="J126" s="65" t="str">
        <f>IF(ISBLANK(Games!T126), "",IF(Table12[[#This Row],[Bet]]="Spread", Games!X126, ""))</f>
      </c>
      <c r="K126" s="65" t="str">
        <f>IF(ISBLANK(Games!U126), "",IF(ISTEXT(Games!U126), Games!U126, ""))</f>
      </c>
      <c r="L126" s="57" t="str">
        <f>IF(ISBLANK(Games!D126), "", Games!D126)</f>
      </c>
      <c r="M126" s="65"/>
      <c r="N126" s="75" t="str">
        <f>IF(Games!V126="", "",Games!V126)</f>
      </c>
      <c r="O126" s="75" t="str">
        <f>IF(Games!Z126=0, "",Games!Z126)</f>
      </c>
      <c r="P126" s="67"/>
      <c r="Q126" s="67" t="str">
        <f>IF(ISBLANK(Games!W126), "", Games!W126)</f>
      </c>
      <c r="R126" s="67" t="str">
        <f>IF(ISBLANK(Games!AA126), "", Games!AA126)</f>
      </c>
      <c r="S126" s="67"/>
      <c r="T126" s="68" t="str">
        <f t="shared" si="13"/>
      </c>
      <c r="U126" s="68" t="str">
        <f t="shared" si="14"/>
      </c>
      <c r="V126" s="68" t="str">
        <f t="shared" si="15"/>
      </c>
      <c r="W126" s="68" t="str">
        <f t="shared" si="16"/>
      </c>
      <c r="X126" s="68" t="n">
        <f t="shared" si="21"/>
        <v>0</v>
      </c>
      <c r="Y126" s="68" t="n">
        <f t="shared" si="22"/>
        <v>0</v>
      </c>
      <c r="Z126" s="67" t="str">
        <f>IF(OR('Prediction Log'!L127="", Table12[[#This Row],[Bet]]="", Table12[[#This Row],[Bet]]="Spread"), "",IF('Prediction Log'!L127=Table12[[#This Row],[Side]], "W", IF('Prediction Log'!L127&lt;&gt;Table12[[#This Row],[Side]], "L", "")))</f>
      </c>
      <c r="AA126" s="59" t="str">
        <f t="shared" si="23"/>
      </c>
      <c r="AB126" s="67" t="str">
        <f>IF(OR(Table12[[#This Row],[Bet]]="Side",Table12[[#This Row],[Bet]]="", 'Prediction Log'!L127=""), "",IF('Prediction Log'!U127="Y", "W", IF('Prediction Log'!U127="N", "L", "")))</f>
      </c>
      <c r="AC126" s="59" t="str">
        <f t="shared" si="12"/>
      </c>
      <c r="AD126" s="67"/>
      <c r="AE126" s="65" t="str">
        <f t="shared" si="20"/>
      </c>
      <c r="AF1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7">
      <c r="A127" s="65" t="str">
        <f>IF(ISBLANK(Games!A127), "", Games!A127)</f>
      </c>
      <c r="B127" s="65" t="str">
        <f>IF('Prediction Log'!B128=0, "",'Prediction Log'!B128)</f>
      </c>
      <c r="C127" s="65" t="str">
        <f>IF('Prediction Log'!C128=0, "",'Prediction Log'!C128)</f>
      </c>
      <c r="D127" s="65" t="str">
        <f>IF('Prediction Log'!D128=0, "",'Prediction Log'!D128)</f>
      </c>
      <c r="E127" s="58" t="str">
        <f>IF('Prediction Log'!E128=0, "",'Prediction Log'!E128)</f>
      </c>
      <c r="F127" s="65" t="str">
        <f>IF('Prediction Log'!H128=0, "",'Prediction Log'!H128)</f>
      </c>
      <c r="G127" s="64" t="str">
        <f>IF(ISBLANK(Games!B127), "",'Prediction Log'!$I128)</f>
      </c>
      <c r="H127" s="66" t="n">
        <f>'Prediction Log'!$J128</f>
        <v>0</v>
      </c>
      <c r="I127" s="65" t="str">
        <f>IF(ISBLANK(Games!T127), "",IF(AND(Games!T127="",Games!U127=""),"",IF(ISTEXT(Games!U127), "Side",Games!T127)))</f>
      </c>
      <c r="J127" s="65" t="str">
        <f>IF(ISBLANK(Games!T127), "",IF(Table12[[#This Row],[Bet]]="Spread", Games!X127, ""))</f>
      </c>
      <c r="K127" s="65" t="str">
        <f>IF(ISBLANK(Games!U127), "",IF(ISTEXT(Games!U127), Games!U127, ""))</f>
      </c>
      <c r="L127" s="57" t="str">
        <f>IF(ISBLANK(Games!D127), "", Games!D127)</f>
      </c>
      <c r="M127" s="65"/>
      <c r="N127" s="75" t="str">
        <f>IF(Games!V127="", "",Games!V127)</f>
      </c>
      <c r="O127" s="75" t="str">
        <f>IF(Games!Z127=0, "",Games!Z127)</f>
      </c>
      <c r="P127" s="67"/>
      <c r="Q127" s="67" t="str">
        <f>IF(ISBLANK(Games!W127), "", Games!W127)</f>
      </c>
      <c r="R127" s="67" t="str">
        <f>IF(ISBLANK(Games!AA127), "", Games!AA127)</f>
      </c>
      <c r="S127" s="67"/>
      <c r="T127" s="68" t="str">
        <f t="shared" si="13"/>
      </c>
      <c r="U127" s="68" t="str">
        <f t="shared" si="14"/>
      </c>
      <c r="V127" s="68" t="str">
        <f t="shared" si="15"/>
      </c>
      <c r="W127" s="68" t="str">
        <f t="shared" si="16"/>
      </c>
      <c r="X127" s="68" t="n">
        <f t="shared" si="21"/>
        <v>0</v>
      </c>
      <c r="Y127" s="68" t="n">
        <f t="shared" si="22"/>
        <v>0</v>
      </c>
      <c r="Z127" s="67" t="str">
        <f>IF(OR('Prediction Log'!L128="", Table12[[#This Row],[Bet]]="", Table12[[#This Row],[Bet]]="Spread"), "",IF('Prediction Log'!L128=Table12[[#This Row],[Side]], "W", IF('Prediction Log'!L128&lt;&gt;Table12[[#This Row],[Side]], "L", "")))</f>
      </c>
      <c r="AA127" s="59" t="str">
        <f t="shared" si="23"/>
      </c>
      <c r="AB127" s="67" t="str">
        <f>IF(OR(Table12[[#This Row],[Bet]]="Side",Table12[[#This Row],[Bet]]="", 'Prediction Log'!L128=""), "",IF('Prediction Log'!U128="Y", "W", IF('Prediction Log'!U128="N", "L", "")))</f>
      </c>
      <c r="AC127" s="59" t="str">
        <f t="shared" si="12"/>
      </c>
      <c r="AD127" s="67"/>
      <c r="AE127" s="65" t="str">
        <f t="shared" si="20"/>
      </c>
      <c r="AF1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8">
      <c r="A128" s="65" t="str">
        <f>IF(ISBLANK(Games!A128), "", Games!A128)</f>
      </c>
      <c r="B128" s="65" t="str">
        <f>IF('Prediction Log'!B129=0, "",'Prediction Log'!B129)</f>
      </c>
      <c r="C128" s="65" t="str">
        <f>IF('Prediction Log'!C129=0, "",'Prediction Log'!C129)</f>
      </c>
      <c r="D128" s="65" t="str">
        <f>IF('Prediction Log'!D129=0, "",'Prediction Log'!D129)</f>
      </c>
      <c r="E128" s="58" t="str">
        <f>IF('Prediction Log'!E129=0, "",'Prediction Log'!E129)</f>
      </c>
      <c r="F128" s="65" t="str">
        <f>IF('Prediction Log'!H129=0, "",'Prediction Log'!H129)</f>
      </c>
      <c r="G128" s="64" t="str">
        <f>IF(ISBLANK(Games!B128), "",'Prediction Log'!$I129)</f>
      </c>
      <c r="H128" s="66" t="n">
        <f>'Prediction Log'!$J129</f>
        <v>0</v>
      </c>
      <c r="I128" s="65" t="str">
        <f>IF(ISBLANK(Games!T128), "",IF(AND(Games!T128="",Games!U128=""),"",IF(ISTEXT(Games!U128), "Side",Games!T128)))</f>
      </c>
      <c r="J128" s="65" t="str">
        <f>IF(ISBLANK(Games!T128), "",IF(Table12[[#This Row],[Bet]]="Spread", Games!X128, ""))</f>
      </c>
      <c r="K128" s="65" t="str">
        <f>IF(ISBLANK(Games!U128), "",IF(ISTEXT(Games!U128), Games!U128, ""))</f>
      </c>
      <c r="L128" s="57" t="str">
        <f>IF(ISBLANK(Games!D128), "", Games!D128)</f>
      </c>
      <c r="M128" s="65"/>
      <c r="N128" s="75" t="str">
        <f>IF(Games!V128="", "",Games!V128)</f>
      </c>
      <c r="O128" s="75" t="str">
        <f>IF(Games!Z128=0, "",Games!Z128)</f>
      </c>
      <c r="P128" s="67"/>
      <c r="Q128" s="67" t="str">
        <f>IF(ISBLANK(Games!W128), "", Games!W128)</f>
      </c>
      <c r="R128" s="67" t="str">
        <f>IF(ISBLANK(Games!AA128), "", Games!AA128)</f>
      </c>
      <c r="S128" s="67"/>
      <c r="T128" s="68" t="str">
        <f t="shared" si="13"/>
      </c>
      <c r="U128" s="68" t="str">
        <f t="shared" si="14"/>
      </c>
      <c r="V128" s="68" t="str">
        <f t="shared" si="15"/>
      </c>
      <c r="W128" s="68" t="str">
        <f t="shared" si="16"/>
      </c>
      <c r="X128" s="68" t="n">
        <f t="shared" si="21"/>
        <v>0</v>
      </c>
      <c r="Y128" s="68" t="n">
        <f t="shared" si="22"/>
        <v>0</v>
      </c>
      <c r="Z128" s="67" t="str">
        <f>IF(OR('Prediction Log'!L129="", Table12[[#This Row],[Bet]]="", Table12[[#This Row],[Bet]]="Spread"), "",IF('Prediction Log'!L129=Table12[[#This Row],[Side]], "W", IF('Prediction Log'!L129&lt;&gt;Table12[[#This Row],[Side]], "L", "")))</f>
      </c>
      <c r="AA128" s="59" t="str">
        <f t="shared" si="23"/>
      </c>
      <c r="AB128" s="67" t="str">
        <f>IF(OR(Table12[[#This Row],[Bet]]="Side",Table12[[#This Row],[Bet]]="", 'Prediction Log'!L129=""), "",IF('Prediction Log'!U129="Y", "W", IF('Prediction Log'!U129="N", "L", "")))</f>
      </c>
      <c r="AC128" s="59" t="str">
        <f t="shared" si="12"/>
      </c>
      <c r="AD128" s="67"/>
      <c r="AE128" s="65" t="str">
        <f t="shared" si="20"/>
      </c>
      <c r="AF1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9">
      <c r="A129" s="65" t="str">
        <f>IF(ISBLANK(Games!A129), "", Games!A129)</f>
      </c>
      <c r="B129" s="65" t="str">
        <f>IF('Prediction Log'!B130=0, "",'Prediction Log'!B130)</f>
      </c>
      <c r="C129" s="65" t="str">
        <f>IF('Prediction Log'!C130=0, "",'Prediction Log'!C130)</f>
      </c>
      <c r="D129" s="65" t="str">
        <f>IF('Prediction Log'!D130=0, "",'Prediction Log'!D130)</f>
      </c>
      <c r="E129" s="58" t="str">
        <f>IF('Prediction Log'!E130=0, "",'Prediction Log'!E130)</f>
      </c>
      <c r="F129" s="65" t="str">
        <f>IF('Prediction Log'!H130=0, "",'Prediction Log'!H130)</f>
      </c>
      <c r="G129" s="64" t="str">
        <f>IF(ISBLANK(Games!B129), "",'Prediction Log'!$I130)</f>
      </c>
      <c r="H129" s="66" t="n">
        <f>'Prediction Log'!$J130</f>
        <v>0</v>
      </c>
      <c r="I129" s="65" t="str">
        <f>IF(ISBLANK(Games!T129), "",IF(AND(Games!T129="",Games!U129=""),"",IF(ISTEXT(Games!U129), "Side",Games!T129)))</f>
      </c>
      <c r="J129" s="65" t="str">
        <f>IF(ISBLANK(Games!T129), "",IF(Table12[[#This Row],[Bet]]="Spread", Games!X129, ""))</f>
      </c>
      <c r="K129" s="65" t="str">
        <f>IF(ISBLANK(Games!U129), "",IF(ISTEXT(Games!U129), Games!U129, ""))</f>
      </c>
      <c r="L129" s="57" t="str">
        <f>IF(ISBLANK(Games!D129), "", Games!D129)</f>
      </c>
      <c r="M129" s="65"/>
      <c r="N129" s="75" t="str">
        <f>IF(Games!V129="", "",Games!V129)</f>
      </c>
      <c r="O129" s="75" t="str">
        <f>IF(Games!Z129=0, "",Games!Z129)</f>
      </c>
      <c r="P129" s="67"/>
      <c r="Q129" s="67" t="str">
        <f>IF(ISBLANK(Games!W129), "", Games!W129)</f>
      </c>
      <c r="R129" s="67" t="str">
        <f>IF(ISBLANK(Games!AA129), "", Games!AA129)</f>
      </c>
      <c r="S129" s="67"/>
      <c r="T129" s="68" t="str">
        <f t="shared" si="13"/>
      </c>
      <c r="U129" s="68" t="str">
        <f t="shared" si="14"/>
      </c>
      <c r="V129" s="68" t="str">
        <f t="shared" si="15"/>
      </c>
      <c r="W129" s="68" t="str">
        <f t="shared" si="16"/>
      </c>
      <c r="X129" s="68" t="n">
        <f t="shared" si="21"/>
        <v>0</v>
      </c>
      <c r="Y129" s="68" t="n">
        <f t="shared" si="22"/>
        <v>0</v>
      </c>
      <c r="Z129" s="67" t="str">
        <f>IF(OR('Prediction Log'!L130="", Table12[[#This Row],[Bet]]="", Table12[[#This Row],[Bet]]="Spread"), "",IF('Prediction Log'!L130=Table12[[#This Row],[Side]], "W", IF('Prediction Log'!L130&lt;&gt;Table12[[#This Row],[Side]], "L", "")))</f>
      </c>
      <c r="AA129" s="59" t="str">
        <f t="shared" si="23"/>
      </c>
      <c r="AB129" s="67" t="str">
        <f>IF(OR(Table12[[#This Row],[Bet]]="Side",Table12[[#This Row],[Bet]]="", 'Prediction Log'!L130=""), "",IF('Prediction Log'!U130="Y", "W", IF('Prediction Log'!U130="N", "L", "")))</f>
      </c>
      <c r="AC129" s="59" t="str">
        <f t="shared" si="12"/>
      </c>
      <c r="AD129" s="67"/>
      <c r="AE129" s="65" t="str">
        <f t="shared" si="20"/>
      </c>
      <c r="AF1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0">
      <c r="A130" s="65" t="str">
        <f>IF(ISBLANK(Games!A130), "", Games!A130)</f>
      </c>
      <c r="B130" s="65" t="str">
        <f>IF('Prediction Log'!B131=0, "",'Prediction Log'!B131)</f>
      </c>
      <c r="C130" s="65" t="str">
        <f>IF('Prediction Log'!C131=0, "",'Prediction Log'!C131)</f>
      </c>
      <c r="D130" s="65" t="str">
        <f>IF('Prediction Log'!D131=0, "",'Prediction Log'!D131)</f>
      </c>
      <c r="E130" s="58" t="str">
        <f>IF('Prediction Log'!E131=0, "",'Prediction Log'!E131)</f>
      </c>
      <c r="F130" s="65" t="str">
        <f>IF('Prediction Log'!H131=0, "",'Prediction Log'!H131)</f>
      </c>
      <c r="G130" s="64" t="str">
        <f>IF(ISBLANK(Games!B130), "",'Prediction Log'!$I131)</f>
      </c>
      <c r="H130" s="66" t="n">
        <f>'Prediction Log'!$J131</f>
        <v>0</v>
      </c>
      <c r="I130" s="65" t="str">
        <f>IF(ISBLANK(Games!T130), "",IF(AND(Games!T130="",Games!U130=""),"",IF(ISTEXT(Games!U130), "Side",Games!T130)))</f>
      </c>
      <c r="J130" s="65" t="str">
        <f>IF(ISBLANK(Games!T130), "",IF(Table12[[#This Row],[Bet]]="Spread", Games!X130, ""))</f>
      </c>
      <c r="K130" s="65" t="str">
        <f>IF(ISBLANK(Games!U130), "",IF(ISTEXT(Games!U130), Games!U130, ""))</f>
      </c>
      <c r="L130" s="57" t="str">
        <f>IF(ISBLANK(Games!D130), "", Games!D130)</f>
      </c>
      <c r="M130" s="65"/>
      <c r="N130" s="75" t="str">
        <f>IF(Games!V130="", "",Games!V130)</f>
      </c>
      <c r="O130" s="75" t="str">
        <f>IF(Games!Z130=0, "",Games!Z130)</f>
      </c>
      <c r="P130" s="67"/>
      <c r="Q130" s="67" t="str">
        <f>IF(ISBLANK(Games!W130), "", Games!W130)</f>
      </c>
      <c r="R130" s="67" t="str">
        <f>IF(ISBLANK(Games!AA130), "", Games!AA130)</f>
      </c>
      <c r="S130" s="67"/>
      <c r="T130" s="68" t="str">
        <f t="shared" si="13"/>
      </c>
      <c r="U130" s="68" t="str">
        <f t="shared" si="14"/>
      </c>
      <c r="V130" s="68" t="str">
        <f t="shared" si="15"/>
      </c>
      <c r="W130" s="68" t="str">
        <f t="shared" si="16"/>
      </c>
      <c r="X130" s="68" t="n">
        <f t="shared" si="21"/>
        <v>0</v>
      </c>
      <c r="Y130" s="68" t="n">
        <f t="shared" si="22"/>
        <v>0</v>
      </c>
      <c r="Z130" s="67" t="str">
        <f>IF(OR('Prediction Log'!L131="", Table12[[#This Row],[Bet]]="", Table12[[#This Row],[Bet]]="Spread"), "",IF('Prediction Log'!L131=Table12[[#This Row],[Side]], "W", IF('Prediction Log'!L131&lt;&gt;Table12[[#This Row],[Side]], "L", "")))</f>
      </c>
      <c r="AA130" s="59" t="str">
        <f t="shared" si="23"/>
      </c>
      <c r="AB130" s="67" t="str">
        <f>IF(OR(Table12[[#This Row],[Bet]]="Side",Table12[[#This Row],[Bet]]="", 'Prediction Log'!L131=""), "",IF('Prediction Log'!U131="Y", "W", IF('Prediction Log'!U131="N", "L", "")))</f>
      </c>
      <c r="AC130" s="59" t="str">
        <f t="shared" ref="AC130:AC193" si="24">IF(AB130="W", W130, IF(AB130="L",-O130, ""))</f>
      </c>
      <c r="AD130" s="67"/>
      <c r="AE130" s="65" t="str">
        <f t="shared" si="20"/>
      </c>
      <c r="AF1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1">
      <c r="A131" s="65" t="str">
        <f>IF(ISBLANK(Games!A131), "", Games!A131)</f>
      </c>
      <c r="B131" s="65" t="str">
        <f>IF('Prediction Log'!B132=0, "",'Prediction Log'!B132)</f>
      </c>
      <c r="C131" s="65" t="str">
        <f>IF('Prediction Log'!C132=0, "",'Prediction Log'!C132)</f>
      </c>
      <c r="D131" s="65" t="str">
        <f>IF('Prediction Log'!D132=0, "",'Prediction Log'!D132)</f>
      </c>
      <c r="E131" s="58" t="str">
        <f>IF('Prediction Log'!E132=0, "",'Prediction Log'!E132)</f>
      </c>
      <c r="F131" s="65" t="str">
        <f>IF('Prediction Log'!H132=0, "",'Prediction Log'!H132)</f>
      </c>
      <c r="G131" s="64" t="str">
        <f>IF(ISBLANK(Games!B131), "",'Prediction Log'!$I132)</f>
      </c>
      <c r="H131" s="66" t="n">
        <f>'Prediction Log'!$J132</f>
        <v>0</v>
      </c>
      <c r="I131" s="65" t="str">
        <f>IF(ISBLANK(Games!T131), "",IF(AND(Games!T131="",Games!U131=""),"",IF(ISTEXT(Games!U131), "Side",Games!T131)))</f>
      </c>
      <c r="J131" s="65" t="str">
        <f>IF(ISBLANK(Games!T131), "",IF(Table12[[#This Row],[Bet]]="Spread", Games!X131, ""))</f>
      </c>
      <c r="K131" s="65" t="str">
        <f>IF(ISBLANK(Games!U131), "",IF(ISTEXT(Games!U131), Games!U131, ""))</f>
      </c>
      <c r="L131" s="57" t="str">
        <f>IF(ISBLANK(Games!D131), "", Games!D131)</f>
      </c>
      <c r="M131" s="65"/>
      <c r="N131" s="75" t="str">
        <f>IF(Games!V131="", "",Games!V131)</f>
      </c>
      <c r="O131" s="75" t="str">
        <f>IF(Games!Z131=0, "",Games!Z131)</f>
      </c>
      <c r="P131" s="67"/>
      <c r="Q131" s="67" t="str">
        <f>IF(ISBLANK(Games!W131), "", Games!W131)</f>
      </c>
      <c r="R131" s="67" t="str">
        <f>IF(ISBLANK(Games!AA131), "", Games!AA131)</f>
      </c>
      <c r="S131" s="67"/>
      <c r="T131" s="68" t="str">
        <f t="shared" ref="T131:T194" si="25">IFERROR(N131+IF(Q131&lt;0, (N131/(Q131/-100)), N131*(Q131/100)), "")</f>
      </c>
      <c r="U131" s="68" t="str">
        <f t="shared" ref="U131:U194" si="26">IFERROR(T131-N131, "")</f>
      </c>
      <c r="V131" s="68" t="str">
        <f t="shared" ref="V131:V194" si="27">IFERROR(O131+IF(R131&lt;0, (O131/(R131/-100)), O131*(R131/100)), "")</f>
      </c>
      <c r="W131" s="68" t="str">
        <f t="shared" ref="W131:W194" si="28">IFERROR(V131-O131, "")</f>
      </c>
      <c r="X131" s="68" t="n">
        <f t="shared" si="21"/>
        <v>0</v>
      </c>
      <c r="Y131" s="68" t="n">
        <f t="shared" si="22"/>
        <v>0</v>
      </c>
      <c r="Z131" s="67" t="str">
        <f>IF(OR('Prediction Log'!L132="", Table12[[#This Row],[Bet]]="", Table12[[#This Row],[Bet]]="Spread"), "",IF('Prediction Log'!L132=Table12[[#This Row],[Side]], "W", IF('Prediction Log'!L132&lt;&gt;Table12[[#This Row],[Side]], "L", "")))</f>
      </c>
      <c r="AA131" s="59" t="str">
        <f t="shared" si="23"/>
      </c>
      <c r="AB131" s="67" t="str">
        <f>IF(OR(Table12[[#This Row],[Bet]]="Side",Table12[[#This Row],[Bet]]="", 'Prediction Log'!L132=""), "",IF('Prediction Log'!U132="Y", "W", IF('Prediction Log'!U132="N", "L", "")))</f>
      </c>
      <c r="AC131" s="59" t="str">
        <f t="shared" si="24"/>
      </c>
      <c r="AD131" s="67"/>
      <c r="AE131" s="65" t="str">
        <f t="shared" ref="AE131:AE194" si="29">IF(AD131="W", Y131, IF(AD131="L",-R131, ""))</f>
      </c>
      <c r="AF1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2">
      <c r="A132" s="65" t="str">
        <f>IF(ISBLANK(Games!A132), "", Games!A132)</f>
      </c>
      <c r="B132" s="65" t="str">
        <f>IF('Prediction Log'!B133=0, "",'Prediction Log'!B133)</f>
      </c>
      <c r="C132" s="65" t="str">
        <f>IF('Prediction Log'!C133=0, "",'Prediction Log'!C133)</f>
      </c>
      <c r="D132" s="65" t="str">
        <f>IF('Prediction Log'!D133=0, "",'Prediction Log'!D133)</f>
      </c>
      <c r="E132" s="58" t="str">
        <f>IF('Prediction Log'!E133=0, "",'Prediction Log'!E133)</f>
      </c>
      <c r="F132" s="65" t="str">
        <f>IF('Prediction Log'!H133=0, "",'Prediction Log'!H133)</f>
      </c>
      <c r="G132" s="64" t="str">
        <f>IF(ISBLANK(Games!B132), "",'Prediction Log'!$I133)</f>
      </c>
      <c r="H132" s="66" t="n">
        <f>'Prediction Log'!$J133</f>
        <v>0</v>
      </c>
      <c r="I132" s="65" t="str">
        <f>IF(ISBLANK(Games!T132), "",IF(AND(Games!T132="",Games!U132=""),"",IF(ISTEXT(Games!U132), "Side",Games!T132)))</f>
      </c>
      <c r="J132" s="65" t="str">
        <f>IF(ISBLANK(Games!T132), "",IF(Table12[[#This Row],[Bet]]="Spread", Games!X132, ""))</f>
      </c>
      <c r="K132" s="65" t="str">
        <f>IF(ISBLANK(Games!U132), "",IF(ISTEXT(Games!U132), Games!U132, ""))</f>
      </c>
      <c r="L132" s="57" t="str">
        <f>IF(ISBLANK(Games!D132), "", Games!D132)</f>
      </c>
      <c r="M132" s="65"/>
      <c r="N132" s="75" t="str">
        <f>IF(Games!V132="", "",Games!V132)</f>
      </c>
      <c r="O132" s="75" t="str">
        <f>IF(Games!Z132=0, "",Games!Z132)</f>
      </c>
      <c r="P132" s="67"/>
      <c r="Q132" s="67" t="str">
        <f>IF(ISBLANK(Games!W132), "", Games!W132)</f>
      </c>
      <c r="R132" s="67" t="str">
        <f>IF(ISBLANK(Games!AA132), "", Games!AA132)</f>
      </c>
      <c r="S132" s="67"/>
      <c r="T132" s="68" t="str">
        <f t="shared" si="25"/>
      </c>
      <c r="U132" s="68" t="str">
        <f t="shared" si="26"/>
      </c>
      <c r="V132" s="68" t="str">
        <f t="shared" si="27"/>
      </c>
      <c r="W132" s="68" t="str">
        <f t="shared" si="28"/>
      </c>
      <c r="X132" s="68" t="n">
        <f t="shared" si="21"/>
        <v>0</v>
      </c>
      <c r="Y132" s="68" t="n">
        <f t="shared" si="22"/>
        <v>0</v>
      </c>
      <c r="Z132" s="67" t="str">
        <f>IF(OR('Prediction Log'!L133="", Table12[[#This Row],[Bet]]="", Table12[[#This Row],[Bet]]="Spread"), "",IF('Prediction Log'!L133=Table12[[#This Row],[Side]], "W", IF('Prediction Log'!L133&lt;&gt;Table12[[#This Row],[Side]], "L", "")))</f>
      </c>
      <c r="AA132" s="59" t="str">
        <f t="shared" si="23"/>
      </c>
      <c r="AB132" s="67" t="str">
        <f>IF(OR(Table12[[#This Row],[Bet]]="Side",Table12[[#This Row],[Bet]]="", 'Prediction Log'!L133=""), "",IF('Prediction Log'!U133="Y", "W", IF('Prediction Log'!U133="N", "L", "")))</f>
      </c>
      <c r="AC132" s="59" t="str">
        <f t="shared" si="24"/>
      </c>
      <c r="AD132" s="67"/>
      <c r="AE132" s="65" t="str">
        <f t="shared" si="29"/>
      </c>
      <c r="AF1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3">
      <c r="A133" s="65" t="str">
        <f>IF(ISBLANK(Games!A133), "", Games!A133)</f>
      </c>
      <c r="B133" s="65" t="str">
        <f>IF('Prediction Log'!B134=0, "",'Prediction Log'!B134)</f>
      </c>
      <c r="C133" s="65" t="str">
        <f>IF('Prediction Log'!C134=0, "",'Prediction Log'!C134)</f>
      </c>
      <c r="D133" s="65" t="str">
        <f>IF('Prediction Log'!D134=0, "",'Prediction Log'!D134)</f>
      </c>
      <c r="E133" s="58" t="str">
        <f>IF('Prediction Log'!E134=0, "",'Prediction Log'!E134)</f>
      </c>
      <c r="F133" s="65" t="str">
        <f>IF('Prediction Log'!H134=0, "",'Prediction Log'!H134)</f>
      </c>
      <c r="G133" s="64" t="str">
        <f>IF(ISBLANK(Games!B133), "",'Prediction Log'!$I134)</f>
      </c>
      <c r="H133" s="66" t="n">
        <f>'Prediction Log'!$J134</f>
        <v>0</v>
      </c>
      <c r="I133" s="65" t="str">
        <f>IF(ISBLANK(Games!T133), "",IF(AND(Games!T133="",Games!U133=""),"",IF(ISTEXT(Games!U133), "Side",Games!T133)))</f>
      </c>
      <c r="J133" s="65" t="str">
        <f>IF(ISBLANK(Games!T133), "",IF(Table12[[#This Row],[Bet]]="Spread", Games!X133, ""))</f>
      </c>
      <c r="K133" s="65" t="str">
        <f>IF(ISBLANK(Games!U133), "",IF(ISTEXT(Games!U133), Games!U133, ""))</f>
      </c>
      <c r="L133" s="57" t="str">
        <f>IF(ISBLANK(Games!D133), "", Games!D133)</f>
      </c>
      <c r="M133" s="65"/>
      <c r="N133" s="75" t="str">
        <f>IF(Games!V133="", "",Games!V133)</f>
      </c>
      <c r="O133" s="75" t="str">
        <f>IF(Games!Z133=0, "",Games!Z133)</f>
      </c>
      <c r="P133" s="67"/>
      <c r="Q133" s="67" t="str">
        <f>IF(ISBLANK(Games!W133), "", Games!W133)</f>
      </c>
      <c r="R133" s="67" t="str">
        <f>IF(ISBLANK(Games!AA133), "", Games!AA133)</f>
      </c>
      <c r="S133" s="67"/>
      <c r="T133" s="68" t="str">
        <f t="shared" si="25"/>
      </c>
      <c r="U133" s="68" t="str">
        <f t="shared" si="26"/>
      </c>
      <c r="V133" s="68" t="str">
        <f t="shared" si="27"/>
      </c>
      <c r="W133" s="68" t="str">
        <f t="shared" si="28"/>
      </c>
      <c r="X133" s="68" t="n">
        <f t="shared" si="21"/>
        <v>0</v>
      </c>
      <c r="Y133" s="68" t="n">
        <f t="shared" si="22"/>
        <v>0</v>
      </c>
      <c r="Z133" s="67" t="str">
        <f>IF(OR('Prediction Log'!L134="", Table12[[#This Row],[Bet]]="", Table12[[#This Row],[Bet]]="Spread"), "",IF('Prediction Log'!L134=Table12[[#This Row],[Side]], "W", IF('Prediction Log'!L134&lt;&gt;Table12[[#This Row],[Side]], "L", "")))</f>
      </c>
      <c r="AA133" s="59" t="str">
        <f t="shared" si="23"/>
      </c>
      <c r="AB133" s="67" t="str">
        <f>IF(OR(Table12[[#This Row],[Bet]]="Side",Table12[[#This Row],[Bet]]="", 'Prediction Log'!L134=""), "",IF('Prediction Log'!U134="Y", "W", IF('Prediction Log'!U134="N", "L", "")))</f>
      </c>
      <c r="AC133" s="59" t="str">
        <f t="shared" si="24"/>
      </c>
      <c r="AD133" s="67"/>
      <c r="AE133" s="65" t="str">
        <f t="shared" si="29"/>
      </c>
      <c r="AF1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4">
      <c r="A134" s="65" t="str">
        <f>IF(ISBLANK(Games!A134), "", Games!A134)</f>
      </c>
      <c r="B134" s="65" t="str">
        <f>IF('Prediction Log'!B135=0, "",'Prediction Log'!B135)</f>
      </c>
      <c r="C134" s="65" t="str">
        <f>IF('Prediction Log'!C135=0, "",'Prediction Log'!C135)</f>
      </c>
      <c r="D134" s="65" t="str">
        <f>IF('Prediction Log'!D135=0, "",'Prediction Log'!D135)</f>
      </c>
      <c r="E134" s="58" t="str">
        <f>IF('Prediction Log'!E135=0, "",'Prediction Log'!E135)</f>
      </c>
      <c r="F134" s="65" t="str">
        <f>IF('Prediction Log'!H135=0, "",'Prediction Log'!H135)</f>
      </c>
      <c r="G134" s="64" t="str">
        <f>IF(ISBLANK(Games!B134), "",'Prediction Log'!$I135)</f>
      </c>
      <c r="H134" s="66" t="n">
        <f>'Prediction Log'!$J135</f>
        <v>0</v>
      </c>
      <c r="I134" s="65" t="str">
        <f>IF(ISBLANK(Games!T134), "",IF(AND(Games!T134="",Games!U134=""),"",IF(ISTEXT(Games!U134), "Side",Games!T134)))</f>
      </c>
      <c r="J134" s="65" t="str">
        <f>IF(ISBLANK(Games!T134), "",IF(Table12[[#This Row],[Bet]]="Spread", Games!X134, ""))</f>
      </c>
      <c r="K134" s="65" t="str">
        <f>IF(ISBLANK(Games!U134), "",IF(ISTEXT(Games!U134), Games!U134, ""))</f>
      </c>
      <c r="L134" s="57" t="str">
        <f>IF(ISBLANK(Games!D134), "", Games!D134)</f>
      </c>
      <c r="M134" s="65"/>
      <c r="N134" s="75" t="str">
        <f>IF(Games!V134="", "",Games!V134)</f>
      </c>
      <c r="O134" s="75" t="str">
        <f>IF(Games!Z134=0, "",Games!Z134)</f>
      </c>
      <c r="P134" s="67"/>
      <c r="Q134" s="67" t="str">
        <f>IF(ISBLANK(Games!W134), "", Games!W134)</f>
      </c>
      <c r="R134" s="67" t="str">
        <f>IF(ISBLANK(Games!AA134), "", Games!AA134)</f>
      </c>
      <c r="S134" s="67"/>
      <c r="T134" s="68" t="str">
        <f t="shared" si="25"/>
      </c>
      <c r="U134" s="68" t="str">
        <f t="shared" si="26"/>
      </c>
      <c r="V134" s="68" t="str">
        <f t="shared" si="27"/>
      </c>
      <c r="W134" s="68" t="str">
        <f t="shared" si="28"/>
      </c>
      <c r="X134" s="68" t="n">
        <f t="shared" si="21"/>
        <v>0</v>
      </c>
      <c r="Y134" s="68" t="n">
        <f t="shared" si="22"/>
        <v>0</v>
      </c>
      <c r="Z134" s="67" t="str">
        <f>IF(OR('Prediction Log'!L135="", Table12[[#This Row],[Bet]]="", Table12[[#This Row],[Bet]]="Spread"), "",IF('Prediction Log'!L135=Table12[[#This Row],[Side]], "W", IF('Prediction Log'!L135&lt;&gt;Table12[[#This Row],[Side]], "L", "")))</f>
      </c>
      <c r="AA134" s="59" t="str">
        <f t="shared" si="23"/>
      </c>
      <c r="AB134" s="67" t="str">
        <f>IF(OR(Table12[[#This Row],[Bet]]="Side",Table12[[#This Row],[Bet]]="", 'Prediction Log'!L135=""), "",IF('Prediction Log'!U135="Y", "W", IF('Prediction Log'!U135="N", "L", "")))</f>
      </c>
      <c r="AC134" s="59" t="str">
        <f t="shared" si="24"/>
      </c>
      <c r="AD134" s="67"/>
      <c r="AE134" s="65" t="str">
        <f t="shared" si="29"/>
      </c>
      <c r="AF1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5">
      <c r="A135" s="65" t="str">
        <f>IF(ISBLANK(Games!A135), "", Games!A135)</f>
      </c>
      <c r="B135" s="65" t="str">
        <f>IF('Prediction Log'!B136=0, "",'Prediction Log'!B136)</f>
      </c>
      <c r="C135" s="65" t="str">
        <f>IF('Prediction Log'!C136=0, "",'Prediction Log'!C136)</f>
      </c>
      <c r="D135" s="65" t="str">
        <f>IF('Prediction Log'!D136=0, "",'Prediction Log'!D136)</f>
      </c>
      <c r="E135" s="58" t="str">
        <f>IF('Prediction Log'!E136=0, "",'Prediction Log'!E136)</f>
      </c>
      <c r="F135" s="65" t="str">
        <f>IF('Prediction Log'!H136=0, "",'Prediction Log'!H136)</f>
      </c>
      <c r="G135" s="64" t="str">
        <f>IF(ISBLANK(Games!B135), "",'Prediction Log'!$I136)</f>
      </c>
      <c r="H135" s="66" t="n">
        <f>'Prediction Log'!$J136</f>
        <v>0</v>
      </c>
      <c r="I135" s="65" t="str">
        <f>IF(ISBLANK(Games!T135), "",IF(AND(Games!T135="",Games!U135=""),"",IF(ISTEXT(Games!U135), "Side",Games!T135)))</f>
      </c>
      <c r="J135" s="65" t="str">
        <f>IF(ISBLANK(Games!T135), "",IF(Table12[[#This Row],[Bet]]="Spread", Games!X135, ""))</f>
      </c>
      <c r="K135" s="65" t="str">
        <f>IF(ISBLANK(Games!U135), "",IF(ISTEXT(Games!U135), Games!U135, ""))</f>
      </c>
      <c r="L135" s="57" t="str">
        <f>IF(ISBLANK(Games!D135), "", Games!D135)</f>
      </c>
      <c r="M135" s="65"/>
      <c r="N135" s="75" t="str">
        <f>IF(Games!V135="", "",Games!V135)</f>
      </c>
      <c r="O135" s="75" t="str">
        <f>IF(Games!Z135=0, "",Games!Z135)</f>
      </c>
      <c r="P135" s="67"/>
      <c r="Q135" s="67" t="str">
        <f>IF(ISBLANK(Games!W135), "", Games!W135)</f>
      </c>
      <c r="R135" s="67" t="str">
        <f>IF(ISBLANK(Games!AA135), "", Games!AA135)</f>
      </c>
      <c r="S135" s="67"/>
      <c r="T135" s="68" t="str">
        <f t="shared" si="25"/>
      </c>
      <c r="U135" s="68" t="str">
        <f t="shared" si="26"/>
      </c>
      <c r="V135" s="68" t="str">
        <f t="shared" si="27"/>
      </c>
      <c r="W135" s="68" t="str">
        <f t="shared" si="28"/>
      </c>
      <c r="X135" s="68" t="n">
        <f t="shared" si="21"/>
        <v>0</v>
      </c>
      <c r="Y135" s="68" t="n">
        <f t="shared" si="22"/>
        <v>0</v>
      </c>
      <c r="Z135" s="67" t="str">
        <f>IF(OR('Prediction Log'!L136="", Table12[[#This Row],[Bet]]="", Table12[[#This Row],[Bet]]="Spread"), "",IF('Prediction Log'!L136=Table12[[#This Row],[Side]], "W", IF('Prediction Log'!L136&lt;&gt;Table12[[#This Row],[Side]], "L", "")))</f>
      </c>
      <c r="AA135" s="59" t="str">
        <f t="shared" si="23"/>
      </c>
      <c r="AB135" s="67" t="str">
        <f>IF(OR(Table12[[#This Row],[Bet]]="Side",Table12[[#This Row],[Bet]]="", 'Prediction Log'!L136=""), "",IF('Prediction Log'!U136="Y", "W", IF('Prediction Log'!U136="N", "L", "")))</f>
      </c>
      <c r="AC135" s="59" t="str">
        <f t="shared" si="24"/>
      </c>
      <c r="AD135" s="67"/>
      <c r="AE135" s="65" t="str">
        <f t="shared" si="29"/>
      </c>
      <c r="AF1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6">
      <c r="A136" s="65" t="str">
        <f>IF(ISBLANK(Games!A136), "", Games!A136)</f>
      </c>
      <c r="B136" s="65" t="str">
        <f>IF('Prediction Log'!B137=0, "",'Prediction Log'!B137)</f>
      </c>
      <c r="C136" s="65" t="str">
        <f>IF('Prediction Log'!C137=0, "",'Prediction Log'!C137)</f>
      </c>
      <c r="D136" s="65" t="str">
        <f>IF('Prediction Log'!D137=0, "",'Prediction Log'!D137)</f>
      </c>
      <c r="E136" s="58" t="str">
        <f>IF('Prediction Log'!E137=0, "",'Prediction Log'!E137)</f>
      </c>
      <c r="F136" s="65" t="str">
        <f>IF('Prediction Log'!H137=0, "",'Prediction Log'!H137)</f>
      </c>
      <c r="G136" s="64" t="str">
        <f>IF(ISBLANK(Games!B136), "",'Prediction Log'!$I137)</f>
      </c>
      <c r="H136" s="66" t="n">
        <f>'Prediction Log'!$J137</f>
        <v>0</v>
      </c>
      <c r="I136" s="65" t="str">
        <f>IF(ISBLANK(Games!T136), "",IF(AND(Games!T136="",Games!U136=""),"",IF(ISTEXT(Games!U136), "Side",Games!T136)))</f>
      </c>
      <c r="J136" s="65" t="str">
        <f>IF(ISBLANK(Games!T136), "",IF(Table12[[#This Row],[Bet]]="Spread", Games!X136, ""))</f>
      </c>
      <c r="K136" s="65" t="str">
        <f>IF(ISBLANK(Games!U136), "",IF(ISTEXT(Games!U136), Games!U136, ""))</f>
      </c>
      <c r="L136" s="57" t="str">
        <f>IF(ISBLANK(Games!D136), "", Games!D136)</f>
      </c>
      <c r="M136" s="65"/>
      <c r="N136" s="75" t="str">
        <f>IF(Games!V136="", "",Games!V136)</f>
      </c>
      <c r="O136" s="75" t="str">
        <f>IF(Games!Z136=0, "",Games!Z136)</f>
      </c>
      <c r="P136" s="67"/>
      <c r="Q136" s="67" t="str">
        <f>IF(ISBLANK(Games!W136), "", Games!W136)</f>
      </c>
      <c r="R136" s="67" t="str">
        <f>IF(ISBLANK(Games!AA136), "", Games!AA136)</f>
      </c>
      <c r="S136" s="67"/>
      <c r="T136" s="68" t="str">
        <f t="shared" si="25"/>
      </c>
      <c r="U136" s="68" t="str">
        <f t="shared" si="26"/>
      </c>
      <c r="V136" s="68" t="str">
        <f t="shared" si="27"/>
      </c>
      <c r="W136" s="68" t="str">
        <f t="shared" si="28"/>
      </c>
      <c r="X136" s="68" t="n">
        <f t="shared" si="21"/>
        <v>0</v>
      </c>
      <c r="Y136" s="68" t="n">
        <f t="shared" si="22"/>
        <v>0</v>
      </c>
      <c r="Z136" s="67" t="str">
        <f>IF(OR('Prediction Log'!L137="", Table12[[#This Row],[Bet]]="", Table12[[#This Row],[Bet]]="Spread"), "",IF('Prediction Log'!L137=Table12[[#This Row],[Side]], "W", IF('Prediction Log'!L137&lt;&gt;Table12[[#This Row],[Side]], "L", "")))</f>
      </c>
      <c r="AA136" s="59" t="str">
        <f t="shared" si="23"/>
      </c>
      <c r="AB136" s="67" t="str">
        <f>IF(OR(Table12[[#This Row],[Bet]]="Side",Table12[[#This Row],[Bet]]="", 'Prediction Log'!L137=""), "",IF('Prediction Log'!U137="Y", "W", IF('Prediction Log'!U137="N", "L", "")))</f>
      </c>
      <c r="AC136" s="59" t="str">
        <f t="shared" si="24"/>
      </c>
      <c r="AD136" s="67"/>
      <c r="AE136" s="65" t="str">
        <f t="shared" si="29"/>
      </c>
      <c r="AF1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7">
      <c r="A137" s="65" t="str">
        <f>IF(ISBLANK(Games!A137), "", Games!A137)</f>
      </c>
      <c r="B137" s="65" t="str">
        <f>IF('Prediction Log'!B138=0, "",'Prediction Log'!B138)</f>
      </c>
      <c r="C137" s="65" t="str">
        <f>IF('Prediction Log'!C138=0, "",'Prediction Log'!C138)</f>
      </c>
      <c r="D137" s="65" t="str">
        <f>IF('Prediction Log'!D138=0, "",'Prediction Log'!D138)</f>
      </c>
      <c r="E137" s="58" t="str">
        <f>IF('Prediction Log'!E138=0, "",'Prediction Log'!E138)</f>
      </c>
      <c r="F137" s="65" t="str">
        <f>IF('Prediction Log'!H138=0, "",'Prediction Log'!H138)</f>
      </c>
      <c r="G137" s="64" t="str">
        <f>IF(ISBLANK(Games!B137), "",'Prediction Log'!$I138)</f>
      </c>
      <c r="H137" s="66" t="n">
        <f>'Prediction Log'!$J138</f>
        <v>0</v>
      </c>
      <c r="I137" s="65" t="str">
        <f>IF(ISBLANK(Games!T137), "",IF(AND(Games!T137="",Games!U137=""),"",IF(ISTEXT(Games!U137), "Side",Games!T137)))</f>
      </c>
      <c r="J137" s="65" t="str">
        <f>IF(ISBLANK(Games!T137), "",IF(Table12[[#This Row],[Bet]]="Spread", Games!X137, ""))</f>
      </c>
      <c r="K137" s="65" t="str">
        <f>IF(ISBLANK(Games!U137), "",IF(ISTEXT(Games!U137), Games!U137, ""))</f>
      </c>
      <c r="L137" s="57" t="str">
        <f>IF(ISBLANK(Games!D137), "", Games!D137)</f>
      </c>
      <c r="M137" s="65"/>
      <c r="N137" s="75" t="str">
        <f>IF(Games!V137="", "",Games!V137)</f>
      </c>
      <c r="O137" s="75" t="str">
        <f>IF(Games!Z137=0, "",Games!Z137)</f>
      </c>
      <c r="P137" s="67"/>
      <c r="Q137" s="67" t="str">
        <f>IF(ISBLANK(Games!W137), "", Games!W137)</f>
      </c>
      <c r="R137" s="67" t="str">
        <f>IF(ISBLANK(Games!AA137), "", Games!AA137)</f>
      </c>
      <c r="S137" s="67"/>
      <c r="T137" s="68" t="str">
        <f t="shared" si="25"/>
      </c>
      <c r="U137" s="68" t="str">
        <f t="shared" si="26"/>
      </c>
      <c r="V137" s="68" t="str">
        <f t="shared" si="27"/>
      </c>
      <c r="W137" s="68" t="str">
        <f t="shared" si="28"/>
      </c>
      <c r="X137" s="68" t="n">
        <f t="shared" si="21"/>
        <v>0</v>
      </c>
      <c r="Y137" s="68" t="n">
        <f t="shared" si="22"/>
        <v>0</v>
      </c>
      <c r="Z137" s="67" t="str">
        <f>IF(OR('Prediction Log'!L138="", Table12[[#This Row],[Bet]]="", Table12[[#This Row],[Bet]]="Spread"), "",IF('Prediction Log'!L138=Table12[[#This Row],[Side]], "W", IF('Prediction Log'!L138&lt;&gt;Table12[[#This Row],[Side]], "L", "")))</f>
      </c>
      <c r="AA137" s="59" t="str">
        <f t="shared" si="23"/>
      </c>
      <c r="AB137" s="67" t="str">
        <f>IF(OR(Table12[[#This Row],[Bet]]="Side",Table12[[#This Row],[Bet]]="", 'Prediction Log'!L138=""), "",IF('Prediction Log'!U138="Y", "W", IF('Prediction Log'!U138="N", "L", "")))</f>
      </c>
      <c r="AC137" s="59" t="str">
        <f t="shared" si="24"/>
      </c>
      <c r="AD137" s="67"/>
      <c r="AE137" s="65" t="str">
        <f t="shared" si="29"/>
      </c>
      <c r="AF1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8">
      <c r="A138" s="65" t="str">
        <f>IF(ISBLANK(Games!A138), "", Games!A138)</f>
      </c>
      <c r="B138" s="65" t="str">
        <f>IF('Prediction Log'!B139=0, "",'Prediction Log'!B139)</f>
      </c>
      <c r="C138" s="65" t="str">
        <f>IF('Prediction Log'!C139=0, "",'Prediction Log'!C139)</f>
      </c>
      <c r="D138" s="65" t="str">
        <f>IF('Prediction Log'!D139=0, "",'Prediction Log'!D139)</f>
      </c>
      <c r="E138" s="58" t="str">
        <f>IF('Prediction Log'!E139=0, "",'Prediction Log'!E139)</f>
      </c>
      <c r="F138" s="65" t="str">
        <f>IF('Prediction Log'!H139=0, "",'Prediction Log'!H139)</f>
      </c>
      <c r="G138" s="64" t="str">
        <f>IF(ISBLANK(Games!B138), "",'Prediction Log'!$I139)</f>
      </c>
      <c r="H138" s="66" t="n">
        <f>'Prediction Log'!$J139</f>
        <v>0</v>
      </c>
      <c r="I138" s="65" t="str">
        <f>IF(ISBLANK(Games!T138), "",IF(AND(Games!T138="",Games!U138=""),"",IF(ISTEXT(Games!U138), "Side",Games!T138)))</f>
      </c>
      <c r="J138" s="65" t="str">
        <f>IF(ISBLANK(Games!T138), "",IF(Table12[[#This Row],[Bet]]="Spread", Games!X138, ""))</f>
      </c>
      <c r="K138" s="65" t="str">
        <f>IF(ISBLANK(Games!U138), "",IF(ISTEXT(Games!U138), Games!U138, ""))</f>
      </c>
      <c r="L138" s="57" t="str">
        <f>IF(ISBLANK(Games!D138), "", Games!D138)</f>
      </c>
      <c r="M138" s="65"/>
      <c r="N138" s="75" t="str">
        <f>IF(Games!V138="", "",Games!V138)</f>
      </c>
      <c r="O138" s="75" t="str">
        <f>IF(Games!Z138=0, "",Games!Z138)</f>
      </c>
      <c r="P138" s="67"/>
      <c r="Q138" s="67" t="str">
        <f>IF(ISBLANK(Games!W138), "", Games!W138)</f>
      </c>
      <c r="R138" s="67" t="str">
        <f>IF(ISBLANK(Games!AA138), "", Games!AA138)</f>
      </c>
      <c r="S138" s="67"/>
      <c r="T138" s="68" t="str">
        <f t="shared" si="25"/>
      </c>
      <c r="U138" s="68" t="str">
        <f t="shared" si="26"/>
      </c>
      <c r="V138" s="68" t="str">
        <f t="shared" si="27"/>
      </c>
      <c r="W138" s="68" t="str">
        <f t="shared" si="28"/>
      </c>
      <c r="X138" s="68" t="n">
        <f t="shared" si="21"/>
        <v>0</v>
      </c>
      <c r="Y138" s="68" t="n">
        <f t="shared" si="22"/>
        <v>0</v>
      </c>
      <c r="Z138" s="67" t="str">
        <f>IF(OR('Prediction Log'!L139="", Table12[[#This Row],[Bet]]="", Table12[[#This Row],[Bet]]="Spread"), "",IF('Prediction Log'!L139=Table12[[#This Row],[Side]], "W", IF('Prediction Log'!L139&lt;&gt;Table12[[#This Row],[Side]], "L", "")))</f>
      </c>
      <c r="AA138" s="59" t="str">
        <f t="shared" si="23"/>
      </c>
      <c r="AB138" s="67" t="str">
        <f>IF(OR(Table12[[#This Row],[Bet]]="Side",Table12[[#This Row],[Bet]]="", 'Prediction Log'!L139=""), "",IF('Prediction Log'!U139="Y", "W", IF('Prediction Log'!U139="N", "L", "")))</f>
      </c>
      <c r="AC138" s="59" t="str">
        <f t="shared" si="24"/>
      </c>
      <c r="AD138" s="67"/>
      <c r="AE138" s="65" t="str">
        <f t="shared" si="29"/>
      </c>
      <c r="AF1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9">
      <c r="A139" s="65" t="str">
        <f>IF(ISBLANK(Games!A139), "", Games!A139)</f>
      </c>
      <c r="B139" s="65" t="str">
        <f>IF('Prediction Log'!B140=0, "",'Prediction Log'!B140)</f>
      </c>
      <c r="C139" s="65" t="str">
        <f>IF('Prediction Log'!C140=0, "",'Prediction Log'!C140)</f>
      </c>
      <c r="D139" s="65" t="str">
        <f>IF('Prediction Log'!D140=0, "",'Prediction Log'!D140)</f>
      </c>
      <c r="E139" s="58" t="str">
        <f>IF('Prediction Log'!E140=0, "",'Prediction Log'!E140)</f>
      </c>
      <c r="F139" s="65" t="str">
        <f>IF('Prediction Log'!H140=0, "",'Prediction Log'!H140)</f>
      </c>
      <c r="G139" s="64" t="str">
        <f>IF(ISBLANK(Games!B139), "",'Prediction Log'!$I140)</f>
      </c>
      <c r="H139" s="66" t="n">
        <f>'Prediction Log'!$J140</f>
        <v>0</v>
      </c>
      <c r="I139" s="65" t="str">
        <f>IF(ISBLANK(Games!T139), "",IF(AND(Games!T139="",Games!U139=""),"",IF(ISTEXT(Games!U139), "Side",Games!T139)))</f>
      </c>
      <c r="J139" s="65" t="str">
        <f>IF(ISBLANK(Games!T139), "",IF(Table12[[#This Row],[Bet]]="Spread", Games!X139, ""))</f>
      </c>
      <c r="K139" s="65" t="str">
        <f>IF(ISBLANK(Games!U139), "",IF(ISTEXT(Games!U139), Games!U139, ""))</f>
      </c>
      <c r="L139" s="57" t="str">
        <f>IF(ISBLANK(Games!D139), "", Games!D139)</f>
      </c>
      <c r="M139" s="65"/>
      <c r="N139" s="75" t="str">
        <f>IF(Games!V139="", "",Games!V139)</f>
      </c>
      <c r="O139" s="75" t="str">
        <f>IF(Games!Z139=0, "",Games!Z139)</f>
      </c>
      <c r="P139" s="67"/>
      <c r="Q139" s="67" t="str">
        <f>IF(ISBLANK(Games!W139), "", Games!W139)</f>
      </c>
      <c r="R139" s="67" t="str">
        <f>IF(ISBLANK(Games!AA139), "", Games!AA139)</f>
      </c>
      <c r="S139" s="67"/>
      <c r="T139" s="68" t="str">
        <f t="shared" si="25"/>
      </c>
      <c r="U139" s="68" t="str">
        <f t="shared" si="26"/>
      </c>
      <c r="V139" s="68" t="str">
        <f t="shared" si="27"/>
      </c>
      <c r="W139" s="68" t="str">
        <f t="shared" si="28"/>
      </c>
      <c r="X139" s="68" t="n">
        <f t="shared" si="21"/>
        <v>0</v>
      </c>
      <c r="Y139" s="68" t="n">
        <f t="shared" si="22"/>
        <v>0</v>
      </c>
      <c r="Z139" s="67" t="str">
        <f>IF(OR('Prediction Log'!L140="", Table12[[#This Row],[Bet]]="", Table12[[#This Row],[Bet]]="Spread"), "",IF('Prediction Log'!L140=Table12[[#This Row],[Side]], "W", IF('Prediction Log'!L140&lt;&gt;Table12[[#This Row],[Side]], "L", "")))</f>
      </c>
      <c r="AA139" s="59" t="str">
        <f t="shared" si="23"/>
      </c>
      <c r="AB139" s="67" t="str">
        <f>IF(OR(Table12[[#This Row],[Bet]]="Side",Table12[[#This Row],[Bet]]="", 'Prediction Log'!L140=""), "",IF('Prediction Log'!U140="Y", "W", IF('Prediction Log'!U140="N", "L", "")))</f>
      </c>
      <c r="AC139" s="59" t="str">
        <f t="shared" si="24"/>
      </c>
      <c r="AD139" s="67"/>
      <c r="AE139" s="65" t="str">
        <f t="shared" si="29"/>
      </c>
      <c r="AF1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0">
      <c r="A140" s="65" t="str">
        <f>IF(ISBLANK(Games!A140), "", Games!A140)</f>
      </c>
      <c r="B140" s="65" t="str">
        <f>IF('Prediction Log'!B141=0, "",'Prediction Log'!B141)</f>
      </c>
      <c r="C140" s="65" t="str">
        <f>IF('Prediction Log'!C141=0, "",'Prediction Log'!C141)</f>
      </c>
      <c r="D140" s="65" t="str">
        <f>IF('Prediction Log'!D141=0, "",'Prediction Log'!D141)</f>
      </c>
      <c r="E140" s="58" t="str">
        <f>IF('Prediction Log'!E141=0, "",'Prediction Log'!E141)</f>
      </c>
      <c r="F140" s="65" t="str">
        <f>IF('Prediction Log'!H141=0, "",'Prediction Log'!H141)</f>
      </c>
      <c r="G140" s="64" t="str">
        <f>IF(ISBLANK(Games!B140), "",'Prediction Log'!$I141)</f>
      </c>
      <c r="H140" s="66" t="n">
        <f>'Prediction Log'!$J141</f>
        <v>0</v>
      </c>
      <c r="I140" s="65" t="str">
        <f>IF(ISBLANK(Games!T140), "",IF(AND(Games!T140="",Games!U140=""),"",IF(ISTEXT(Games!U140), "Side",Games!T140)))</f>
      </c>
      <c r="J140" s="65" t="str">
        <f>IF(ISBLANK(Games!T140), "",IF(Table12[[#This Row],[Bet]]="Spread", Games!X140, ""))</f>
      </c>
      <c r="K140" s="65" t="str">
        <f>IF(ISBLANK(Games!U140), "",IF(ISTEXT(Games!U140), Games!U140, ""))</f>
      </c>
      <c r="L140" s="57" t="str">
        <f>IF(ISBLANK(Games!D140), "", Games!D140)</f>
      </c>
      <c r="M140" s="65"/>
      <c r="N140" s="75" t="str">
        <f>IF(Games!V140="", "",Games!V140)</f>
      </c>
      <c r="O140" s="75" t="str">
        <f>IF(Games!Z140=0, "",Games!Z140)</f>
      </c>
      <c r="P140" s="67"/>
      <c r="Q140" s="67" t="str">
        <f>IF(ISBLANK(Games!W140), "", Games!W140)</f>
      </c>
      <c r="R140" s="67" t="str">
        <f>IF(ISBLANK(Games!AA140), "", Games!AA140)</f>
      </c>
      <c r="S140" s="67"/>
      <c r="T140" s="68" t="str">
        <f t="shared" si="25"/>
      </c>
      <c r="U140" s="68" t="str">
        <f t="shared" si="26"/>
      </c>
      <c r="V140" s="68" t="str">
        <f t="shared" si="27"/>
      </c>
      <c r="W140" s="68" t="str">
        <f t="shared" si="28"/>
      </c>
      <c r="X140" s="68" t="n">
        <f t="shared" si="21"/>
        <v>0</v>
      </c>
      <c r="Y140" s="68" t="n">
        <f t="shared" si="22"/>
        <v>0</v>
      </c>
      <c r="Z140" s="67" t="str">
        <f>IF(OR('Prediction Log'!L141="", Table12[[#This Row],[Bet]]="", Table12[[#This Row],[Bet]]="Spread"), "",IF('Prediction Log'!L141=Table12[[#This Row],[Side]], "W", IF('Prediction Log'!L141&lt;&gt;Table12[[#This Row],[Side]], "L", "")))</f>
      </c>
      <c r="AA140" s="59" t="str">
        <f t="shared" si="23"/>
      </c>
      <c r="AB140" s="67" t="str">
        <f>IF(OR(Table12[[#This Row],[Bet]]="Side",Table12[[#This Row],[Bet]]="", 'Prediction Log'!L141=""), "",IF('Prediction Log'!U141="Y", "W", IF('Prediction Log'!U141="N", "L", "")))</f>
      </c>
      <c r="AC140" s="59" t="str">
        <f t="shared" si="24"/>
      </c>
      <c r="AD140" s="67"/>
      <c r="AE140" s="65" t="str">
        <f t="shared" si="29"/>
      </c>
      <c r="AF1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1">
      <c r="A141" s="65" t="str">
        <f>IF(ISBLANK(Games!A141), "", Games!A141)</f>
      </c>
      <c r="B141" s="65" t="str">
        <f>IF('Prediction Log'!B142=0, "",'Prediction Log'!B142)</f>
      </c>
      <c r="C141" s="65" t="str">
        <f>IF('Prediction Log'!C142=0, "",'Prediction Log'!C142)</f>
      </c>
      <c r="D141" s="65" t="str">
        <f>IF('Prediction Log'!D142=0, "",'Prediction Log'!D142)</f>
      </c>
      <c r="E141" s="58" t="str">
        <f>IF('Prediction Log'!E142=0, "",'Prediction Log'!E142)</f>
      </c>
      <c r="F141" s="65" t="str">
        <f>IF('Prediction Log'!H142=0, "",'Prediction Log'!H142)</f>
      </c>
      <c r="G141" s="64" t="str">
        <f>IF(ISBLANK(Games!B141), "",'Prediction Log'!$I142)</f>
      </c>
      <c r="H141" s="66" t="n">
        <f>'Prediction Log'!$J142</f>
        <v>0</v>
      </c>
      <c r="I141" s="65" t="str">
        <f>IF(ISBLANK(Games!T141), "",IF(AND(Games!T141="",Games!U141=""),"",IF(ISTEXT(Games!U141), "Side",Games!T141)))</f>
      </c>
      <c r="J141" s="65" t="str">
        <f>IF(ISBLANK(Games!T141), "",IF(Table12[[#This Row],[Bet]]="Spread", Games!X141, ""))</f>
      </c>
      <c r="K141" s="65" t="str">
        <f>IF(ISBLANK(Games!U141), "",IF(ISTEXT(Games!U141), Games!U141, ""))</f>
      </c>
      <c r="L141" s="57" t="str">
        <f>IF(ISBLANK(Games!D141), "", Games!D141)</f>
      </c>
      <c r="M141" s="65"/>
      <c r="N141" s="75" t="str">
        <f>IF(Games!V141="", "",Games!V141)</f>
      </c>
      <c r="O141" s="75" t="str">
        <f>IF(Games!Z141=0, "",Games!Z141)</f>
      </c>
      <c r="P141" s="67"/>
      <c r="Q141" s="67" t="str">
        <f>IF(ISBLANK(Games!W141), "", Games!W141)</f>
      </c>
      <c r="R141" s="67" t="str">
        <f>IF(ISBLANK(Games!AA141), "", Games!AA141)</f>
      </c>
      <c r="S141" s="67"/>
      <c r="T141" s="68" t="str">
        <f t="shared" si="25"/>
      </c>
      <c r="U141" s="68" t="str">
        <f t="shared" si="26"/>
      </c>
      <c r="V141" s="68" t="str">
        <f t="shared" si="27"/>
      </c>
      <c r="W141" s="68" t="str">
        <f t="shared" si="28"/>
      </c>
      <c r="X141" s="68" t="n">
        <f t="shared" si="21"/>
        <v>0</v>
      </c>
      <c r="Y141" s="68" t="n">
        <f t="shared" si="22"/>
        <v>0</v>
      </c>
      <c r="Z141" s="67" t="str">
        <f>IF(OR('Prediction Log'!L142="", Table12[[#This Row],[Bet]]="", Table12[[#This Row],[Bet]]="Spread"), "",IF('Prediction Log'!L142=Table12[[#This Row],[Side]], "W", IF('Prediction Log'!L142&lt;&gt;Table12[[#This Row],[Side]], "L", "")))</f>
      </c>
      <c r="AA141" s="59" t="str">
        <f t="shared" si="23"/>
      </c>
      <c r="AB141" s="67" t="str">
        <f>IF(OR(Table12[[#This Row],[Bet]]="Side",Table12[[#This Row],[Bet]]="", 'Prediction Log'!L142=""), "",IF('Prediction Log'!U142="Y", "W", IF('Prediction Log'!U142="N", "L", "")))</f>
      </c>
      <c r="AC141" s="59" t="str">
        <f t="shared" si="24"/>
      </c>
      <c r="AD141" s="67"/>
      <c r="AE141" s="65" t="str">
        <f t="shared" si="29"/>
      </c>
      <c r="AF1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2">
      <c r="A142" s="65" t="str">
        <f>IF(ISBLANK(Games!A142), "", Games!A142)</f>
      </c>
      <c r="B142" s="65" t="str">
        <f>IF('Prediction Log'!B143=0, "",'Prediction Log'!B143)</f>
      </c>
      <c r="C142" s="65" t="str">
        <f>IF('Prediction Log'!C143=0, "",'Prediction Log'!C143)</f>
      </c>
      <c r="D142" s="65" t="str">
        <f>IF('Prediction Log'!D143=0, "",'Prediction Log'!D143)</f>
      </c>
      <c r="E142" s="58" t="str">
        <f>IF('Prediction Log'!E143=0, "",'Prediction Log'!E143)</f>
      </c>
      <c r="F142" s="65" t="str">
        <f>IF('Prediction Log'!H143=0, "",'Prediction Log'!H143)</f>
      </c>
      <c r="G142" s="64" t="str">
        <f>IF(ISBLANK(Games!B142), "",'Prediction Log'!$I143)</f>
      </c>
      <c r="H142" s="66" t="n">
        <f>'Prediction Log'!$J143</f>
        <v>0</v>
      </c>
      <c r="I142" s="65" t="str">
        <f>IF(ISBLANK(Games!T142), "",IF(AND(Games!T142="",Games!U142=""),"",IF(ISTEXT(Games!U142), "Side",Games!T142)))</f>
      </c>
      <c r="J142" s="65" t="str">
        <f>IF(ISBLANK(Games!T142), "",IF(Table12[[#This Row],[Bet]]="Spread", Games!X142, ""))</f>
      </c>
      <c r="K142" s="65" t="str">
        <f>IF(ISBLANK(Games!U142), "",IF(ISTEXT(Games!U142), Games!U142, ""))</f>
      </c>
      <c r="L142" s="57" t="str">
        <f>IF(ISBLANK(Games!D142), "", Games!D142)</f>
      </c>
      <c r="M142" s="65"/>
      <c r="N142" s="75" t="str">
        <f>IF(Games!V142="", "",Games!V142)</f>
      </c>
      <c r="O142" s="75" t="str">
        <f>IF(Games!Z142=0, "",Games!Z142)</f>
      </c>
      <c r="P142" s="67"/>
      <c r="Q142" s="67" t="str">
        <f>IF(ISBLANK(Games!W142), "", Games!W142)</f>
      </c>
      <c r="R142" s="67" t="str">
        <f>IF(ISBLANK(Games!AA142), "", Games!AA142)</f>
      </c>
      <c r="S142" s="67"/>
      <c r="T142" s="68" t="str">
        <f t="shared" si="25"/>
      </c>
      <c r="U142" s="68" t="str">
        <f t="shared" si="26"/>
      </c>
      <c r="V142" s="68" t="str">
        <f t="shared" si="27"/>
      </c>
      <c r="W142" s="68" t="str">
        <f t="shared" si="28"/>
      </c>
      <c r="X142" s="68" t="n">
        <f t="shared" si="21"/>
        <v>0</v>
      </c>
      <c r="Y142" s="68" t="n">
        <f t="shared" si="22"/>
        <v>0</v>
      </c>
      <c r="Z142" s="67" t="str">
        <f>IF(OR('Prediction Log'!L143="", Table12[[#This Row],[Bet]]="", Table12[[#This Row],[Bet]]="Spread"), "",IF('Prediction Log'!L143=Table12[[#This Row],[Side]], "W", IF('Prediction Log'!L143&lt;&gt;Table12[[#This Row],[Side]], "L", "")))</f>
      </c>
      <c r="AA142" s="59" t="str">
        <f t="shared" si="23"/>
      </c>
      <c r="AB142" s="67" t="str">
        <f>IF(OR(Table12[[#This Row],[Bet]]="Side",Table12[[#This Row],[Bet]]="", 'Prediction Log'!L143=""), "",IF('Prediction Log'!U143="Y", "W", IF('Prediction Log'!U143="N", "L", "")))</f>
      </c>
      <c r="AC142" s="59" t="str">
        <f t="shared" si="24"/>
      </c>
      <c r="AD142" s="67"/>
      <c r="AE142" s="65" t="str">
        <f t="shared" si="29"/>
      </c>
      <c r="AF1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3">
      <c r="A143" s="65" t="str">
        <f>IF(ISBLANK(Games!A143), "", Games!A143)</f>
      </c>
      <c r="B143" s="65" t="str">
        <f>IF('Prediction Log'!B144=0, "",'Prediction Log'!B144)</f>
      </c>
      <c r="C143" s="65" t="str">
        <f>IF('Prediction Log'!C144=0, "",'Prediction Log'!C144)</f>
      </c>
      <c r="D143" s="65" t="str">
        <f>IF('Prediction Log'!D144=0, "",'Prediction Log'!D144)</f>
      </c>
      <c r="E143" s="58" t="str">
        <f>IF('Prediction Log'!E144=0, "",'Prediction Log'!E144)</f>
      </c>
      <c r="F143" s="65" t="str">
        <f>IF('Prediction Log'!H144=0, "",'Prediction Log'!H144)</f>
      </c>
      <c r="G143" s="64" t="str">
        <f>IF(ISBLANK(Games!B143), "",'Prediction Log'!$I144)</f>
      </c>
      <c r="H143" s="66" t="n">
        <f>'Prediction Log'!$J144</f>
        <v>0</v>
      </c>
      <c r="I143" s="65" t="str">
        <f>IF(ISBLANK(Games!T143), "",IF(AND(Games!T143="",Games!U143=""),"",IF(ISTEXT(Games!U143), "Side",Games!T143)))</f>
      </c>
      <c r="J143" s="65" t="str">
        <f>IF(ISBLANK(Games!T143), "",IF(Table12[[#This Row],[Bet]]="Spread", Games!X143, ""))</f>
      </c>
      <c r="K143" s="65" t="str">
        <f>IF(ISBLANK(Games!U143), "",IF(ISTEXT(Games!U143), Games!U143, ""))</f>
      </c>
      <c r="L143" s="57" t="str">
        <f>IF(ISBLANK(Games!D143), "", Games!D143)</f>
      </c>
      <c r="M143" s="65"/>
      <c r="N143" s="75" t="str">
        <f>IF(Games!V143="", "",Games!V143)</f>
      </c>
      <c r="O143" s="75" t="str">
        <f>IF(Games!Z143=0, "",Games!Z143)</f>
      </c>
      <c r="P143" s="67"/>
      <c r="Q143" s="67" t="str">
        <f>IF(ISBLANK(Games!W143), "", Games!W143)</f>
      </c>
      <c r="R143" s="67" t="str">
        <f>IF(ISBLANK(Games!AA143), "", Games!AA143)</f>
      </c>
      <c r="S143" s="67"/>
      <c r="T143" s="68" t="str">
        <f t="shared" si="25"/>
      </c>
      <c r="U143" s="68" t="str">
        <f t="shared" si="26"/>
      </c>
      <c r="V143" s="68" t="str">
        <f t="shared" si="27"/>
      </c>
      <c r="W143" s="68" t="str">
        <f t="shared" si="28"/>
      </c>
      <c r="X143" s="68" t="n">
        <f t="shared" si="21"/>
        <v>0</v>
      </c>
      <c r="Y143" s="68" t="n">
        <f t="shared" si="22"/>
        <v>0</v>
      </c>
      <c r="Z143" s="67" t="str">
        <f>IF(OR('Prediction Log'!L144="", Table12[[#This Row],[Bet]]="", Table12[[#This Row],[Bet]]="Spread"), "",IF('Prediction Log'!L144=Table12[[#This Row],[Side]], "W", IF('Prediction Log'!L144&lt;&gt;Table12[[#This Row],[Side]], "L", "")))</f>
      </c>
      <c r="AA143" s="59" t="str">
        <f t="shared" si="23"/>
      </c>
      <c r="AB143" s="67" t="str">
        <f>IF(OR(Table12[[#This Row],[Bet]]="Side",Table12[[#This Row],[Bet]]="", 'Prediction Log'!L144=""), "",IF('Prediction Log'!U144="Y", "W", IF('Prediction Log'!U144="N", "L", "")))</f>
      </c>
      <c r="AC143" s="59" t="str">
        <f t="shared" si="24"/>
      </c>
      <c r="AD143" s="67"/>
      <c r="AE143" s="65" t="str">
        <f t="shared" si="29"/>
      </c>
      <c r="AF1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4">
      <c r="A144" s="65" t="str">
        <f>IF(ISBLANK(Games!A144), "", Games!A144)</f>
      </c>
      <c r="B144" s="65" t="str">
        <f>IF('Prediction Log'!B145=0, "",'Prediction Log'!B145)</f>
      </c>
      <c r="C144" s="65" t="str">
        <f>IF('Prediction Log'!C145=0, "",'Prediction Log'!C145)</f>
      </c>
      <c r="D144" s="65" t="str">
        <f>IF('Prediction Log'!D145=0, "",'Prediction Log'!D145)</f>
      </c>
      <c r="E144" s="58" t="str">
        <f>IF('Prediction Log'!E145=0, "",'Prediction Log'!E145)</f>
      </c>
      <c r="F144" s="65" t="str">
        <f>IF('Prediction Log'!H145=0, "",'Prediction Log'!H145)</f>
      </c>
      <c r="G144" s="64" t="str">
        <f>IF(ISBLANK(Games!B144), "",'Prediction Log'!$I145)</f>
      </c>
      <c r="H144" s="66" t="n">
        <f>'Prediction Log'!$J145</f>
        <v>0</v>
      </c>
      <c r="I144" s="65" t="str">
        <f>IF(ISBLANK(Games!T144), "",IF(AND(Games!T144="",Games!U144=""),"",IF(ISTEXT(Games!U144), "Side",Games!T144)))</f>
      </c>
      <c r="J144" s="65" t="str">
        <f>IF(ISBLANK(Games!T144), "",IF(Table12[[#This Row],[Bet]]="Spread", Games!X144, ""))</f>
      </c>
      <c r="K144" s="65" t="str">
        <f>IF(ISBLANK(Games!U144), "",IF(ISTEXT(Games!U144), Games!U144, ""))</f>
      </c>
      <c r="L144" s="57" t="str">
        <f>IF(ISBLANK(Games!D144), "", Games!D144)</f>
      </c>
      <c r="M144" s="65"/>
      <c r="N144" s="75" t="str">
        <f>IF(Games!V144="", "",Games!V144)</f>
      </c>
      <c r="O144" s="75" t="str">
        <f>IF(Games!Z144=0, "",Games!Z144)</f>
      </c>
      <c r="P144" s="67"/>
      <c r="Q144" s="67" t="str">
        <f>IF(ISBLANK(Games!W144), "", Games!W144)</f>
      </c>
      <c r="R144" s="67" t="str">
        <f>IF(ISBLANK(Games!AA144), "", Games!AA144)</f>
      </c>
      <c r="S144" s="67"/>
      <c r="T144" s="68" t="str">
        <f t="shared" si="25"/>
      </c>
      <c r="U144" s="68" t="str">
        <f t="shared" si="26"/>
      </c>
      <c r="V144" s="68" t="str">
        <f t="shared" si="27"/>
      </c>
      <c r="W144" s="68" t="str">
        <f t="shared" si="28"/>
      </c>
      <c r="X144" s="68" t="n">
        <f t="shared" si="21"/>
        <v>0</v>
      </c>
      <c r="Y144" s="68" t="n">
        <f t="shared" si="22"/>
        <v>0</v>
      </c>
      <c r="Z144" s="67" t="str">
        <f>IF(OR('Prediction Log'!L145="", Table12[[#This Row],[Bet]]="", Table12[[#This Row],[Bet]]="Spread"), "",IF('Prediction Log'!L145=Table12[[#This Row],[Side]], "W", IF('Prediction Log'!L145&lt;&gt;Table12[[#This Row],[Side]], "L", "")))</f>
      </c>
      <c r="AA144" s="59" t="str">
        <f t="shared" si="23"/>
      </c>
      <c r="AB144" s="67" t="str">
        <f>IF(OR(Table12[[#This Row],[Bet]]="Side",Table12[[#This Row],[Bet]]="", 'Prediction Log'!L145=""), "",IF('Prediction Log'!U145="Y", "W", IF('Prediction Log'!U145="N", "L", "")))</f>
      </c>
      <c r="AC144" s="59" t="str">
        <f t="shared" si="24"/>
      </c>
      <c r="AD144" s="67"/>
      <c r="AE144" s="65" t="str">
        <f t="shared" si="29"/>
      </c>
      <c r="AF1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5">
      <c r="A145" s="65" t="str">
        <f>IF(ISBLANK(Games!A145), "", Games!A145)</f>
      </c>
      <c r="B145" s="65" t="str">
        <f>IF('Prediction Log'!B146=0, "",'Prediction Log'!B146)</f>
      </c>
      <c r="C145" s="65" t="str">
        <f>IF('Prediction Log'!C146=0, "",'Prediction Log'!C146)</f>
      </c>
      <c r="D145" s="65" t="str">
        <f>IF('Prediction Log'!D146=0, "",'Prediction Log'!D146)</f>
      </c>
      <c r="E145" s="58" t="str">
        <f>IF('Prediction Log'!E146=0, "",'Prediction Log'!E146)</f>
      </c>
      <c r="F145" s="65" t="str">
        <f>IF('Prediction Log'!H146=0, "",'Prediction Log'!H146)</f>
      </c>
      <c r="G145" s="64" t="str">
        <f>IF(ISBLANK(Games!B145), "",'Prediction Log'!$I146)</f>
      </c>
      <c r="H145" s="66" t="n">
        <f>'Prediction Log'!$J146</f>
        <v>0</v>
      </c>
      <c r="I145" s="65" t="str">
        <f>IF(ISBLANK(Games!T145), "",IF(AND(Games!T145="",Games!U145=""),"",IF(ISTEXT(Games!U145), "Side",Games!T145)))</f>
      </c>
      <c r="J145" s="65" t="str">
        <f>IF(ISBLANK(Games!T145), "",IF(Table12[[#This Row],[Bet]]="Spread", Games!X145, ""))</f>
      </c>
      <c r="K145" s="65" t="str">
        <f>IF(ISBLANK(Games!U145), "",IF(ISTEXT(Games!U145), Games!U145, ""))</f>
      </c>
      <c r="L145" s="57" t="str">
        <f>IF(ISBLANK(Games!D145), "", Games!D145)</f>
      </c>
      <c r="M145" s="65"/>
      <c r="N145" s="75" t="str">
        <f>IF(Games!V145="", "",Games!V145)</f>
      </c>
      <c r="O145" s="75" t="str">
        <f>IF(Games!Z145=0, "",Games!Z145)</f>
      </c>
      <c r="P145" s="67"/>
      <c r="Q145" s="67" t="str">
        <f>IF(ISBLANK(Games!W145), "", Games!W145)</f>
      </c>
      <c r="R145" s="67" t="str">
        <f>IF(ISBLANK(Games!AA145), "", Games!AA145)</f>
      </c>
      <c r="S145" s="67"/>
      <c r="T145" s="68" t="str">
        <f t="shared" si="25"/>
      </c>
      <c r="U145" s="68" t="str">
        <f t="shared" si="26"/>
      </c>
      <c r="V145" s="68" t="str">
        <f t="shared" si="27"/>
      </c>
      <c r="W145" s="68" t="str">
        <f t="shared" si="28"/>
      </c>
      <c r="X145" s="68" t="n">
        <f t="shared" si="21"/>
        <v>0</v>
      </c>
      <c r="Y145" s="68" t="n">
        <f t="shared" si="22"/>
        <v>0</v>
      </c>
      <c r="Z145" s="67" t="str">
        <f>IF(OR('Prediction Log'!L146="", Table12[[#This Row],[Bet]]="", Table12[[#This Row],[Bet]]="Spread"), "",IF('Prediction Log'!L146=Table12[[#This Row],[Side]], "W", IF('Prediction Log'!L146&lt;&gt;Table12[[#This Row],[Side]], "L", "")))</f>
      </c>
      <c r="AA145" s="59" t="str">
        <f t="shared" si="23"/>
      </c>
      <c r="AB145" s="67" t="str">
        <f>IF(OR(Table12[[#This Row],[Bet]]="Side",Table12[[#This Row],[Bet]]="", 'Prediction Log'!L146=""), "",IF('Prediction Log'!U146="Y", "W", IF('Prediction Log'!U146="N", "L", "")))</f>
      </c>
      <c r="AC145" s="59" t="str">
        <f t="shared" si="24"/>
      </c>
      <c r="AD145" s="67"/>
      <c r="AE145" s="65" t="str">
        <f t="shared" si="29"/>
      </c>
      <c r="AF1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6">
      <c r="A146" s="65" t="str">
        <f>IF(ISBLANK(Games!A146), "", Games!A146)</f>
      </c>
      <c r="B146" s="65" t="str">
        <f>IF('Prediction Log'!B147=0, "",'Prediction Log'!B147)</f>
      </c>
      <c r="C146" s="65" t="str">
        <f>IF('Prediction Log'!C147=0, "",'Prediction Log'!C147)</f>
      </c>
      <c r="D146" s="65" t="str">
        <f>IF('Prediction Log'!D147=0, "",'Prediction Log'!D147)</f>
      </c>
      <c r="E146" s="58" t="str">
        <f>IF('Prediction Log'!E147=0, "",'Prediction Log'!E147)</f>
      </c>
      <c r="F146" s="65" t="str">
        <f>IF('Prediction Log'!H147=0, "",'Prediction Log'!H147)</f>
      </c>
      <c r="G146" s="64" t="str">
        <f>IF(ISBLANK(Games!B146), "",'Prediction Log'!$I147)</f>
      </c>
      <c r="H146" s="66" t="n">
        <f>'Prediction Log'!$J147</f>
        <v>0</v>
      </c>
      <c r="I146" s="65" t="str">
        <f>IF(ISBLANK(Games!T146), "",IF(AND(Games!T146="",Games!U146=""),"",IF(ISTEXT(Games!U146), "Side",Games!T146)))</f>
      </c>
      <c r="J146" s="65" t="str">
        <f>IF(ISBLANK(Games!T146), "",IF(Table12[[#This Row],[Bet]]="Spread", Games!X146, ""))</f>
      </c>
      <c r="K146" s="65" t="str">
        <f>IF(ISBLANK(Games!U146), "",IF(ISTEXT(Games!U146), Games!U146, ""))</f>
      </c>
      <c r="L146" s="57" t="str">
        <f>IF(ISBLANK(Games!D146), "", Games!D146)</f>
      </c>
      <c r="M146" s="65"/>
      <c r="N146" s="75" t="str">
        <f>IF(Games!V146="", "",Games!V146)</f>
      </c>
      <c r="O146" s="75" t="str">
        <f>IF(Games!Z146=0, "",Games!Z146)</f>
      </c>
      <c r="P146" s="67"/>
      <c r="Q146" s="67" t="str">
        <f>IF(ISBLANK(Games!W146), "", Games!W146)</f>
      </c>
      <c r="R146" s="67" t="str">
        <f>IF(ISBLANK(Games!AA146), "", Games!AA146)</f>
      </c>
      <c r="S146" s="67"/>
      <c r="T146" s="68" t="str">
        <f t="shared" si="25"/>
      </c>
      <c r="U146" s="68" t="str">
        <f t="shared" si="26"/>
      </c>
      <c r="V146" s="68" t="str">
        <f t="shared" si="27"/>
      </c>
      <c r="W146" s="68" t="str">
        <f t="shared" si="28"/>
      </c>
      <c r="X146" s="68" t="n">
        <f t="shared" si="21"/>
        <v>0</v>
      </c>
      <c r="Y146" s="68" t="n">
        <f t="shared" si="22"/>
        <v>0</v>
      </c>
      <c r="Z146" s="67" t="str">
        <f>IF(OR('Prediction Log'!L147="", Table12[[#This Row],[Bet]]="", Table12[[#This Row],[Bet]]="Spread"), "",IF('Prediction Log'!L147=Table12[[#This Row],[Side]], "W", IF('Prediction Log'!L147&lt;&gt;Table12[[#This Row],[Side]], "L", "")))</f>
      </c>
      <c r="AA146" s="59" t="str">
        <f t="shared" si="23"/>
      </c>
      <c r="AB146" s="67" t="str">
        <f>IF(OR(Table12[[#This Row],[Bet]]="Side",Table12[[#This Row],[Bet]]="", 'Prediction Log'!L147=""), "",IF('Prediction Log'!U147="Y", "W", IF('Prediction Log'!U147="N", "L", "")))</f>
      </c>
      <c r="AC146" s="59" t="str">
        <f t="shared" si="24"/>
      </c>
      <c r="AD146" s="67"/>
      <c r="AE146" s="65" t="str">
        <f t="shared" si="29"/>
      </c>
      <c r="AF1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7">
      <c r="A147" s="65" t="str">
        <f>IF(ISBLANK(Games!A147), "", Games!A147)</f>
      </c>
      <c r="B147" s="65" t="str">
        <f>IF('Prediction Log'!B148=0, "",'Prediction Log'!B148)</f>
      </c>
      <c r="C147" s="65" t="str">
        <f>IF('Prediction Log'!C148=0, "",'Prediction Log'!C148)</f>
      </c>
      <c r="D147" s="65" t="str">
        <f>IF('Prediction Log'!D148=0, "",'Prediction Log'!D148)</f>
      </c>
      <c r="E147" s="58" t="str">
        <f>IF('Prediction Log'!E148=0, "",'Prediction Log'!E148)</f>
      </c>
      <c r="F147" s="65" t="str">
        <f>IF('Prediction Log'!H148=0, "",'Prediction Log'!H148)</f>
      </c>
      <c r="G147" s="64" t="str">
        <f>IF(ISBLANK(Games!B147), "",'Prediction Log'!$I148)</f>
      </c>
      <c r="H147" s="66" t="n">
        <f>'Prediction Log'!$J148</f>
        <v>0</v>
      </c>
      <c r="I147" s="65" t="str">
        <f>IF(ISBLANK(Games!T147), "",IF(AND(Games!T147="",Games!U147=""),"",IF(ISTEXT(Games!U147), "Side",Games!T147)))</f>
      </c>
      <c r="J147" s="65" t="str">
        <f>IF(ISBLANK(Games!T147), "",IF(Table12[[#This Row],[Bet]]="Spread", Games!X147, ""))</f>
      </c>
      <c r="K147" s="65" t="str">
        <f>IF(ISBLANK(Games!U147), "",IF(ISTEXT(Games!U147), Games!U147, ""))</f>
      </c>
      <c r="L147" s="57" t="str">
        <f>IF(ISBLANK(Games!D147), "", Games!D147)</f>
      </c>
      <c r="M147" s="65"/>
      <c r="N147" s="75" t="str">
        <f>IF(Games!V147="", "",Games!V147)</f>
      </c>
      <c r="O147" s="75" t="str">
        <f>IF(Games!Z147=0, "",Games!Z147)</f>
      </c>
      <c r="P147" s="67"/>
      <c r="Q147" s="67" t="str">
        <f>IF(ISBLANK(Games!W147), "", Games!W147)</f>
      </c>
      <c r="R147" s="67" t="str">
        <f>IF(ISBLANK(Games!AA147), "", Games!AA147)</f>
      </c>
      <c r="S147" s="67"/>
      <c r="T147" s="68" t="str">
        <f t="shared" si="25"/>
      </c>
      <c r="U147" s="68" t="str">
        <f t="shared" si="26"/>
      </c>
      <c r="V147" s="68" t="str">
        <f t="shared" si="27"/>
      </c>
      <c r="W147" s="68" t="str">
        <f t="shared" si="28"/>
      </c>
      <c r="X147" s="68" t="n">
        <f t="shared" si="21"/>
        <v>0</v>
      </c>
      <c r="Y147" s="68" t="n">
        <f t="shared" si="22"/>
        <v>0</v>
      </c>
      <c r="Z147" s="67" t="str">
        <f>IF(OR('Prediction Log'!L148="", Table12[[#This Row],[Bet]]="", Table12[[#This Row],[Bet]]="Spread"), "",IF('Prediction Log'!L148=Table12[[#This Row],[Side]], "W", IF('Prediction Log'!L148&lt;&gt;Table12[[#This Row],[Side]], "L", "")))</f>
      </c>
      <c r="AA147" s="59" t="str">
        <f t="shared" si="23"/>
      </c>
      <c r="AB147" s="67" t="str">
        <f>IF(OR(Table12[[#This Row],[Bet]]="Side",Table12[[#This Row],[Bet]]="", 'Prediction Log'!L148=""), "",IF('Prediction Log'!U148="Y", "W", IF('Prediction Log'!U148="N", "L", "")))</f>
      </c>
      <c r="AC147" s="59" t="str">
        <f t="shared" si="24"/>
      </c>
      <c r="AD147" s="67"/>
      <c r="AE147" s="65" t="str">
        <f t="shared" si="29"/>
      </c>
      <c r="AF1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8">
      <c r="A148" s="65" t="str">
        <f>IF(ISBLANK(Games!A148), "", Games!A148)</f>
      </c>
      <c r="B148" s="65" t="str">
        <f>IF('Prediction Log'!B149=0, "",'Prediction Log'!B149)</f>
      </c>
      <c r="C148" s="65" t="str">
        <f>IF('Prediction Log'!C149=0, "",'Prediction Log'!C149)</f>
      </c>
      <c r="D148" s="65" t="str">
        <f>IF('Prediction Log'!D149=0, "",'Prediction Log'!D149)</f>
      </c>
      <c r="E148" s="58" t="str">
        <f>IF('Prediction Log'!E149=0, "",'Prediction Log'!E149)</f>
      </c>
      <c r="F148" s="65" t="str">
        <f>IF('Prediction Log'!H149=0, "",'Prediction Log'!H149)</f>
      </c>
      <c r="G148" s="64" t="str">
        <f>IF(ISBLANK(Games!B148), "",'Prediction Log'!$I149)</f>
      </c>
      <c r="H148" s="66" t="n">
        <f>'Prediction Log'!$J149</f>
        <v>0</v>
      </c>
      <c r="I148" s="65" t="str">
        <f>IF(ISBLANK(Games!T148), "",IF(AND(Games!T148="",Games!U148=""),"",IF(ISTEXT(Games!U148), "Side",Games!T148)))</f>
      </c>
      <c r="J148" s="65" t="str">
        <f>IF(ISBLANK(Games!T148), "",IF(Table12[[#This Row],[Bet]]="Spread", Games!X148, ""))</f>
      </c>
      <c r="K148" s="65" t="str">
        <f>IF(ISBLANK(Games!U148), "",IF(ISTEXT(Games!U148), Games!U148, ""))</f>
      </c>
      <c r="L148" s="57" t="str">
        <f>IF(ISBLANK(Games!D148), "", Games!D148)</f>
      </c>
      <c r="M148" s="65"/>
      <c r="N148" s="75" t="str">
        <f>IF(Games!V148="", "",Games!V148)</f>
      </c>
      <c r="O148" s="75" t="str">
        <f>IF(Games!Z148=0, "",Games!Z148)</f>
      </c>
      <c r="P148" s="67"/>
      <c r="Q148" s="67" t="str">
        <f>IF(ISBLANK(Games!W148), "", Games!W148)</f>
      </c>
      <c r="R148" s="67" t="str">
        <f>IF(ISBLANK(Games!AA148), "", Games!AA148)</f>
      </c>
      <c r="S148" s="67"/>
      <c r="T148" s="68" t="str">
        <f t="shared" si="25"/>
      </c>
      <c r="U148" s="68" t="str">
        <f t="shared" si="26"/>
      </c>
      <c r="V148" s="68" t="str">
        <f t="shared" si="27"/>
      </c>
      <c r="W148" s="68" t="str">
        <f t="shared" si="28"/>
      </c>
      <c r="X148" s="68" t="n">
        <f t="shared" si="21"/>
        <v>0</v>
      </c>
      <c r="Y148" s="68" t="n">
        <f t="shared" si="22"/>
        <v>0</v>
      </c>
      <c r="Z148" s="67" t="str">
        <f>IF(OR('Prediction Log'!L149="", Table12[[#This Row],[Bet]]="", Table12[[#This Row],[Bet]]="Spread"), "",IF('Prediction Log'!L149=Table12[[#This Row],[Side]], "W", IF('Prediction Log'!L149&lt;&gt;Table12[[#This Row],[Side]], "L", "")))</f>
      </c>
      <c r="AA148" s="59" t="str">
        <f t="shared" si="23"/>
      </c>
      <c r="AB148" s="67" t="str">
        <f>IF(OR(Table12[[#This Row],[Bet]]="Side",Table12[[#This Row],[Bet]]="", 'Prediction Log'!L149=""), "",IF('Prediction Log'!U149="Y", "W", IF('Prediction Log'!U149="N", "L", "")))</f>
      </c>
      <c r="AC148" s="59" t="str">
        <f t="shared" si="24"/>
      </c>
      <c r="AD148" s="67"/>
      <c r="AE148" s="65" t="str">
        <f t="shared" si="29"/>
      </c>
      <c r="AF1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9">
      <c r="A149" s="65" t="str">
        <f>IF(ISBLANK(Games!A149), "", Games!A149)</f>
      </c>
      <c r="B149" s="65" t="str">
        <f>IF('Prediction Log'!B150=0, "",'Prediction Log'!B150)</f>
      </c>
      <c r="C149" s="65" t="str">
        <f>IF('Prediction Log'!C150=0, "",'Prediction Log'!C150)</f>
      </c>
      <c r="D149" s="65" t="str">
        <f>IF('Prediction Log'!D150=0, "",'Prediction Log'!D150)</f>
      </c>
      <c r="E149" s="58" t="str">
        <f>IF('Prediction Log'!E150=0, "",'Prediction Log'!E150)</f>
      </c>
      <c r="F149" s="65" t="str">
        <f>IF('Prediction Log'!H150=0, "",'Prediction Log'!H150)</f>
      </c>
      <c r="G149" s="64" t="str">
        <f>IF(ISBLANK(Games!B149), "",'Prediction Log'!$I150)</f>
      </c>
      <c r="H149" s="66" t="n">
        <f>'Prediction Log'!$J150</f>
        <v>0</v>
      </c>
      <c r="I149" s="65" t="str">
        <f>IF(ISBLANK(Games!T149), "",IF(AND(Games!T149="",Games!U149=""),"",IF(ISTEXT(Games!U149), "Side",Games!T149)))</f>
      </c>
      <c r="J149" s="65" t="str">
        <f>IF(ISBLANK(Games!T149), "",IF(Table12[[#This Row],[Bet]]="Spread", Games!X149, ""))</f>
      </c>
      <c r="K149" s="65" t="str">
        <f>IF(ISBLANK(Games!U149), "",IF(ISTEXT(Games!U149), Games!U149, ""))</f>
      </c>
      <c r="L149" s="57" t="str">
        <f>IF(ISBLANK(Games!D149), "", Games!D149)</f>
      </c>
      <c r="M149" s="65"/>
      <c r="N149" s="75" t="str">
        <f>IF(Games!V149="", "",Games!V149)</f>
      </c>
      <c r="O149" s="75" t="str">
        <f>IF(Games!Z149=0, "",Games!Z149)</f>
      </c>
      <c r="P149" s="67"/>
      <c r="Q149" s="67" t="str">
        <f>IF(ISBLANK(Games!W149), "", Games!W149)</f>
      </c>
      <c r="R149" s="67" t="str">
        <f>IF(ISBLANK(Games!AA149), "", Games!AA149)</f>
      </c>
      <c r="S149" s="67"/>
      <c r="T149" s="68" t="str">
        <f t="shared" si="25"/>
      </c>
      <c r="U149" s="68" t="str">
        <f t="shared" si="26"/>
      </c>
      <c r="V149" s="68" t="str">
        <f t="shared" si="27"/>
      </c>
      <c r="W149" s="68" t="str">
        <f t="shared" si="28"/>
      </c>
      <c r="X149" s="68" t="n">
        <f t="shared" si="21"/>
        <v>0</v>
      </c>
      <c r="Y149" s="68" t="n">
        <f t="shared" si="22"/>
        <v>0</v>
      </c>
      <c r="Z149" s="67" t="str">
        <f>IF(OR('Prediction Log'!L150="", Table12[[#This Row],[Bet]]="", Table12[[#This Row],[Bet]]="Spread"), "",IF('Prediction Log'!L150=Table12[[#This Row],[Side]], "W", IF('Prediction Log'!L150&lt;&gt;Table12[[#This Row],[Side]], "L", "")))</f>
      </c>
      <c r="AA149" s="59" t="str">
        <f t="shared" si="23"/>
      </c>
      <c r="AB149" s="67" t="str">
        <f>IF(OR(Table12[[#This Row],[Bet]]="Side",Table12[[#This Row],[Bet]]="", 'Prediction Log'!L150=""), "",IF('Prediction Log'!U150="Y", "W", IF('Prediction Log'!U150="N", "L", "")))</f>
      </c>
      <c r="AC149" s="59" t="str">
        <f t="shared" si="24"/>
      </c>
      <c r="AD149" s="67"/>
      <c r="AE149" s="65" t="str">
        <f t="shared" si="29"/>
      </c>
      <c r="AF1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0">
      <c r="A150" s="65" t="str">
        <f>IF(ISBLANK(Games!A150), "", Games!A150)</f>
      </c>
      <c r="B150" s="65" t="str">
        <f>IF('Prediction Log'!B151=0, "",'Prediction Log'!B151)</f>
      </c>
      <c r="C150" s="65" t="str">
        <f>IF('Prediction Log'!C151=0, "",'Prediction Log'!C151)</f>
      </c>
      <c r="D150" s="65" t="str">
        <f>IF('Prediction Log'!D151=0, "",'Prediction Log'!D151)</f>
      </c>
      <c r="E150" s="58" t="str">
        <f>IF('Prediction Log'!E151=0, "",'Prediction Log'!E151)</f>
      </c>
      <c r="F150" s="65" t="str">
        <f>IF('Prediction Log'!H151=0, "",'Prediction Log'!H151)</f>
      </c>
      <c r="G150" s="64" t="str">
        <f>IF(ISBLANK(Games!B150), "",'Prediction Log'!$I151)</f>
      </c>
      <c r="H150" s="66" t="n">
        <f>'Prediction Log'!$J151</f>
        <v>0</v>
      </c>
      <c r="I150" s="65" t="str">
        <f>IF(ISBLANK(Games!T150), "",IF(AND(Games!T150="",Games!U150=""),"",IF(ISTEXT(Games!U150), "Side",Games!T150)))</f>
      </c>
      <c r="J150" s="65" t="str">
        <f>IF(ISBLANK(Games!T150), "",IF(Table12[[#This Row],[Bet]]="Spread", Games!X150, ""))</f>
      </c>
      <c r="K150" s="65" t="str">
        <f>IF(ISBLANK(Games!U150), "",IF(ISTEXT(Games!U150), Games!U150, ""))</f>
      </c>
      <c r="L150" s="57" t="str">
        <f>IF(ISBLANK(Games!D150), "", Games!D150)</f>
      </c>
      <c r="M150" s="65"/>
      <c r="N150" s="75" t="str">
        <f>IF(Games!V150="", "",Games!V150)</f>
      </c>
      <c r="O150" s="75" t="str">
        <f>IF(Games!Z150=0, "",Games!Z150)</f>
      </c>
      <c r="P150" s="67"/>
      <c r="Q150" s="67" t="str">
        <f>IF(ISBLANK(Games!W150), "", Games!W150)</f>
      </c>
      <c r="R150" s="67" t="str">
        <f>IF(ISBLANK(Games!AA150), "", Games!AA150)</f>
      </c>
      <c r="S150" s="67"/>
      <c r="T150" s="68" t="str">
        <f t="shared" si="25"/>
      </c>
      <c r="U150" s="68" t="str">
        <f t="shared" si="26"/>
      </c>
      <c r="V150" s="68" t="str">
        <f t="shared" si="27"/>
      </c>
      <c r="W150" s="68" t="str">
        <f t="shared" si="28"/>
      </c>
      <c r="X150" s="68" t="n">
        <f t="shared" si="21"/>
        <v>0</v>
      </c>
      <c r="Y150" s="68" t="n">
        <f t="shared" si="22"/>
        <v>0</v>
      </c>
      <c r="Z150" s="67" t="str">
        <f>IF(OR('Prediction Log'!L151="", Table12[[#This Row],[Bet]]="", Table12[[#This Row],[Bet]]="Spread"), "",IF('Prediction Log'!L151=Table12[[#This Row],[Side]], "W", IF('Prediction Log'!L151&lt;&gt;Table12[[#This Row],[Side]], "L", "")))</f>
      </c>
      <c r="AA150" s="59" t="str">
        <f t="shared" si="23"/>
      </c>
      <c r="AB150" s="67" t="str">
        <f>IF(OR(Table12[[#This Row],[Bet]]="Side",Table12[[#This Row],[Bet]]="", 'Prediction Log'!L151=""), "",IF('Prediction Log'!U151="Y", "W", IF('Prediction Log'!U151="N", "L", "")))</f>
      </c>
      <c r="AC150" s="59" t="str">
        <f t="shared" si="24"/>
      </c>
      <c r="AD150" s="67"/>
      <c r="AE150" s="65" t="str">
        <f t="shared" si="29"/>
      </c>
      <c r="AF1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1">
      <c r="A151" s="65" t="str">
        <f>IF(ISBLANK(Games!A151), "", Games!A151)</f>
      </c>
      <c r="B151" s="65" t="str">
        <f>IF('Prediction Log'!B152=0, "",'Prediction Log'!B152)</f>
      </c>
      <c r="C151" s="65" t="str">
        <f>IF('Prediction Log'!C152=0, "",'Prediction Log'!C152)</f>
      </c>
      <c r="D151" s="65" t="str">
        <f>IF('Prediction Log'!D152=0, "",'Prediction Log'!D152)</f>
      </c>
      <c r="E151" s="58" t="str">
        <f>IF('Prediction Log'!E152=0, "",'Prediction Log'!E152)</f>
      </c>
      <c r="F151" s="65" t="str">
        <f>IF('Prediction Log'!H152=0, "",'Prediction Log'!H152)</f>
      </c>
      <c r="G151" s="64" t="str">
        <f>IF(ISBLANK(Games!B151), "",'Prediction Log'!$I152)</f>
      </c>
      <c r="H151" s="66" t="n">
        <f>'Prediction Log'!$J152</f>
        <v>0</v>
      </c>
      <c r="I151" s="65" t="str">
        <f>IF(ISBLANK(Games!T151), "",IF(AND(Games!T151="",Games!U151=""),"",IF(ISTEXT(Games!U151), "Side",Games!T151)))</f>
      </c>
      <c r="J151" s="65" t="str">
        <f>IF(ISBLANK(Games!T151), "",IF(Table12[[#This Row],[Bet]]="Spread", Games!X151, ""))</f>
      </c>
      <c r="K151" s="65" t="str">
        <f>IF(ISBLANK(Games!U151), "",IF(ISTEXT(Games!U151), Games!U151, ""))</f>
      </c>
      <c r="L151" s="57" t="str">
        <f>IF(ISBLANK(Games!D151), "", Games!D151)</f>
      </c>
      <c r="M151" s="65"/>
      <c r="N151" s="75" t="str">
        <f>IF(Games!V151="", "",Games!V151)</f>
      </c>
      <c r="O151" s="75" t="str">
        <f>IF(Games!Z151=0, "",Games!Z151)</f>
      </c>
      <c r="P151" s="67"/>
      <c r="Q151" s="67" t="str">
        <f>IF(ISBLANK(Games!W151), "", Games!W151)</f>
      </c>
      <c r="R151" s="67" t="str">
        <f>IF(ISBLANK(Games!AA151), "", Games!AA151)</f>
      </c>
      <c r="S151" s="67"/>
      <c r="T151" s="68" t="str">
        <f t="shared" si="25"/>
      </c>
      <c r="U151" s="68" t="str">
        <f t="shared" si="26"/>
      </c>
      <c r="V151" s="68" t="str">
        <f t="shared" si="27"/>
      </c>
      <c r="W151" s="68" t="str">
        <f t="shared" si="28"/>
      </c>
      <c r="X151" s="68" t="n">
        <f t="shared" si="21"/>
        <v>0</v>
      </c>
      <c r="Y151" s="68" t="n">
        <f t="shared" si="22"/>
        <v>0</v>
      </c>
      <c r="Z151" s="67" t="str">
        <f>IF(OR('Prediction Log'!L152="", Table12[[#This Row],[Bet]]="", Table12[[#This Row],[Bet]]="Spread"), "",IF('Prediction Log'!L152=Table12[[#This Row],[Side]], "W", IF('Prediction Log'!L152&lt;&gt;Table12[[#This Row],[Side]], "L", "")))</f>
      </c>
      <c r="AA151" s="59" t="str">
        <f t="shared" si="23"/>
      </c>
      <c r="AB151" s="67" t="str">
        <f>IF(OR(Table12[[#This Row],[Bet]]="Side",Table12[[#This Row],[Bet]]="", 'Prediction Log'!L152=""), "",IF('Prediction Log'!U152="Y", "W", IF('Prediction Log'!U152="N", "L", "")))</f>
      </c>
      <c r="AC151" s="59" t="str">
        <f t="shared" si="24"/>
      </c>
      <c r="AD151" s="67"/>
      <c r="AE151" s="65" t="str">
        <f t="shared" si="29"/>
      </c>
      <c r="AF1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2">
      <c r="A152" s="65" t="str">
        <f>IF(ISBLANK(Games!A152), "", Games!A152)</f>
      </c>
      <c r="B152" s="65" t="str">
        <f>IF('Prediction Log'!B153=0, "",'Prediction Log'!B153)</f>
      </c>
      <c r="C152" s="65" t="str">
        <f>IF('Prediction Log'!C153=0, "",'Prediction Log'!C153)</f>
      </c>
      <c r="D152" s="65" t="str">
        <f>IF('Prediction Log'!D153=0, "",'Prediction Log'!D153)</f>
      </c>
      <c r="E152" s="58" t="str">
        <f>IF('Prediction Log'!E153=0, "",'Prediction Log'!E153)</f>
      </c>
      <c r="F152" s="65" t="str">
        <f>IF('Prediction Log'!H153=0, "",'Prediction Log'!H153)</f>
      </c>
      <c r="G152" s="64" t="str">
        <f>IF(ISBLANK(Games!B152), "",'Prediction Log'!$I153)</f>
      </c>
      <c r="H152" s="66" t="n">
        <f>'Prediction Log'!$J153</f>
        <v>0</v>
      </c>
      <c r="I152" s="65" t="str">
        <f>IF(ISBLANK(Games!T152), "",IF(AND(Games!T152="",Games!U152=""),"",IF(ISTEXT(Games!U152), "Side",Games!T152)))</f>
      </c>
      <c r="J152" s="65" t="str">
        <f>IF(ISBLANK(Games!T152), "",IF(Table12[[#This Row],[Bet]]="Spread", Games!X152, ""))</f>
      </c>
      <c r="K152" s="65" t="str">
        <f>IF(ISBLANK(Games!U152), "",IF(ISTEXT(Games!U152), Games!U152, ""))</f>
      </c>
      <c r="L152" s="57" t="str">
        <f>IF(ISBLANK(Games!D152), "", Games!D152)</f>
      </c>
      <c r="M152" s="65"/>
      <c r="N152" s="75" t="str">
        <f>IF(Games!V152="", "",Games!V152)</f>
      </c>
      <c r="O152" s="75" t="str">
        <f>IF(Games!Z152=0, "",Games!Z152)</f>
      </c>
      <c r="P152" s="67"/>
      <c r="Q152" s="67" t="str">
        <f>IF(ISBLANK(Games!W152), "", Games!W152)</f>
      </c>
      <c r="R152" s="67" t="str">
        <f>IF(ISBLANK(Games!AA152), "", Games!AA152)</f>
      </c>
      <c r="S152" s="67"/>
      <c r="T152" s="68" t="str">
        <f t="shared" si="25"/>
      </c>
      <c r="U152" s="68" t="str">
        <f t="shared" si="26"/>
      </c>
      <c r="V152" s="68" t="str">
        <f t="shared" si="27"/>
      </c>
      <c r="W152" s="68" t="str">
        <f t="shared" si="28"/>
      </c>
      <c r="X152" s="68" t="n">
        <f t="shared" si="21"/>
        <v>0</v>
      </c>
      <c r="Y152" s="68" t="n">
        <f t="shared" si="22"/>
        <v>0</v>
      </c>
      <c r="Z152" s="67" t="str">
        <f>IF(OR('Prediction Log'!L153="", Table12[[#This Row],[Bet]]="", Table12[[#This Row],[Bet]]="Spread"), "",IF('Prediction Log'!L153=Table12[[#This Row],[Side]], "W", IF('Prediction Log'!L153&lt;&gt;Table12[[#This Row],[Side]], "L", "")))</f>
      </c>
      <c r="AA152" s="59" t="str">
        <f t="shared" si="23"/>
      </c>
      <c r="AB152" s="67" t="str">
        <f>IF(OR(Table12[[#This Row],[Bet]]="Side",Table12[[#This Row],[Bet]]="", 'Prediction Log'!L153=""), "",IF('Prediction Log'!U153="Y", "W", IF('Prediction Log'!U153="N", "L", "")))</f>
      </c>
      <c r="AC152" s="59" t="str">
        <f t="shared" si="24"/>
      </c>
      <c r="AD152" s="67"/>
      <c r="AE152" s="65" t="str">
        <f t="shared" si="29"/>
      </c>
      <c r="AF1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3">
      <c r="A153" s="65" t="str">
        <f>IF(ISBLANK(Games!A153), "", Games!A153)</f>
      </c>
      <c r="B153" s="65" t="str">
        <f>IF('Prediction Log'!B154=0, "",'Prediction Log'!B154)</f>
      </c>
      <c r="C153" s="65" t="str">
        <f>IF('Prediction Log'!C154=0, "",'Prediction Log'!C154)</f>
      </c>
      <c r="D153" s="65" t="str">
        <f>IF('Prediction Log'!D154=0, "",'Prediction Log'!D154)</f>
      </c>
      <c r="E153" s="58" t="str">
        <f>IF('Prediction Log'!E154=0, "",'Prediction Log'!E154)</f>
      </c>
      <c r="F153" s="65" t="str">
        <f>IF('Prediction Log'!H154=0, "",'Prediction Log'!H154)</f>
      </c>
      <c r="G153" s="64" t="str">
        <f>IF(ISBLANK(Games!B153), "",'Prediction Log'!$I154)</f>
      </c>
      <c r="H153" s="66" t="n">
        <f>'Prediction Log'!$J154</f>
        <v>0</v>
      </c>
      <c r="I153" s="65" t="str">
        <f>IF(ISBLANK(Games!T153), "",IF(AND(Games!T153="",Games!U153=""),"",IF(ISTEXT(Games!U153), "Side",Games!T153)))</f>
      </c>
      <c r="J153" s="65" t="str">
        <f>IF(ISBLANK(Games!T153), "",IF(Table12[[#This Row],[Bet]]="Spread", Games!X153, ""))</f>
      </c>
      <c r="K153" s="65" t="str">
        <f>IF(ISBLANK(Games!U153), "",IF(ISTEXT(Games!U153), Games!U153, ""))</f>
      </c>
      <c r="L153" s="57" t="str">
        <f>IF(ISBLANK(Games!D153), "", Games!D153)</f>
      </c>
      <c r="M153" s="65"/>
      <c r="N153" s="75" t="str">
        <f>IF(Games!V153="", "",Games!V153)</f>
      </c>
      <c r="O153" s="75" t="str">
        <f>IF(Games!Z153=0, "",Games!Z153)</f>
      </c>
      <c r="P153" s="67"/>
      <c r="Q153" s="67" t="str">
        <f>IF(ISBLANK(Games!W153), "", Games!W153)</f>
      </c>
      <c r="R153" s="67" t="str">
        <f>IF(ISBLANK(Games!AA153), "", Games!AA153)</f>
      </c>
      <c r="S153" s="67"/>
      <c r="T153" s="68" t="str">
        <f t="shared" si="25"/>
      </c>
      <c r="U153" s="68" t="str">
        <f t="shared" si="26"/>
      </c>
      <c r="V153" s="68" t="str">
        <f t="shared" si="27"/>
      </c>
      <c r="W153" s="68" t="str">
        <f t="shared" si="28"/>
      </c>
      <c r="X153" s="68" t="n">
        <f t="shared" si="21"/>
        <v>0</v>
      </c>
      <c r="Y153" s="68" t="n">
        <f t="shared" si="22"/>
        <v>0</v>
      </c>
      <c r="Z153" s="67" t="str">
        <f>IF(OR('Prediction Log'!L154="", Table12[[#This Row],[Bet]]="", Table12[[#This Row],[Bet]]="Spread"), "",IF('Prediction Log'!L154=Table12[[#This Row],[Side]], "W", IF('Prediction Log'!L154&lt;&gt;Table12[[#This Row],[Side]], "L", "")))</f>
      </c>
      <c r="AA153" s="59" t="str">
        <f t="shared" si="23"/>
      </c>
      <c r="AB153" s="67" t="str">
        <f>IF(OR(Table12[[#This Row],[Bet]]="Side",Table12[[#This Row],[Bet]]="", 'Prediction Log'!L154=""), "",IF('Prediction Log'!U154="Y", "W", IF('Prediction Log'!U154="N", "L", "")))</f>
      </c>
      <c r="AC153" s="59" t="str">
        <f t="shared" si="24"/>
      </c>
      <c r="AD153" s="67"/>
      <c r="AE153" s="65" t="str">
        <f t="shared" si="29"/>
      </c>
      <c r="AF1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4">
      <c r="A154" s="65" t="str">
        <f>IF(ISBLANK(Games!A154), "", Games!A154)</f>
      </c>
      <c r="B154" s="65" t="str">
        <f>IF('Prediction Log'!B155=0, "",'Prediction Log'!B155)</f>
      </c>
      <c r="C154" s="65" t="str">
        <f>IF('Prediction Log'!C155=0, "",'Prediction Log'!C155)</f>
      </c>
      <c r="D154" s="65" t="str">
        <f>IF('Prediction Log'!D155=0, "",'Prediction Log'!D155)</f>
      </c>
      <c r="E154" s="58" t="str">
        <f>IF('Prediction Log'!E155=0, "",'Prediction Log'!E155)</f>
      </c>
      <c r="F154" s="65" t="str">
        <f>IF('Prediction Log'!H155=0, "",'Prediction Log'!H155)</f>
      </c>
      <c r="G154" s="64" t="str">
        <f>IF(ISBLANK(Games!B154), "",'Prediction Log'!$I155)</f>
      </c>
      <c r="H154" s="66" t="n">
        <f>'Prediction Log'!$J155</f>
        <v>0</v>
      </c>
      <c r="I154" s="65" t="str">
        <f>IF(ISBLANK(Games!T154), "",IF(AND(Games!T154="",Games!U154=""),"",IF(ISTEXT(Games!U154), "Side",Games!T154)))</f>
      </c>
      <c r="J154" s="65" t="str">
        <f>IF(ISBLANK(Games!T154), "",IF(Table12[[#This Row],[Bet]]="Spread", Games!X154, ""))</f>
      </c>
      <c r="K154" s="65" t="str">
        <f>IF(ISBLANK(Games!U154), "",IF(ISTEXT(Games!U154), Games!U154, ""))</f>
      </c>
      <c r="L154" s="57" t="str">
        <f>IF(ISBLANK(Games!D154), "", Games!D154)</f>
      </c>
      <c r="M154" s="65"/>
      <c r="N154" s="75" t="str">
        <f>IF(Games!V154="", "",Games!V154)</f>
      </c>
      <c r="O154" s="75" t="str">
        <f>IF(Games!Z154=0, "",Games!Z154)</f>
      </c>
      <c r="P154" s="67"/>
      <c r="Q154" s="67" t="str">
        <f>IF(ISBLANK(Games!W154), "", Games!W154)</f>
      </c>
      <c r="R154" s="67" t="str">
        <f>IF(ISBLANK(Games!AA154), "", Games!AA154)</f>
      </c>
      <c r="S154" s="67"/>
      <c r="T154" s="68" t="str">
        <f t="shared" si="25"/>
      </c>
      <c r="U154" s="68" t="str">
        <f t="shared" si="26"/>
      </c>
      <c r="V154" s="68" t="str">
        <f t="shared" si="27"/>
      </c>
      <c r="W154" s="68" t="str">
        <f t="shared" si="28"/>
      </c>
      <c r="X154" s="68" t="n">
        <f t="shared" si="21"/>
        <v>0</v>
      </c>
      <c r="Y154" s="68" t="n">
        <f t="shared" si="22"/>
        <v>0</v>
      </c>
      <c r="Z154" s="67" t="str">
        <f>IF(OR('Prediction Log'!L155="", Table12[[#This Row],[Bet]]="", Table12[[#This Row],[Bet]]="Spread"), "",IF('Prediction Log'!L155=Table12[[#This Row],[Side]], "W", IF('Prediction Log'!L155&lt;&gt;Table12[[#This Row],[Side]], "L", "")))</f>
      </c>
      <c r="AA154" s="59" t="str">
        <f t="shared" si="23"/>
      </c>
      <c r="AB154" s="67" t="str">
        <f>IF(OR(Table12[[#This Row],[Bet]]="Side",Table12[[#This Row],[Bet]]="", 'Prediction Log'!L155=""), "",IF('Prediction Log'!U155="Y", "W", IF('Prediction Log'!U155="N", "L", "")))</f>
      </c>
      <c r="AC154" s="59" t="str">
        <f t="shared" si="24"/>
      </c>
      <c r="AD154" s="67"/>
      <c r="AE154" s="65" t="str">
        <f t="shared" si="29"/>
      </c>
      <c r="AF1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5">
      <c r="A155" s="65" t="str">
        <f>IF(ISBLANK(Games!A155), "", Games!A155)</f>
      </c>
      <c r="B155" s="65" t="str">
        <f>IF('Prediction Log'!B156=0, "",'Prediction Log'!B156)</f>
      </c>
      <c r="C155" s="65" t="str">
        <f>IF('Prediction Log'!C156=0, "",'Prediction Log'!C156)</f>
      </c>
      <c r="D155" s="65" t="str">
        <f>IF('Prediction Log'!D156=0, "",'Prediction Log'!D156)</f>
      </c>
      <c r="E155" s="58" t="str">
        <f>IF('Prediction Log'!E156=0, "",'Prediction Log'!E156)</f>
      </c>
      <c r="F155" s="65" t="str">
        <f>IF('Prediction Log'!H156=0, "",'Prediction Log'!H156)</f>
      </c>
      <c r="G155" s="64" t="str">
        <f>IF(ISBLANK(Games!B155), "",'Prediction Log'!$I156)</f>
      </c>
      <c r="H155" s="66" t="n">
        <f>'Prediction Log'!$J156</f>
        <v>0</v>
      </c>
      <c r="I155" s="65" t="str">
        <f>IF(ISBLANK(Games!T155), "",IF(AND(Games!T155="",Games!U155=""),"",IF(ISTEXT(Games!U155), "Side",Games!T155)))</f>
      </c>
      <c r="J155" s="65" t="str">
        <f>IF(ISBLANK(Games!T155), "",IF(Table12[[#This Row],[Bet]]="Spread", Games!X155, ""))</f>
      </c>
      <c r="K155" s="65" t="str">
        <f>IF(ISBLANK(Games!U155), "",IF(ISTEXT(Games!U155), Games!U155, ""))</f>
      </c>
      <c r="L155" s="57" t="str">
        <f>IF(ISBLANK(Games!D155), "", Games!D155)</f>
      </c>
      <c r="M155" s="65"/>
      <c r="N155" s="75" t="str">
        <f>IF(Games!V155="", "",Games!V155)</f>
      </c>
      <c r="O155" s="75" t="str">
        <f>IF(Games!Z155=0, "",Games!Z155)</f>
      </c>
      <c r="P155" s="67"/>
      <c r="Q155" s="67" t="str">
        <f>IF(ISBLANK(Games!W155), "", Games!W155)</f>
      </c>
      <c r="R155" s="67" t="str">
        <f>IF(ISBLANK(Games!AA155), "", Games!AA155)</f>
      </c>
      <c r="S155" s="67"/>
      <c r="T155" s="68" t="str">
        <f t="shared" si="25"/>
      </c>
      <c r="U155" s="68" t="str">
        <f t="shared" si="26"/>
      </c>
      <c r="V155" s="68" t="str">
        <f t="shared" si="27"/>
      </c>
      <c r="W155" s="68" t="str">
        <f t="shared" si="28"/>
      </c>
      <c r="X155" s="68" t="n">
        <f t="shared" si="21"/>
        <v>0</v>
      </c>
      <c r="Y155" s="68" t="n">
        <f t="shared" si="22"/>
        <v>0</v>
      </c>
      <c r="Z155" s="67" t="str">
        <f>IF(OR('Prediction Log'!L156="", Table12[[#This Row],[Bet]]="", Table12[[#This Row],[Bet]]="Spread"), "",IF('Prediction Log'!L156=Table12[[#This Row],[Side]], "W", IF('Prediction Log'!L156&lt;&gt;Table12[[#This Row],[Side]], "L", "")))</f>
      </c>
      <c r="AA155" s="59" t="str">
        <f t="shared" si="23"/>
      </c>
      <c r="AB155" s="67" t="str">
        <f>IF(OR(Table12[[#This Row],[Bet]]="Side",Table12[[#This Row],[Bet]]="", 'Prediction Log'!L156=""), "",IF('Prediction Log'!U156="Y", "W", IF('Prediction Log'!U156="N", "L", "")))</f>
      </c>
      <c r="AC155" s="59" t="str">
        <f t="shared" si="24"/>
      </c>
      <c r="AD155" s="67"/>
      <c r="AE155" s="65" t="str">
        <f t="shared" si="29"/>
      </c>
      <c r="AF1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6">
      <c r="A156" s="65" t="str">
        <f>IF(ISBLANK(Games!A156), "", Games!A156)</f>
      </c>
      <c r="B156" s="65" t="str">
        <f>IF('Prediction Log'!B157=0, "",'Prediction Log'!B157)</f>
      </c>
      <c r="C156" s="65" t="str">
        <f>IF('Prediction Log'!C157=0, "",'Prediction Log'!C157)</f>
      </c>
      <c r="D156" s="65" t="str">
        <f>IF('Prediction Log'!D157=0, "",'Prediction Log'!D157)</f>
      </c>
      <c r="E156" s="58" t="str">
        <f>IF('Prediction Log'!E157=0, "",'Prediction Log'!E157)</f>
      </c>
      <c r="F156" s="65" t="str">
        <f>IF('Prediction Log'!H157=0, "",'Prediction Log'!H157)</f>
      </c>
      <c r="G156" s="64" t="str">
        <f>IF(ISBLANK(Games!B156), "",'Prediction Log'!$I157)</f>
      </c>
      <c r="H156" s="66" t="n">
        <f>'Prediction Log'!$J157</f>
        <v>0</v>
      </c>
      <c r="I156" s="65" t="str">
        <f>IF(ISBLANK(Games!T156), "",IF(AND(Games!T156="",Games!U156=""),"",IF(ISTEXT(Games!U156), "Side",Games!T156)))</f>
      </c>
      <c r="J156" s="65" t="str">
        <f>IF(ISBLANK(Games!T156), "",IF(Table12[[#This Row],[Bet]]="Spread", Games!X156, ""))</f>
      </c>
      <c r="K156" s="65" t="str">
        <f>IF(ISBLANK(Games!U156), "",IF(ISTEXT(Games!U156), Games!U156, ""))</f>
      </c>
      <c r="L156" s="57" t="str">
        <f>IF(ISBLANK(Games!D156), "", Games!D156)</f>
      </c>
      <c r="M156" s="65"/>
      <c r="N156" s="75" t="str">
        <f>IF(Games!V156="", "",Games!V156)</f>
      </c>
      <c r="O156" s="75" t="str">
        <f>IF(Games!Z156=0, "",Games!Z156)</f>
      </c>
      <c r="P156" s="67"/>
      <c r="Q156" s="67" t="str">
        <f>IF(ISBLANK(Games!W156), "", Games!W156)</f>
      </c>
      <c r="R156" s="67" t="str">
        <f>IF(ISBLANK(Games!AA156), "", Games!AA156)</f>
      </c>
      <c r="S156" s="67"/>
      <c r="T156" s="68" t="str">
        <f t="shared" si="25"/>
      </c>
      <c r="U156" s="68" t="str">
        <f t="shared" si="26"/>
      </c>
      <c r="V156" s="68" t="str">
        <f t="shared" si="27"/>
      </c>
      <c r="W156" s="68" t="str">
        <f t="shared" si="28"/>
      </c>
      <c r="X156" s="68" t="n">
        <f t="shared" si="21"/>
        <v>0</v>
      </c>
      <c r="Y156" s="68" t="n">
        <f t="shared" si="22"/>
        <v>0</v>
      </c>
      <c r="Z156" s="67" t="str">
        <f>IF(OR('Prediction Log'!L157="", Table12[[#This Row],[Bet]]="", Table12[[#This Row],[Bet]]="Spread"), "",IF('Prediction Log'!L157=Table12[[#This Row],[Side]], "W", IF('Prediction Log'!L157&lt;&gt;Table12[[#This Row],[Side]], "L", "")))</f>
      </c>
      <c r="AA156" s="59" t="str">
        <f t="shared" si="23"/>
      </c>
      <c r="AB156" s="67" t="str">
        <f>IF(OR(Table12[[#This Row],[Bet]]="Side",Table12[[#This Row],[Bet]]="", 'Prediction Log'!L157=""), "",IF('Prediction Log'!U157="Y", "W", IF('Prediction Log'!U157="N", "L", "")))</f>
      </c>
      <c r="AC156" s="59" t="str">
        <f t="shared" si="24"/>
      </c>
      <c r="AD156" s="67"/>
      <c r="AE156" s="65" t="str">
        <f t="shared" si="29"/>
      </c>
      <c r="AF1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7">
      <c r="A157" s="65" t="str">
        <f>IF(ISBLANK(Games!A157), "", Games!A157)</f>
      </c>
      <c r="B157" s="65" t="str">
        <f>IF('Prediction Log'!B158=0, "",'Prediction Log'!B158)</f>
      </c>
      <c r="C157" s="65" t="str">
        <f>IF('Prediction Log'!C158=0, "",'Prediction Log'!C158)</f>
      </c>
      <c r="D157" s="65" t="str">
        <f>IF('Prediction Log'!D158=0, "",'Prediction Log'!D158)</f>
      </c>
      <c r="E157" s="58" t="str">
        <f>IF('Prediction Log'!E158=0, "",'Prediction Log'!E158)</f>
      </c>
      <c r="F157" s="65" t="str">
        <f>IF('Prediction Log'!H158=0, "",'Prediction Log'!H158)</f>
      </c>
      <c r="G157" s="64" t="str">
        <f>IF(ISBLANK(Games!B157), "",'Prediction Log'!$I158)</f>
      </c>
      <c r="H157" s="66" t="n">
        <f>'Prediction Log'!$J158</f>
        <v>0</v>
      </c>
      <c r="I157" s="65" t="str">
        <f>IF(ISBLANK(Games!T157), "",IF(AND(Games!T157="",Games!U157=""),"",IF(ISTEXT(Games!U157), "Side",Games!T157)))</f>
      </c>
      <c r="J157" s="65" t="str">
        <f>IF(ISBLANK(Games!T157), "",IF(Table12[[#This Row],[Bet]]="Spread", Games!X157, ""))</f>
      </c>
      <c r="K157" s="65" t="str">
        <f>IF(ISBLANK(Games!U157), "",IF(ISTEXT(Games!U157), Games!U157, ""))</f>
      </c>
      <c r="L157" s="57" t="str">
        <f>IF(ISBLANK(Games!D157), "", Games!D157)</f>
      </c>
      <c r="M157" s="65"/>
      <c r="N157" s="75" t="str">
        <f>IF(Games!V157="", "",Games!V157)</f>
      </c>
      <c r="O157" s="75" t="str">
        <f>IF(Games!Z157=0, "",Games!Z157)</f>
      </c>
      <c r="P157" s="67"/>
      <c r="Q157" s="67" t="str">
        <f>IF(ISBLANK(Games!W157), "", Games!W157)</f>
      </c>
      <c r="R157" s="67" t="str">
        <f>IF(ISBLANK(Games!AA157), "", Games!AA157)</f>
      </c>
      <c r="S157" s="67"/>
      <c r="T157" s="68" t="str">
        <f t="shared" si="25"/>
      </c>
      <c r="U157" s="68" t="str">
        <f t="shared" si="26"/>
      </c>
      <c r="V157" s="68" t="str">
        <f t="shared" si="27"/>
      </c>
      <c r="W157" s="68" t="str">
        <f t="shared" si="28"/>
      </c>
      <c r="X157" s="68" t="n">
        <f t="shared" si="21"/>
        <v>0</v>
      </c>
      <c r="Y157" s="68" t="n">
        <f t="shared" si="22"/>
        <v>0</v>
      </c>
      <c r="Z157" s="67" t="str">
        <f>IF(OR('Prediction Log'!L158="", Table12[[#This Row],[Bet]]="", Table12[[#This Row],[Bet]]="Spread"), "",IF('Prediction Log'!L158=Table12[[#This Row],[Side]], "W", IF('Prediction Log'!L158&lt;&gt;Table12[[#This Row],[Side]], "L", "")))</f>
      </c>
      <c r="AA157" s="59" t="str">
        <f t="shared" si="23"/>
      </c>
      <c r="AB157" s="67" t="str">
        <f>IF(OR(Table12[[#This Row],[Bet]]="Side",Table12[[#This Row],[Bet]]="", 'Prediction Log'!L158=""), "",IF('Prediction Log'!U158="Y", "W", IF('Prediction Log'!U158="N", "L", "")))</f>
      </c>
      <c r="AC157" s="59" t="str">
        <f t="shared" si="24"/>
      </c>
      <c r="AD157" s="67"/>
      <c r="AE157" s="65" t="str">
        <f t="shared" si="29"/>
      </c>
      <c r="AF1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8">
      <c r="A158" s="65" t="str">
        <f>IF(ISBLANK(Games!A158), "", Games!A158)</f>
      </c>
      <c r="B158" s="65" t="str">
        <f>IF('Prediction Log'!B159=0, "",'Prediction Log'!B159)</f>
      </c>
      <c r="C158" s="65" t="str">
        <f>IF('Prediction Log'!C159=0, "",'Prediction Log'!C159)</f>
      </c>
      <c r="D158" s="65" t="str">
        <f>IF('Prediction Log'!D159=0, "",'Prediction Log'!D159)</f>
      </c>
      <c r="E158" s="58" t="str">
        <f>IF('Prediction Log'!E159=0, "",'Prediction Log'!E159)</f>
      </c>
      <c r="F158" s="65" t="str">
        <f>IF('Prediction Log'!H159=0, "",'Prediction Log'!H159)</f>
      </c>
      <c r="G158" s="64" t="str">
        <f>IF(ISBLANK(Games!B158), "",'Prediction Log'!$I159)</f>
      </c>
      <c r="H158" s="66" t="n">
        <f>'Prediction Log'!$J159</f>
        <v>0</v>
      </c>
      <c r="I158" s="65" t="str">
        <f>IF(ISBLANK(Games!T158), "",IF(AND(Games!T158="",Games!U158=""),"",IF(ISTEXT(Games!U158), "Side",Games!T158)))</f>
      </c>
      <c r="J158" s="65" t="str">
        <f>IF(ISBLANK(Games!T158), "",IF(Table12[[#This Row],[Bet]]="Spread", Games!X158, ""))</f>
      </c>
      <c r="K158" s="65" t="str">
        <f>IF(ISBLANK(Games!U158), "",IF(ISTEXT(Games!U158), Games!U158, ""))</f>
      </c>
      <c r="L158" s="57" t="str">
        <f>IF(ISBLANK(Games!D158), "", Games!D158)</f>
      </c>
      <c r="M158" s="65"/>
      <c r="N158" s="75" t="str">
        <f>IF(Games!V158="", "",Games!V158)</f>
      </c>
      <c r="O158" s="75" t="str">
        <f>IF(Games!Z158=0, "",Games!Z158)</f>
      </c>
      <c r="P158" s="67"/>
      <c r="Q158" s="67" t="str">
        <f>IF(ISBLANK(Games!W158), "", Games!W158)</f>
      </c>
      <c r="R158" s="67" t="str">
        <f>IF(ISBLANK(Games!AA158), "", Games!AA158)</f>
      </c>
      <c r="S158" s="67"/>
      <c r="T158" s="68" t="str">
        <f t="shared" si="25"/>
      </c>
      <c r="U158" s="68" t="str">
        <f t="shared" si="26"/>
      </c>
      <c r="V158" s="68" t="str">
        <f t="shared" si="27"/>
      </c>
      <c r="W158" s="68" t="str">
        <f t="shared" si="28"/>
      </c>
      <c r="X158" s="68" t="n">
        <f t="shared" si="21"/>
        <v>0</v>
      </c>
      <c r="Y158" s="68" t="n">
        <f t="shared" si="22"/>
        <v>0</v>
      </c>
      <c r="Z158" s="67" t="str">
        <f>IF(OR('Prediction Log'!L159="", Table12[[#This Row],[Bet]]="", Table12[[#This Row],[Bet]]="Spread"), "",IF('Prediction Log'!L159=Table12[[#This Row],[Side]], "W", IF('Prediction Log'!L159&lt;&gt;Table12[[#This Row],[Side]], "L", "")))</f>
      </c>
      <c r="AA158" s="59" t="str">
        <f t="shared" si="23"/>
      </c>
      <c r="AB158" s="67" t="str">
        <f>IF(OR(Table12[[#This Row],[Bet]]="Side",Table12[[#This Row],[Bet]]="", 'Prediction Log'!L159=""), "",IF('Prediction Log'!U159="Y", "W", IF('Prediction Log'!U159="N", "L", "")))</f>
      </c>
      <c r="AC158" s="59" t="str">
        <f t="shared" si="24"/>
      </c>
      <c r="AD158" s="67"/>
      <c r="AE158" s="65" t="str">
        <f t="shared" si="29"/>
      </c>
      <c r="AF1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9">
      <c r="A159" s="65" t="str">
        <f>IF(ISBLANK(Games!A159), "", Games!A159)</f>
      </c>
      <c r="B159" s="65" t="str">
        <f>IF('Prediction Log'!B160=0, "",'Prediction Log'!B160)</f>
      </c>
      <c r="C159" s="65" t="str">
        <f>IF('Prediction Log'!C160=0, "",'Prediction Log'!C160)</f>
      </c>
      <c r="D159" s="65" t="str">
        <f>IF('Prediction Log'!D160=0, "",'Prediction Log'!D160)</f>
      </c>
      <c r="E159" s="58" t="str">
        <f>IF('Prediction Log'!E160=0, "",'Prediction Log'!E160)</f>
      </c>
      <c r="F159" s="65" t="str">
        <f>IF('Prediction Log'!H160=0, "",'Prediction Log'!H160)</f>
      </c>
      <c r="G159" s="64" t="str">
        <f>IF(ISBLANK(Games!B159), "",'Prediction Log'!$I160)</f>
      </c>
      <c r="H159" s="66" t="n">
        <f>'Prediction Log'!$J160</f>
        <v>0</v>
      </c>
      <c r="I159" s="65" t="str">
        <f>IF(ISBLANK(Games!T159), "",IF(AND(Games!T159="",Games!U159=""),"",IF(ISTEXT(Games!U159), "Side",Games!T159)))</f>
      </c>
      <c r="J159" s="65" t="str">
        <f>IF(ISBLANK(Games!T159), "",IF(Table12[[#This Row],[Bet]]="Spread", Games!X159, ""))</f>
      </c>
      <c r="K159" s="65" t="str">
        <f>IF(ISBLANK(Games!U159), "",IF(ISTEXT(Games!U159), Games!U159, ""))</f>
      </c>
      <c r="L159" s="57" t="str">
        <f>IF(ISBLANK(Games!D159), "", Games!D159)</f>
      </c>
      <c r="M159" s="65"/>
      <c r="N159" s="75" t="str">
        <f>IF(Games!V159="", "",Games!V159)</f>
      </c>
      <c r="O159" s="75" t="str">
        <f>IF(Games!Z159=0, "",Games!Z159)</f>
      </c>
      <c r="P159" s="67"/>
      <c r="Q159" s="67" t="str">
        <f>IF(ISBLANK(Games!W159), "", Games!W159)</f>
      </c>
      <c r="R159" s="67" t="str">
        <f>IF(ISBLANK(Games!AA159), "", Games!AA159)</f>
      </c>
      <c r="S159" s="67"/>
      <c r="T159" s="68" t="str">
        <f t="shared" si="25"/>
      </c>
      <c r="U159" s="68" t="str">
        <f t="shared" si="26"/>
      </c>
      <c r="V159" s="68" t="str">
        <f t="shared" si="27"/>
      </c>
      <c r="W159" s="68" t="str">
        <f t="shared" si="28"/>
      </c>
      <c r="X159" s="68" t="n">
        <f t="shared" si="21"/>
        <v>0</v>
      </c>
      <c r="Y159" s="68" t="n">
        <f t="shared" si="22"/>
        <v>0</v>
      </c>
      <c r="Z159" s="67" t="str">
        <f>IF(OR('Prediction Log'!L160="", Table12[[#This Row],[Bet]]="", Table12[[#This Row],[Bet]]="Spread"), "",IF('Prediction Log'!L160=Table12[[#This Row],[Side]], "W", IF('Prediction Log'!L160&lt;&gt;Table12[[#This Row],[Side]], "L", "")))</f>
      </c>
      <c r="AA159" s="59" t="str">
        <f t="shared" si="23"/>
      </c>
      <c r="AB159" s="67" t="str">
        <f>IF(OR(Table12[[#This Row],[Bet]]="Side",Table12[[#This Row],[Bet]]="", 'Prediction Log'!L160=""), "",IF('Prediction Log'!U160="Y", "W", IF('Prediction Log'!U160="N", "L", "")))</f>
      </c>
      <c r="AC159" s="59" t="str">
        <f t="shared" si="24"/>
      </c>
      <c r="AD159" s="67"/>
      <c r="AE159" s="65" t="str">
        <f t="shared" si="29"/>
      </c>
      <c r="AF1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0">
      <c r="A160" s="65" t="str">
        <f>IF(ISBLANK(Games!A160), "", Games!A160)</f>
      </c>
      <c r="B160" s="65" t="str">
        <f>IF('Prediction Log'!B161=0, "",'Prediction Log'!B161)</f>
      </c>
      <c r="C160" s="65" t="str">
        <f>IF('Prediction Log'!C161=0, "",'Prediction Log'!C161)</f>
      </c>
      <c r="D160" s="65" t="str">
        <f>IF('Prediction Log'!D161=0, "",'Prediction Log'!D161)</f>
      </c>
      <c r="E160" s="58" t="str">
        <f>IF('Prediction Log'!E161=0, "",'Prediction Log'!E161)</f>
      </c>
      <c r="F160" s="65" t="str">
        <f>IF('Prediction Log'!H161=0, "",'Prediction Log'!H161)</f>
      </c>
      <c r="G160" s="64" t="str">
        <f>IF(ISBLANK(Games!B160), "",'Prediction Log'!$I161)</f>
      </c>
      <c r="H160" s="66" t="n">
        <f>'Prediction Log'!$J161</f>
        <v>0</v>
      </c>
      <c r="I160" s="65" t="str">
        <f>IF(ISBLANK(Games!T160), "",IF(AND(Games!T160="",Games!U160=""),"",IF(ISTEXT(Games!U160), "Side",Games!T160)))</f>
      </c>
      <c r="J160" s="65" t="str">
        <f>IF(ISBLANK(Games!T160), "",IF(Table12[[#This Row],[Bet]]="Spread", Games!X160, ""))</f>
      </c>
      <c r="K160" s="65" t="str">
        <f>IF(ISBLANK(Games!U160), "",IF(ISTEXT(Games!U160), Games!U160, ""))</f>
      </c>
      <c r="L160" s="57" t="str">
        <f>IF(ISBLANK(Games!D160), "", Games!D160)</f>
      </c>
      <c r="M160" s="65"/>
      <c r="N160" s="75" t="str">
        <f>IF(Games!V160="", "",Games!V160)</f>
      </c>
      <c r="O160" s="75" t="str">
        <f>IF(Games!Z160=0, "",Games!Z160)</f>
      </c>
      <c r="P160" s="67"/>
      <c r="Q160" s="67" t="str">
        <f>IF(ISBLANK(Games!W160), "", Games!W160)</f>
      </c>
      <c r="R160" s="67" t="str">
        <f>IF(ISBLANK(Games!AA160), "", Games!AA160)</f>
      </c>
      <c r="S160" s="67"/>
      <c r="T160" s="68" t="str">
        <f t="shared" si="25"/>
      </c>
      <c r="U160" s="68" t="str">
        <f t="shared" si="26"/>
      </c>
      <c r="V160" s="68" t="str">
        <f t="shared" si="27"/>
      </c>
      <c r="W160" s="68" t="str">
        <f t="shared" si="28"/>
      </c>
      <c r="X160" s="68" t="n">
        <f t="shared" si="21"/>
        <v>0</v>
      </c>
      <c r="Y160" s="68" t="n">
        <f t="shared" si="22"/>
        <v>0</v>
      </c>
      <c r="Z160" s="67" t="str">
        <f>IF(OR('Prediction Log'!L161="", Table12[[#This Row],[Bet]]="", Table12[[#This Row],[Bet]]="Spread"), "",IF('Prediction Log'!L161=Table12[[#This Row],[Side]], "W", IF('Prediction Log'!L161&lt;&gt;Table12[[#This Row],[Side]], "L", "")))</f>
      </c>
      <c r="AA160" s="59" t="str">
        <f t="shared" si="23"/>
      </c>
      <c r="AB160" s="67" t="str">
        <f>IF(OR(Table12[[#This Row],[Bet]]="Side",Table12[[#This Row],[Bet]]="", 'Prediction Log'!L161=""), "",IF('Prediction Log'!U161="Y", "W", IF('Prediction Log'!U161="N", "L", "")))</f>
      </c>
      <c r="AC160" s="59" t="str">
        <f t="shared" si="24"/>
      </c>
      <c r="AD160" s="67"/>
      <c r="AE160" s="65" t="str">
        <f t="shared" si="29"/>
      </c>
      <c r="AF1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1">
      <c r="A161" s="65" t="str">
        <f>IF(ISBLANK(Games!A161), "", Games!A161)</f>
      </c>
      <c r="B161" s="65" t="str">
        <f>IF('Prediction Log'!B162=0, "",'Prediction Log'!B162)</f>
      </c>
      <c r="C161" s="65" t="str">
        <f>IF('Prediction Log'!C162=0, "",'Prediction Log'!C162)</f>
      </c>
      <c r="D161" s="65" t="str">
        <f>IF('Prediction Log'!D162=0, "",'Prediction Log'!D162)</f>
      </c>
      <c r="E161" s="58" t="str">
        <f>IF('Prediction Log'!E162=0, "",'Prediction Log'!E162)</f>
      </c>
      <c r="F161" s="65" t="str">
        <f>IF('Prediction Log'!H162=0, "",'Prediction Log'!H162)</f>
      </c>
      <c r="G161" s="64" t="str">
        <f>IF(ISBLANK(Games!B161), "",'Prediction Log'!$I162)</f>
      </c>
      <c r="H161" s="66" t="n">
        <f>'Prediction Log'!$J162</f>
        <v>0</v>
      </c>
      <c r="I161" s="65" t="str">
        <f>IF(ISBLANK(Games!T161), "",IF(AND(Games!T161="",Games!U161=""),"",IF(ISTEXT(Games!U161), "Side",Games!T161)))</f>
      </c>
      <c r="J161" s="65" t="str">
        <f>IF(ISBLANK(Games!T161), "",IF(Table12[[#This Row],[Bet]]="Spread", Games!X161, ""))</f>
      </c>
      <c r="K161" s="65" t="str">
        <f>IF(ISBLANK(Games!U161), "",IF(ISTEXT(Games!U161), Games!U161, ""))</f>
      </c>
      <c r="L161" s="57" t="str">
        <f>IF(ISBLANK(Games!D161), "", Games!D161)</f>
      </c>
      <c r="M161" s="65"/>
      <c r="N161" s="75" t="str">
        <f>IF(Games!V161="", "",Games!V161)</f>
      </c>
      <c r="O161" s="75" t="str">
        <f>IF(Games!Z161=0, "",Games!Z161)</f>
      </c>
      <c r="P161" s="67"/>
      <c r="Q161" s="67" t="str">
        <f>IF(ISBLANK(Games!W161), "", Games!W161)</f>
      </c>
      <c r="R161" s="67" t="str">
        <f>IF(ISBLANK(Games!AA161), "", Games!AA161)</f>
      </c>
      <c r="S161" s="67"/>
      <c r="T161" s="68" t="str">
        <f t="shared" si="25"/>
      </c>
      <c r="U161" s="68" t="str">
        <f t="shared" si="26"/>
      </c>
      <c r="V161" s="68" t="str">
        <f t="shared" si="27"/>
      </c>
      <c r="W161" s="68" t="str">
        <f t="shared" si="28"/>
      </c>
      <c r="X161" s="68" t="n">
        <f t="shared" si="21"/>
        <v>0</v>
      </c>
      <c r="Y161" s="68" t="n">
        <f t="shared" si="22"/>
        <v>0</v>
      </c>
      <c r="Z161" s="67" t="str">
        <f>IF(OR('Prediction Log'!L162="", Table12[[#This Row],[Bet]]="", Table12[[#This Row],[Bet]]="Spread"), "",IF('Prediction Log'!L162=Table12[[#This Row],[Side]], "W", IF('Prediction Log'!L162&lt;&gt;Table12[[#This Row],[Side]], "L", "")))</f>
      </c>
      <c r="AA161" s="59" t="str">
        <f t="shared" si="23"/>
      </c>
      <c r="AB161" s="67" t="str">
        <f>IF(OR(Table12[[#This Row],[Bet]]="Side",Table12[[#This Row],[Bet]]="", 'Prediction Log'!L162=""), "",IF('Prediction Log'!U162="Y", "W", IF('Prediction Log'!U162="N", "L", "")))</f>
      </c>
      <c r="AC161" s="59" t="str">
        <f t="shared" si="24"/>
      </c>
      <c r="AD161" s="67"/>
      <c r="AE161" s="65" t="str">
        <f t="shared" si="29"/>
      </c>
      <c r="AF1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2">
      <c r="A162" s="65" t="str">
        <f>IF(ISBLANK(Games!A162), "", Games!A162)</f>
      </c>
      <c r="B162" s="65" t="str">
        <f>IF('Prediction Log'!B163=0, "",'Prediction Log'!B163)</f>
      </c>
      <c r="C162" s="65" t="str">
        <f>IF('Prediction Log'!C163=0, "",'Prediction Log'!C163)</f>
      </c>
      <c r="D162" s="65" t="str">
        <f>IF('Prediction Log'!D163=0, "",'Prediction Log'!D163)</f>
      </c>
      <c r="E162" s="58" t="str">
        <f>IF('Prediction Log'!E163=0, "",'Prediction Log'!E163)</f>
      </c>
      <c r="F162" s="65" t="str">
        <f>IF('Prediction Log'!H163=0, "",'Prediction Log'!H163)</f>
      </c>
      <c r="G162" s="64" t="str">
        <f>IF(ISBLANK(Games!B162), "",'Prediction Log'!$I163)</f>
      </c>
      <c r="H162" s="66" t="n">
        <f>'Prediction Log'!$J163</f>
        <v>0</v>
      </c>
      <c r="I162" s="65" t="str">
        <f>IF(ISBLANK(Games!T162), "",IF(AND(Games!T162="",Games!U162=""),"",IF(ISTEXT(Games!U162), "Side",Games!T162)))</f>
      </c>
      <c r="J162" s="65" t="str">
        <f>IF(ISBLANK(Games!T162), "",IF(Table12[[#This Row],[Bet]]="Spread", Games!X162, ""))</f>
      </c>
      <c r="K162" s="65" t="str">
        <f>IF(ISBLANK(Games!U162), "",IF(ISTEXT(Games!U162), Games!U162, ""))</f>
      </c>
      <c r="L162" s="57" t="str">
        <f>IF(ISBLANK(Games!D162), "", Games!D162)</f>
      </c>
      <c r="M162" s="65"/>
      <c r="N162" s="75" t="str">
        <f>IF(Games!V162="", "",Games!V162)</f>
      </c>
      <c r="O162" s="75" t="str">
        <f>IF(Games!Z162=0, "",Games!Z162)</f>
      </c>
      <c r="P162" s="67"/>
      <c r="Q162" s="67" t="str">
        <f>IF(ISBLANK(Games!W162), "", Games!W162)</f>
      </c>
      <c r="R162" s="67" t="str">
        <f>IF(ISBLANK(Games!AA162), "", Games!AA162)</f>
      </c>
      <c r="S162" s="67"/>
      <c r="T162" s="68" t="str">
        <f t="shared" si="25"/>
      </c>
      <c r="U162" s="68" t="str">
        <f t="shared" si="26"/>
      </c>
      <c r="V162" s="68" t="str">
        <f t="shared" si="27"/>
      </c>
      <c r="W162" s="68" t="str">
        <f t="shared" si="28"/>
      </c>
      <c r="X162" s="68" t="n">
        <f t="shared" si="21"/>
        <v>0</v>
      </c>
      <c r="Y162" s="68" t="n">
        <f t="shared" si="22"/>
        <v>0</v>
      </c>
      <c r="Z162" s="67" t="str">
        <f>IF(OR('Prediction Log'!L163="", Table12[[#This Row],[Bet]]="", Table12[[#This Row],[Bet]]="Spread"), "",IF('Prediction Log'!L163=Table12[[#This Row],[Side]], "W", IF('Prediction Log'!L163&lt;&gt;Table12[[#This Row],[Side]], "L", "")))</f>
      </c>
      <c r="AA162" s="59" t="str">
        <f t="shared" si="23"/>
      </c>
      <c r="AB162" s="67" t="str">
        <f>IF(OR(Table12[[#This Row],[Bet]]="Side",Table12[[#This Row],[Bet]]="", 'Prediction Log'!L163=""), "",IF('Prediction Log'!U163="Y", "W", IF('Prediction Log'!U163="N", "L", "")))</f>
      </c>
      <c r="AC162" s="59" t="str">
        <f t="shared" si="24"/>
      </c>
      <c r="AD162" s="67"/>
      <c r="AE162" s="65" t="str">
        <f t="shared" si="29"/>
      </c>
      <c r="AF1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3">
      <c r="A163" s="65" t="str">
        <f>IF(ISBLANK(Games!A163), "", Games!A163)</f>
      </c>
      <c r="B163" s="65" t="str">
        <f>IF('Prediction Log'!B164=0, "",'Prediction Log'!B164)</f>
      </c>
      <c r="C163" s="65" t="str">
        <f>IF('Prediction Log'!C164=0, "",'Prediction Log'!C164)</f>
      </c>
      <c r="D163" s="65" t="str">
        <f>IF('Prediction Log'!D164=0, "",'Prediction Log'!D164)</f>
      </c>
      <c r="E163" s="58" t="str">
        <f>IF('Prediction Log'!E164=0, "",'Prediction Log'!E164)</f>
      </c>
      <c r="F163" s="65" t="str">
        <f>IF('Prediction Log'!H164=0, "",'Prediction Log'!H164)</f>
      </c>
      <c r="G163" s="64" t="str">
        <f>IF(ISBLANK(Games!B163), "",'Prediction Log'!$I164)</f>
      </c>
      <c r="H163" s="66" t="n">
        <f>'Prediction Log'!$J164</f>
        <v>0</v>
      </c>
      <c r="I163" s="65" t="str">
        <f>IF(ISBLANK(Games!T163), "",IF(AND(Games!T163="",Games!U163=""),"",IF(ISTEXT(Games!U163), "Side",Games!T163)))</f>
      </c>
      <c r="J163" s="65" t="str">
        <f>IF(ISBLANK(Games!T163), "",IF(Table12[[#This Row],[Bet]]="Spread", Games!X163, ""))</f>
      </c>
      <c r="K163" s="65" t="str">
        <f>IF(ISBLANK(Games!U163), "",IF(ISTEXT(Games!U163), Games!U163, ""))</f>
      </c>
      <c r="L163" s="57" t="str">
        <f>IF(ISBLANK(Games!D163), "", Games!D163)</f>
      </c>
      <c r="M163" s="65"/>
      <c r="N163" s="75" t="str">
        <f>IF(Games!V163="", "",Games!V163)</f>
      </c>
      <c r="O163" s="75" t="str">
        <f>IF(Games!Z163=0, "",Games!Z163)</f>
      </c>
      <c r="P163" s="67"/>
      <c r="Q163" s="67" t="str">
        <f>IF(ISBLANK(Games!W163), "", Games!W163)</f>
      </c>
      <c r="R163" s="67" t="str">
        <f>IF(ISBLANK(Games!AA163), "", Games!AA163)</f>
      </c>
      <c r="S163" s="67"/>
      <c r="T163" s="68" t="str">
        <f t="shared" si="25"/>
      </c>
      <c r="U163" s="68" t="str">
        <f t="shared" si="26"/>
      </c>
      <c r="V163" s="68" t="str">
        <f t="shared" si="27"/>
      </c>
      <c r="W163" s="68" t="str">
        <f t="shared" si="28"/>
      </c>
      <c r="X163" s="68" t="n">
        <f t="shared" si="21"/>
        <v>0</v>
      </c>
      <c r="Y163" s="68" t="n">
        <f t="shared" si="22"/>
        <v>0</v>
      </c>
      <c r="Z163" s="67" t="str">
        <f>IF(OR('Prediction Log'!L164="", Table12[[#This Row],[Bet]]="", Table12[[#This Row],[Bet]]="Spread"), "",IF('Prediction Log'!L164=Table12[[#This Row],[Side]], "W", IF('Prediction Log'!L164&lt;&gt;Table12[[#This Row],[Side]], "L", "")))</f>
      </c>
      <c r="AA163" s="59" t="str">
        <f t="shared" si="23"/>
      </c>
      <c r="AB163" s="67" t="str">
        <f>IF(OR(Table12[[#This Row],[Bet]]="Side",Table12[[#This Row],[Bet]]="", 'Prediction Log'!L164=""), "",IF('Prediction Log'!U164="Y", "W", IF('Prediction Log'!U164="N", "L", "")))</f>
      </c>
      <c r="AC163" s="59" t="str">
        <f t="shared" si="24"/>
      </c>
      <c r="AD163" s="67"/>
      <c r="AE163" s="65" t="str">
        <f t="shared" si="29"/>
      </c>
      <c r="AF1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4">
      <c r="A164" s="65" t="str">
        <f>IF(ISBLANK(Games!A164), "", Games!A164)</f>
      </c>
      <c r="B164" s="65" t="str">
        <f>IF('Prediction Log'!B165=0, "",'Prediction Log'!B165)</f>
      </c>
      <c r="C164" s="65" t="str">
        <f>IF('Prediction Log'!C165=0, "",'Prediction Log'!C165)</f>
      </c>
      <c r="D164" s="65" t="str">
        <f>IF('Prediction Log'!D165=0, "",'Prediction Log'!D165)</f>
      </c>
      <c r="E164" s="58" t="str">
        <f>IF('Prediction Log'!E165=0, "",'Prediction Log'!E165)</f>
      </c>
      <c r="F164" s="65" t="str">
        <f>IF('Prediction Log'!H165=0, "",'Prediction Log'!H165)</f>
      </c>
      <c r="G164" s="64" t="str">
        <f>IF(ISBLANK(Games!B164), "",'Prediction Log'!$I165)</f>
      </c>
      <c r="H164" s="66" t="n">
        <f>'Prediction Log'!$J165</f>
        <v>0</v>
      </c>
      <c r="I164" s="65" t="str">
        <f>IF(ISBLANK(Games!T164), "",IF(AND(Games!T164="",Games!U164=""),"",IF(ISTEXT(Games!U164), "Side",Games!T164)))</f>
      </c>
      <c r="J164" s="65" t="str">
        <f>IF(ISBLANK(Games!T164), "",IF(Table12[[#This Row],[Bet]]="Spread", Games!X164, ""))</f>
      </c>
      <c r="K164" s="65" t="str">
        <f>IF(ISBLANK(Games!U164), "",IF(ISTEXT(Games!U164), Games!U164, ""))</f>
      </c>
      <c r="L164" s="57" t="str">
        <f>IF(ISBLANK(Games!D164), "", Games!D164)</f>
      </c>
      <c r="M164" s="65"/>
      <c r="N164" s="75" t="str">
        <f>IF(Games!V164="", "",Games!V164)</f>
      </c>
      <c r="O164" s="75" t="str">
        <f>IF(Games!Z164=0, "",Games!Z164)</f>
      </c>
      <c r="P164" s="67"/>
      <c r="Q164" s="67" t="str">
        <f>IF(ISBLANK(Games!W164), "", Games!W164)</f>
      </c>
      <c r="R164" s="67" t="str">
        <f>IF(ISBLANK(Games!AA164), "", Games!AA164)</f>
      </c>
      <c r="S164" s="67"/>
      <c r="T164" s="68" t="str">
        <f t="shared" si="25"/>
      </c>
      <c r="U164" s="68" t="str">
        <f t="shared" si="26"/>
      </c>
      <c r="V164" s="68" t="str">
        <f t="shared" si="27"/>
      </c>
      <c r="W164" s="68" t="str">
        <f t="shared" si="28"/>
      </c>
      <c r="X164" s="68" t="n">
        <f t="shared" si="21"/>
        <v>0</v>
      </c>
      <c r="Y164" s="68" t="n">
        <f t="shared" si="22"/>
        <v>0</v>
      </c>
      <c r="Z164" s="67" t="str">
        <f>IF(OR('Prediction Log'!L165="", Table12[[#This Row],[Bet]]="", Table12[[#This Row],[Bet]]="Spread"), "",IF('Prediction Log'!L165=Table12[[#This Row],[Side]], "W", IF('Prediction Log'!L165&lt;&gt;Table12[[#This Row],[Side]], "L", "")))</f>
      </c>
      <c r="AA164" s="59" t="str">
        <f t="shared" si="23"/>
      </c>
      <c r="AB164" s="67" t="str">
        <f>IF(OR(Table12[[#This Row],[Bet]]="Side",Table12[[#This Row],[Bet]]="", 'Prediction Log'!L165=""), "",IF('Prediction Log'!U165="Y", "W", IF('Prediction Log'!U165="N", "L", "")))</f>
      </c>
      <c r="AC164" s="59" t="str">
        <f t="shared" si="24"/>
      </c>
      <c r="AD164" s="67"/>
      <c r="AE164" s="65" t="str">
        <f t="shared" si="29"/>
      </c>
      <c r="AF1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5">
      <c r="A165" s="65" t="str">
        <f>IF(ISBLANK(Games!A165), "", Games!A165)</f>
      </c>
      <c r="B165" s="65" t="str">
        <f>IF('Prediction Log'!B166=0, "",'Prediction Log'!B166)</f>
      </c>
      <c r="C165" s="65" t="str">
        <f>IF('Prediction Log'!C166=0, "",'Prediction Log'!C166)</f>
      </c>
      <c r="D165" s="65" t="str">
        <f>IF('Prediction Log'!D166=0, "",'Prediction Log'!D166)</f>
      </c>
      <c r="E165" s="58" t="str">
        <f>IF('Prediction Log'!E166=0, "",'Prediction Log'!E166)</f>
      </c>
      <c r="F165" s="65" t="str">
        <f>IF('Prediction Log'!H166=0, "",'Prediction Log'!H166)</f>
      </c>
      <c r="G165" s="64" t="str">
        <f>IF(ISBLANK(Games!B165), "",'Prediction Log'!$I166)</f>
      </c>
      <c r="H165" s="66" t="n">
        <f>'Prediction Log'!$J166</f>
        <v>0</v>
      </c>
      <c r="I165" s="65" t="str">
        <f>IF(ISBLANK(Games!T165), "",IF(AND(Games!T165="",Games!U165=""),"",IF(ISTEXT(Games!U165), "Side",Games!T165)))</f>
      </c>
      <c r="J165" s="65" t="str">
        <f>IF(ISBLANK(Games!T165), "",IF(Table12[[#This Row],[Bet]]="Spread", Games!X165, ""))</f>
      </c>
      <c r="K165" s="65" t="str">
        <f>IF(ISBLANK(Games!U165), "",IF(ISTEXT(Games!U165), Games!U165, ""))</f>
      </c>
      <c r="L165" s="57" t="str">
        <f>IF(ISBLANK(Games!D165), "", Games!D165)</f>
      </c>
      <c r="M165" s="65"/>
      <c r="N165" s="75" t="str">
        <f>IF(Games!V165="", "",Games!V165)</f>
      </c>
      <c r="O165" s="75" t="str">
        <f>IF(Games!Z165=0, "",Games!Z165)</f>
      </c>
      <c r="P165" s="67"/>
      <c r="Q165" s="67" t="str">
        <f>IF(ISBLANK(Games!W165), "", Games!W165)</f>
      </c>
      <c r="R165" s="67" t="str">
        <f>IF(ISBLANK(Games!AA165), "", Games!AA165)</f>
      </c>
      <c r="S165" s="67"/>
      <c r="T165" s="68" t="str">
        <f t="shared" si="25"/>
      </c>
      <c r="U165" s="68" t="str">
        <f t="shared" si="26"/>
      </c>
      <c r="V165" s="68" t="str">
        <f t="shared" si="27"/>
      </c>
      <c r="W165" s="68" t="str">
        <f t="shared" si="28"/>
      </c>
      <c r="X165" s="68" t="n">
        <f t="shared" si="21"/>
        <v>0</v>
      </c>
      <c r="Y165" s="68" t="n">
        <f t="shared" si="22"/>
        <v>0</v>
      </c>
      <c r="Z165" s="67" t="str">
        <f>IF(OR('Prediction Log'!L166="", Table12[[#This Row],[Bet]]="", Table12[[#This Row],[Bet]]="Spread"), "",IF('Prediction Log'!L166=Table12[[#This Row],[Side]], "W", IF('Prediction Log'!L166&lt;&gt;Table12[[#This Row],[Side]], "L", "")))</f>
      </c>
      <c r="AA165" s="59" t="str">
        <f t="shared" si="23"/>
      </c>
      <c r="AB165" s="67" t="str">
        <f>IF(OR(Table12[[#This Row],[Bet]]="Side",Table12[[#This Row],[Bet]]="", 'Prediction Log'!L166=""), "",IF('Prediction Log'!U166="Y", "W", IF('Prediction Log'!U166="N", "L", "")))</f>
      </c>
      <c r="AC165" s="59" t="str">
        <f t="shared" si="24"/>
      </c>
      <c r="AD165" s="67"/>
      <c r="AE165" s="65" t="str">
        <f t="shared" si="29"/>
      </c>
      <c r="AF1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6">
      <c r="A166" s="65" t="str">
        <f>IF(ISBLANK(Games!A166), "", Games!A166)</f>
      </c>
      <c r="B166" s="65" t="str">
        <f>IF('Prediction Log'!B167=0, "",'Prediction Log'!B167)</f>
      </c>
      <c r="C166" s="65" t="str">
        <f>IF('Prediction Log'!C167=0, "",'Prediction Log'!C167)</f>
      </c>
      <c r="D166" s="65" t="str">
        <f>IF('Prediction Log'!D167=0, "",'Prediction Log'!D167)</f>
      </c>
      <c r="E166" s="58" t="str">
        <f>IF('Prediction Log'!E167=0, "",'Prediction Log'!E167)</f>
      </c>
      <c r="F166" s="65" t="str">
        <f>IF('Prediction Log'!H167=0, "",'Prediction Log'!H167)</f>
      </c>
      <c r="G166" s="64" t="str">
        <f>IF(ISBLANK(Games!B166), "",'Prediction Log'!$I167)</f>
      </c>
      <c r="H166" s="66" t="n">
        <f>'Prediction Log'!$J167</f>
        <v>0</v>
      </c>
      <c r="I166" s="65" t="str">
        <f>IF(ISBLANK(Games!T166), "",IF(AND(Games!T166="",Games!U166=""),"",IF(ISTEXT(Games!U166), "Side",Games!T166)))</f>
      </c>
      <c r="J166" s="65" t="str">
        <f>IF(ISBLANK(Games!T166), "",IF(Table12[[#This Row],[Bet]]="Spread", Games!X166, ""))</f>
      </c>
      <c r="K166" s="65" t="str">
        <f>IF(ISBLANK(Games!U166), "",IF(ISTEXT(Games!U166), Games!U166, ""))</f>
      </c>
      <c r="L166" s="57" t="str">
        <f>IF(ISBLANK(Games!D166), "", Games!D166)</f>
      </c>
      <c r="M166" s="65"/>
      <c r="N166" s="75" t="str">
        <f>IF(Games!V166="", "",Games!V166)</f>
      </c>
      <c r="O166" s="75" t="str">
        <f>IF(Games!Z166=0, "",Games!Z166)</f>
      </c>
      <c r="P166" s="67"/>
      <c r="Q166" s="67" t="str">
        <f>IF(ISBLANK(Games!W166), "", Games!W166)</f>
      </c>
      <c r="R166" s="67" t="str">
        <f>IF(ISBLANK(Games!AA166), "", Games!AA166)</f>
      </c>
      <c r="S166" s="67"/>
      <c r="T166" s="68" t="str">
        <f t="shared" si="25"/>
      </c>
      <c r="U166" s="68" t="str">
        <f t="shared" si="26"/>
      </c>
      <c r="V166" s="68" t="str">
        <f t="shared" si="27"/>
      </c>
      <c r="W166" s="68" t="str">
        <f t="shared" si="28"/>
      </c>
      <c r="X166" s="68" t="n">
        <f t="shared" ref="X166:X229" si="30">P166+IF(S166&lt;0, (P166/(S166/-100)), P166*(S166/100))</f>
        <v>0</v>
      </c>
      <c r="Y166" s="68" t="n">
        <f t="shared" ref="Y166:Y229" si="31">S166-P166</f>
        <v>0</v>
      </c>
      <c r="Z166" s="67" t="str">
        <f>IF(OR('Prediction Log'!L167="", Table12[[#This Row],[Bet]]="", Table12[[#This Row],[Bet]]="Spread"), "",IF('Prediction Log'!L167=Table12[[#This Row],[Side]], "W", IF('Prediction Log'!L167&lt;&gt;Table12[[#This Row],[Side]], "L", "")))</f>
      </c>
      <c r="AA166" s="59" t="str">
        <f t="shared" ref="AA166:AA229" si="32">IF(Z166="W", U166, IF(Z166="L",-N166, ""))</f>
      </c>
      <c r="AB166" s="67" t="str">
        <f>IF(OR(Table12[[#This Row],[Bet]]="Side",Table12[[#This Row],[Bet]]="", 'Prediction Log'!L167=""), "",IF('Prediction Log'!U167="Y", "W", IF('Prediction Log'!U167="N", "L", "")))</f>
      </c>
      <c r="AC166" s="59" t="str">
        <f t="shared" si="24"/>
      </c>
      <c r="AD166" s="67"/>
      <c r="AE166" s="65" t="str">
        <f t="shared" si="29"/>
      </c>
      <c r="AF1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7">
      <c r="A167" s="65" t="str">
        <f>IF(ISBLANK(Games!A167), "", Games!A167)</f>
      </c>
      <c r="B167" s="65" t="str">
        <f>IF('Prediction Log'!B168=0, "",'Prediction Log'!B168)</f>
      </c>
      <c r="C167" s="65" t="str">
        <f>IF('Prediction Log'!C168=0, "",'Prediction Log'!C168)</f>
      </c>
      <c r="D167" s="65" t="str">
        <f>IF('Prediction Log'!D168=0, "",'Prediction Log'!D168)</f>
      </c>
      <c r="E167" s="58" t="str">
        <f>IF('Prediction Log'!E168=0, "",'Prediction Log'!E168)</f>
      </c>
      <c r="F167" s="65" t="str">
        <f>IF('Prediction Log'!H168=0, "",'Prediction Log'!H168)</f>
      </c>
      <c r="G167" s="64" t="str">
        <f>IF(ISBLANK(Games!B167), "",'Prediction Log'!$I168)</f>
      </c>
      <c r="H167" s="66" t="n">
        <f>'Prediction Log'!$J168</f>
        <v>0</v>
      </c>
      <c r="I167" s="65" t="str">
        <f>IF(ISBLANK(Games!T167), "",IF(AND(Games!T167="",Games!U167=""),"",IF(ISTEXT(Games!U167), "Side",Games!T167)))</f>
      </c>
      <c r="J167" s="65" t="str">
        <f>IF(ISBLANK(Games!T167), "",IF(Table12[[#This Row],[Bet]]="Spread", Games!X167, ""))</f>
      </c>
      <c r="K167" s="65" t="str">
        <f>IF(ISBLANK(Games!U167), "",IF(ISTEXT(Games!U167), Games!U167, ""))</f>
      </c>
      <c r="L167" s="57" t="str">
        <f>IF(ISBLANK(Games!D167), "", Games!D167)</f>
      </c>
      <c r="M167" s="65"/>
      <c r="N167" s="75" t="str">
        <f>IF(Games!V167="", "",Games!V167)</f>
      </c>
      <c r="O167" s="75" t="str">
        <f>IF(Games!Z167=0, "",Games!Z167)</f>
      </c>
      <c r="P167" s="67"/>
      <c r="Q167" s="67" t="str">
        <f>IF(ISBLANK(Games!W167), "", Games!W167)</f>
      </c>
      <c r="R167" s="67" t="str">
        <f>IF(ISBLANK(Games!AA167), "", Games!AA167)</f>
      </c>
      <c r="S167" s="67"/>
      <c r="T167" s="68" t="str">
        <f t="shared" si="25"/>
      </c>
      <c r="U167" s="68" t="str">
        <f t="shared" si="26"/>
      </c>
      <c r="V167" s="68" t="str">
        <f t="shared" si="27"/>
      </c>
      <c r="W167" s="68" t="str">
        <f t="shared" si="28"/>
      </c>
      <c r="X167" s="68" t="n">
        <f t="shared" si="30"/>
        <v>0</v>
      </c>
      <c r="Y167" s="68" t="n">
        <f t="shared" si="31"/>
        <v>0</v>
      </c>
      <c r="Z167" s="67" t="str">
        <f>IF(OR('Prediction Log'!L168="", Table12[[#This Row],[Bet]]="", Table12[[#This Row],[Bet]]="Spread"), "",IF('Prediction Log'!L168=Table12[[#This Row],[Side]], "W", IF('Prediction Log'!L168&lt;&gt;Table12[[#This Row],[Side]], "L", "")))</f>
      </c>
      <c r="AA167" s="59" t="str">
        <f t="shared" si="32"/>
      </c>
      <c r="AB167" s="67" t="str">
        <f>IF(OR(Table12[[#This Row],[Bet]]="Side",Table12[[#This Row],[Bet]]="", 'Prediction Log'!L168=""), "",IF('Prediction Log'!U168="Y", "W", IF('Prediction Log'!U168="N", "L", "")))</f>
      </c>
      <c r="AC167" s="59" t="str">
        <f t="shared" si="24"/>
      </c>
      <c r="AD167" s="67"/>
      <c r="AE167" s="65" t="str">
        <f t="shared" si="29"/>
      </c>
      <c r="AF1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8">
      <c r="A168" s="65" t="str">
        <f>IF(ISBLANK(Games!A168), "", Games!A168)</f>
      </c>
      <c r="B168" s="65" t="str">
        <f>IF('Prediction Log'!B169=0, "",'Prediction Log'!B169)</f>
      </c>
      <c r="C168" s="65" t="str">
        <f>IF('Prediction Log'!C169=0, "",'Prediction Log'!C169)</f>
      </c>
      <c r="D168" s="65" t="str">
        <f>IF('Prediction Log'!D169=0, "",'Prediction Log'!D169)</f>
      </c>
      <c r="E168" s="58" t="str">
        <f>IF('Prediction Log'!E169=0, "",'Prediction Log'!E169)</f>
      </c>
      <c r="F168" s="65" t="str">
        <f>IF('Prediction Log'!H169=0, "",'Prediction Log'!H169)</f>
      </c>
      <c r="G168" s="64" t="str">
        <f>IF(ISBLANK(Games!B168), "",'Prediction Log'!$I169)</f>
      </c>
      <c r="H168" s="66" t="n">
        <f>'Prediction Log'!$J169</f>
        <v>0</v>
      </c>
      <c r="I168" s="65" t="str">
        <f>IF(ISBLANK(Games!T168), "",IF(AND(Games!T168="",Games!U168=""),"",IF(ISTEXT(Games!U168), "Side",Games!T168)))</f>
      </c>
      <c r="J168" s="65" t="str">
        <f>IF(ISBLANK(Games!T168), "",IF(Table12[[#This Row],[Bet]]="Spread", Games!X168, ""))</f>
      </c>
      <c r="K168" s="65" t="str">
        <f>IF(ISBLANK(Games!U168), "",IF(ISTEXT(Games!U168), Games!U168, ""))</f>
      </c>
      <c r="L168" s="57" t="str">
        <f>IF(ISBLANK(Games!D168), "", Games!D168)</f>
      </c>
      <c r="M168" s="65"/>
      <c r="N168" s="75" t="str">
        <f>IF(Games!V168="", "",Games!V168)</f>
      </c>
      <c r="O168" s="75" t="str">
        <f>IF(Games!Z168=0, "",Games!Z168)</f>
      </c>
      <c r="P168" s="67"/>
      <c r="Q168" s="67" t="str">
        <f>IF(ISBLANK(Games!W168), "", Games!W168)</f>
      </c>
      <c r="R168" s="67" t="str">
        <f>IF(ISBLANK(Games!AA168), "", Games!AA168)</f>
      </c>
      <c r="S168" s="67"/>
      <c r="T168" s="68" t="str">
        <f t="shared" si="25"/>
      </c>
      <c r="U168" s="68" t="str">
        <f t="shared" si="26"/>
      </c>
      <c r="V168" s="68" t="str">
        <f t="shared" si="27"/>
      </c>
      <c r="W168" s="68" t="str">
        <f t="shared" si="28"/>
      </c>
      <c r="X168" s="68" t="n">
        <f t="shared" si="30"/>
        <v>0</v>
      </c>
      <c r="Y168" s="68" t="n">
        <f t="shared" si="31"/>
        <v>0</v>
      </c>
      <c r="Z168" s="67" t="str">
        <f>IF(OR('Prediction Log'!L169="", Table12[[#This Row],[Bet]]="", Table12[[#This Row],[Bet]]="Spread"), "",IF('Prediction Log'!L169=Table12[[#This Row],[Side]], "W", IF('Prediction Log'!L169&lt;&gt;Table12[[#This Row],[Side]], "L", "")))</f>
      </c>
      <c r="AA168" s="59" t="str">
        <f t="shared" si="32"/>
      </c>
      <c r="AB168" s="67" t="str">
        <f>IF(OR(Table12[[#This Row],[Bet]]="Side",Table12[[#This Row],[Bet]]="", 'Prediction Log'!L169=""), "",IF('Prediction Log'!U169="Y", "W", IF('Prediction Log'!U169="N", "L", "")))</f>
      </c>
      <c r="AC168" s="59" t="str">
        <f t="shared" si="24"/>
      </c>
      <c r="AD168" s="67"/>
      <c r="AE168" s="65" t="str">
        <f t="shared" si="29"/>
      </c>
      <c r="AF1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9">
      <c r="A169" s="65" t="str">
        <f>IF(ISBLANK(Games!A169), "", Games!A169)</f>
      </c>
      <c r="B169" s="65" t="str">
        <f>IF('Prediction Log'!B170=0, "",'Prediction Log'!B170)</f>
      </c>
      <c r="C169" s="65" t="str">
        <f>IF('Prediction Log'!C170=0, "",'Prediction Log'!C170)</f>
      </c>
      <c r="D169" s="65" t="str">
        <f>IF('Prediction Log'!D170=0, "",'Prediction Log'!D170)</f>
      </c>
      <c r="E169" s="58" t="str">
        <f>IF('Prediction Log'!E170=0, "",'Prediction Log'!E170)</f>
      </c>
      <c r="F169" s="65" t="str">
        <f>IF('Prediction Log'!H170=0, "",'Prediction Log'!H170)</f>
      </c>
      <c r="G169" s="64" t="str">
        <f>IF(ISBLANK(Games!B169), "",'Prediction Log'!$I170)</f>
      </c>
      <c r="H169" s="66" t="n">
        <f>'Prediction Log'!$J170</f>
        <v>0</v>
      </c>
      <c r="I169" s="65" t="str">
        <f>IF(ISBLANK(Games!T169), "",IF(AND(Games!T169="",Games!U169=""),"",IF(ISTEXT(Games!U169), "Side",Games!T169)))</f>
      </c>
      <c r="J169" s="65" t="str">
        <f>IF(ISBLANK(Games!T169), "",IF(Table12[[#This Row],[Bet]]="Spread", Games!X169, ""))</f>
      </c>
      <c r="K169" s="65" t="str">
        <f>IF(ISBLANK(Games!U169), "",IF(ISTEXT(Games!U169), Games!U169, ""))</f>
      </c>
      <c r="L169" s="57" t="str">
        <f>IF(ISBLANK(Games!D169), "", Games!D169)</f>
      </c>
      <c r="M169" s="65"/>
      <c r="N169" s="75" t="str">
        <f>IF(Games!V169="", "",Games!V169)</f>
      </c>
      <c r="O169" s="75" t="str">
        <f>IF(Games!Z169=0, "",Games!Z169)</f>
      </c>
      <c r="P169" s="67"/>
      <c r="Q169" s="67" t="str">
        <f>IF(ISBLANK(Games!W169), "", Games!W169)</f>
      </c>
      <c r="R169" s="67" t="str">
        <f>IF(ISBLANK(Games!AA169), "", Games!AA169)</f>
      </c>
      <c r="S169" s="67"/>
      <c r="T169" s="68" t="str">
        <f t="shared" si="25"/>
      </c>
      <c r="U169" s="68" t="str">
        <f t="shared" si="26"/>
      </c>
      <c r="V169" s="68" t="str">
        <f t="shared" si="27"/>
      </c>
      <c r="W169" s="68" t="str">
        <f t="shared" si="28"/>
      </c>
      <c r="X169" s="68" t="n">
        <f t="shared" si="30"/>
        <v>0</v>
      </c>
      <c r="Y169" s="68" t="n">
        <f t="shared" si="31"/>
        <v>0</v>
      </c>
      <c r="Z169" s="67" t="str">
        <f>IF(OR('Prediction Log'!L170="", Table12[[#This Row],[Bet]]="", Table12[[#This Row],[Bet]]="Spread"), "",IF('Prediction Log'!L170=Table12[[#This Row],[Side]], "W", IF('Prediction Log'!L170&lt;&gt;Table12[[#This Row],[Side]], "L", "")))</f>
      </c>
      <c r="AA169" s="59" t="str">
        <f t="shared" si="32"/>
      </c>
      <c r="AB169" s="67" t="str">
        <f>IF(OR(Table12[[#This Row],[Bet]]="Side",Table12[[#This Row],[Bet]]="", 'Prediction Log'!L170=""), "",IF('Prediction Log'!U170="Y", "W", IF('Prediction Log'!U170="N", "L", "")))</f>
      </c>
      <c r="AC169" s="59" t="str">
        <f t="shared" si="24"/>
      </c>
      <c r="AD169" s="67"/>
      <c r="AE169" s="65" t="str">
        <f t="shared" si="29"/>
      </c>
      <c r="AF1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0">
      <c r="A170" s="65" t="str">
        <f>IF(ISBLANK(Games!A170), "", Games!A170)</f>
      </c>
      <c r="B170" s="65" t="str">
        <f>IF('Prediction Log'!B171=0, "",'Prediction Log'!B171)</f>
      </c>
      <c r="C170" s="65" t="str">
        <f>IF('Prediction Log'!C171=0, "",'Prediction Log'!C171)</f>
      </c>
      <c r="D170" s="65" t="str">
        <f>IF('Prediction Log'!D171=0, "",'Prediction Log'!D171)</f>
      </c>
      <c r="E170" s="58" t="str">
        <f>IF('Prediction Log'!E171=0, "",'Prediction Log'!E171)</f>
      </c>
      <c r="F170" s="65" t="str">
        <f>IF('Prediction Log'!H171=0, "",'Prediction Log'!H171)</f>
      </c>
      <c r="G170" s="64" t="str">
        <f>IF(ISBLANK(Games!B170), "",'Prediction Log'!$I171)</f>
      </c>
      <c r="H170" s="66" t="n">
        <f>'Prediction Log'!$J171</f>
        <v>0</v>
      </c>
      <c r="I170" s="65" t="str">
        <f>IF(ISBLANK(Games!T170), "",IF(AND(Games!T170="",Games!U170=""),"",IF(ISTEXT(Games!U170), "Side",Games!T170)))</f>
      </c>
      <c r="J170" s="65" t="str">
        <f>IF(ISBLANK(Games!T170), "",IF(Table12[[#This Row],[Bet]]="Spread", Games!X170, ""))</f>
      </c>
      <c r="K170" s="65" t="str">
        <f>IF(ISBLANK(Games!U170), "",IF(ISTEXT(Games!U170), Games!U170, ""))</f>
      </c>
      <c r="L170" s="57" t="str">
        <f>IF(ISBLANK(Games!D170), "", Games!D170)</f>
      </c>
      <c r="M170" s="65"/>
      <c r="N170" s="75" t="str">
        <f>IF(Games!V170="", "",Games!V170)</f>
      </c>
      <c r="O170" s="75" t="str">
        <f>IF(Games!Z170=0, "",Games!Z170)</f>
      </c>
      <c r="P170" s="67"/>
      <c r="Q170" s="67" t="str">
        <f>IF(ISBLANK(Games!W170), "", Games!W170)</f>
      </c>
      <c r="R170" s="67" t="str">
        <f>IF(ISBLANK(Games!AA170), "", Games!AA170)</f>
      </c>
      <c r="S170" s="67"/>
      <c r="T170" s="68" t="str">
        <f t="shared" si="25"/>
      </c>
      <c r="U170" s="68" t="str">
        <f t="shared" si="26"/>
      </c>
      <c r="V170" s="68" t="str">
        <f t="shared" si="27"/>
      </c>
      <c r="W170" s="68" t="str">
        <f t="shared" si="28"/>
      </c>
      <c r="X170" s="68" t="n">
        <f t="shared" si="30"/>
        <v>0</v>
      </c>
      <c r="Y170" s="68" t="n">
        <f t="shared" si="31"/>
        <v>0</v>
      </c>
      <c r="Z170" s="67" t="str">
        <f>IF(OR('Prediction Log'!L171="", Table12[[#This Row],[Bet]]="", Table12[[#This Row],[Bet]]="Spread"), "",IF('Prediction Log'!L171=Table12[[#This Row],[Side]], "W", IF('Prediction Log'!L171&lt;&gt;Table12[[#This Row],[Side]], "L", "")))</f>
      </c>
      <c r="AA170" s="59" t="str">
        <f t="shared" si="32"/>
      </c>
      <c r="AB170" s="67" t="str">
        <f>IF(OR(Table12[[#This Row],[Bet]]="Side",Table12[[#This Row],[Bet]]="", 'Prediction Log'!L171=""), "",IF('Prediction Log'!U171="Y", "W", IF('Prediction Log'!U171="N", "L", "")))</f>
      </c>
      <c r="AC170" s="59" t="str">
        <f t="shared" si="24"/>
      </c>
      <c r="AD170" s="67"/>
      <c r="AE170" s="65" t="str">
        <f t="shared" si="29"/>
      </c>
      <c r="AF1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1">
      <c r="A171" s="65" t="str">
        <f>IF(ISBLANK(Games!A171), "", Games!A171)</f>
      </c>
      <c r="B171" s="65" t="str">
        <f>IF('Prediction Log'!B172=0, "",'Prediction Log'!B172)</f>
      </c>
      <c r="C171" s="65" t="str">
        <f>IF('Prediction Log'!C172=0, "",'Prediction Log'!C172)</f>
      </c>
      <c r="D171" s="65" t="str">
        <f>IF('Prediction Log'!D172=0, "",'Prediction Log'!D172)</f>
      </c>
      <c r="E171" s="58" t="str">
        <f>IF('Prediction Log'!E172=0, "",'Prediction Log'!E172)</f>
      </c>
      <c r="F171" s="65" t="str">
        <f>IF('Prediction Log'!H172=0, "",'Prediction Log'!H172)</f>
      </c>
      <c r="G171" s="64" t="str">
        <f>IF(ISBLANK(Games!B171), "",'Prediction Log'!$I172)</f>
      </c>
      <c r="H171" s="66" t="n">
        <f>'Prediction Log'!$J172</f>
        <v>0</v>
      </c>
      <c r="I171" s="65" t="str">
        <f>IF(ISBLANK(Games!T171), "",IF(AND(Games!T171="",Games!U171=""),"",IF(ISTEXT(Games!U171), "Side",Games!T171)))</f>
      </c>
      <c r="J171" s="65" t="str">
        <f>IF(ISBLANK(Games!T171), "",IF(Table12[[#This Row],[Bet]]="Spread", Games!X171, ""))</f>
      </c>
      <c r="K171" s="65" t="str">
        <f>IF(ISBLANK(Games!U171), "",IF(ISTEXT(Games!U171), Games!U171, ""))</f>
      </c>
      <c r="L171" s="57" t="str">
        <f>IF(ISBLANK(Games!D171), "", Games!D171)</f>
      </c>
      <c r="M171" s="65"/>
      <c r="N171" s="75" t="str">
        <f>IF(Games!V171="", "",Games!V171)</f>
      </c>
      <c r="O171" s="75" t="str">
        <f>IF(Games!Z171=0, "",Games!Z171)</f>
      </c>
      <c r="P171" s="67"/>
      <c r="Q171" s="67" t="str">
        <f>IF(ISBLANK(Games!W171), "", Games!W171)</f>
      </c>
      <c r="R171" s="67" t="str">
        <f>IF(ISBLANK(Games!AA171), "", Games!AA171)</f>
      </c>
      <c r="S171" s="67"/>
      <c r="T171" s="68" t="str">
        <f t="shared" si="25"/>
      </c>
      <c r="U171" s="68" t="str">
        <f t="shared" si="26"/>
      </c>
      <c r="V171" s="68" t="str">
        <f t="shared" si="27"/>
      </c>
      <c r="W171" s="68" t="str">
        <f t="shared" si="28"/>
      </c>
      <c r="X171" s="68" t="n">
        <f t="shared" si="30"/>
        <v>0</v>
      </c>
      <c r="Y171" s="68" t="n">
        <f t="shared" si="31"/>
        <v>0</v>
      </c>
      <c r="Z171" s="67" t="str">
        <f>IF(OR('Prediction Log'!L172="", Table12[[#This Row],[Bet]]="", Table12[[#This Row],[Bet]]="Spread"), "",IF('Prediction Log'!L172=Table12[[#This Row],[Side]], "W", IF('Prediction Log'!L172&lt;&gt;Table12[[#This Row],[Side]], "L", "")))</f>
      </c>
      <c r="AA171" s="59" t="str">
        <f t="shared" si="32"/>
      </c>
      <c r="AB171" s="67" t="str">
        <f>IF(OR(Table12[[#This Row],[Bet]]="Side",Table12[[#This Row],[Bet]]="", 'Prediction Log'!L172=""), "",IF('Prediction Log'!U172="Y", "W", IF('Prediction Log'!U172="N", "L", "")))</f>
      </c>
      <c r="AC171" s="59" t="str">
        <f t="shared" si="24"/>
      </c>
      <c r="AD171" s="67"/>
      <c r="AE171" s="65" t="str">
        <f t="shared" si="29"/>
      </c>
      <c r="AF1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2">
      <c r="A172" s="65" t="str">
        <f>IF(ISBLANK(Games!A172), "", Games!A172)</f>
      </c>
      <c r="B172" s="65" t="str">
        <f>IF('Prediction Log'!B173=0, "",'Prediction Log'!B173)</f>
      </c>
      <c r="C172" s="65" t="str">
        <f>IF('Prediction Log'!C173=0, "",'Prediction Log'!C173)</f>
      </c>
      <c r="D172" s="65" t="str">
        <f>IF('Prediction Log'!D173=0, "",'Prediction Log'!D173)</f>
      </c>
      <c r="E172" s="58" t="str">
        <f>IF('Prediction Log'!E173=0, "",'Prediction Log'!E173)</f>
      </c>
      <c r="F172" s="65" t="str">
        <f>IF('Prediction Log'!H173=0, "",'Prediction Log'!H173)</f>
      </c>
      <c r="G172" s="64" t="str">
        <f>IF(ISBLANK(Games!B172), "",'Prediction Log'!$I173)</f>
      </c>
      <c r="H172" s="66" t="n">
        <f>'Prediction Log'!$J173</f>
        <v>0</v>
      </c>
      <c r="I172" s="65" t="str">
        <f>IF(ISBLANK(Games!T172), "",IF(AND(Games!T172="",Games!U172=""),"",IF(ISTEXT(Games!U172), "Side",Games!T172)))</f>
      </c>
      <c r="J172" s="65" t="str">
        <f>IF(ISBLANK(Games!T172), "",IF(Table12[[#This Row],[Bet]]="Spread", Games!X172, ""))</f>
      </c>
      <c r="K172" s="65" t="str">
        <f>IF(ISBLANK(Games!U172), "",IF(ISTEXT(Games!U172), Games!U172, ""))</f>
      </c>
      <c r="L172" s="57" t="str">
        <f>IF(ISBLANK(Games!D172), "", Games!D172)</f>
      </c>
      <c r="M172" s="65"/>
      <c r="N172" s="75" t="str">
        <f>IF(Games!V172="", "",Games!V172)</f>
      </c>
      <c r="O172" s="75" t="str">
        <f>IF(Games!Z172=0, "",Games!Z172)</f>
      </c>
      <c r="P172" s="67"/>
      <c r="Q172" s="67" t="str">
        <f>IF(ISBLANK(Games!W172), "", Games!W172)</f>
      </c>
      <c r="R172" s="67" t="str">
        <f>IF(ISBLANK(Games!AA172), "", Games!AA172)</f>
      </c>
      <c r="S172" s="67"/>
      <c r="T172" s="68" t="str">
        <f t="shared" si="25"/>
      </c>
      <c r="U172" s="68" t="str">
        <f t="shared" si="26"/>
      </c>
      <c r="V172" s="68" t="str">
        <f t="shared" si="27"/>
      </c>
      <c r="W172" s="68" t="str">
        <f t="shared" si="28"/>
      </c>
      <c r="X172" s="68" t="n">
        <f t="shared" si="30"/>
        <v>0</v>
      </c>
      <c r="Y172" s="68" t="n">
        <f t="shared" si="31"/>
        <v>0</v>
      </c>
      <c r="Z172" s="67" t="str">
        <f>IF(OR('Prediction Log'!L173="", Table12[[#This Row],[Bet]]="", Table12[[#This Row],[Bet]]="Spread"), "",IF('Prediction Log'!L173=Table12[[#This Row],[Side]], "W", IF('Prediction Log'!L173&lt;&gt;Table12[[#This Row],[Side]], "L", "")))</f>
      </c>
      <c r="AA172" s="59" t="str">
        <f t="shared" si="32"/>
      </c>
      <c r="AB172" s="67" t="str">
        <f>IF(OR(Table12[[#This Row],[Bet]]="Side",Table12[[#This Row],[Bet]]="", 'Prediction Log'!L173=""), "",IF('Prediction Log'!U173="Y", "W", IF('Prediction Log'!U173="N", "L", "")))</f>
      </c>
      <c r="AC172" s="59" t="str">
        <f t="shared" si="24"/>
      </c>
      <c r="AD172" s="67"/>
      <c r="AE172" s="65" t="str">
        <f t="shared" si="29"/>
      </c>
      <c r="AF1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3">
      <c r="A173" s="65" t="str">
        <f>IF(ISBLANK(Games!A173), "", Games!A173)</f>
      </c>
      <c r="B173" s="65" t="str">
        <f>IF('Prediction Log'!B174=0, "",'Prediction Log'!B174)</f>
      </c>
      <c r="C173" s="65" t="str">
        <f>IF('Prediction Log'!C174=0, "",'Prediction Log'!C174)</f>
      </c>
      <c r="D173" s="65" t="str">
        <f>IF('Prediction Log'!D174=0, "",'Prediction Log'!D174)</f>
      </c>
      <c r="E173" s="58" t="str">
        <f>IF('Prediction Log'!E174=0, "",'Prediction Log'!E174)</f>
      </c>
      <c r="F173" s="65" t="str">
        <f>IF('Prediction Log'!H174=0, "",'Prediction Log'!H174)</f>
      </c>
      <c r="G173" s="64" t="str">
        <f>IF(ISBLANK(Games!B173), "",'Prediction Log'!$I174)</f>
      </c>
      <c r="H173" s="66" t="n">
        <f>'Prediction Log'!$J174</f>
        <v>0</v>
      </c>
      <c r="I173" s="65" t="str">
        <f>IF(ISBLANK(Games!T173), "",IF(AND(Games!T173="",Games!U173=""),"",IF(ISTEXT(Games!U173), "Side",Games!T173)))</f>
      </c>
      <c r="J173" s="65" t="str">
        <f>IF(ISBLANK(Games!T173), "",IF(Table12[[#This Row],[Bet]]="Spread", Games!X173, ""))</f>
      </c>
      <c r="K173" s="65" t="str">
        <f>IF(ISBLANK(Games!U173), "",IF(ISTEXT(Games!U173), Games!U173, ""))</f>
      </c>
      <c r="L173" s="57" t="str">
        <f>IF(ISBLANK(Games!D173), "", Games!D173)</f>
      </c>
      <c r="M173" s="65"/>
      <c r="N173" s="75" t="str">
        <f>IF(Games!V173="", "",Games!V173)</f>
      </c>
      <c r="O173" s="75" t="str">
        <f>IF(Games!Z173=0, "",Games!Z173)</f>
      </c>
      <c r="P173" s="67"/>
      <c r="Q173" s="67" t="str">
        <f>IF(ISBLANK(Games!W173), "", Games!W173)</f>
      </c>
      <c r="R173" s="67" t="str">
        <f>IF(ISBLANK(Games!AA173), "", Games!AA173)</f>
      </c>
      <c r="S173" s="67"/>
      <c r="T173" s="68" t="str">
        <f t="shared" si="25"/>
      </c>
      <c r="U173" s="68" t="str">
        <f t="shared" si="26"/>
      </c>
      <c r="V173" s="68" t="str">
        <f t="shared" si="27"/>
      </c>
      <c r="W173" s="68" t="str">
        <f t="shared" si="28"/>
      </c>
      <c r="X173" s="68" t="n">
        <f t="shared" si="30"/>
        <v>0</v>
      </c>
      <c r="Y173" s="68" t="n">
        <f t="shared" si="31"/>
        <v>0</v>
      </c>
      <c r="Z173" s="67" t="str">
        <f>IF(OR('Prediction Log'!L174="", Table12[[#This Row],[Bet]]="", Table12[[#This Row],[Bet]]="Spread"), "",IF('Prediction Log'!L174=Table12[[#This Row],[Side]], "W", IF('Prediction Log'!L174&lt;&gt;Table12[[#This Row],[Side]], "L", "")))</f>
      </c>
      <c r="AA173" s="59" t="str">
        <f t="shared" si="32"/>
      </c>
      <c r="AB173" s="67" t="str">
        <f>IF(OR(Table12[[#This Row],[Bet]]="Side",Table12[[#This Row],[Bet]]="", 'Prediction Log'!L174=""), "",IF('Prediction Log'!U174="Y", "W", IF('Prediction Log'!U174="N", "L", "")))</f>
      </c>
      <c r="AC173" s="59" t="str">
        <f t="shared" si="24"/>
      </c>
      <c r="AD173" s="67"/>
      <c r="AE173" s="65" t="str">
        <f t="shared" si="29"/>
      </c>
      <c r="AF1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4">
      <c r="A174" s="65" t="str">
        <f>IF(ISBLANK(Games!A174), "", Games!A174)</f>
      </c>
      <c r="B174" s="65" t="str">
        <f>IF('Prediction Log'!B175=0, "",'Prediction Log'!B175)</f>
      </c>
      <c r="C174" s="65" t="str">
        <f>IF('Prediction Log'!C175=0, "",'Prediction Log'!C175)</f>
      </c>
      <c r="D174" s="65" t="str">
        <f>IF('Prediction Log'!D175=0, "",'Prediction Log'!D175)</f>
      </c>
      <c r="E174" s="58" t="str">
        <f>IF('Prediction Log'!E175=0, "",'Prediction Log'!E175)</f>
      </c>
      <c r="F174" s="65" t="str">
        <f>IF('Prediction Log'!H175=0, "",'Prediction Log'!H175)</f>
      </c>
      <c r="G174" s="64" t="str">
        <f>IF(ISBLANK(Games!B174), "",'Prediction Log'!$I175)</f>
      </c>
      <c r="H174" s="66" t="n">
        <f>'Prediction Log'!$J175</f>
        <v>0</v>
      </c>
      <c r="I174" s="65" t="str">
        <f>IF(ISBLANK(Games!T174), "",IF(AND(Games!T174="",Games!U174=""),"",IF(ISTEXT(Games!U174), "Side",Games!T174)))</f>
      </c>
      <c r="J174" s="65" t="str">
        <f>IF(ISBLANK(Games!T174), "",IF(Table12[[#This Row],[Bet]]="Spread", Games!X174, ""))</f>
      </c>
      <c r="K174" s="65" t="str">
        <f>IF(ISBLANK(Games!U174), "",IF(ISTEXT(Games!U174), Games!U174, ""))</f>
      </c>
      <c r="L174" s="57" t="str">
        <f>IF(ISBLANK(Games!D174), "", Games!D174)</f>
      </c>
      <c r="M174" s="65"/>
      <c r="N174" s="75" t="str">
        <f>IF(Games!V174="", "",Games!V174)</f>
      </c>
      <c r="O174" s="75" t="str">
        <f>IF(Games!Z174=0, "",Games!Z174)</f>
      </c>
      <c r="P174" s="67"/>
      <c r="Q174" s="67" t="str">
        <f>IF(ISBLANK(Games!W174), "", Games!W174)</f>
      </c>
      <c r="R174" s="67" t="str">
        <f>IF(ISBLANK(Games!AA174), "", Games!AA174)</f>
      </c>
      <c r="S174" s="67"/>
      <c r="T174" s="68" t="str">
        <f t="shared" si="25"/>
      </c>
      <c r="U174" s="68" t="str">
        <f t="shared" si="26"/>
      </c>
      <c r="V174" s="68" t="str">
        <f t="shared" si="27"/>
      </c>
      <c r="W174" s="68" t="str">
        <f t="shared" si="28"/>
      </c>
      <c r="X174" s="68" t="n">
        <f t="shared" si="30"/>
        <v>0</v>
      </c>
      <c r="Y174" s="68" t="n">
        <f t="shared" si="31"/>
        <v>0</v>
      </c>
      <c r="Z174" s="67" t="str">
        <f>IF(OR('Prediction Log'!L175="", Table12[[#This Row],[Bet]]="", Table12[[#This Row],[Bet]]="Spread"), "",IF('Prediction Log'!L175=Table12[[#This Row],[Side]], "W", IF('Prediction Log'!L175&lt;&gt;Table12[[#This Row],[Side]], "L", "")))</f>
      </c>
      <c r="AA174" s="59" t="str">
        <f t="shared" si="32"/>
      </c>
      <c r="AB174" s="67" t="str">
        <f>IF(OR(Table12[[#This Row],[Bet]]="Side",Table12[[#This Row],[Bet]]="", 'Prediction Log'!L175=""), "",IF('Prediction Log'!U175="Y", "W", IF('Prediction Log'!U175="N", "L", "")))</f>
      </c>
      <c r="AC174" s="59" t="str">
        <f t="shared" si="24"/>
      </c>
      <c r="AD174" s="67"/>
      <c r="AE174" s="65" t="str">
        <f t="shared" si="29"/>
      </c>
      <c r="AF1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5">
      <c r="A175" s="65" t="str">
        <f>IF(ISBLANK(Games!A175), "", Games!A175)</f>
      </c>
      <c r="B175" s="65" t="str">
        <f>IF('Prediction Log'!B176=0, "",'Prediction Log'!B176)</f>
      </c>
      <c r="C175" s="65" t="str">
        <f>IF('Prediction Log'!C176=0, "",'Prediction Log'!C176)</f>
      </c>
      <c r="D175" s="65" t="str">
        <f>IF('Prediction Log'!D176=0, "",'Prediction Log'!D176)</f>
      </c>
      <c r="E175" s="58" t="str">
        <f>IF('Prediction Log'!E176=0, "",'Prediction Log'!E176)</f>
      </c>
      <c r="F175" s="65" t="str">
        <f>IF('Prediction Log'!H176=0, "",'Prediction Log'!H176)</f>
      </c>
      <c r="G175" s="64" t="str">
        <f>IF(ISBLANK(Games!B175), "",'Prediction Log'!$I176)</f>
      </c>
      <c r="H175" s="66" t="n">
        <f>'Prediction Log'!$J176</f>
        <v>0</v>
      </c>
      <c r="I175" s="65" t="str">
        <f>IF(ISBLANK(Games!T175), "",IF(AND(Games!T175="",Games!U175=""),"",IF(ISTEXT(Games!U175), "Side",Games!T175)))</f>
      </c>
      <c r="J175" s="65" t="str">
        <f>IF(ISBLANK(Games!T175), "",IF(Table12[[#This Row],[Bet]]="Spread", Games!X175, ""))</f>
      </c>
      <c r="K175" s="65" t="str">
        <f>IF(ISBLANK(Games!U175), "",IF(ISTEXT(Games!U175), Games!U175, ""))</f>
      </c>
      <c r="L175" s="57" t="str">
        <f>IF(ISBLANK(Games!D175), "", Games!D175)</f>
      </c>
      <c r="M175" s="65"/>
      <c r="N175" s="75" t="str">
        <f>IF(Games!V175="", "",Games!V175)</f>
      </c>
      <c r="O175" s="75" t="str">
        <f>IF(Games!Z175=0, "",Games!Z175)</f>
      </c>
      <c r="P175" s="67"/>
      <c r="Q175" s="67" t="str">
        <f>IF(ISBLANK(Games!W175), "", Games!W175)</f>
      </c>
      <c r="R175" s="67" t="str">
        <f>IF(ISBLANK(Games!AA175), "", Games!AA175)</f>
      </c>
      <c r="S175" s="67"/>
      <c r="T175" s="68" t="str">
        <f t="shared" si="25"/>
      </c>
      <c r="U175" s="68" t="str">
        <f t="shared" si="26"/>
      </c>
      <c r="V175" s="68" t="str">
        <f t="shared" si="27"/>
      </c>
      <c r="W175" s="68" t="str">
        <f t="shared" si="28"/>
      </c>
      <c r="X175" s="68" t="n">
        <f t="shared" si="30"/>
        <v>0</v>
      </c>
      <c r="Y175" s="68" t="n">
        <f t="shared" si="31"/>
        <v>0</v>
      </c>
      <c r="Z175" s="67" t="str">
        <f>IF(OR('Prediction Log'!L176="", Table12[[#This Row],[Bet]]="", Table12[[#This Row],[Bet]]="Spread"), "",IF('Prediction Log'!L176=Table12[[#This Row],[Side]], "W", IF('Prediction Log'!L176&lt;&gt;Table12[[#This Row],[Side]], "L", "")))</f>
      </c>
      <c r="AA175" s="59" t="str">
        <f t="shared" si="32"/>
      </c>
      <c r="AB175" s="67" t="str">
        <f>IF(OR(Table12[[#This Row],[Bet]]="Side",Table12[[#This Row],[Bet]]="", 'Prediction Log'!L176=""), "",IF('Prediction Log'!U176="Y", "W", IF('Prediction Log'!U176="N", "L", "")))</f>
      </c>
      <c r="AC175" s="59" t="str">
        <f t="shared" si="24"/>
      </c>
      <c r="AD175" s="67"/>
      <c r="AE175" s="65" t="str">
        <f t="shared" si="29"/>
      </c>
      <c r="AF1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6">
      <c r="A176" s="65" t="str">
        <f>IF(ISBLANK(Games!A176), "", Games!A176)</f>
      </c>
      <c r="B176" s="65" t="str">
        <f>IF('Prediction Log'!B177=0, "",'Prediction Log'!B177)</f>
      </c>
      <c r="C176" s="65" t="str">
        <f>IF('Prediction Log'!C177=0, "",'Prediction Log'!C177)</f>
      </c>
      <c r="D176" s="65" t="str">
        <f>IF('Prediction Log'!D177=0, "",'Prediction Log'!D177)</f>
      </c>
      <c r="E176" s="58" t="str">
        <f>IF('Prediction Log'!E177=0, "",'Prediction Log'!E177)</f>
      </c>
      <c r="F176" s="65" t="str">
        <f>IF('Prediction Log'!H177=0, "",'Prediction Log'!H177)</f>
      </c>
      <c r="G176" s="64" t="str">
        <f>IF(ISBLANK(Games!B176), "",'Prediction Log'!$I177)</f>
      </c>
      <c r="H176" s="66" t="n">
        <f>'Prediction Log'!$J177</f>
        <v>0</v>
      </c>
      <c r="I176" s="65" t="str">
        <f>IF(ISBLANK(Games!T176), "",IF(AND(Games!T176="",Games!U176=""),"",IF(ISTEXT(Games!U176), "Side",Games!T176)))</f>
      </c>
      <c r="J176" s="65" t="str">
        <f>IF(ISBLANK(Games!T176), "",IF(Table12[[#This Row],[Bet]]="Spread", Games!X176, ""))</f>
      </c>
      <c r="K176" s="65" t="str">
        <f>IF(ISBLANK(Games!U176), "",IF(ISTEXT(Games!U176), Games!U176, ""))</f>
      </c>
      <c r="L176" s="57" t="str">
        <f>IF(ISBLANK(Games!D176), "", Games!D176)</f>
      </c>
      <c r="M176" s="65"/>
      <c r="N176" s="75" t="str">
        <f>IF(Games!V176="", "",Games!V176)</f>
      </c>
      <c r="O176" s="75" t="str">
        <f>IF(Games!Z176=0, "",Games!Z176)</f>
      </c>
      <c r="P176" s="67"/>
      <c r="Q176" s="67" t="str">
        <f>IF(ISBLANK(Games!W176), "", Games!W176)</f>
      </c>
      <c r="R176" s="67" t="str">
        <f>IF(ISBLANK(Games!AA176), "", Games!AA176)</f>
      </c>
      <c r="S176" s="67"/>
      <c r="T176" s="68" t="str">
        <f t="shared" si="25"/>
      </c>
      <c r="U176" s="68" t="str">
        <f t="shared" si="26"/>
      </c>
      <c r="V176" s="68" t="str">
        <f t="shared" si="27"/>
      </c>
      <c r="W176" s="68" t="str">
        <f t="shared" si="28"/>
      </c>
      <c r="X176" s="68" t="n">
        <f t="shared" si="30"/>
        <v>0</v>
      </c>
      <c r="Y176" s="68" t="n">
        <f t="shared" si="31"/>
        <v>0</v>
      </c>
      <c r="Z176" s="67" t="str">
        <f>IF(OR('Prediction Log'!L177="", Table12[[#This Row],[Bet]]="", Table12[[#This Row],[Bet]]="Spread"), "",IF('Prediction Log'!L177=Table12[[#This Row],[Side]], "W", IF('Prediction Log'!L177&lt;&gt;Table12[[#This Row],[Side]], "L", "")))</f>
      </c>
      <c r="AA176" s="59" t="str">
        <f t="shared" si="32"/>
      </c>
      <c r="AB176" s="67" t="str">
        <f>IF(OR(Table12[[#This Row],[Bet]]="Side",Table12[[#This Row],[Bet]]="", 'Prediction Log'!L177=""), "",IF('Prediction Log'!U177="Y", "W", IF('Prediction Log'!U177="N", "L", "")))</f>
      </c>
      <c r="AC176" s="59" t="str">
        <f t="shared" si="24"/>
      </c>
      <c r="AD176" s="67"/>
      <c r="AE176" s="65" t="str">
        <f t="shared" si="29"/>
      </c>
      <c r="AF1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7">
      <c r="A177" s="65" t="str">
        <f>IF(ISBLANK(Games!A177), "", Games!A177)</f>
      </c>
      <c r="B177" s="65" t="str">
        <f>IF('Prediction Log'!B178=0, "",'Prediction Log'!B178)</f>
      </c>
      <c r="C177" s="65" t="str">
        <f>IF('Prediction Log'!C178=0, "",'Prediction Log'!C178)</f>
      </c>
      <c r="D177" s="65" t="str">
        <f>IF('Prediction Log'!D178=0, "",'Prediction Log'!D178)</f>
      </c>
      <c r="E177" s="58" t="str">
        <f>IF('Prediction Log'!E178=0, "",'Prediction Log'!E178)</f>
      </c>
      <c r="F177" s="65" t="str">
        <f>IF('Prediction Log'!H178=0, "",'Prediction Log'!H178)</f>
      </c>
      <c r="G177" s="64" t="str">
        <f>IF(ISBLANK(Games!B177), "",'Prediction Log'!$I178)</f>
      </c>
      <c r="H177" s="66" t="n">
        <f>'Prediction Log'!$J178</f>
        <v>0</v>
      </c>
      <c r="I177" s="65" t="str">
        <f>IF(ISBLANK(Games!T177), "",IF(AND(Games!T177="",Games!U177=""),"",IF(ISTEXT(Games!U177), "Side",Games!T177)))</f>
      </c>
      <c r="J177" s="65" t="str">
        <f>IF(ISBLANK(Games!T177), "",IF(Table12[[#This Row],[Bet]]="Spread", Games!X177, ""))</f>
      </c>
      <c r="K177" s="65" t="str">
        <f>IF(ISBLANK(Games!U177), "",IF(ISTEXT(Games!U177), Games!U177, ""))</f>
      </c>
      <c r="L177" s="57" t="str">
        <f>IF(ISBLANK(Games!D177), "", Games!D177)</f>
      </c>
      <c r="M177" s="65"/>
      <c r="N177" s="75" t="str">
        <f>IF(Games!V177="", "",Games!V177)</f>
      </c>
      <c r="O177" s="75" t="str">
        <f>IF(Games!Z177=0, "",Games!Z177)</f>
      </c>
      <c r="P177" s="67"/>
      <c r="Q177" s="67" t="str">
        <f>IF(ISBLANK(Games!W177), "", Games!W177)</f>
      </c>
      <c r="R177" s="67" t="str">
        <f>IF(ISBLANK(Games!AA177), "", Games!AA177)</f>
      </c>
      <c r="S177" s="67"/>
      <c r="T177" s="68" t="str">
        <f t="shared" si="25"/>
      </c>
      <c r="U177" s="68" t="str">
        <f t="shared" si="26"/>
      </c>
      <c r="V177" s="68" t="str">
        <f t="shared" si="27"/>
      </c>
      <c r="W177" s="68" t="str">
        <f t="shared" si="28"/>
      </c>
      <c r="X177" s="68" t="n">
        <f t="shared" si="30"/>
        <v>0</v>
      </c>
      <c r="Y177" s="68" t="n">
        <f t="shared" si="31"/>
        <v>0</v>
      </c>
      <c r="Z177" s="67" t="str">
        <f>IF(OR('Prediction Log'!L178="", Table12[[#This Row],[Bet]]="", Table12[[#This Row],[Bet]]="Spread"), "",IF('Prediction Log'!L178=Table12[[#This Row],[Side]], "W", IF('Prediction Log'!L178&lt;&gt;Table12[[#This Row],[Side]], "L", "")))</f>
      </c>
      <c r="AA177" s="59" t="str">
        <f t="shared" si="32"/>
      </c>
      <c r="AB177" s="67" t="str">
        <f>IF(OR(Table12[[#This Row],[Bet]]="Side",Table12[[#This Row],[Bet]]="", 'Prediction Log'!L178=""), "",IF('Prediction Log'!U178="Y", "W", IF('Prediction Log'!U178="N", "L", "")))</f>
      </c>
      <c r="AC177" s="59" t="str">
        <f t="shared" si="24"/>
      </c>
      <c r="AD177" s="67"/>
      <c r="AE177" s="65" t="str">
        <f t="shared" si="29"/>
      </c>
      <c r="AF1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8">
      <c r="A178" s="65" t="str">
        <f>IF(ISBLANK(Games!A178), "", Games!A178)</f>
      </c>
      <c r="B178" s="65" t="str">
        <f>IF('Prediction Log'!B179=0, "",'Prediction Log'!B179)</f>
      </c>
      <c r="C178" s="65" t="str">
        <f>IF('Prediction Log'!C179=0, "",'Prediction Log'!C179)</f>
      </c>
      <c r="D178" s="65" t="str">
        <f>IF('Prediction Log'!D179=0, "",'Prediction Log'!D179)</f>
      </c>
      <c r="E178" s="58" t="str">
        <f>IF('Prediction Log'!E179=0, "",'Prediction Log'!E179)</f>
      </c>
      <c r="F178" s="65" t="str">
        <f>IF('Prediction Log'!H179=0, "",'Prediction Log'!H179)</f>
      </c>
      <c r="G178" s="64" t="str">
        <f>IF(ISBLANK(Games!B178), "",'Prediction Log'!$I179)</f>
      </c>
      <c r="H178" s="66" t="n">
        <f>'Prediction Log'!$J179</f>
        <v>0</v>
      </c>
      <c r="I178" s="65" t="str">
        <f>IF(ISBLANK(Games!T178), "",IF(AND(Games!T178="",Games!U178=""),"",IF(ISTEXT(Games!U178), "Side",Games!T178)))</f>
      </c>
      <c r="J178" s="65" t="str">
        <f>IF(ISBLANK(Games!T178), "",IF(Table12[[#This Row],[Bet]]="Spread", Games!X178, ""))</f>
      </c>
      <c r="K178" s="65" t="str">
        <f>IF(ISBLANK(Games!U178), "",IF(ISTEXT(Games!U178), Games!U178, ""))</f>
      </c>
      <c r="L178" s="57" t="str">
        <f>IF(ISBLANK(Games!D178), "", Games!D178)</f>
      </c>
      <c r="M178" s="65"/>
      <c r="N178" s="75" t="str">
        <f>IF(Games!V178="", "",Games!V178)</f>
      </c>
      <c r="O178" s="75" t="str">
        <f>IF(Games!Z178=0, "",Games!Z178)</f>
      </c>
      <c r="P178" s="67"/>
      <c r="Q178" s="67" t="str">
        <f>IF(ISBLANK(Games!W178), "", Games!W178)</f>
      </c>
      <c r="R178" s="67" t="str">
        <f>IF(ISBLANK(Games!AA178), "", Games!AA178)</f>
      </c>
      <c r="S178" s="67"/>
      <c r="T178" s="68" t="str">
        <f t="shared" si="25"/>
      </c>
      <c r="U178" s="68" t="str">
        <f t="shared" si="26"/>
      </c>
      <c r="V178" s="68" t="str">
        <f t="shared" si="27"/>
      </c>
      <c r="W178" s="68" t="str">
        <f t="shared" si="28"/>
      </c>
      <c r="X178" s="68" t="n">
        <f t="shared" si="30"/>
        <v>0</v>
      </c>
      <c r="Y178" s="68" t="n">
        <f t="shared" si="31"/>
        <v>0</v>
      </c>
      <c r="Z178" s="67" t="str">
        <f>IF(OR('Prediction Log'!L179="", Table12[[#This Row],[Bet]]="", Table12[[#This Row],[Bet]]="Spread"), "",IF('Prediction Log'!L179=Table12[[#This Row],[Side]], "W", IF('Prediction Log'!L179&lt;&gt;Table12[[#This Row],[Side]], "L", "")))</f>
      </c>
      <c r="AA178" s="59" t="str">
        <f t="shared" si="32"/>
      </c>
      <c r="AB178" s="67" t="str">
        <f>IF(OR(Table12[[#This Row],[Bet]]="Side",Table12[[#This Row],[Bet]]="", 'Prediction Log'!L179=""), "",IF('Prediction Log'!U179="Y", "W", IF('Prediction Log'!U179="N", "L", "")))</f>
      </c>
      <c r="AC178" s="59" t="str">
        <f t="shared" si="24"/>
      </c>
      <c r="AD178" s="67"/>
      <c r="AE178" s="65" t="str">
        <f t="shared" si="29"/>
      </c>
      <c r="AF1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9">
      <c r="A179" s="65" t="str">
        <f>IF(ISBLANK(Games!A179), "", Games!A179)</f>
      </c>
      <c r="B179" s="65" t="str">
        <f>IF('Prediction Log'!B180=0, "",'Prediction Log'!B180)</f>
      </c>
      <c r="C179" s="65" t="str">
        <f>IF('Prediction Log'!C180=0, "",'Prediction Log'!C180)</f>
      </c>
      <c r="D179" s="65" t="str">
        <f>IF('Prediction Log'!D180=0, "",'Prediction Log'!D180)</f>
      </c>
      <c r="E179" s="58" t="str">
        <f>IF('Prediction Log'!E180=0, "",'Prediction Log'!E180)</f>
      </c>
      <c r="F179" s="65" t="str">
        <f>IF('Prediction Log'!H180=0, "",'Prediction Log'!H180)</f>
      </c>
      <c r="G179" s="64" t="str">
        <f>IF(ISBLANK(Games!B179), "",'Prediction Log'!$I180)</f>
      </c>
      <c r="H179" s="66" t="n">
        <f>'Prediction Log'!$J180</f>
        <v>0</v>
      </c>
      <c r="I179" s="65" t="str">
        <f>IF(ISBLANK(Games!T179), "",IF(AND(Games!T179="",Games!U179=""),"",IF(ISTEXT(Games!U179), "Side",Games!T179)))</f>
      </c>
      <c r="J179" s="65" t="str">
        <f>IF(ISBLANK(Games!T179), "",IF(Table12[[#This Row],[Bet]]="Spread", Games!X179, ""))</f>
      </c>
      <c r="K179" s="65" t="str">
        <f>IF(ISBLANK(Games!U179), "",IF(ISTEXT(Games!U179), Games!U179, ""))</f>
      </c>
      <c r="L179" s="57" t="str">
        <f>IF(ISBLANK(Games!D179), "", Games!D179)</f>
      </c>
      <c r="M179" s="65"/>
      <c r="N179" s="75" t="str">
        <f>IF(Games!V179="", "",Games!V179)</f>
      </c>
      <c r="O179" s="75" t="str">
        <f>IF(Games!Z179=0, "",Games!Z179)</f>
      </c>
      <c r="P179" s="67"/>
      <c r="Q179" s="67" t="str">
        <f>IF(ISBLANK(Games!W179), "", Games!W179)</f>
      </c>
      <c r="R179" s="67" t="str">
        <f>IF(ISBLANK(Games!AA179), "", Games!AA179)</f>
      </c>
      <c r="S179" s="67"/>
      <c r="T179" s="68" t="str">
        <f t="shared" si="25"/>
      </c>
      <c r="U179" s="68" t="str">
        <f t="shared" si="26"/>
      </c>
      <c r="V179" s="68" t="str">
        <f t="shared" si="27"/>
      </c>
      <c r="W179" s="68" t="str">
        <f t="shared" si="28"/>
      </c>
      <c r="X179" s="68" t="n">
        <f t="shared" si="30"/>
        <v>0</v>
      </c>
      <c r="Y179" s="68" t="n">
        <f t="shared" si="31"/>
        <v>0</v>
      </c>
      <c r="Z179" s="67" t="str">
        <f>IF(OR('Prediction Log'!L180="", Table12[[#This Row],[Bet]]="", Table12[[#This Row],[Bet]]="Spread"), "",IF('Prediction Log'!L180=Table12[[#This Row],[Side]], "W", IF('Prediction Log'!L180&lt;&gt;Table12[[#This Row],[Side]], "L", "")))</f>
      </c>
      <c r="AA179" s="59" t="str">
        <f t="shared" si="32"/>
      </c>
      <c r="AB179" s="67" t="str">
        <f>IF(OR(Table12[[#This Row],[Bet]]="Side",Table12[[#This Row],[Bet]]="", 'Prediction Log'!L180=""), "",IF('Prediction Log'!U180="Y", "W", IF('Prediction Log'!U180="N", "L", "")))</f>
      </c>
      <c r="AC179" s="59" t="str">
        <f t="shared" si="24"/>
      </c>
      <c r="AD179" s="67"/>
      <c r="AE179" s="65" t="str">
        <f t="shared" si="29"/>
      </c>
      <c r="AF1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0">
      <c r="A180" s="65" t="str">
        <f>IF(ISBLANK(Games!A180), "", Games!A180)</f>
      </c>
      <c r="B180" s="65" t="str">
        <f>IF('Prediction Log'!B181=0, "",'Prediction Log'!B181)</f>
      </c>
      <c r="C180" s="65" t="str">
        <f>IF('Prediction Log'!C181=0, "",'Prediction Log'!C181)</f>
      </c>
      <c r="D180" s="65" t="str">
        <f>IF('Prediction Log'!D181=0, "",'Prediction Log'!D181)</f>
      </c>
      <c r="E180" s="58" t="str">
        <f>IF('Prediction Log'!E181=0, "",'Prediction Log'!E181)</f>
      </c>
      <c r="F180" s="65" t="str">
        <f>IF('Prediction Log'!H181=0, "",'Prediction Log'!H181)</f>
      </c>
      <c r="G180" s="64" t="str">
        <f>IF(ISBLANK(Games!B180), "",'Prediction Log'!$I181)</f>
      </c>
      <c r="H180" s="66" t="n">
        <f>'Prediction Log'!$J181</f>
        <v>0</v>
      </c>
      <c r="I180" s="65" t="str">
        <f>IF(ISBLANK(Games!T180), "",IF(AND(Games!T180="",Games!U180=""),"",IF(ISTEXT(Games!U180), "Side",Games!T180)))</f>
      </c>
      <c r="J180" s="65" t="str">
        <f>IF(ISBLANK(Games!T180), "",IF(Table12[[#This Row],[Bet]]="Spread", Games!X180, ""))</f>
      </c>
      <c r="K180" s="65" t="str">
        <f>IF(ISBLANK(Games!U180), "",IF(ISTEXT(Games!U180), Games!U180, ""))</f>
      </c>
      <c r="L180" s="57" t="str">
        <f>IF(ISBLANK(Games!D180), "", Games!D180)</f>
      </c>
      <c r="M180" s="65"/>
      <c r="N180" s="75" t="str">
        <f>IF(Games!V180="", "",Games!V180)</f>
      </c>
      <c r="O180" s="75" t="str">
        <f>IF(Games!Z180=0, "",Games!Z180)</f>
      </c>
      <c r="P180" s="67"/>
      <c r="Q180" s="67" t="str">
        <f>IF(ISBLANK(Games!W180), "", Games!W180)</f>
      </c>
      <c r="R180" s="67" t="str">
        <f>IF(ISBLANK(Games!AA180), "", Games!AA180)</f>
      </c>
      <c r="S180" s="67"/>
      <c r="T180" s="68" t="str">
        <f t="shared" si="25"/>
      </c>
      <c r="U180" s="68" t="str">
        <f t="shared" si="26"/>
      </c>
      <c r="V180" s="68" t="str">
        <f t="shared" si="27"/>
      </c>
      <c r="W180" s="68" t="str">
        <f t="shared" si="28"/>
      </c>
      <c r="X180" s="68" t="n">
        <f t="shared" si="30"/>
        <v>0</v>
      </c>
      <c r="Y180" s="68" t="n">
        <f t="shared" si="31"/>
        <v>0</v>
      </c>
      <c r="Z180" s="67" t="str">
        <f>IF(OR('Prediction Log'!L181="", Table12[[#This Row],[Bet]]="", Table12[[#This Row],[Bet]]="Spread"), "",IF('Prediction Log'!L181=Table12[[#This Row],[Side]], "W", IF('Prediction Log'!L181&lt;&gt;Table12[[#This Row],[Side]], "L", "")))</f>
      </c>
      <c r="AA180" s="59" t="str">
        <f t="shared" si="32"/>
      </c>
      <c r="AB180" s="67" t="str">
        <f>IF(OR(Table12[[#This Row],[Bet]]="Side",Table12[[#This Row],[Bet]]="", 'Prediction Log'!L181=""), "",IF('Prediction Log'!U181="Y", "W", IF('Prediction Log'!U181="N", "L", "")))</f>
      </c>
      <c r="AC180" s="59" t="str">
        <f t="shared" si="24"/>
      </c>
      <c r="AD180" s="67"/>
      <c r="AE180" s="65" t="str">
        <f t="shared" si="29"/>
      </c>
      <c r="AF1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1">
      <c r="A181" s="65" t="str">
        <f>IF(ISBLANK(Games!A181), "", Games!A181)</f>
      </c>
      <c r="B181" s="65" t="str">
        <f>IF('Prediction Log'!B182=0, "",'Prediction Log'!B182)</f>
      </c>
      <c r="C181" s="65" t="str">
        <f>IF('Prediction Log'!C182=0, "",'Prediction Log'!C182)</f>
      </c>
      <c r="D181" s="65" t="str">
        <f>IF('Prediction Log'!D182=0, "",'Prediction Log'!D182)</f>
      </c>
      <c r="E181" s="58" t="str">
        <f>IF('Prediction Log'!E182=0, "",'Prediction Log'!E182)</f>
      </c>
      <c r="F181" s="65" t="str">
        <f>IF('Prediction Log'!H182=0, "",'Prediction Log'!H182)</f>
      </c>
      <c r="G181" s="64" t="str">
        <f>IF(ISBLANK(Games!B181), "",'Prediction Log'!$I182)</f>
      </c>
      <c r="H181" s="66" t="n">
        <f>'Prediction Log'!$J182</f>
        <v>0</v>
      </c>
      <c r="I181" s="65" t="str">
        <f>IF(ISBLANK(Games!T181), "",IF(AND(Games!T181="",Games!U181=""),"",IF(ISTEXT(Games!U181), "Side",Games!T181)))</f>
      </c>
      <c r="J181" s="65" t="str">
        <f>IF(ISBLANK(Games!T181), "",IF(Table12[[#This Row],[Bet]]="Spread", Games!X181, ""))</f>
      </c>
      <c r="K181" s="65" t="str">
        <f>IF(ISBLANK(Games!U181), "",IF(ISTEXT(Games!U181), Games!U181, ""))</f>
      </c>
      <c r="L181" s="57" t="str">
        <f>IF(ISBLANK(Games!D181), "", Games!D181)</f>
      </c>
      <c r="M181" s="65"/>
      <c r="N181" s="75" t="str">
        <f>IF(Games!V181="", "",Games!V181)</f>
      </c>
      <c r="O181" s="75" t="str">
        <f>IF(Games!Z181=0, "",Games!Z181)</f>
      </c>
      <c r="P181" s="67"/>
      <c r="Q181" s="67" t="str">
        <f>IF(ISBLANK(Games!W181), "", Games!W181)</f>
      </c>
      <c r="R181" s="67" t="str">
        <f>IF(ISBLANK(Games!AA181), "", Games!AA181)</f>
      </c>
      <c r="S181" s="67"/>
      <c r="T181" s="68" t="str">
        <f t="shared" si="25"/>
      </c>
      <c r="U181" s="68" t="str">
        <f t="shared" si="26"/>
      </c>
      <c r="V181" s="68" t="str">
        <f t="shared" si="27"/>
      </c>
      <c r="W181" s="68" t="str">
        <f t="shared" si="28"/>
      </c>
      <c r="X181" s="68" t="n">
        <f t="shared" si="30"/>
        <v>0</v>
      </c>
      <c r="Y181" s="68" t="n">
        <f t="shared" si="31"/>
        <v>0</v>
      </c>
      <c r="Z181" s="67" t="str">
        <f>IF(OR('Prediction Log'!L182="", Table12[[#This Row],[Bet]]="", Table12[[#This Row],[Bet]]="Spread"), "",IF('Prediction Log'!L182=Table12[[#This Row],[Side]], "W", IF('Prediction Log'!L182&lt;&gt;Table12[[#This Row],[Side]], "L", "")))</f>
      </c>
      <c r="AA181" s="59" t="str">
        <f t="shared" si="32"/>
      </c>
      <c r="AB181" s="67" t="str">
        <f>IF(OR(Table12[[#This Row],[Bet]]="Side",Table12[[#This Row],[Bet]]="", 'Prediction Log'!L182=""), "",IF('Prediction Log'!U182="Y", "W", IF('Prediction Log'!U182="N", "L", "")))</f>
      </c>
      <c r="AC181" s="59" t="str">
        <f t="shared" si="24"/>
      </c>
      <c r="AD181" s="67"/>
      <c r="AE181" s="65" t="str">
        <f t="shared" si="29"/>
      </c>
      <c r="AF1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2">
      <c r="A182" s="65" t="str">
        <f>IF(ISBLANK(Games!A182), "", Games!A182)</f>
      </c>
      <c r="B182" s="65" t="str">
        <f>IF('Prediction Log'!B183=0, "",'Prediction Log'!B183)</f>
      </c>
      <c r="C182" s="65" t="str">
        <f>IF('Prediction Log'!C183=0, "",'Prediction Log'!C183)</f>
      </c>
      <c r="D182" s="65" t="str">
        <f>IF('Prediction Log'!D183=0, "",'Prediction Log'!D183)</f>
      </c>
      <c r="E182" s="58" t="str">
        <f>IF('Prediction Log'!E183=0, "",'Prediction Log'!E183)</f>
      </c>
      <c r="F182" s="65" t="str">
        <f>IF('Prediction Log'!H183=0, "",'Prediction Log'!H183)</f>
      </c>
      <c r="G182" s="64" t="str">
        <f>IF(ISBLANK(Games!B182), "",'Prediction Log'!$I183)</f>
      </c>
      <c r="H182" s="66" t="n">
        <f>'Prediction Log'!$J183</f>
        <v>0</v>
      </c>
      <c r="I182" s="65" t="str">
        <f>IF(ISBLANK(Games!T182), "",IF(AND(Games!T182="",Games!U182=""),"",IF(ISTEXT(Games!U182), "Side",Games!T182)))</f>
      </c>
      <c r="J182" s="65" t="str">
        <f>IF(ISBLANK(Games!T182), "",IF(Table12[[#This Row],[Bet]]="Spread", Games!X182, ""))</f>
      </c>
      <c r="K182" s="65" t="str">
        <f>IF(ISBLANK(Games!U182), "",IF(ISTEXT(Games!U182), Games!U182, ""))</f>
      </c>
      <c r="L182" s="57" t="str">
        <f>IF(ISBLANK(Games!D182), "", Games!D182)</f>
      </c>
      <c r="M182" s="65"/>
      <c r="N182" s="75" t="str">
        <f>IF(Games!V182="", "",Games!V182)</f>
      </c>
      <c r="O182" s="75" t="str">
        <f>IF(Games!Z182=0, "",Games!Z182)</f>
      </c>
      <c r="P182" s="67"/>
      <c r="Q182" s="67" t="str">
        <f>IF(ISBLANK(Games!W182), "", Games!W182)</f>
      </c>
      <c r="R182" s="67" t="str">
        <f>IF(ISBLANK(Games!AA182), "", Games!AA182)</f>
      </c>
      <c r="S182" s="67"/>
      <c r="T182" s="68" t="str">
        <f t="shared" si="25"/>
      </c>
      <c r="U182" s="68" t="str">
        <f t="shared" si="26"/>
      </c>
      <c r="V182" s="68" t="str">
        <f t="shared" si="27"/>
      </c>
      <c r="W182" s="68" t="str">
        <f t="shared" si="28"/>
      </c>
      <c r="X182" s="68" t="n">
        <f t="shared" si="30"/>
        <v>0</v>
      </c>
      <c r="Y182" s="68" t="n">
        <f t="shared" si="31"/>
        <v>0</v>
      </c>
      <c r="Z182" s="67" t="str">
        <f>IF(OR('Prediction Log'!L183="", Table12[[#This Row],[Bet]]="", Table12[[#This Row],[Bet]]="Spread"), "",IF('Prediction Log'!L183=Table12[[#This Row],[Side]], "W", IF('Prediction Log'!L183&lt;&gt;Table12[[#This Row],[Side]], "L", "")))</f>
      </c>
      <c r="AA182" s="59" t="str">
        <f t="shared" si="32"/>
      </c>
      <c r="AB182" s="67" t="str">
        <f>IF(OR(Table12[[#This Row],[Bet]]="Side",Table12[[#This Row],[Bet]]="", 'Prediction Log'!L183=""), "",IF('Prediction Log'!U183="Y", "W", IF('Prediction Log'!U183="N", "L", "")))</f>
      </c>
      <c r="AC182" s="59" t="str">
        <f t="shared" si="24"/>
      </c>
      <c r="AD182" s="67"/>
      <c r="AE182" s="65" t="str">
        <f t="shared" si="29"/>
      </c>
      <c r="AF1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3">
      <c r="A183" s="65" t="str">
        <f>IF(ISBLANK(Games!A183), "", Games!A183)</f>
      </c>
      <c r="B183" s="65" t="str">
        <f>IF('Prediction Log'!B184=0, "",'Prediction Log'!B184)</f>
      </c>
      <c r="C183" s="65" t="str">
        <f>IF('Prediction Log'!C184=0, "",'Prediction Log'!C184)</f>
      </c>
      <c r="D183" s="65" t="str">
        <f>IF('Prediction Log'!D184=0, "",'Prediction Log'!D184)</f>
      </c>
      <c r="E183" s="58" t="str">
        <f>IF('Prediction Log'!E184=0, "",'Prediction Log'!E184)</f>
      </c>
      <c r="F183" s="65" t="str">
        <f>IF('Prediction Log'!H184=0, "",'Prediction Log'!H184)</f>
      </c>
      <c r="G183" s="64" t="str">
        <f>IF(ISBLANK(Games!B183), "",'Prediction Log'!$I184)</f>
      </c>
      <c r="H183" s="66" t="n">
        <f>'Prediction Log'!$J184</f>
        <v>0</v>
      </c>
      <c r="I183" s="65" t="str">
        <f>IF(ISBLANK(Games!T183), "",IF(AND(Games!T183="",Games!U183=""),"",IF(ISTEXT(Games!U183), "Side",Games!T183)))</f>
      </c>
      <c r="J183" s="65" t="str">
        <f>IF(ISBLANK(Games!T183), "",IF(Table12[[#This Row],[Bet]]="Spread", Games!X183, ""))</f>
      </c>
      <c r="K183" s="65" t="str">
        <f>IF(ISBLANK(Games!U183), "",IF(ISTEXT(Games!U183), Games!U183, ""))</f>
      </c>
      <c r="L183" s="57" t="str">
        <f>IF(ISBLANK(Games!D183), "", Games!D183)</f>
      </c>
      <c r="M183" s="65"/>
      <c r="N183" s="75" t="str">
        <f>IF(Games!V183="", "",Games!V183)</f>
      </c>
      <c r="O183" s="75" t="str">
        <f>IF(Games!Z183=0, "",Games!Z183)</f>
      </c>
      <c r="P183" s="67"/>
      <c r="Q183" s="67" t="str">
        <f>IF(ISBLANK(Games!W183), "", Games!W183)</f>
      </c>
      <c r="R183" s="67" t="str">
        <f>IF(ISBLANK(Games!AA183), "", Games!AA183)</f>
      </c>
      <c r="S183" s="67"/>
      <c r="T183" s="68" t="str">
        <f t="shared" si="25"/>
      </c>
      <c r="U183" s="68" t="str">
        <f t="shared" si="26"/>
      </c>
      <c r="V183" s="68" t="str">
        <f t="shared" si="27"/>
      </c>
      <c r="W183" s="68" t="str">
        <f t="shared" si="28"/>
      </c>
      <c r="X183" s="68" t="n">
        <f t="shared" si="30"/>
        <v>0</v>
      </c>
      <c r="Y183" s="68" t="n">
        <f t="shared" si="31"/>
        <v>0</v>
      </c>
      <c r="Z183" s="67" t="str">
        <f>IF(OR('Prediction Log'!L184="", Table12[[#This Row],[Bet]]="", Table12[[#This Row],[Bet]]="Spread"), "",IF('Prediction Log'!L184=Table12[[#This Row],[Side]], "W", IF('Prediction Log'!L184&lt;&gt;Table12[[#This Row],[Side]], "L", "")))</f>
      </c>
      <c r="AA183" s="59" t="str">
        <f t="shared" si="32"/>
      </c>
      <c r="AB183" s="67" t="str">
        <f>IF(OR(Table12[[#This Row],[Bet]]="Side",Table12[[#This Row],[Bet]]="", 'Prediction Log'!L184=""), "",IF('Prediction Log'!U184="Y", "W", IF('Prediction Log'!U184="N", "L", "")))</f>
      </c>
      <c r="AC183" s="59" t="str">
        <f t="shared" si="24"/>
      </c>
      <c r="AD183" s="67"/>
      <c r="AE183" s="65" t="str">
        <f t="shared" si="29"/>
      </c>
      <c r="AF1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4">
      <c r="A184" s="65" t="str">
        <f>IF(ISBLANK(Games!A184), "", Games!A184)</f>
      </c>
      <c r="B184" s="65" t="str">
        <f>IF('Prediction Log'!B185=0, "",'Prediction Log'!B185)</f>
      </c>
      <c r="C184" s="65" t="str">
        <f>IF('Prediction Log'!C185=0, "",'Prediction Log'!C185)</f>
      </c>
      <c r="D184" s="65" t="str">
        <f>IF('Prediction Log'!D185=0, "",'Prediction Log'!D185)</f>
      </c>
      <c r="E184" s="58" t="str">
        <f>IF('Prediction Log'!E185=0, "",'Prediction Log'!E185)</f>
      </c>
      <c r="F184" s="65" t="str">
        <f>IF('Prediction Log'!H185=0, "",'Prediction Log'!H185)</f>
      </c>
      <c r="G184" s="64" t="str">
        <f>IF(ISBLANK(Games!B184), "",'Prediction Log'!$I185)</f>
      </c>
      <c r="H184" s="66" t="n">
        <f>'Prediction Log'!$J185</f>
        <v>0</v>
      </c>
      <c r="I184" s="65" t="str">
        <f>IF(ISBLANK(Games!T184), "",IF(AND(Games!T184="",Games!U184=""),"",IF(ISTEXT(Games!U184), "Side",Games!T184)))</f>
      </c>
      <c r="J184" s="65" t="str">
        <f>IF(ISBLANK(Games!T184), "",IF(Table12[[#This Row],[Bet]]="Spread", Games!X184, ""))</f>
      </c>
      <c r="K184" s="65" t="str">
        <f>IF(ISBLANK(Games!U184), "",IF(ISTEXT(Games!U184), Games!U184, ""))</f>
      </c>
      <c r="L184" s="57" t="str">
        <f>IF(ISBLANK(Games!D184), "", Games!D184)</f>
      </c>
      <c r="M184" s="65"/>
      <c r="N184" s="75" t="str">
        <f>IF(Games!V184="", "",Games!V184)</f>
      </c>
      <c r="O184" s="75" t="str">
        <f>IF(Games!Z184=0, "",Games!Z184)</f>
      </c>
      <c r="P184" s="67"/>
      <c r="Q184" s="67" t="str">
        <f>IF(ISBLANK(Games!W184), "", Games!W184)</f>
      </c>
      <c r="R184" s="67" t="str">
        <f>IF(ISBLANK(Games!AA184), "", Games!AA184)</f>
      </c>
      <c r="S184" s="67"/>
      <c r="T184" s="68" t="str">
        <f t="shared" si="25"/>
      </c>
      <c r="U184" s="68" t="str">
        <f t="shared" si="26"/>
      </c>
      <c r="V184" s="68" t="str">
        <f t="shared" si="27"/>
      </c>
      <c r="W184" s="68" t="str">
        <f t="shared" si="28"/>
      </c>
      <c r="X184" s="68" t="n">
        <f t="shared" si="30"/>
        <v>0</v>
      </c>
      <c r="Y184" s="68" t="n">
        <f t="shared" si="31"/>
        <v>0</v>
      </c>
      <c r="Z184" s="67" t="str">
        <f>IF(OR('Prediction Log'!L185="", Table12[[#This Row],[Bet]]="", Table12[[#This Row],[Bet]]="Spread"), "",IF('Prediction Log'!L185=Table12[[#This Row],[Side]], "W", IF('Prediction Log'!L185&lt;&gt;Table12[[#This Row],[Side]], "L", "")))</f>
      </c>
      <c r="AA184" s="59" t="str">
        <f t="shared" si="32"/>
      </c>
      <c r="AB184" s="67" t="str">
        <f>IF(OR(Table12[[#This Row],[Bet]]="Side",Table12[[#This Row],[Bet]]="", 'Prediction Log'!L185=""), "",IF('Prediction Log'!U185="Y", "W", IF('Prediction Log'!U185="N", "L", "")))</f>
      </c>
      <c r="AC184" s="59" t="str">
        <f t="shared" si="24"/>
      </c>
      <c r="AD184" s="67"/>
      <c r="AE184" s="65" t="str">
        <f t="shared" si="29"/>
      </c>
      <c r="AF1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5">
      <c r="A185" s="65" t="str">
        <f>IF(ISBLANK(Games!A185), "", Games!A185)</f>
      </c>
      <c r="B185" s="65" t="str">
        <f>IF('Prediction Log'!B186=0, "",'Prediction Log'!B186)</f>
      </c>
      <c r="C185" s="65" t="str">
        <f>IF('Prediction Log'!C186=0, "",'Prediction Log'!C186)</f>
      </c>
      <c r="D185" s="65" t="str">
        <f>IF('Prediction Log'!D186=0, "",'Prediction Log'!D186)</f>
      </c>
      <c r="E185" s="58" t="str">
        <f>IF('Prediction Log'!E186=0, "",'Prediction Log'!E186)</f>
      </c>
      <c r="F185" s="65" t="str">
        <f>IF('Prediction Log'!H186=0, "",'Prediction Log'!H186)</f>
      </c>
      <c r="G185" s="64" t="str">
        <f>IF(ISBLANK(Games!B185), "",'Prediction Log'!$I186)</f>
      </c>
      <c r="H185" s="66" t="n">
        <f>'Prediction Log'!$J186</f>
        <v>0</v>
      </c>
      <c r="I185" s="65" t="str">
        <f>IF(ISBLANK(Games!T185), "",IF(AND(Games!T185="",Games!U185=""),"",IF(ISTEXT(Games!U185), "Side",Games!T185)))</f>
      </c>
      <c r="J185" s="65" t="str">
        <f>IF(ISBLANK(Games!T185), "",IF(Table12[[#This Row],[Bet]]="Spread", Games!X185, ""))</f>
      </c>
      <c r="K185" s="65" t="str">
        <f>IF(ISBLANK(Games!U185), "",IF(ISTEXT(Games!U185), Games!U185, ""))</f>
      </c>
      <c r="L185" s="57" t="str">
        <f>IF(ISBLANK(Games!D185), "", Games!D185)</f>
      </c>
      <c r="M185" s="65"/>
      <c r="N185" s="75" t="str">
        <f>IF(Games!V185="", "",Games!V185)</f>
      </c>
      <c r="O185" s="75" t="str">
        <f>IF(Games!Z185=0, "",Games!Z185)</f>
      </c>
      <c r="P185" s="67"/>
      <c r="Q185" s="67" t="str">
        <f>IF(ISBLANK(Games!W185), "", Games!W185)</f>
      </c>
      <c r="R185" s="67" t="str">
        <f>IF(ISBLANK(Games!AA185), "", Games!AA185)</f>
      </c>
      <c r="S185" s="67"/>
      <c r="T185" s="68" t="str">
        <f t="shared" si="25"/>
      </c>
      <c r="U185" s="68" t="str">
        <f t="shared" si="26"/>
      </c>
      <c r="V185" s="68" t="str">
        <f t="shared" si="27"/>
      </c>
      <c r="W185" s="68" t="str">
        <f t="shared" si="28"/>
      </c>
      <c r="X185" s="68" t="n">
        <f t="shared" si="30"/>
        <v>0</v>
      </c>
      <c r="Y185" s="68" t="n">
        <f t="shared" si="31"/>
        <v>0</v>
      </c>
      <c r="Z185" s="67" t="str">
        <f>IF(OR('Prediction Log'!L186="", Table12[[#This Row],[Bet]]="", Table12[[#This Row],[Bet]]="Spread"), "",IF('Prediction Log'!L186=Table12[[#This Row],[Side]], "W", IF('Prediction Log'!L186&lt;&gt;Table12[[#This Row],[Side]], "L", "")))</f>
      </c>
      <c r="AA185" s="59" t="str">
        <f t="shared" si="32"/>
      </c>
      <c r="AB185" s="67" t="str">
        <f>IF(OR(Table12[[#This Row],[Bet]]="Side",Table12[[#This Row],[Bet]]="", 'Prediction Log'!L186=""), "",IF('Prediction Log'!U186="Y", "W", IF('Prediction Log'!U186="N", "L", "")))</f>
      </c>
      <c r="AC185" s="59" t="str">
        <f t="shared" si="24"/>
      </c>
      <c r="AD185" s="67"/>
      <c r="AE185" s="65" t="str">
        <f t="shared" si="29"/>
      </c>
      <c r="AF1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6">
      <c r="A186" s="65" t="str">
        <f>IF(ISBLANK(Games!A186), "", Games!A186)</f>
      </c>
      <c r="B186" s="65" t="str">
        <f>IF('Prediction Log'!B187=0, "",'Prediction Log'!B187)</f>
      </c>
      <c r="C186" s="65" t="str">
        <f>IF('Prediction Log'!C187=0, "",'Prediction Log'!C187)</f>
      </c>
      <c r="D186" s="65" t="str">
        <f>IF('Prediction Log'!D187=0, "",'Prediction Log'!D187)</f>
      </c>
      <c r="E186" s="58" t="str">
        <f>IF('Prediction Log'!E187=0, "",'Prediction Log'!E187)</f>
      </c>
      <c r="F186" s="65" t="str">
        <f>IF('Prediction Log'!H187=0, "",'Prediction Log'!H187)</f>
      </c>
      <c r="G186" s="64" t="str">
        <f>IF(ISBLANK(Games!B186), "",'Prediction Log'!$I187)</f>
      </c>
      <c r="H186" s="66" t="n">
        <f>'Prediction Log'!$J187</f>
        <v>0</v>
      </c>
      <c r="I186" s="65" t="str">
        <f>IF(ISBLANK(Games!T186), "",IF(AND(Games!T186="",Games!U186=""),"",IF(ISTEXT(Games!U186), "Side",Games!T186)))</f>
      </c>
      <c r="J186" s="65" t="str">
        <f>IF(ISBLANK(Games!T186), "",IF(Table12[[#This Row],[Bet]]="Spread", Games!X186, ""))</f>
      </c>
      <c r="K186" s="65" t="str">
        <f>IF(ISBLANK(Games!U186), "",IF(ISTEXT(Games!U186), Games!U186, ""))</f>
      </c>
      <c r="L186" s="57" t="str">
        <f>IF(ISBLANK(Games!D186), "", Games!D186)</f>
      </c>
      <c r="M186" s="65"/>
      <c r="N186" s="75" t="str">
        <f>IF(Games!V186="", "",Games!V186)</f>
      </c>
      <c r="O186" s="75" t="str">
        <f>IF(Games!Z186=0, "",Games!Z186)</f>
      </c>
      <c r="P186" s="67"/>
      <c r="Q186" s="67" t="str">
        <f>IF(ISBLANK(Games!W186), "", Games!W186)</f>
      </c>
      <c r="R186" s="67" t="str">
        <f>IF(ISBLANK(Games!AA186), "", Games!AA186)</f>
      </c>
      <c r="S186" s="67"/>
      <c r="T186" s="68" t="str">
        <f t="shared" si="25"/>
      </c>
      <c r="U186" s="68" t="str">
        <f t="shared" si="26"/>
      </c>
      <c r="V186" s="68" t="str">
        <f t="shared" si="27"/>
      </c>
      <c r="W186" s="68" t="str">
        <f t="shared" si="28"/>
      </c>
      <c r="X186" s="68" t="n">
        <f t="shared" si="30"/>
        <v>0</v>
      </c>
      <c r="Y186" s="68" t="n">
        <f t="shared" si="31"/>
        <v>0</v>
      </c>
      <c r="Z186" s="67" t="str">
        <f>IF(OR('Prediction Log'!L187="", Table12[[#This Row],[Bet]]="", Table12[[#This Row],[Bet]]="Spread"), "",IF('Prediction Log'!L187=Table12[[#This Row],[Side]], "W", IF('Prediction Log'!L187&lt;&gt;Table12[[#This Row],[Side]], "L", "")))</f>
      </c>
      <c r="AA186" s="59" t="str">
        <f t="shared" si="32"/>
      </c>
      <c r="AB186" s="67" t="str">
        <f>IF(OR(Table12[[#This Row],[Bet]]="Side",Table12[[#This Row],[Bet]]="", 'Prediction Log'!L187=""), "",IF('Prediction Log'!U187="Y", "W", IF('Prediction Log'!U187="N", "L", "")))</f>
      </c>
      <c r="AC186" s="59" t="str">
        <f t="shared" si="24"/>
      </c>
      <c r="AD186" s="67"/>
      <c r="AE186" s="65" t="str">
        <f t="shared" si="29"/>
      </c>
      <c r="AF1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7">
      <c r="A187" s="65" t="str">
        <f>IF(ISBLANK(Games!A187), "", Games!A187)</f>
      </c>
      <c r="B187" s="65" t="str">
        <f>IF('Prediction Log'!B188=0, "",'Prediction Log'!B188)</f>
      </c>
      <c r="C187" s="65" t="str">
        <f>IF('Prediction Log'!C188=0, "",'Prediction Log'!C188)</f>
      </c>
      <c r="D187" s="65" t="str">
        <f>IF('Prediction Log'!D188=0, "",'Prediction Log'!D188)</f>
      </c>
      <c r="E187" s="58" t="str">
        <f>IF('Prediction Log'!E188=0, "",'Prediction Log'!E188)</f>
      </c>
      <c r="F187" s="65" t="str">
        <f>IF('Prediction Log'!H188=0, "",'Prediction Log'!H188)</f>
      </c>
      <c r="G187" s="64" t="str">
        <f>IF(ISBLANK(Games!B187), "",'Prediction Log'!$I188)</f>
      </c>
      <c r="H187" s="66" t="n">
        <f>'Prediction Log'!$J188</f>
        <v>0</v>
      </c>
      <c r="I187" s="65" t="str">
        <f>IF(ISBLANK(Games!T187), "",IF(AND(Games!T187="",Games!U187=""),"",IF(ISTEXT(Games!U187), "Side",Games!T187)))</f>
      </c>
      <c r="J187" s="65" t="str">
        <f>IF(ISBLANK(Games!T187), "",IF(Table12[[#This Row],[Bet]]="Spread", Games!X187, ""))</f>
      </c>
      <c r="K187" s="65" t="str">
        <f>IF(ISBLANK(Games!U187), "",IF(ISTEXT(Games!U187), Games!U187, ""))</f>
      </c>
      <c r="L187" s="57" t="str">
        <f>IF(ISBLANK(Games!D187), "", Games!D187)</f>
      </c>
      <c r="M187" s="65"/>
      <c r="N187" s="75" t="str">
        <f>IF(Games!V187="", "",Games!V187)</f>
      </c>
      <c r="O187" s="75" t="str">
        <f>IF(Games!Z187=0, "",Games!Z187)</f>
      </c>
      <c r="P187" s="67"/>
      <c r="Q187" s="67" t="str">
        <f>IF(ISBLANK(Games!W187), "", Games!W187)</f>
      </c>
      <c r="R187" s="67" t="str">
        <f>IF(ISBLANK(Games!AA187), "", Games!AA187)</f>
      </c>
      <c r="S187" s="67"/>
      <c r="T187" s="68" t="str">
        <f t="shared" si="25"/>
      </c>
      <c r="U187" s="68" t="str">
        <f t="shared" si="26"/>
      </c>
      <c r="V187" s="68" t="str">
        <f t="shared" si="27"/>
      </c>
      <c r="W187" s="68" t="str">
        <f t="shared" si="28"/>
      </c>
      <c r="X187" s="68" t="n">
        <f t="shared" si="30"/>
        <v>0</v>
      </c>
      <c r="Y187" s="68" t="n">
        <f t="shared" si="31"/>
        <v>0</v>
      </c>
      <c r="Z187" s="67" t="str">
        <f>IF(OR('Prediction Log'!L188="", Table12[[#This Row],[Bet]]="", Table12[[#This Row],[Bet]]="Spread"), "",IF('Prediction Log'!L188=Table12[[#This Row],[Side]], "W", IF('Prediction Log'!L188&lt;&gt;Table12[[#This Row],[Side]], "L", "")))</f>
      </c>
      <c r="AA187" s="59" t="str">
        <f t="shared" si="32"/>
      </c>
      <c r="AB187" s="67" t="str">
        <f>IF(OR(Table12[[#This Row],[Bet]]="Side",Table12[[#This Row],[Bet]]="", 'Prediction Log'!L188=""), "",IF('Prediction Log'!U188="Y", "W", IF('Prediction Log'!U188="N", "L", "")))</f>
      </c>
      <c r="AC187" s="59" t="str">
        <f t="shared" si="24"/>
      </c>
      <c r="AD187" s="67"/>
      <c r="AE187" s="65" t="str">
        <f t="shared" si="29"/>
      </c>
      <c r="AF1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8">
      <c r="A188" s="65" t="str">
        <f>IF(ISBLANK(Games!A188), "", Games!A188)</f>
      </c>
      <c r="B188" s="65" t="str">
        <f>IF('Prediction Log'!B189=0, "",'Prediction Log'!B189)</f>
      </c>
      <c r="C188" s="65" t="str">
        <f>IF('Prediction Log'!C189=0, "",'Prediction Log'!C189)</f>
      </c>
      <c r="D188" s="65" t="str">
        <f>IF('Prediction Log'!D189=0, "",'Prediction Log'!D189)</f>
      </c>
      <c r="E188" s="58" t="str">
        <f>IF('Prediction Log'!E189=0, "",'Prediction Log'!E189)</f>
      </c>
      <c r="F188" s="65" t="str">
        <f>IF('Prediction Log'!H189=0, "",'Prediction Log'!H189)</f>
      </c>
      <c r="G188" s="64" t="str">
        <f>IF(ISBLANK(Games!B188), "",'Prediction Log'!$I189)</f>
      </c>
      <c r="H188" s="66" t="n">
        <f>'Prediction Log'!$J189</f>
        <v>0</v>
      </c>
      <c r="I188" s="65" t="str">
        <f>IF(ISBLANK(Games!T188), "",IF(AND(Games!T188="",Games!U188=""),"",IF(ISTEXT(Games!U188), "Side",Games!T188)))</f>
      </c>
      <c r="J188" s="65" t="str">
        <f>IF(ISBLANK(Games!T188), "",IF(Table12[[#This Row],[Bet]]="Spread", Games!X188, ""))</f>
      </c>
      <c r="K188" s="65" t="str">
        <f>IF(ISBLANK(Games!U188), "",IF(ISTEXT(Games!U188), Games!U188, ""))</f>
      </c>
      <c r="L188" s="57" t="str">
        <f>IF(ISBLANK(Games!D188), "", Games!D188)</f>
      </c>
      <c r="M188" s="65"/>
      <c r="N188" s="75" t="str">
        <f>IF(Games!V188="", "",Games!V188)</f>
      </c>
      <c r="O188" s="75" t="str">
        <f>IF(Games!Z188=0, "",Games!Z188)</f>
      </c>
      <c r="P188" s="67"/>
      <c r="Q188" s="67" t="str">
        <f>IF(ISBLANK(Games!W188), "", Games!W188)</f>
      </c>
      <c r="R188" s="67" t="str">
        <f>IF(ISBLANK(Games!AA188), "", Games!AA188)</f>
      </c>
      <c r="S188" s="67"/>
      <c r="T188" s="68" t="str">
        <f t="shared" si="25"/>
      </c>
      <c r="U188" s="68" t="str">
        <f t="shared" si="26"/>
      </c>
      <c r="V188" s="68" t="str">
        <f t="shared" si="27"/>
      </c>
      <c r="W188" s="68" t="str">
        <f t="shared" si="28"/>
      </c>
      <c r="X188" s="68" t="n">
        <f t="shared" si="30"/>
        <v>0</v>
      </c>
      <c r="Y188" s="68" t="n">
        <f t="shared" si="31"/>
        <v>0</v>
      </c>
      <c r="Z188" s="67" t="str">
        <f>IF(OR('Prediction Log'!L189="", Table12[[#This Row],[Bet]]="", Table12[[#This Row],[Bet]]="Spread"), "",IF('Prediction Log'!L189=Table12[[#This Row],[Side]], "W", IF('Prediction Log'!L189&lt;&gt;Table12[[#This Row],[Side]], "L", "")))</f>
      </c>
      <c r="AA188" s="59" t="str">
        <f t="shared" si="32"/>
      </c>
      <c r="AB188" s="67" t="str">
        <f>IF(OR(Table12[[#This Row],[Bet]]="Side",Table12[[#This Row],[Bet]]="", 'Prediction Log'!L189=""), "",IF('Prediction Log'!U189="Y", "W", IF('Prediction Log'!U189="N", "L", "")))</f>
      </c>
      <c r="AC188" s="59" t="str">
        <f t="shared" si="24"/>
      </c>
      <c r="AD188" s="67"/>
      <c r="AE188" s="65" t="str">
        <f t="shared" si="29"/>
      </c>
      <c r="AF1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9">
      <c r="A189" s="65" t="str">
        <f>IF(ISBLANK(Games!A189), "", Games!A189)</f>
      </c>
      <c r="B189" s="65" t="str">
        <f>IF('Prediction Log'!B190=0, "",'Prediction Log'!B190)</f>
      </c>
      <c r="C189" s="65" t="str">
        <f>IF('Prediction Log'!C190=0, "",'Prediction Log'!C190)</f>
      </c>
      <c r="D189" s="65" t="str">
        <f>IF('Prediction Log'!D190=0, "",'Prediction Log'!D190)</f>
      </c>
      <c r="E189" s="58" t="str">
        <f>IF('Prediction Log'!E190=0, "",'Prediction Log'!E190)</f>
      </c>
      <c r="F189" s="65" t="str">
        <f>IF('Prediction Log'!H190=0, "",'Prediction Log'!H190)</f>
      </c>
      <c r="G189" s="64" t="str">
        <f>IF(ISBLANK(Games!B189), "",'Prediction Log'!$I190)</f>
      </c>
      <c r="H189" s="66" t="n">
        <f>'Prediction Log'!$J190</f>
        <v>0</v>
      </c>
      <c r="I189" s="65" t="str">
        <f>IF(ISBLANK(Games!T189), "",IF(AND(Games!T189="",Games!U189=""),"",IF(ISTEXT(Games!U189), "Side",Games!T189)))</f>
      </c>
      <c r="J189" s="65" t="str">
        <f>IF(ISBLANK(Games!T189), "",IF(Table12[[#This Row],[Bet]]="Spread", Games!X189, ""))</f>
      </c>
      <c r="K189" s="65" t="str">
        <f>IF(ISBLANK(Games!U189), "",IF(ISTEXT(Games!U189), Games!U189, ""))</f>
      </c>
      <c r="L189" s="57" t="str">
        <f>IF(ISBLANK(Games!D189), "", Games!D189)</f>
      </c>
      <c r="M189" s="65"/>
      <c r="N189" s="75" t="str">
        <f>IF(Games!V189="", "",Games!V189)</f>
      </c>
      <c r="O189" s="75" t="str">
        <f>IF(Games!Z189=0, "",Games!Z189)</f>
      </c>
      <c r="P189" s="67"/>
      <c r="Q189" s="67" t="str">
        <f>IF(ISBLANK(Games!W189), "", Games!W189)</f>
      </c>
      <c r="R189" s="67" t="str">
        <f>IF(ISBLANK(Games!AA189), "", Games!AA189)</f>
      </c>
      <c r="S189" s="67"/>
      <c r="T189" s="68" t="str">
        <f t="shared" si="25"/>
      </c>
      <c r="U189" s="68" t="str">
        <f t="shared" si="26"/>
      </c>
      <c r="V189" s="68" t="str">
        <f t="shared" si="27"/>
      </c>
      <c r="W189" s="68" t="str">
        <f t="shared" si="28"/>
      </c>
      <c r="X189" s="68" t="n">
        <f t="shared" si="30"/>
        <v>0</v>
      </c>
      <c r="Y189" s="68" t="n">
        <f t="shared" si="31"/>
        <v>0</v>
      </c>
      <c r="Z189" s="67" t="str">
        <f>IF(OR('Prediction Log'!L190="", Table12[[#This Row],[Bet]]="", Table12[[#This Row],[Bet]]="Spread"), "",IF('Prediction Log'!L190=Table12[[#This Row],[Side]], "W", IF('Prediction Log'!L190&lt;&gt;Table12[[#This Row],[Side]], "L", "")))</f>
      </c>
      <c r="AA189" s="59" t="str">
        <f t="shared" si="32"/>
      </c>
      <c r="AB189" s="67" t="str">
        <f>IF(OR(Table12[[#This Row],[Bet]]="Side",Table12[[#This Row],[Bet]]="", 'Prediction Log'!L190=""), "",IF('Prediction Log'!U190="Y", "W", IF('Prediction Log'!U190="N", "L", "")))</f>
      </c>
      <c r="AC189" s="59" t="str">
        <f t="shared" si="24"/>
      </c>
      <c r="AD189" s="67"/>
      <c r="AE189" s="65" t="str">
        <f t="shared" si="29"/>
      </c>
      <c r="AF1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0">
      <c r="A190" s="65" t="str">
        <f>IF(ISBLANK(Games!A190), "", Games!A190)</f>
      </c>
      <c r="B190" s="65" t="str">
        <f>IF('Prediction Log'!B191=0, "",'Prediction Log'!B191)</f>
      </c>
      <c r="C190" s="65" t="str">
        <f>IF('Prediction Log'!C191=0, "",'Prediction Log'!C191)</f>
      </c>
      <c r="D190" s="65" t="str">
        <f>IF('Prediction Log'!D191=0, "",'Prediction Log'!D191)</f>
      </c>
      <c r="E190" s="58" t="str">
        <f>IF('Prediction Log'!E191=0, "",'Prediction Log'!E191)</f>
      </c>
      <c r="F190" s="65" t="str">
        <f>IF('Prediction Log'!H191=0, "",'Prediction Log'!H191)</f>
      </c>
      <c r="G190" s="64" t="str">
        <f>IF(ISBLANK(Games!B190), "",'Prediction Log'!$I191)</f>
      </c>
      <c r="H190" s="66" t="n">
        <f>'Prediction Log'!$J191</f>
        <v>0</v>
      </c>
      <c r="I190" s="65" t="str">
        <f>IF(ISBLANK(Games!T190), "",IF(AND(Games!T190="",Games!U190=""),"",IF(ISTEXT(Games!U190), "Side",Games!T190)))</f>
      </c>
      <c r="J190" s="65" t="str">
        <f>IF(ISBLANK(Games!T190), "",IF(Table12[[#This Row],[Bet]]="Spread", Games!X190, ""))</f>
      </c>
      <c r="K190" s="65" t="str">
        <f>IF(ISBLANK(Games!U190), "",IF(ISTEXT(Games!U190), Games!U190, ""))</f>
      </c>
      <c r="L190" s="57" t="str">
        <f>IF(ISBLANK(Games!D190), "", Games!D190)</f>
      </c>
      <c r="M190" s="65"/>
      <c r="N190" s="75" t="str">
        <f>IF(Games!V190="", "",Games!V190)</f>
      </c>
      <c r="O190" s="75" t="str">
        <f>IF(Games!Z190=0, "",Games!Z190)</f>
      </c>
      <c r="P190" s="67"/>
      <c r="Q190" s="67" t="str">
        <f>IF(ISBLANK(Games!W190), "", Games!W190)</f>
      </c>
      <c r="R190" s="67" t="str">
        <f>IF(ISBLANK(Games!AA190), "", Games!AA190)</f>
      </c>
      <c r="S190" s="67"/>
      <c r="T190" s="68" t="str">
        <f t="shared" si="25"/>
      </c>
      <c r="U190" s="68" t="str">
        <f t="shared" si="26"/>
      </c>
      <c r="V190" s="68" t="str">
        <f t="shared" si="27"/>
      </c>
      <c r="W190" s="68" t="str">
        <f t="shared" si="28"/>
      </c>
      <c r="X190" s="68" t="n">
        <f t="shared" si="30"/>
        <v>0</v>
      </c>
      <c r="Y190" s="68" t="n">
        <f t="shared" si="31"/>
        <v>0</v>
      </c>
      <c r="Z190" s="67" t="str">
        <f>IF(OR('Prediction Log'!L191="", Table12[[#This Row],[Bet]]="", Table12[[#This Row],[Bet]]="Spread"), "",IF('Prediction Log'!L191=Table12[[#This Row],[Side]], "W", IF('Prediction Log'!L191&lt;&gt;Table12[[#This Row],[Side]], "L", "")))</f>
      </c>
      <c r="AA190" s="59" t="str">
        <f t="shared" si="32"/>
      </c>
      <c r="AB190" s="67" t="str">
        <f>IF(OR(Table12[[#This Row],[Bet]]="Side",Table12[[#This Row],[Bet]]="", 'Prediction Log'!L191=""), "",IF('Prediction Log'!U191="Y", "W", IF('Prediction Log'!U191="N", "L", "")))</f>
      </c>
      <c r="AC190" s="59" t="str">
        <f t="shared" si="24"/>
      </c>
      <c r="AD190" s="67"/>
      <c r="AE190" s="65" t="str">
        <f t="shared" si="29"/>
      </c>
      <c r="AF1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1">
      <c r="A191" s="65" t="str">
        <f>IF(ISBLANK(Games!A191), "", Games!A191)</f>
      </c>
      <c r="B191" s="65" t="str">
        <f>IF('Prediction Log'!B192=0, "",'Prediction Log'!B192)</f>
      </c>
      <c r="C191" s="65" t="str">
        <f>IF('Prediction Log'!C192=0, "",'Prediction Log'!C192)</f>
      </c>
      <c r="D191" s="65" t="str">
        <f>IF('Prediction Log'!D192=0, "",'Prediction Log'!D192)</f>
      </c>
      <c r="E191" s="58" t="str">
        <f>IF('Prediction Log'!E192=0, "",'Prediction Log'!E192)</f>
      </c>
      <c r="F191" s="65" t="str">
        <f>IF('Prediction Log'!H192=0, "",'Prediction Log'!H192)</f>
      </c>
      <c r="G191" s="64" t="str">
        <f>IF(ISBLANK(Games!B191), "",'Prediction Log'!$I192)</f>
      </c>
      <c r="H191" s="66" t="n">
        <f>'Prediction Log'!$J192</f>
        <v>0</v>
      </c>
      <c r="I191" s="65" t="str">
        <f>IF(ISBLANK(Games!T191), "",IF(AND(Games!T191="",Games!U191=""),"",IF(ISTEXT(Games!U191), "Side",Games!T191)))</f>
      </c>
      <c r="J191" s="65" t="str">
        <f>IF(ISBLANK(Games!T191), "",IF(Table12[[#This Row],[Bet]]="Spread", Games!X191, ""))</f>
      </c>
      <c r="K191" s="65" t="str">
        <f>IF(ISBLANK(Games!U191), "",IF(ISTEXT(Games!U191), Games!U191, ""))</f>
      </c>
      <c r="L191" s="57" t="str">
        <f>IF(ISBLANK(Games!D191), "", Games!D191)</f>
      </c>
      <c r="M191" s="65"/>
      <c r="N191" s="75" t="str">
        <f>IF(Games!V191="", "",Games!V191)</f>
      </c>
      <c r="O191" s="75" t="str">
        <f>IF(Games!Z191=0, "",Games!Z191)</f>
      </c>
      <c r="P191" s="67"/>
      <c r="Q191" s="67" t="str">
        <f>IF(ISBLANK(Games!W191), "", Games!W191)</f>
      </c>
      <c r="R191" s="67" t="str">
        <f>IF(ISBLANK(Games!AA191), "", Games!AA191)</f>
      </c>
      <c r="S191" s="67"/>
      <c r="T191" s="68" t="str">
        <f t="shared" si="25"/>
      </c>
      <c r="U191" s="68" t="str">
        <f t="shared" si="26"/>
      </c>
      <c r="V191" s="68" t="str">
        <f t="shared" si="27"/>
      </c>
      <c r="W191" s="68" t="str">
        <f t="shared" si="28"/>
      </c>
      <c r="X191" s="68" t="n">
        <f t="shared" si="30"/>
        <v>0</v>
      </c>
      <c r="Y191" s="68" t="n">
        <f t="shared" si="31"/>
        <v>0</v>
      </c>
      <c r="Z191" s="67" t="str">
        <f>IF(OR('Prediction Log'!L192="", Table12[[#This Row],[Bet]]="", Table12[[#This Row],[Bet]]="Spread"), "",IF('Prediction Log'!L192=Table12[[#This Row],[Side]], "W", IF('Prediction Log'!L192&lt;&gt;Table12[[#This Row],[Side]], "L", "")))</f>
      </c>
      <c r="AA191" s="59" t="str">
        <f t="shared" si="32"/>
      </c>
      <c r="AB191" s="67" t="str">
        <f>IF(OR(Table12[[#This Row],[Bet]]="Side",Table12[[#This Row],[Bet]]="", 'Prediction Log'!L192=""), "",IF('Prediction Log'!U192="Y", "W", IF('Prediction Log'!U192="N", "L", "")))</f>
      </c>
      <c r="AC191" s="59" t="str">
        <f t="shared" si="24"/>
      </c>
      <c r="AD191" s="67"/>
      <c r="AE191" s="65" t="str">
        <f t="shared" si="29"/>
      </c>
      <c r="AF1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2">
      <c r="A192" s="65" t="str">
        <f>IF(ISBLANK(Games!A192), "", Games!A192)</f>
      </c>
      <c r="B192" s="65" t="str">
        <f>IF('Prediction Log'!B193=0, "",'Prediction Log'!B193)</f>
      </c>
      <c r="C192" s="65" t="str">
        <f>IF('Prediction Log'!C193=0, "",'Prediction Log'!C193)</f>
      </c>
      <c r="D192" s="65" t="str">
        <f>IF('Prediction Log'!D193=0, "",'Prediction Log'!D193)</f>
      </c>
      <c r="E192" s="58" t="str">
        <f>IF('Prediction Log'!E193=0, "",'Prediction Log'!E193)</f>
      </c>
      <c r="F192" s="65" t="str">
        <f>IF('Prediction Log'!H193=0, "",'Prediction Log'!H193)</f>
      </c>
      <c r="G192" s="64" t="str">
        <f>IF(ISBLANK(Games!B192), "",'Prediction Log'!$I193)</f>
      </c>
      <c r="H192" s="66" t="n">
        <f>'Prediction Log'!$J193</f>
        <v>0</v>
      </c>
      <c r="I192" s="65" t="str">
        <f>IF(ISBLANK(Games!T192), "",IF(AND(Games!T192="",Games!U192=""),"",IF(ISTEXT(Games!U192), "Side",Games!T192)))</f>
      </c>
      <c r="J192" s="65" t="str">
        <f>IF(ISBLANK(Games!T192), "",IF(Table12[[#This Row],[Bet]]="Spread", Games!X192, ""))</f>
      </c>
      <c r="K192" s="65" t="str">
        <f>IF(ISBLANK(Games!U192), "",IF(ISTEXT(Games!U192), Games!U192, ""))</f>
      </c>
      <c r="L192" s="57" t="str">
        <f>IF(ISBLANK(Games!D192), "", Games!D192)</f>
      </c>
      <c r="M192" s="65"/>
      <c r="N192" s="75" t="str">
        <f>IF(Games!V192="", "",Games!V192)</f>
      </c>
      <c r="O192" s="75" t="str">
        <f>IF(Games!Z192=0, "",Games!Z192)</f>
      </c>
      <c r="P192" s="67"/>
      <c r="Q192" s="67" t="str">
        <f>IF(ISBLANK(Games!W192), "", Games!W192)</f>
      </c>
      <c r="R192" s="67" t="str">
        <f>IF(ISBLANK(Games!AA192), "", Games!AA192)</f>
      </c>
      <c r="S192" s="67"/>
      <c r="T192" s="68" t="str">
        <f t="shared" si="25"/>
      </c>
      <c r="U192" s="68" t="str">
        <f t="shared" si="26"/>
      </c>
      <c r="V192" s="68" t="str">
        <f t="shared" si="27"/>
      </c>
      <c r="W192" s="68" t="str">
        <f t="shared" si="28"/>
      </c>
      <c r="X192" s="68" t="n">
        <f t="shared" si="30"/>
        <v>0</v>
      </c>
      <c r="Y192" s="68" t="n">
        <f t="shared" si="31"/>
        <v>0</v>
      </c>
      <c r="Z192" s="67" t="str">
        <f>IF(OR('Prediction Log'!L193="", Table12[[#This Row],[Bet]]="", Table12[[#This Row],[Bet]]="Spread"), "",IF('Prediction Log'!L193=Table12[[#This Row],[Side]], "W", IF('Prediction Log'!L193&lt;&gt;Table12[[#This Row],[Side]], "L", "")))</f>
      </c>
      <c r="AA192" s="59" t="str">
        <f t="shared" si="32"/>
      </c>
      <c r="AB192" s="67" t="str">
        <f>IF(OR(Table12[[#This Row],[Bet]]="Side",Table12[[#This Row],[Bet]]="", 'Prediction Log'!L193=""), "",IF('Prediction Log'!U193="Y", "W", IF('Prediction Log'!U193="N", "L", "")))</f>
      </c>
      <c r="AC192" s="59" t="str">
        <f t="shared" si="24"/>
      </c>
      <c r="AD192" s="67"/>
      <c r="AE192" s="65" t="str">
        <f t="shared" si="29"/>
      </c>
      <c r="AF1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3">
      <c r="A193" s="65" t="str">
        <f>IF(ISBLANK(Games!A193), "", Games!A193)</f>
      </c>
      <c r="B193" s="65" t="str">
        <f>IF('Prediction Log'!B194=0, "",'Prediction Log'!B194)</f>
      </c>
      <c r="C193" s="65" t="str">
        <f>IF('Prediction Log'!C194=0, "",'Prediction Log'!C194)</f>
      </c>
      <c r="D193" s="65" t="str">
        <f>IF('Prediction Log'!D194=0, "",'Prediction Log'!D194)</f>
      </c>
      <c r="E193" s="58" t="str">
        <f>IF('Prediction Log'!E194=0, "",'Prediction Log'!E194)</f>
      </c>
      <c r="F193" s="65" t="str">
        <f>IF('Prediction Log'!H194=0, "",'Prediction Log'!H194)</f>
      </c>
      <c r="G193" s="64" t="str">
        <f>IF(ISBLANK(Games!B193), "",'Prediction Log'!$I194)</f>
      </c>
      <c r="H193" s="66" t="n">
        <f>'Prediction Log'!$J194</f>
        <v>0</v>
      </c>
      <c r="I193" s="65" t="str">
        <f>IF(ISBLANK(Games!T193), "",IF(AND(Games!T193="",Games!U193=""),"",IF(ISTEXT(Games!U193), "Side",Games!T193)))</f>
      </c>
      <c r="J193" s="65" t="str">
        <f>IF(ISBLANK(Games!T193), "",IF(Table12[[#This Row],[Bet]]="Spread", Games!X193, ""))</f>
      </c>
      <c r="K193" s="65" t="str">
        <f>IF(ISBLANK(Games!U193), "",IF(ISTEXT(Games!U193), Games!U193, ""))</f>
      </c>
      <c r="L193" s="57" t="str">
        <f>IF(ISBLANK(Games!D193), "", Games!D193)</f>
      </c>
      <c r="M193" s="65"/>
      <c r="N193" s="75" t="str">
        <f>IF(Games!V193="", "",Games!V193)</f>
      </c>
      <c r="O193" s="75" t="str">
        <f>IF(Games!Z193=0, "",Games!Z193)</f>
      </c>
      <c r="P193" s="67"/>
      <c r="Q193" s="67" t="str">
        <f>IF(ISBLANK(Games!W193), "", Games!W193)</f>
      </c>
      <c r="R193" s="67" t="str">
        <f>IF(ISBLANK(Games!AA193), "", Games!AA193)</f>
      </c>
      <c r="S193" s="67"/>
      <c r="T193" s="68" t="str">
        <f t="shared" si="25"/>
      </c>
      <c r="U193" s="68" t="str">
        <f t="shared" si="26"/>
      </c>
      <c r="V193" s="68" t="str">
        <f t="shared" si="27"/>
      </c>
      <c r="W193" s="68" t="str">
        <f t="shared" si="28"/>
      </c>
      <c r="X193" s="68" t="n">
        <f t="shared" si="30"/>
        <v>0</v>
      </c>
      <c r="Y193" s="68" t="n">
        <f t="shared" si="31"/>
        <v>0</v>
      </c>
      <c r="Z193" s="67" t="str">
        <f>IF(OR('Prediction Log'!L194="", Table12[[#This Row],[Bet]]="", Table12[[#This Row],[Bet]]="Spread"), "",IF('Prediction Log'!L194=Table12[[#This Row],[Side]], "W", IF('Prediction Log'!L194&lt;&gt;Table12[[#This Row],[Side]], "L", "")))</f>
      </c>
      <c r="AA193" s="59" t="str">
        <f t="shared" si="32"/>
      </c>
      <c r="AB193" s="67" t="str">
        <f>IF(OR(Table12[[#This Row],[Bet]]="Side",Table12[[#This Row],[Bet]]="", 'Prediction Log'!L194=""), "",IF('Prediction Log'!U194="Y", "W", IF('Prediction Log'!U194="N", "L", "")))</f>
      </c>
      <c r="AC193" s="59" t="str">
        <f t="shared" si="24"/>
      </c>
      <c r="AD193" s="67"/>
      <c r="AE193" s="65" t="str">
        <f t="shared" si="29"/>
      </c>
      <c r="AF1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4">
      <c r="A194" s="65" t="str">
        <f>IF(ISBLANK(Games!A194), "", Games!A194)</f>
      </c>
      <c r="B194" s="65" t="str">
        <f>IF('Prediction Log'!B195=0, "",'Prediction Log'!B195)</f>
      </c>
      <c r="C194" s="65" t="str">
        <f>IF('Prediction Log'!C195=0, "",'Prediction Log'!C195)</f>
      </c>
      <c r="D194" s="65" t="str">
        <f>IF('Prediction Log'!D195=0, "",'Prediction Log'!D195)</f>
      </c>
      <c r="E194" s="58" t="str">
        <f>IF('Prediction Log'!E195=0, "",'Prediction Log'!E195)</f>
      </c>
      <c r="F194" s="65" t="str">
        <f>IF('Prediction Log'!H195=0, "",'Prediction Log'!H195)</f>
      </c>
      <c r="G194" s="64" t="str">
        <f>IF(ISBLANK(Games!B194), "",'Prediction Log'!$I195)</f>
      </c>
      <c r="H194" s="66" t="n">
        <f>'Prediction Log'!$J195</f>
        <v>0</v>
      </c>
      <c r="I194" s="65" t="str">
        <f>IF(ISBLANK(Games!T194), "",IF(AND(Games!T194="",Games!U194=""),"",IF(ISTEXT(Games!U194), "Side",Games!T194)))</f>
      </c>
      <c r="J194" s="65" t="str">
        <f>IF(ISBLANK(Games!T194), "",IF(Table12[[#This Row],[Bet]]="Spread", Games!X194, ""))</f>
      </c>
      <c r="K194" s="65" t="str">
        <f>IF(ISBLANK(Games!U194), "",IF(ISTEXT(Games!U194), Games!U194, ""))</f>
      </c>
      <c r="L194" s="57" t="str">
        <f>IF(ISBLANK(Games!D194), "", Games!D194)</f>
      </c>
      <c r="M194" s="65"/>
      <c r="N194" s="75" t="str">
        <f>IF(Games!V194="", "",Games!V194)</f>
      </c>
      <c r="O194" s="75" t="str">
        <f>IF(Games!Z194=0, "",Games!Z194)</f>
      </c>
      <c r="P194" s="67"/>
      <c r="Q194" s="67" t="str">
        <f>IF(ISBLANK(Games!W194), "", Games!W194)</f>
      </c>
      <c r="R194" s="67" t="str">
        <f>IF(ISBLANK(Games!AA194), "", Games!AA194)</f>
      </c>
      <c r="S194" s="67"/>
      <c r="T194" s="68" t="str">
        <f t="shared" si="25"/>
      </c>
      <c r="U194" s="68" t="str">
        <f t="shared" si="26"/>
      </c>
      <c r="V194" s="68" t="str">
        <f t="shared" si="27"/>
      </c>
      <c r="W194" s="68" t="str">
        <f t="shared" si="28"/>
      </c>
      <c r="X194" s="68" t="n">
        <f t="shared" si="30"/>
        <v>0</v>
      </c>
      <c r="Y194" s="68" t="n">
        <f t="shared" si="31"/>
        <v>0</v>
      </c>
      <c r="Z194" s="67" t="str">
        <f>IF(OR('Prediction Log'!L195="", Table12[[#This Row],[Bet]]="", Table12[[#This Row],[Bet]]="Spread"), "",IF('Prediction Log'!L195=Table12[[#This Row],[Side]], "W", IF('Prediction Log'!L195&lt;&gt;Table12[[#This Row],[Side]], "L", "")))</f>
      </c>
      <c r="AA194" s="59" t="str">
        <f t="shared" si="32"/>
      </c>
      <c r="AB194" s="67" t="str">
        <f>IF(OR(Table12[[#This Row],[Bet]]="Side",Table12[[#This Row],[Bet]]="", 'Prediction Log'!L195=""), "",IF('Prediction Log'!U195="Y", "W", IF('Prediction Log'!U195="N", "L", "")))</f>
      </c>
      <c r="AC194" s="59" t="str">
        <f t="shared" ref="AC194:AC257" si="33">IF(AB194="W", W194, IF(AB194="L",-O194, ""))</f>
      </c>
      <c r="AD194" s="67"/>
      <c r="AE194" s="65" t="str">
        <f t="shared" si="29"/>
      </c>
      <c r="AF1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5">
      <c r="A195" s="65" t="str">
        <f>IF(ISBLANK(Games!A195), "", Games!A195)</f>
      </c>
      <c r="B195" s="65" t="str">
        <f>IF('Prediction Log'!B196=0, "",'Prediction Log'!B196)</f>
      </c>
      <c r="C195" s="65" t="str">
        <f>IF('Prediction Log'!C196=0, "",'Prediction Log'!C196)</f>
      </c>
      <c r="D195" s="65" t="str">
        <f>IF('Prediction Log'!D196=0, "",'Prediction Log'!D196)</f>
      </c>
      <c r="E195" s="58" t="str">
        <f>IF('Prediction Log'!E196=0, "",'Prediction Log'!E196)</f>
      </c>
      <c r="F195" s="65" t="str">
        <f>IF('Prediction Log'!H196=0, "",'Prediction Log'!H196)</f>
      </c>
      <c r="G195" s="64" t="str">
        <f>IF(ISBLANK(Games!B195), "",'Prediction Log'!$I196)</f>
      </c>
      <c r="H195" s="66" t="n">
        <f>'Prediction Log'!$J196</f>
        <v>0</v>
      </c>
      <c r="I195" s="65" t="str">
        <f>IF(ISBLANK(Games!T195), "",IF(AND(Games!T195="",Games!U195=""),"",IF(ISTEXT(Games!U195), "Side",Games!T195)))</f>
      </c>
      <c r="J195" s="65" t="str">
        <f>IF(ISBLANK(Games!T195), "",IF(Table12[[#This Row],[Bet]]="Spread", Games!X195, ""))</f>
      </c>
      <c r="K195" s="65" t="str">
        <f>IF(ISBLANK(Games!U195), "",IF(ISTEXT(Games!U195), Games!U195, ""))</f>
      </c>
      <c r="L195" s="57" t="str">
        <f>IF(ISBLANK(Games!D195), "", Games!D195)</f>
      </c>
      <c r="M195" s="65"/>
      <c r="N195" s="75" t="str">
        <f>IF(Games!V195="", "",Games!V195)</f>
      </c>
      <c r="O195" s="75" t="str">
        <f>IF(Games!Z195=0, "",Games!Z195)</f>
      </c>
      <c r="P195" s="67"/>
      <c r="Q195" s="67" t="str">
        <f>IF(ISBLANK(Games!W195), "", Games!W195)</f>
      </c>
      <c r="R195" s="67" t="str">
        <f>IF(ISBLANK(Games!AA195), "", Games!AA195)</f>
      </c>
      <c r="S195" s="67"/>
      <c r="T195" s="68" t="str">
        <f t="shared" ref="T195:T258" si="34">IFERROR(N195+IF(Q195&lt;0, (N195/(Q195/-100)), N195*(Q195/100)), "")</f>
      </c>
      <c r="U195" s="68" t="str">
        <f t="shared" ref="U195:U258" si="35">IFERROR(T195-N195, "")</f>
      </c>
      <c r="V195" s="68" t="str">
        <f t="shared" ref="V195:V258" si="36">IFERROR(O195+IF(R195&lt;0, (O195/(R195/-100)), O195*(R195/100)), "")</f>
      </c>
      <c r="W195" s="68" t="str">
        <f t="shared" ref="W195:W258" si="37">IFERROR(V195-O195, "")</f>
      </c>
      <c r="X195" s="68" t="n">
        <f t="shared" si="30"/>
        <v>0</v>
      </c>
      <c r="Y195" s="68" t="n">
        <f t="shared" si="31"/>
        <v>0</v>
      </c>
      <c r="Z195" s="67" t="str">
        <f>IF(OR('Prediction Log'!L196="", Table12[[#This Row],[Bet]]="", Table12[[#This Row],[Bet]]="Spread"), "",IF('Prediction Log'!L196=Table12[[#This Row],[Side]], "W", IF('Prediction Log'!L196&lt;&gt;Table12[[#This Row],[Side]], "L", "")))</f>
      </c>
      <c r="AA195" s="59" t="str">
        <f t="shared" si="32"/>
      </c>
      <c r="AB195" s="67" t="str">
        <f>IF(OR(Table12[[#This Row],[Bet]]="Side",Table12[[#This Row],[Bet]]="", 'Prediction Log'!L196=""), "",IF('Prediction Log'!U196="Y", "W", IF('Prediction Log'!U196="N", "L", "")))</f>
      </c>
      <c r="AC195" s="59" t="str">
        <f t="shared" si="33"/>
      </c>
      <c r="AD195" s="67"/>
      <c r="AE195" s="65" t="str">
        <f t="shared" ref="AE195:AE258" si="38">IF(AD195="W", Y195, IF(AD195="L",-R195, ""))</f>
      </c>
      <c r="AF1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6">
      <c r="A196" s="65" t="str">
        <f>IF(ISBLANK(Games!A196), "", Games!A196)</f>
      </c>
      <c r="B196" s="65" t="str">
        <f>IF('Prediction Log'!B197=0, "",'Prediction Log'!B197)</f>
      </c>
      <c r="C196" s="65" t="str">
        <f>IF('Prediction Log'!C197=0, "",'Prediction Log'!C197)</f>
      </c>
      <c r="D196" s="65" t="str">
        <f>IF('Prediction Log'!D197=0, "",'Prediction Log'!D197)</f>
      </c>
      <c r="E196" s="58" t="str">
        <f>IF('Prediction Log'!E197=0, "",'Prediction Log'!E197)</f>
      </c>
      <c r="F196" s="65" t="str">
        <f>IF('Prediction Log'!H197=0, "",'Prediction Log'!H197)</f>
      </c>
      <c r="G196" s="64" t="str">
        <f>IF(ISBLANK(Games!B196), "",'Prediction Log'!$I197)</f>
      </c>
      <c r="H196" s="66" t="n">
        <f>'Prediction Log'!$J197</f>
        <v>0</v>
      </c>
      <c r="I196" s="65" t="str">
        <f>IF(ISBLANK(Games!T196), "",IF(AND(Games!T196="",Games!U196=""),"",IF(ISTEXT(Games!U196), "Side",Games!T196)))</f>
      </c>
      <c r="J196" s="65" t="str">
        <f>IF(ISBLANK(Games!T196), "",IF(Table12[[#This Row],[Bet]]="Spread", Games!X196, ""))</f>
      </c>
      <c r="K196" s="65" t="str">
        <f>IF(ISBLANK(Games!U196), "",IF(ISTEXT(Games!U196), Games!U196, ""))</f>
      </c>
      <c r="L196" s="57" t="str">
        <f>IF(ISBLANK(Games!D196), "", Games!D196)</f>
      </c>
      <c r="M196" s="65"/>
      <c r="N196" s="75" t="str">
        <f>IF(Games!V196="", "",Games!V196)</f>
      </c>
      <c r="O196" s="75" t="str">
        <f>IF(Games!Z196=0, "",Games!Z196)</f>
      </c>
      <c r="P196" s="67"/>
      <c r="Q196" s="67" t="str">
        <f>IF(ISBLANK(Games!W196), "", Games!W196)</f>
      </c>
      <c r="R196" s="67" t="str">
        <f>IF(ISBLANK(Games!AA196), "", Games!AA196)</f>
      </c>
      <c r="S196" s="67"/>
      <c r="T196" s="68" t="str">
        <f t="shared" si="34"/>
      </c>
      <c r="U196" s="68" t="str">
        <f t="shared" si="35"/>
      </c>
      <c r="V196" s="68" t="str">
        <f t="shared" si="36"/>
      </c>
      <c r="W196" s="68" t="str">
        <f t="shared" si="37"/>
      </c>
      <c r="X196" s="68" t="n">
        <f t="shared" si="30"/>
        <v>0</v>
      </c>
      <c r="Y196" s="68" t="n">
        <f t="shared" si="31"/>
        <v>0</v>
      </c>
      <c r="Z196" s="67" t="str">
        <f>IF(OR('Prediction Log'!L197="", Table12[[#This Row],[Bet]]="", Table12[[#This Row],[Bet]]="Spread"), "",IF('Prediction Log'!L197=Table12[[#This Row],[Side]], "W", IF('Prediction Log'!L197&lt;&gt;Table12[[#This Row],[Side]], "L", "")))</f>
      </c>
      <c r="AA196" s="59" t="str">
        <f t="shared" si="32"/>
      </c>
      <c r="AB196" s="67" t="str">
        <f>IF(OR(Table12[[#This Row],[Bet]]="Side",Table12[[#This Row],[Bet]]="", 'Prediction Log'!L197=""), "",IF('Prediction Log'!U197="Y", "W", IF('Prediction Log'!U197="N", "L", "")))</f>
      </c>
      <c r="AC196" s="59" t="str">
        <f t="shared" si="33"/>
      </c>
      <c r="AD196" s="67"/>
      <c r="AE196" s="65" t="str">
        <f t="shared" si="38"/>
      </c>
      <c r="AF1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7">
      <c r="A197" s="65" t="str">
        <f>IF(ISBLANK(Games!A197), "", Games!A197)</f>
      </c>
      <c r="B197" s="65" t="str">
        <f>IF('Prediction Log'!B198=0, "",'Prediction Log'!B198)</f>
      </c>
      <c r="C197" s="65" t="str">
        <f>IF('Prediction Log'!C198=0, "",'Prediction Log'!C198)</f>
      </c>
      <c r="D197" s="65" t="str">
        <f>IF('Prediction Log'!D198=0, "",'Prediction Log'!D198)</f>
      </c>
      <c r="E197" s="58" t="str">
        <f>IF('Prediction Log'!E198=0, "",'Prediction Log'!E198)</f>
      </c>
      <c r="F197" s="65" t="str">
        <f>IF('Prediction Log'!H198=0, "",'Prediction Log'!H198)</f>
      </c>
      <c r="G197" s="64" t="str">
        <f>IF(ISBLANK(Games!B197), "",'Prediction Log'!$I198)</f>
      </c>
      <c r="H197" s="66" t="n">
        <f>'Prediction Log'!$J198</f>
        <v>0</v>
      </c>
      <c r="I197" s="65" t="str">
        <f>IF(ISBLANK(Games!T197), "",IF(AND(Games!T197="",Games!U197=""),"",IF(ISTEXT(Games!U197), "Side",Games!T197)))</f>
      </c>
      <c r="J197" s="65" t="str">
        <f>IF(ISBLANK(Games!T197), "",IF(Table12[[#This Row],[Bet]]="Spread", Games!X197, ""))</f>
      </c>
      <c r="K197" s="65" t="str">
        <f>IF(ISBLANK(Games!U197), "",IF(ISTEXT(Games!U197), Games!U197, ""))</f>
      </c>
      <c r="L197" s="57" t="str">
        <f>IF(ISBLANK(Games!D197), "", Games!D197)</f>
      </c>
      <c r="M197" s="65"/>
      <c r="N197" s="75" t="str">
        <f>IF(Games!V197="", "",Games!V197)</f>
      </c>
      <c r="O197" s="75" t="str">
        <f>IF(Games!Z197=0, "",Games!Z197)</f>
      </c>
      <c r="P197" s="67"/>
      <c r="Q197" s="67" t="str">
        <f>IF(ISBLANK(Games!W197), "", Games!W197)</f>
      </c>
      <c r="R197" s="67" t="str">
        <f>IF(ISBLANK(Games!AA197), "", Games!AA197)</f>
      </c>
      <c r="S197" s="67"/>
      <c r="T197" s="68" t="str">
        <f t="shared" si="34"/>
      </c>
      <c r="U197" s="68" t="str">
        <f t="shared" si="35"/>
      </c>
      <c r="V197" s="68" t="str">
        <f t="shared" si="36"/>
      </c>
      <c r="W197" s="68" t="str">
        <f t="shared" si="37"/>
      </c>
      <c r="X197" s="68" t="n">
        <f t="shared" si="30"/>
        <v>0</v>
      </c>
      <c r="Y197" s="68" t="n">
        <f t="shared" si="31"/>
        <v>0</v>
      </c>
      <c r="Z197" s="67" t="str">
        <f>IF(OR('Prediction Log'!L198="", Table12[[#This Row],[Bet]]="", Table12[[#This Row],[Bet]]="Spread"), "",IF('Prediction Log'!L198=Table12[[#This Row],[Side]], "W", IF('Prediction Log'!L198&lt;&gt;Table12[[#This Row],[Side]], "L", "")))</f>
      </c>
      <c r="AA197" s="59" t="str">
        <f t="shared" si="32"/>
      </c>
      <c r="AB197" s="67" t="str">
        <f>IF(OR(Table12[[#This Row],[Bet]]="Side",Table12[[#This Row],[Bet]]="", 'Prediction Log'!L198=""), "",IF('Prediction Log'!U198="Y", "W", IF('Prediction Log'!U198="N", "L", "")))</f>
      </c>
      <c r="AC197" s="59" t="str">
        <f t="shared" si="33"/>
      </c>
      <c r="AD197" s="67"/>
      <c r="AE197" s="65" t="str">
        <f t="shared" si="38"/>
      </c>
      <c r="AF1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8">
      <c r="A198" s="65" t="str">
        <f>IF(ISBLANK(Games!A198), "", Games!A198)</f>
      </c>
      <c r="B198" s="65" t="str">
        <f>IF('Prediction Log'!B199=0, "",'Prediction Log'!B199)</f>
      </c>
      <c r="C198" s="65" t="str">
        <f>IF('Prediction Log'!C199=0, "",'Prediction Log'!C199)</f>
      </c>
      <c r="D198" s="65" t="str">
        <f>IF('Prediction Log'!D199=0, "",'Prediction Log'!D199)</f>
      </c>
      <c r="E198" s="58" t="str">
        <f>IF('Prediction Log'!E199=0, "",'Prediction Log'!E199)</f>
      </c>
      <c r="F198" s="65" t="str">
        <f>IF('Prediction Log'!H199=0, "",'Prediction Log'!H199)</f>
      </c>
      <c r="G198" s="64" t="str">
        <f>IF(ISBLANK(Games!B198), "",'Prediction Log'!$I199)</f>
      </c>
      <c r="H198" s="66" t="n">
        <f>'Prediction Log'!$J199</f>
        <v>0</v>
      </c>
      <c r="I198" s="65" t="str">
        <f>IF(ISBLANK(Games!T198), "",IF(AND(Games!T198="",Games!U198=""),"",IF(ISTEXT(Games!U198), "Side",Games!T198)))</f>
      </c>
      <c r="J198" s="65" t="str">
        <f>IF(ISBLANK(Games!T198), "",IF(Table12[[#This Row],[Bet]]="Spread", Games!X198, ""))</f>
      </c>
      <c r="K198" s="65" t="str">
        <f>IF(ISBLANK(Games!U198), "",IF(ISTEXT(Games!U198), Games!U198, ""))</f>
      </c>
      <c r="L198" s="57" t="str">
        <f>IF(ISBLANK(Games!D198), "", Games!D198)</f>
      </c>
      <c r="M198" s="65"/>
      <c r="N198" s="75" t="str">
        <f>IF(Games!V198="", "",Games!V198)</f>
      </c>
      <c r="O198" s="75" t="str">
        <f>IF(Games!Z198=0, "",Games!Z198)</f>
      </c>
      <c r="P198" s="67"/>
      <c r="Q198" s="67" t="str">
        <f>IF(ISBLANK(Games!W198), "", Games!W198)</f>
      </c>
      <c r="R198" s="67" t="str">
        <f>IF(ISBLANK(Games!AA198), "", Games!AA198)</f>
      </c>
      <c r="S198" s="67"/>
      <c r="T198" s="68" t="str">
        <f t="shared" si="34"/>
      </c>
      <c r="U198" s="68" t="str">
        <f t="shared" si="35"/>
      </c>
      <c r="V198" s="68" t="str">
        <f t="shared" si="36"/>
      </c>
      <c r="W198" s="68" t="str">
        <f t="shared" si="37"/>
      </c>
      <c r="X198" s="68" t="n">
        <f t="shared" si="30"/>
        <v>0</v>
      </c>
      <c r="Y198" s="68" t="n">
        <f t="shared" si="31"/>
        <v>0</v>
      </c>
      <c r="Z198" s="67" t="str">
        <f>IF(OR('Prediction Log'!L199="", Table12[[#This Row],[Bet]]="", Table12[[#This Row],[Bet]]="Spread"), "",IF('Prediction Log'!L199=Table12[[#This Row],[Side]], "W", IF('Prediction Log'!L199&lt;&gt;Table12[[#This Row],[Side]], "L", "")))</f>
      </c>
      <c r="AA198" s="59" t="str">
        <f t="shared" si="32"/>
      </c>
      <c r="AB198" s="67" t="str">
        <f>IF(OR(Table12[[#This Row],[Bet]]="Side",Table12[[#This Row],[Bet]]="", 'Prediction Log'!L199=""), "",IF('Prediction Log'!U199="Y", "W", IF('Prediction Log'!U199="N", "L", "")))</f>
      </c>
      <c r="AC198" s="59" t="str">
        <f t="shared" si="33"/>
      </c>
      <c r="AD198" s="67"/>
      <c r="AE198" s="65" t="str">
        <f t="shared" si="38"/>
      </c>
      <c r="AF1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9">
      <c r="A199" s="65" t="str">
        <f>IF(ISBLANK(Games!A199), "", Games!A199)</f>
      </c>
      <c r="B199" s="65" t="str">
        <f>IF('Prediction Log'!B200=0, "",'Prediction Log'!B200)</f>
      </c>
      <c r="C199" s="65" t="str">
        <f>IF('Prediction Log'!C200=0, "",'Prediction Log'!C200)</f>
      </c>
      <c r="D199" s="65" t="str">
        <f>IF('Prediction Log'!D200=0, "",'Prediction Log'!D200)</f>
      </c>
      <c r="E199" s="58" t="str">
        <f>IF('Prediction Log'!E200=0, "",'Prediction Log'!E200)</f>
      </c>
      <c r="F199" s="65" t="str">
        <f>IF('Prediction Log'!H200=0, "",'Prediction Log'!H200)</f>
      </c>
      <c r="G199" s="64" t="str">
        <f>IF(ISBLANK(Games!B199), "",'Prediction Log'!$I200)</f>
      </c>
      <c r="H199" s="66" t="n">
        <f>'Prediction Log'!$J200</f>
        <v>0</v>
      </c>
      <c r="I199" s="65" t="str">
        <f>IF(ISBLANK(Games!T199), "",IF(AND(Games!T199="",Games!U199=""),"",IF(ISTEXT(Games!U199), "Side",Games!T199)))</f>
      </c>
      <c r="J199" s="65" t="str">
        <f>IF(ISBLANK(Games!T199), "",IF(Table12[[#This Row],[Bet]]="Spread", Games!X199, ""))</f>
      </c>
      <c r="K199" s="65" t="str">
        <f>IF(ISBLANK(Games!U199), "",IF(ISTEXT(Games!U199), Games!U199, ""))</f>
      </c>
      <c r="L199" s="57" t="str">
        <f>IF(ISBLANK(Games!D199), "", Games!D199)</f>
      </c>
      <c r="M199" s="65"/>
      <c r="N199" s="75" t="str">
        <f>IF(Games!V199="", "",Games!V199)</f>
      </c>
      <c r="O199" s="75" t="str">
        <f>IF(Games!Z199=0, "",Games!Z199)</f>
      </c>
      <c r="P199" s="67"/>
      <c r="Q199" s="67" t="str">
        <f>IF(ISBLANK(Games!W199), "", Games!W199)</f>
      </c>
      <c r="R199" s="67" t="str">
        <f>IF(ISBLANK(Games!AA199), "", Games!AA199)</f>
      </c>
      <c r="S199" s="67"/>
      <c r="T199" s="68" t="str">
        <f t="shared" si="34"/>
      </c>
      <c r="U199" s="68" t="str">
        <f t="shared" si="35"/>
      </c>
      <c r="V199" s="68" t="str">
        <f t="shared" si="36"/>
      </c>
      <c r="W199" s="68" t="str">
        <f t="shared" si="37"/>
      </c>
      <c r="X199" s="68" t="n">
        <f t="shared" si="30"/>
        <v>0</v>
      </c>
      <c r="Y199" s="68" t="n">
        <f t="shared" si="31"/>
        <v>0</v>
      </c>
      <c r="Z199" s="67" t="str">
        <f>IF(OR('Prediction Log'!L200="", Table12[[#This Row],[Bet]]="", Table12[[#This Row],[Bet]]="Spread"), "",IF('Prediction Log'!L200=Table12[[#This Row],[Side]], "W", IF('Prediction Log'!L200&lt;&gt;Table12[[#This Row],[Side]], "L", "")))</f>
      </c>
      <c r="AA199" s="59" t="str">
        <f t="shared" si="32"/>
      </c>
      <c r="AB199" s="67" t="str">
        <f>IF(OR(Table12[[#This Row],[Bet]]="Side",Table12[[#This Row],[Bet]]="", 'Prediction Log'!L200=""), "",IF('Prediction Log'!U200="Y", "W", IF('Prediction Log'!U200="N", "L", "")))</f>
      </c>
      <c r="AC199" s="59" t="str">
        <f t="shared" si="33"/>
      </c>
      <c r="AD199" s="67"/>
      <c r="AE199" s="65" t="str">
        <f t="shared" si="38"/>
      </c>
      <c r="AF1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0">
      <c r="A200" s="65" t="str">
        <f>IF(ISBLANK(Games!A200), "", Games!A200)</f>
      </c>
      <c r="B200" s="65" t="str">
        <f>IF('Prediction Log'!B201=0, "",'Prediction Log'!B201)</f>
      </c>
      <c r="C200" s="65" t="str">
        <f>IF('Prediction Log'!C201=0, "",'Prediction Log'!C201)</f>
      </c>
      <c r="D200" s="65" t="str">
        <f>IF('Prediction Log'!D201=0, "",'Prediction Log'!D201)</f>
      </c>
      <c r="E200" s="58" t="str">
        <f>IF('Prediction Log'!E201=0, "",'Prediction Log'!E201)</f>
      </c>
      <c r="F200" s="65" t="str">
        <f>IF('Prediction Log'!H201=0, "",'Prediction Log'!H201)</f>
      </c>
      <c r="G200" s="64" t="str">
        <f>IF(ISBLANK(Games!B200), "",'Prediction Log'!$I201)</f>
      </c>
      <c r="H200" s="66" t="n">
        <f>'Prediction Log'!$J201</f>
        <v>0</v>
      </c>
      <c r="I200" s="65" t="str">
        <f>IF(ISBLANK(Games!T200), "",IF(AND(Games!T200="",Games!U200=""),"",IF(ISTEXT(Games!U200), "Side",Games!T200)))</f>
      </c>
      <c r="J200" s="65" t="str">
        <f>IF(ISBLANK(Games!T200), "",IF(Table12[[#This Row],[Bet]]="Spread", Games!X200, ""))</f>
      </c>
      <c r="K200" s="65" t="str">
        <f>IF(ISBLANK(Games!U200), "",IF(ISTEXT(Games!U200), Games!U200, ""))</f>
      </c>
      <c r="L200" s="57" t="str">
        <f>IF(ISBLANK(Games!D200), "", Games!D200)</f>
      </c>
      <c r="M200" s="65"/>
      <c r="N200" s="75" t="str">
        <f>IF(Games!V200="", "",Games!V200)</f>
      </c>
      <c r="O200" s="75" t="str">
        <f>IF(Games!Z200=0, "",Games!Z200)</f>
      </c>
      <c r="P200" s="67"/>
      <c r="Q200" s="67" t="str">
        <f>IF(ISBLANK(Games!W200), "", Games!W200)</f>
      </c>
      <c r="R200" s="67" t="str">
        <f>IF(ISBLANK(Games!AA200), "", Games!AA200)</f>
      </c>
      <c r="S200" s="67"/>
      <c r="T200" s="68" t="str">
        <f t="shared" si="34"/>
      </c>
      <c r="U200" s="68" t="str">
        <f t="shared" si="35"/>
      </c>
      <c r="V200" s="68" t="str">
        <f t="shared" si="36"/>
      </c>
      <c r="W200" s="68" t="str">
        <f t="shared" si="37"/>
      </c>
      <c r="X200" s="68" t="n">
        <f t="shared" si="30"/>
        <v>0</v>
      </c>
      <c r="Y200" s="68" t="n">
        <f t="shared" si="31"/>
        <v>0</v>
      </c>
      <c r="Z200" s="67" t="str">
        <f>IF(OR('Prediction Log'!L201="", Table12[[#This Row],[Bet]]="", Table12[[#This Row],[Bet]]="Spread"), "",IF('Prediction Log'!L201=Table12[[#This Row],[Side]], "W", IF('Prediction Log'!L201&lt;&gt;Table12[[#This Row],[Side]], "L", "")))</f>
      </c>
      <c r="AA200" s="59" t="str">
        <f t="shared" si="32"/>
      </c>
      <c r="AB200" s="67" t="str">
        <f>IF(OR(Table12[[#This Row],[Bet]]="Side",Table12[[#This Row],[Bet]]="", 'Prediction Log'!L201=""), "",IF('Prediction Log'!U201="Y", "W", IF('Prediction Log'!U201="N", "L", "")))</f>
      </c>
      <c r="AC200" s="59" t="str">
        <f t="shared" si="33"/>
      </c>
      <c r="AD200" s="67"/>
      <c r="AE200" s="65" t="str">
        <f t="shared" si="38"/>
      </c>
      <c r="AF2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1">
      <c r="A201" s="65" t="str">
        <f>IF(ISBLANK(Games!A201), "", Games!A201)</f>
      </c>
      <c r="B201" s="65" t="str">
        <f>IF('Prediction Log'!B202=0, "",'Prediction Log'!B202)</f>
      </c>
      <c r="C201" s="65" t="str">
        <f>IF('Prediction Log'!C202=0, "",'Prediction Log'!C202)</f>
      </c>
      <c r="D201" s="65" t="str">
        <f>IF('Prediction Log'!D202=0, "",'Prediction Log'!D202)</f>
      </c>
      <c r="E201" s="58" t="str">
        <f>IF('Prediction Log'!E202=0, "",'Prediction Log'!E202)</f>
      </c>
      <c r="F201" s="65" t="str">
        <f>IF('Prediction Log'!H202=0, "",'Prediction Log'!H202)</f>
      </c>
      <c r="G201" s="64" t="str">
        <f>IF(ISBLANK(Games!B201), "",'Prediction Log'!$I202)</f>
      </c>
      <c r="H201" s="66" t="n">
        <f>'Prediction Log'!$J202</f>
        <v>0</v>
      </c>
      <c r="I201" s="65" t="str">
        <f>IF(ISBLANK(Games!T201), "",IF(AND(Games!T201="",Games!U201=""),"",IF(ISTEXT(Games!U201), "Side",Games!T201)))</f>
      </c>
      <c r="J201" s="65" t="str">
        <f>IF(ISBLANK(Games!T201), "",IF(Table12[[#This Row],[Bet]]="Spread", Games!X201, ""))</f>
      </c>
      <c r="K201" s="65" t="str">
        <f>IF(ISBLANK(Games!U201), "",IF(ISTEXT(Games!U201), Games!U201, ""))</f>
      </c>
      <c r="L201" s="57" t="str">
        <f>IF(ISBLANK(Games!D201), "", Games!D201)</f>
      </c>
      <c r="M201" s="65"/>
      <c r="N201" s="75" t="str">
        <f>IF(Games!V201="", "",Games!V201)</f>
      </c>
      <c r="O201" s="75" t="str">
        <f>IF(Games!Z201=0, "",Games!Z201)</f>
      </c>
      <c r="P201" s="67"/>
      <c r="Q201" s="67" t="str">
        <f>IF(ISBLANK(Games!W201), "", Games!W201)</f>
      </c>
      <c r="R201" s="67" t="str">
        <f>IF(ISBLANK(Games!AA201), "", Games!AA201)</f>
      </c>
      <c r="S201" s="67"/>
      <c r="T201" s="68" t="str">
        <f t="shared" si="34"/>
      </c>
      <c r="U201" s="68" t="str">
        <f t="shared" si="35"/>
      </c>
      <c r="V201" s="68" t="str">
        <f t="shared" si="36"/>
      </c>
      <c r="W201" s="68" t="str">
        <f t="shared" si="37"/>
      </c>
      <c r="X201" s="68" t="n">
        <f t="shared" si="30"/>
        <v>0</v>
      </c>
      <c r="Y201" s="68" t="n">
        <f t="shared" si="31"/>
        <v>0</v>
      </c>
      <c r="Z201" s="67" t="str">
        <f>IF(OR('Prediction Log'!L202="", Table12[[#This Row],[Bet]]="", Table12[[#This Row],[Bet]]="Spread"), "",IF('Prediction Log'!L202=Table12[[#This Row],[Side]], "W", IF('Prediction Log'!L202&lt;&gt;Table12[[#This Row],[Side]], "L", "")))</f>
      </c>
      <c r="AA201" s="59" t="str">
        <f t="shared" si="32"/>
      </c>
      <c r="AB201" s="67" t="str">
        <f>IF(OR(Table12[[#This Row],[Bet]]="Side",Table12[[#This Row],[Bet]]="", 'Prediction Log'!L202=""), "",IF('Prediction Log'!U202="Y", "W", IF('Prediction Log'!U202="N", "L", "")))</f>
      </c>
      <c r="AC201" s="59" t="str">
        <f t="shared" si="33"/>
      </c>
      <c r="AD201" s="67"/>
      <c r="AE201" s="65" t="str">
        <f t="shared" si="38"/>
      </c>
      <c r="AF2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2">
      <c r="A202" s="65" t="str">
        <f>IF(ISBLANK(Games!A202), "", Games!A202)</f>
      </c>
      <c r="B202" s="65" t="str">
        <f>IF('Prediction Log'!B203=0, "",'Prediction Log'!B203)</f>
      </c>
      <c r="C202" s="65" t="str">
        <f>IF('Prediction Log'!C203=0, "",'Prediction Log'!C203)</f>
      </c>
      <c r="D202" s="65" t="str">
        <f>IF('Prediction Log'!D203=0, "",'Prediction Log'!D203)</f>
      </c>
      <c r="E202" s="58" t="str">
        <f>IF('Prediction Log'!E203=0, "",'Prediction Log'!E203)</f>
      </c>
      <c r="F202" s="65" t="str">
        <f>IF('Prediction Log'!H203=0, "",'Prediction Log'!H203)</f>
      </c>
      <c r="G202" s="64" t="str">
        <f>IF(ISBLANK(Games!B202), "",'Prediction Log'!$I203)</f>
      </c>
      <c r="H202" s="66" t="n">
        <f>'Prediction Log'!$J203</f>
        <v>0</v>
      </c>
      <c r="I202" s="65" t="str">
        <f>IF(ISBLANK(Games!T202), "",IF(AND(Games!T202="",Games!U202=""),"",IF(ISTEXT(Games!U202), "Side",Games!T202)))</f>
      </c>
      <c r="J202" s="65" t="str">
        <f>IF(ISBLANK(Games!T202), "",IF(Table12[[#This Row],[Bet]]="Spread", Games!X202, ""))</f>
      </c>
      <c r="K202" s="65" t="str">
        <f>IF(ISBLANK(Games!U202), "",IF(ISTEXT(Games!U202), Games!U202, ""))</f>
      </c>
      <c r="L202" s="57" t="str">
        <f>IF(ISBLANK(Games!D202), "", Games!D202)</f>
      </c>
      <c r="M202" s="65"/>
      <c r="N202" s="75" t="str">
        <f>IF(Games!V202="", "",Games!V202)</f>
      </c>
      <c r="O202" s="75" t="str">
        <f>IF(Games!Z202=0, "",Games!Z202)</f>
      </c>
      <c r="P202" s="67"/>
      <c r="Q202" s="67" t="str">
        <f>IF(ISBLANK(Games!W202), "", Games!W202)</f>
      </c>
      <c r="R202" s="67" t="str">
        <f>IF(ISBLANK(Games!AA202), "", Games!AA202)</f>
      </c>
      <c r="S202" s="67"/>
      <c r="T202" s="68" t="str">
        <f t="shared" si="34"/>
      </c>
      <c r="U202" s="68" t="str">
        <f t="shared" si="35"/>
      </c>
      <c r="V202" s="68" t="str">
        <f t="shared" si="36"/>
      </c>
      <c r="W202" s="68" t="str">
        <f t="shared" si="37"/>
      </c>
      <c r="X202" s="68" t="n">
        <f t="shared" si="30"/>
        <v>0</v>
      </c>
      <c r="Y202" s="68" t="n">
        <f t="shared" si="31"/>
        <v>0</v>
      </c>
      <c r="Z202" s="67" t="str">
        <f>IF(OR('Prediction Log'!L203="", Table12[[#This Row],[Bet]]="", Table12[[#This Row],[Bet]]="Spread"), "",IF('Prediction Log'!L203=Table12[[#This Row],[Side]], "W", IF('Prediction Log'!L203&lt;&gt;Table12[[#This Row],[Side]], "L", "")))</f>
      </c>
      <c r="AA202" s="59" t="str">
        <f t="shared" si="32"/>
      </c>
      <c r="AB202" s="67" t="str">
        <f>IF(OR(Table12[[#This Row],[Bet]]="Side",Table12[[#This Row],[Bet]]="", 'Prediction Log'!L203=""), "",IF('Prediction Log'!U203="Y", "W", IF('Prediction Log'!U203="N", "L", "")))</f>
      </c>
      <c r="AC202" s="59" t="str">
        <f t="shared" si="33"/>
      </c>
      <c r="AD202" s="67"/>
      <c r="AE202" s="65" t="str">
        <f t="shared" si="38"/>
      </c>
      <c r="AF2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3">
      <c r="A203" s="65" t="str">
        <f>IF(ISBLANK(Games!A203), "", Games!A203)</f>
      </c>
      <c r="B203" s="65" t="str">
        <f>IF('Prediction Log'!B204=0, "",'Prediction Log'!B204)</f>
      </c>
      <c r="C203" s="65" t="str">
        <f>IF('Prediction Log'!C204=0, "",'Prediction Log'!C204)</f>
      </c>
      <c r="D203" s="65" t="str">
        <f>IF('Prediction Log'!D204=0, "",'Prediction Log'!D204)</f>
      </c>
      <c r="E203" s="58" t="str">
        <f>IF('Prediction Log'!E204=0, "",'Prediction Log'!E204)</f>
      </c>
      <c r="F203" s="65" t="str">
        <f>IF('Prediction Log'!H204=0, "",'Prediction Log'!H204)</f>
      </c>
      <c r="G203" s="64" t="str">
        <f>IF(ISBLANK(Games!B203), "",'Prediction Log'!$I204)</f>
      </c>
      <c r="H203" s="66" t="n">
        <f>'Prediction Log'!$J204</f>
        <v>0</v>
      </c>
      <c r="I203" s="65" t="str">
        <f>IF(ISBLANK(Games!T203), "",IF(AND(Games!T203="",Games!U203=""),"",IF(ISTEXT(Games!U203), "Side",Games!T203)))</f>
      </c>
      <c r="J203" s="65" t="str">
        <f>IF(ISBLANK(Games!T203), "",IF(Table12[[#This Row],[Bet]]="Spread", Games!X203, ""))</f>
      </c>
      <c r="K203" s="65" t="str">
        <f>IF(ISBLANK(Games!U203), "",IF(ISTEXT(Games!U203), Games!U203, ""))</f>
      </c>
      <c r="L203" s="57" t="str">
        <f>IF(ISBLANK(Games!D203), "", Games!D203)</f>
      </c>
      <c r="M203" s="65"/>
      <c r="N203" s="75" t="str">
        <f>IF(Games!V203="", "",Games!V203)</f>
      </c>
      <c r="O203" s="75" t="str">
        <f>IF(Games!Z203=0, "",Games!Z203)</f>
      </c>
      <c r="P203" s="67"/>
      <c r="Q203" s="67" t="str">
        <f>IF(ISBLANK(Games!W203), "", Games!W203)</f>
      </c>
      <c r="R203" s="67" t="str">
        <f>IF(ISBLANK(Games!AA203), "", Games!AA203)</f>
      </c>
      <c r="S203" s="67"/>
      <c r="T203" s="68" t="str">
        <f t="shared" si="34"/>
      </c>
      <c r="U203" s="68" t="str">
        <f t="shared" si="35"/>
      </c>
      <c r="V203" s="68" t="str">
        <f t="shared" si="36"/>
      </c>
      <c r="W203" s="68" t="str">
        <f t="shared" si="37"/>
      </c>
      <c r="X203" s="68" t="n">
        <f t="shared" si="30"/>
        <v>0</v>
      </c>
      <c r="Y203" s="68" t="n">
        <f t="shared" si="31"/>
        <v>0</v>
      </c>
      <c r="Z203" s="67" t="str">
        <f>IF(OR('Prediction Log'!L204="", Table12[[#This Row],[Bet]]="", Table12[[#This Row],[Bet]]="Spread"), "",IF('Prediction Log'!L204=Table12[[#This Row],[Side]], "W", IF('Prediction Log'!L204&lt;&gt;Table12[[#This Row],[Side]], "L", "")))</f>
      </c>
      <c r="AA203" s="59" t="str">
        <f t="shared" si="32"/>
      </c>
      <c r="AB203" s="67" t="str">
        <f>IF(OR(Table12[[#This Row],[Bet]]="Side",Table12[[#This Row],[Bet]]="", 'Prediction Log'!L204=""), "",IF('Prediction Log'!U204="Y", "W", IF('Prediction Log'!U204="N", "L", "")))</f>
      </c>
      <c r="AC203" s="59" t="str">
        <f t="shared" si="33"/>
      </c>
      <c r="AD203" s="67"/>
      <c r="AE203" s="65" t="str">
        <f t="shared" si="38"/>
      </c>
      <c r="AF2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4">
      <c r="A204" s="65" t="str">
        <f>IF(ISBLANK(Games!A204), "", Games!A204)</f>
      </c>
      <c r="B204" s="65" t="str">
        <f>IF('Prediction Log'!B205=0, "",'Prediction Log'!B205)</f>
      </c>
      <c r="C204" s="65" t="str">
        <f>IF('Prediction Log'!C205=0, "",'Prediction Log'!C205)</f>
      </c>
      <c r="D204" s="65" t="str">
        <f>IF('Prediction Log'!D205=0, "",'Prediction Log'!D205)</f>
      </c>
      <c r="E204" s="58" t="str">
        <f>IF('Prediction Log'!E205=0, "",'Prediction Log'!E205)</f>
      </c>
      <c r="F204" s="65" t="str">
        <f>IF('Prediction Log'!H205=0, "",'Prediction Log'!H205)</f>
      </c>
      <c r="G204" s="64" t="str">
        <f>IF(ISBLANK(Games!B204), "",'Prediction Log'!$I205)</f>
      </c>
      <c r="H204" s="66" t="n">
        <f>'Prediction Log'!$J205</f>
        <v>0</v>
      </c>
      <c r="I204" s="65" t="str">
        <f>IF(ISBLANK(Games!T204), "",IF(AND(Games!T204="",Games!U204=""),"",IF(ISTEXT(Games!U204), "Side",Games!T204)))</f>
      </c>
      <c r="J204" s="65" t="str">
        <f>IF(ISBLANK(Games!T204), "",IF(Table12[[#This Row],[Bet]]="Spread", Games!X204, ""))</f>
      </c>
      <c r="K204" s="65" t="str">
        <f>IF(ISBLANK(Games!U204), "",IF(ISTEXT(Games!U204), Games!U204, ""))</f>
      </c>
      <c r="L204" s="57" t="str">
        <f>IF(ISBLANK(Games!D204), "", Games!D204)</f>
      </c>
      <c r="M204" s="65"/>
      <c r="N204" s="75" t="str">
        <f>IF(Games!V204="", "",Games!V204)</f>
      </c>
      <c r="O204" s="75" t="str">
        <f>IF(Games!Z204=0, "",Games!Z204)</f>
      </c>
      <c r="P204" s="67"/>
      <c r="Q204" s="67" t="str">
        <f>IF(ISBLANK(Games!W204), "", Games!W204)</f>
      </c>
      <c r="R204" s="67" t="str">
        <f>IF(ISBLANK(Games!AA204), "", Games!AA204)</f>
      </c>
      <c r="S204" s="67"/>
      <c r="T204" s="68" t="str">
        <f t="shared" si="34"/>
      </c>
      <c r="U204" s="68" t="str">
        <f t="shared" si="35"/>
      </c>
      <c r="V204" s="68" t="str">
        <f t="shared" si="36"/>
      </c>
      <c r="W204" s="68" t="str">
        <f t="shared" si="37"/>
      </c>
      <c r="X204" s="68" t="n">
        <f t="shared" si="30"/>
        <v>0</v>
      </c>
      <c r="Y204" s="68" t="n">
        <f t="shared" si="31"/>
        <v>0</v>
      </c>
      <c r="Z204" s="67" t="str">
        <f>IF(OR('Prediction Log'!L205="", Table12[[#This Row],[Bet]]="", Table12[[#This Row],[Bet]]="Spread"), "",IF('Prediction Log'!L205=Table12[[#This Row],[Side]], "W", IF('Prediction Log'!L205&lt;&gt;Table12[[#This Row],[Side]], "L", "")))</f>
      </c>
      <c r="AA204" s="59" t="str">
        <f t="shared" si="32"/>
      </c>
      <c r="AB204" s="67" t="str">
        <f>IF(OR(Table12[[#This Row],[Bet]]="Side",Table12[[#This Row],[Bet]]="", 'Prediction Log'!L205=""), "",IF('Prediction Log'!U205="Y", "W", IF('Prediction Log'!U205="N", "L", "")))</f>
      </c>
      <c r="AC204" s="59" t="str">
        <f t="shared" si="33"/>
      </c>
      <c r="AD204" s="67"/>
      <c r="AE204" s="65" t="str">
        <f t="shared" si="38"/>
      </c>
      <c r="AF2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5">
      <c r="A205" s="65" t="str">
        <f>IF(ISBLANK(Games!A205), "", Games!A205)</f>
      </c>
      <c r="B205" s="65" t="str">
        <f>IF('Prediction Log'!B206=0, "",'Prediction Log'!B206)</f>
      </c>
      <c r="C205" s="65" t="str">
        <f>IF('Prediction Log'!C206=0, "",'Prediction Log'!C206)</f>
      </c>
      <c r="D205" s="65" t="str">
        <f>IF('Prediction Log'!D206=0, "",'Prediction Log'!D206)</f>
      </c>
      <c r="E205" s="58" t="str">
        <f>IF('Prediction Log'!E206=0, "",'Prediction Log'!E206)</f>
      </c>
      <c r="F205" s="65" t="str">
        <f>IF('Prediction Log'!H206=0, "",'Prediction Log'!H206)</f>
      </c>
      <c r="G205" s="64" t="str">
        <f>IF(ISBLANK(Games!B205), "",'Prediction Log'!$I206)</f>
      </c>
      <c r="H205" s="66" t="n">
        <f>'Prediction Log'!$J206</f>
        <v>0</v>
      </c>
      <c r="I205" s="65" t="str">
        <f>IF(ISBLANK(Games!T205), "",IF(AND(Games!T205="",Games!U205=""),"",IF(ISTEXT(Games!U205), "Side",Games!T205)))</f>
      </c>
      <c r="J205" s="65" t="str">
        <f>IF(ISBLANK(Games!T205), "",IF(Table12[[#This Row],[Bet]]="Spread", Games!X205, ""))</f>
      </c>
      <c r="K205" s="65" t="str">
        <f>IF(ISBLANK(Games!U205), "",IF(ISTEXT(Games!U205), Games!U205, ""))</f>
      </c>
      <c r="L205" s="57" t="str">
        <f>IF(ISBLANK(Games!D205), "", Games!D205)</f>
      </c>
      <c r="M205" s="65"/>
      <c r="N205" s="75" t="str">
        <f>IF(Games!V205="", "",Games!V205)</f>
      </c>
      <c r="O205" s="75" t="str">
        <f>IF(Games!Z205=0, "",Games!Z205)</f>
      </c>
      <c r="P205" s="67"/>
      <c r="Q205" s="67" t="str">
        <f>IF(ISBLANK(Games!W205), "", Games!W205)</f>
      </c>
      <c r="R205" s="67" t="str">
        <f>IF(ISBLANK(Games!AA205), "", Games!AA205)</f>
      </c>
      <c r="S205" s="67"/>
      <c r="T205" s="68" t="str">
        <f t="shared" si="34"/>
      </c>
      <c r="U205" s="68" t="str">
        <f t="shared" si="35"/>
      </c>
      <c r="V205" s="68" t="str">
        <f t="shared" si="36"/>
      </c>
      <c r="W205" s="68" t="str">
        <f t="shared" si="37"/>
      </c>
      <c r="X205" s="68" t="n">
        <f t="shared" si="30"/>
        <v>0</v>
      </c>
      <c r="Y205" s="68" t="n">
        <f t="shared" si="31"/>
        <v>0</v>
      </c>
      <c r="Z205" s="67" t="str">
        <f>IF(OR('Prediction Log'!L206="", Table12[[#This Row],[Bet]]="", Table12[[#This Row],[Bet]]="Spread"), "",IF('Prediction Log'!L206=Table12[[#This Row],[Side]], "W", IF('Prediction Log'!L206&lt;&gt;Table12[[#This Row],[Side]], "L", "")))</f>
      </c>
      <c r="AA205" s="59" t="str">
        <f t="shared" si="32"/>
      </c>
      <c r="AB205" s="67" t="str">
        <f>IF(OR(Table12[[#This Row],[Bet]]="Side",Table12[[#This Row],[Bet]]="", 'Prediction Log'!L206=""), "",IF('Prediction Log'!U206="Y", "W", IF('Prediction Log'!U206="N", "L", "")))</f>
      </c>
      <c r="AC205" s="59" t="str">
        <f t="shared" si="33"/>
      </c>
      <c r="AD205" s="67"/>
      <c r="AE205" s="65" t="str">
        <f t="shared" si="38"/>
      </c>
      <c r="AF2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6">
      <c r="A206" s="65" t="str">
        <f>IF(ISBLANK(Games!A206), "", Games!A206)</f>
      </c>
      <c r="B206" s="65" t="str">
        <f>IF('Prediction Log'!B207=0, "",'Prediction Log'!B207)</f>
      </c>
      <c r="C206" s="65" t="str">
        <f>IF('Prediction Log'!C207=0, "",'Prediction Log'!C207)</f>
      </c>
      <c r="D206" s="65" t="str">
        <f>IF('Prediction Log'!D207=0, "",'Prediction Log'!D207)</f>
      </c>
      <c r="E206" s="58" t="str">
        <f>IF('Prediction Log'!E207=0, "",'Prediction Log'!E207)</f>
      </c>
      <c r="F206" s="65" t="str">
        <f>IF('Prediction Log'!H207=0, "",'Prediction Log'!H207)</f>
      </c>
      <c r="G206" s="64" t="str">
        <f>IF(ISBLANK(Games!B206), "",'Prediction Log'!$I207)</f>
      </c>
      <c r="H206" s="66" t="n">
        <f>'Prediction Log'!$J207</f>
        <v>0</v>
      </c>
      <c r="I206" s="65" t="str">
        <f>IF(ISBLANK(Games!T206), "",IF(AND(Games!T206="",Games!U206=""),"",IF(ISTEXT(Games!U206), "Side",Games!T206)))</f>
      </c>
      <c r="J206" s="65" t="str">
        <f>IF(ISBLANK(Games!T206), "",IF(Table12[[#This Row],[Bet]]="Spread", Games!X206, ""))</f>
      </c>
      <c r="K206" s="65" t="str">
        <f>IF(ISBLANK(Games!U206), "",IF(ISTEXT(Games!U206), Games!U206, ""))</f>
      </c>
      <c r="L206" s="57" t="str">
        <f>IF(ISBLANK(Games!D206), "", Games!D206)</f>
      </c>
      <c r="M206" s="65"/>
      <c r="N206" s="75" t="str">
        <f>IF(Games!V206="", "",Games!V206)</f>
      </c>
      <c r="O206" s="75" t="str">
        <f>IF(Games!Z206=0, "",Games!Z206)</f>
      </c>
      <c r="P206" s="67"/>
      <c r="Q206" s="67" t="str">
        <f>IF(ISBLANK(Games!W206), "", Games!W206)</f>
      </c>
      <c r="R206" s="67" t="str">
        <f>IF(ISBLANK(Games!AA206), "", Games!AA206)</f>
      </c>
      <c r="S206" s="67"/>
      <c r="T206" s="68" t="str">
        <f t="shared" si="34"/>
      </c>
      <c r="U206" s="68" t="str">
        <f t="shared" si="35"/>
      </c>
      <c r="V206" s="68" t="str">
        <f t="shared" si="36"/>
      </c>
      <c r="W206" s="68" t="str">
        <f t="shared" si="37"/>
      </c>
      <c r="X206" s="68" t="n">
        <f t="shared" si="30"/>
        <v>0</v>
      </c>
      <c r="Y206" s="68" t="n">
        <f t="shared" si="31"/>
        <v>0</v>
      </c>
      <c r="Z206" s="67" t="str">
        <f>IF(OR('Prediction Log'!L207="", Table12[[#This Row],[Bet]]="", Table12[[#This Row],[Bet]]="Spread"), "",IF('Prediction Log'!L207=Table12[[#This Row],[Side]], "W", IF('Prediction Log'!L207&lt;&gt;Table12[[#This Row],[Side]], "L", "")))</f>
      </c>
      <c r="AA206" s="59" t="str">
        <f t="shared" si="32"/>
      </c>
      <c r="AB206" s="67" t="str">
        <f>IF(OR(Table12[[#This Row],[Bet]]="Side",Table12[[#This Row],[Bet]]="", 'Prediction Log'!L207=""), "",IF('Prediction Log'!U207="Y", "W", IF('Prediction Log'!U207="N", "L", "")))</f>
      </c>
      <c r="AC206" s="59" t="str">
        <f t="shared" si="33"/>
      </c>
      <c r="AD206" s="67"/>
      <c r="AE206" s="65" t="str">
        <f t="shared" si="38"/>
      </c>
      <c r="AF2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7">
      <c r="A207" s="65" t="str">
        <f>IF(ISBLANK(Games!A207), "", Games!A207)</f>
      </c>
      <c r="B207" s="65" t="str">
        <f>IF('Prediction Log'!B208=0, "",'Prediction Log'!B208)</f>
      </c>
      <c r="C207" s="65" t="str">
        <f>IF('Prediction Log'!C208=0, "",'Prediction Log'!C208)</f>
      </c>
      <c r="D207" s="65" t="str">
        <f>IF('Prediction Log'!D208=0, "",'Prediction Log'!D208)</f>
      </c>
      <c r="E207" s="58" t="str">
        <f>IF('Prediction Log'!E208=0, "",'Prediction Log'!E208)</f>
      </c>
      <c r="F207" s="65" t="str">
        <f>IF('Prediction Log'!H208=0, "",'Prediction Log'!H208)</f>
      </c>
      <c r="G207" s="64" t="str">
        <f>IF(ISBLANK(Games!B207), "",'Prediction Log'!$I208)</f>
      </c>
      <c r="H207" s="66" t="n">
        <f>'Prediction Log'!$J208</f>
        <v>0</v>
      </c>
      <c r="I207" s="65" t="str">
        <f>IF(ISBLANK(Games!T207), "",IF(AND(Games!T207="",Games!U207=""),"",IF(ISTEXT(Games!U207), "Side",Games!T207)))</f>
      </c>
      <c r="J207" s="65" t="str">
        <f>IF(ISBLANK(Games!T207), "",IF(Table12[[#This Row],[Bet]]="Spread", Games!X207, ""))</f>
      </c>
      <c r="K207" s="65" t="str">
        <f>IF(ISBLANK(Games!U207), "",IF(ISTEXT(Games!U207), Games!U207, ""))</f>
      </c>
      <c r="L207" s="57" t="str">
        <f>IF(ISBLANK(Games!D207), "", Games!D207)</f>
      </c>
      <c r="M207" s="65"/>
      <c r="N207" s="75" t="str">
        <f>IF(Games!V207="", "",Games!V207)</f>
      </c>
      <c r="O207" s="75" t="str">
        <f>IF(Games!Z207=0, "",Games!Z207)</f>
      </c>
      <c r="P207" s="67"/>
      <c r="Q207" s="67" t="str">
        <f>IF(ISBLANK(Games!W207), "", Games!W207)</f>
      </c>
      <c r="R207" s="67" t="str">
        <f>IF(ISBLANK(Games!AA207), "", Games!AA207)</f>
      </c>
      <c r="S207" s="67"/>
      <c r="T207" s="68" t="str">
        <f t="shared" si="34"/>
      </c>
      <c r="U207" s="68" t="str">
        <f t="shared" si="35"/>
      </c>
      <c r="V207" s="68" t="str">
        <f t="shared" si="36"/>
      </c>
      <c r="W207" s="68" t="str">
        <f t="shared" si="37"/>
      </c>
      <c r="X207" s="68" t="n">
        <f t="shared" si="30"/>
        <v>0</v>
      </c>
      <c r="Y207" s="68" t="n">
        <f t="shared" si="31"/>
        <v>0</v>
      </c>
      <c r="Z207" s="67" t="str">
        <f>IF(OR('Prediction Log'!L208="", Table12[[#This Row],[Bet]]="", Table12[[#This Row],[Bet]]="Spread"), "",IF('Prediction Log'!L208=Table12[[#This Row],[Side]], "W", IF('Prediction Log'!L208&lt;&gt;Table12[[#This Row],[Side]], "L", "")))</f>
      </c>
      <c r="AA207" s="59" t="str">
        <f t="shared" si="32"/>
      </c>
      <c r="AB207" s="67" t="str">
        <f>IF(OR(Table12[[#This Row],[Bet]]="Side",Table12[[#This Row],[Bet]]="", 'Prediction Log'!L208=""), "",IF('Prediction Log'!U208="Y", "W", IF('Prediction Log'!U208="N", "L", "")))</f>
      </c>
      <c r="AC207" s="59" t="str">
        <f t="shared" si="33"/>
      </c>
      <c r="AD207" s="67"/>
      <c r="AE207" s="65" t="str">
        <f t="shared" si="38"/>
      </c>
      <c r="AF2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8">
      <c r="A208" s="65" t="str">
        <f>IF(ISBLANK(Games!A208), "", Games!A208)</f>
      </c>
      <c r="B208" s="65" t="str">
        <f>IF('Prediction Log'!B209=0, "",'Prediction Log'!B209)</f>
      </c>
      <c r="C208" s="65" t="str">
        <f>IF('Prediction Log'!C209=0, "",'Prediction Log'!C209)</f>
      </c>
      <c r="D208" s="65" t="str">
        <f>IF('Prediction Log'!D209=0, "",'Prediction Log'!D209)</f>
      </c>
      <c r="E208" s="58" t="str">
        <f>IF('Prediction Log'!E209=0, "",'Prediction Log'!E209)</f>
      </c>
      <c r="F208" s="65" t="str">
        <f>IF('Prediction Log'!H209=0, "",'Prediction Log'!H209)</f>
      </c>
      <c r="G208" s="64" t="str">
        <f>IF(ISBLANK(Games!B208), "",'Prediction Log'!$I209)</f>
      </c>
      <c r="H208" s="66" t="n">
        <f>'Prediction Log'!$J209</f>
        <v>0</v>
      </c>
      <c r="I208" s="65" t="str">
        <f>IF(ISBLANK(Games!T208), "",IF(AND(Games!T208="",Games!U208=""),"",IF(ISTEXT(Games!U208), "Side",Games!T208)))</f>
      </c>
      <c r="J208" s="65" t="str">
        <f>IF(ISBLANK(Games!T208), "",IF(Table12[[#This Row],[Bet]]="Spread", Games!X208, ""))</f>
      </c>
      <c r="K208" s="65" t="str">
        <f>IF(ISBLANK(Games!U208), "",IF(ISTEXT(Games!U208), Games!U208, ""))</f>
      </c>
      <c r="L208" s="57" t="str">
        <f>IF(ISBLANK(Games!D208), "", Games!D208)</f>
      </c>
      <c r="M208" s="65"/>
      <c r="N208" s="75" t="str">
        <f>IF(Games!V208="", "",Games!V208)</f>
      </c>
      <c r="O208" s="75" t="str">
        <f>IF(Games!Z208=0, "",Games!Z208)</f>
      </c>
      <c r="P208" s="67"/>
      <c r="Q208" s="67" t="str">
        <f>IF(ISBLANK(Games!W208), "", Games!W208)</f>
      </c>
      <c r="R208" s="67" t="str">
        <f>IF(ISBLANK(Games!AA208), "", Games!AA208)</f>
      </c>
      <c r="S208" s="67"/>
      <c r="T208" s="68" t="str">
        <f t="shared" si="34"/>
      </c>
      <c r="U208" s="68" t="str">
        <f t="shared" si="35"/>
      </c>
      <c r="V208" s="68" t="str">
        <f t="shared" si="36"/>
      </c>
      <c r="W208" s="68" t="str">
        <f t="shared" si="37"/>
      </c>
      <c r="X208" s="68" t="n">
        <f t="shared" si="30"/>
        <v>0</v>
      </c>
      <c r="Y208" s="68" t="n">
        <f t="shared" si="31"/>
        <v>0</v>
      </c>
      <c r="Z208" s="67" t="str">
        <f>IF(OR('Prediction Log'!L209="", Table12[[#This Row],[Bet]]="", Table12[[#This Row],[Bet]]="Spread"), "",IF('Prediction Log'!L209=Table12[[#This Row],[Side]], "W", IF('Prediction Log'!L209&lt;&gt;Table12[[#This Row],[Side]], "L", "")))</f>
      </c>
      <c r="AA208" s="59" t="str">
        <f t="shared" si="32"/>
      </c>
      <c r="AB208" s="67" t="str">
        <f>IF(OR(Table12[[#This Row],[Bet]]="Side",Table12[[#This Row],[Bet]]="", 'Prediction Log'!L209=""), "",IF('Prediction Log'!U209="Y", "W", IF('Prediction Log'!U209="N", "L", "")))</f>
      </c>
      <c r="AC208" s="59" t="str">
        <f t="shared" si="33"/>
      </c>
      <c r="AD208" s="67"/>
      <c r="AE208" s="65" t="str">
        <f t="shared" si="38"/>
      </c>
      <c r="AF2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9">
      <c r="A209" s="65" t="str">
        <f>IF(ISBLANK(Games!A209), "", Games!A209)</f>
      </c>
      <c r="B209" s="65" t="str">
        <f>IF('Prediction Log'!B210=0, "",'Prediction Log'!B210)</f>
      </c>
      <c r="C209" s="65" t="str">
        <f>IF('Prediction Log'!C210=0, "",'Prediction Log'!C210)</f>
      </c>
      <c r="D209" s="65" t="str">
        <f>IF('Prediction Log'!D210=0, "",'Prediction Log'!D210)</f>
      </c>
      <c r="E209" s="58" t="str">
        <f>IF('Prediction Log'!E210=0, "",'Prediction Log'!E210)</f>
      </c>
      <c r="F209" s="65" t="str">
        <f>IF('Prediction Log'!H210=0, "",'Prediction Log'!H210)</f>
      </c>
      <c r="G209" s="64" t="str">
        <f>IF(ISBLANK(Games!B209), "",'Prediction Log'!$I210)</f>
      </c>
      <c r="H209" s="66" t="n">
        <f>'Prediction Log'!$J210</f>
        <v>0</v>
      </c>
      <c r="I209" s="65" t="str">
        <f>IF(ISBLANK(Games!T209), "",IF(AND(Games!T209="",Games!U209=""),"",IF(ISTEXT(Games!U209), "Side",Games!T209)))</f>
      </c>
      <c r="J209" s="65" t="str">
        <f>IF(ISBLANK(Games!T209), "",IF(Table12[[#This Row],[Bet]]="Spread", Games!X209, ""))</f>
      </c>
      <c r="K209" s="65" t="str">
        <f>IF(ISBLANK(Games!U209), "",IF(ISTEXT(Games!U209), Games!U209, ""))</f>
      </c>
      <c r="L209" s="57" t="str">
        <f>IF(ISBLANK(Games!D209), "", Games!D209)</f>
      </c>
      <c r="M209" s="65"/>
      <c r="N209" s="75" t="str">
        <f>IF(Games!V209="", "",Games!V209)</f>
      </c>
      <c r="O209" s="75" t="str">
        <f>IF(Games!Z209=0, "",Games!Z209)</f>
      </c>
      <c r="P209" s="67"/>
      <c r="Q209" s="67" t="str">
        <f>IF(ISBLANK(Games!W209), "", Games!W209)</f>
      </c>
      <c r="R209" s="67" t="str">
        <f>IF(ISBLANK(Games!AA209), "", Games!AA209)</f>
      </c>
      <c r="S209" s="67"/>
      <c r="T209" s="68" t="str">
        <f t="shared" si="34"/>
      </c>
      <c r="U209" s="68" t="str">
        <f t="shared" si="35"/>
      </c>
      <c r="V209" s="68" t="str">
        <f t="shared" si="36"/>
      </c>
      <c r="W209" s="68" t="str">
        <f t="shared" si="37"/>
      </c>
      <c r="X209" s="68" t="n">
        <f t="shared" si="30"/>
        <v>0</v>
      </c>
      <c r="Y209" s="68" t="n">
        <f t="shared" si="31"/>
        <v>0</v>
      </c>
      <c r="Z209" s="67" t="str">
        <f>IF(OR('Prediction Log'!L210="", Table12[[#This Row],[Bet]]="", Table12[[#This Row],[Bet]]="Spread"), "",IF('Prediction Log'!L210=Table12[[#This Row],[Side]], "W", IF('Prediction Log'!L210&lt;&gt;Table12[[#This Row],[Side]], "L", "")))</f>
      </c>
      <c r="AA209" s="59" t="str">
        <f t="shared" si="32"/>
      </c>
      <c r="AB209" s="67" t="str">
        <f>IF(OR(Table12[[#This Row],[Bet]]="Side",Table12[[#This Row],[Bet]]="", 'Prediction Log'!L210=""), "",IF('Prediction Log'!U210="Y", "W", IF('Prediction Log'!U210="N", "L", "")))</f>
      </c>
      <c r="AC209" s="59" t="str">
        <f t="shared" si="33"/>
      </c>
      <c r="AD209" s="67"/>
      <c r="AE209" s="65" t="str">
        <f t="shared" si="38"/>
      </c>
      <c r="AF2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0">
      <c r="A210" s="65" t="str">
        <f>IF(ISBLANK(Games!A210), "", Games!A210)</f>
      </c>
      <c r="B210" s="65" t="str">
        <f>IF('Prediction Log'!B211=0, "",'Prediction Log'!B211)</f>
      </c>
      <c r="C210" s="65" t="str">
        <f>IF('Prediction Log'!C211=0, "",'Prediction Log'!C211)</f>
      </c>
      <c r="D210" s="65" t="str">
        <f>IF('Prediction Log'!D211=0, "",'Prediction Log'!D211)</f>
      </c>
      <c r="E210" s="58" t="str">
        <f>IF('Prediction Log'!E211=0, "",'Prediction Log'!E211)</f>
      </c>
      <c r="F210" s="65" t="str">
        <f>IF('Prediction Log'!H211=0, "",'Prediction Log'!H211)</f>
      </c>
      <c r="G210" s="64" t="str">
        <f>IF(ISBLANK(Games!B210), "",'Prediction Log'!$I211)</f>
      </c>
      <c r="H210" s="66" t="n">
        <f>'Prediction Log'!$J211</f>
        <v>0</v>
      </c>
      <c r="I210" s="65" t="str">
        <f>IF(ISBLANK(Games!T210), "",IF(AND(Games!T210="",Games!U210=""),"",IF(ISTEXT(Games!U210), "Side",Games!T210)))</f>
      </c>
      <c r="J210" s="65" t="str">
        <f>IF(ISBLANK(Games!T210), "",IF(Table12[[#This Row],[Bet]]="Spread", Games!X210, ""))</f>
      </c>
      <c r="K210" s="65" t="str">
        <f>IF(ISBLANK(Games!U210), "",IF(ISTEXT(Games!U210), Games!U210, ""))</f>
      </c>
      <c r="L210" s="57" t="str">
        <f>IF(ISBLANK(Games!D210), "", Games!D210)</f>
      </c>
      <c r="M210" s="65"/>
      <c r="N210" s="75" t="str">
        <f>IF(Games!V210="", "",Games!V210)</f>
      </c>
      <c r="O210" s="75" t="str">
        <f>IF(Games!Z210=0, "",Games!Z210)</f>
      </c>
      <c r="P210" s="67"/>
      <c r="Q210" s="67" t="str">
        <f>IF(ISBLANK(Games!W210), "", Games!W210)</f>
      </c>
      <c r="R210" s="67" t="str">
        <f>IF(ISBLANK(Games!AA210), "", Games!AA210)</f>
      </c>
      <c r="S210" s="67"/>
      <c r="T210" s="68" t="str">
        <f t="shared" si="34"/>
      </c>
      <c r="U210" s="68" t="str">
        <f t="shared" si="35"/>
      </c>
      <c r="V210" s="68" t="str">
        <f t="shared" si="36"/>
      </c>
      <c r="W210" s="68" t="str">
        <f t="shared" si="37"/>
      </c>
      <c r="X210" s="68" t="n">
        <f t="shared" si="30"/>
        <v>0</v>
      </c>
      <c r="Y210" s="68" t="n">
        <f t="shared" si="31"/>
        <v>0</v>
      </c>
      <c r="Z210" s="67" t="str">
        <f>IF(OR('Prediction Log'!L211="", Table12[[#This Row],[Bet]]="", Table12[[#This Row],[Bet]]="Spread"), "",IF('Prediction Log'!L211=Table12[[#This Row],[Side]], "W", IF('Prediction Log'!L211&lt;&gt;Table12[[#This Row],[Side]], "L", "")))</f>
      </c>
      <c r="AA210" s="59" t="str">
        <f t="shared" si="32"/>
      </c>
      <c r="AB210" s="67" t="str">
        <f>IF(OR(Table12[[#This Row],[Bet]]="Side",Table12[[#This Row],[Bet]]="", 'Prediction Log'!L211=""), "",IF('Prediction Log'!U211="Y", "W", IF('Prediction Log'!U211="N", "L", "")))</f>
      </c>
      <c r="AC210" s="59" t="str">
        <f t="shared" si="33"/>
      </c>
      <c r="AD210" s="67"/>
      <c r="AE210" s="65" t="str">
        <f t="shared" si="38"/>
      </c>
      <c r="AF2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1">
      <c r="A211" s="65" t="str">
        <f>IF(ISBLANK(Games!A211), "", Games!A211)</f>
      </c>
      <c r="B211" s="65" t="str">
        <f>IF('Prediction Log'!B212=0, "",'Prediction Log'!B212)</f>
      </c>
      <c r="C211" s="65" t="str">
        <f>IF('Prediction Log'!C212=0, "",'Prediction Log'!C212)</f>
      </c>
      <c r="D211" s="65" t="str">
        <f>IF('Prediction Log'!D212=0, "",'Prediction Log'!D212)</f>
      </c>
      <c r="E211" s="58" t="str">
        <f>IF('Prediction Log'!E212=0, "",'Prediction Log'!E212)</f>
      </c>
      <c r="F211" s="65" t="str">
        <f>IF('Prediction Log'!H212=0, "",'Prediction Log'!H212)</f>
      </c>
      <c r="G211" s="64" t="str">
        <f>IF(ISBLANK(Games!B211), "",'Prediction Log'!$I212)</f>
      </c>
      <c r="H211" s="66" t="n">
        <f>'Prediction Log'!$J212</f>
        <v>0</v>
      </c>
      <c r="I211" s="65" t="str">
        <f>IF(ISBLANK(Games!T211), "",IF(AND(Games!T211="",Games!U211=""),"",IF(ISTEXT(Games!U211), "Side",Games!T211)))</f>
      </c>
      <c r="J211" s="65" t="str">
        <f>IF(ISBLANK(Games!T211), "",IF(Table12[[#This Row],[Bet]]="Spread", Games!X211, ""))</f>
      </c>
      <c r="K211" s="65" t="str">
        <f>IF(ISBLANK(Games!U211), "",IF(ISTEXT(Games!U211), Games!U211, ""))</f>
      </c>
      <c r="L211" s="57" t="str">
        <f>IF(ISBLANK(Games!D211), "", Games!D211)</f>
      </c>
      <c r="M211" s="65"/>
      <c r="N211" s="75" t="str">
        <f>IF(Games!V211="", "",Games!V211)</f>
      </c>
      <c r="O211" s="75" t="str">
        <f>IF(Games!Z211=0, "",Games!Z211)</f>
      </c>
      <c r="P211" s="67"/>
      <c r="Q211" s="67" t="str">
        <f>IF(ISBLANK(Games!W211), "", Games!W211)</f>
      </c>
      <c r="R211" s="67" t="str">
        <f>IF(ISBLANK(Games!AA211), "", Games!AA211)</f>
      </c>
      <c r="S211" s="67"/>
      <c r="T211" s="68" t="str">
        <f t="shared" si="34"/>
      </c>
      <c r="U211" s="68" t="str">
        <f t="shared" si="35"/>
      </c>
      <c r="V211" s="68" t="str">
        <f t="shared" si="36"/>
      </c>
      <c r="W211" s="68" t="str">
        <f t="shared" si="37"/>
      </c>
      <c r="X211" s="68" t="n">
        <f t="shared" si="30"/>
        <v>0</v>
      </c>
      <c r="Y211" s="68" t="n">
        <f t="shared" si="31"/>
        <v>0</v>
      </c>
      <c r="Z211" s="67" t="str">
        <f>IF(OR('Prediction Log'!L212="", Table12[[#This Row],[Bet]]="", Table12[[#This Row],[Bet]]="Spread"), "",IF('Prediction Log'!L212=Table12[[#This Row],[Side]], "W", IF('Prediction Log'!L212&lt;&gt;Table12[[#This Row],[Side]], "L", "")))</f>
      </c>
      <c r="AA211" s="59" t="str">
        <f t="shared" si="32"/>
      </c>
      <c r="AB211" s="67" t="str">
        <f>IF(OR(Table12[[#This Row],[Bet]]="Side",Table12[[#This Row],[Bet]]="", 'Prediction Log'!L212=""), "",IF('Prediction Log'!U212="Y", "W", IF('Prediction Log'!U212="N", "L", "")))</f>
      </c>
      <c r="AC211" s="59" t="str">
        <f t="shared" si="33"/>
      </c>
      <c r="AD211" s="67"/>
      <c r="AE211" s="65" t="str">
        <f t="shared" si="38"/>
      </c>
      <c r="AF2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2">
      <c r="A212" s="65" t="str">
        <f>IF(ISBLANK(Games!A212), "", Games!A212)</f>
      </c>
      <c r="B212" s="65" t="str">
        <f>IF('Prediction Log'!B213=0, "",'Prediction Log'!B213)</f>
      </c>
      <c r="C212" s="65" t="str">
        <f>IF('Prediction Log'!C213=0, "",'Prediction Log'!C213)</f>
      </c>
      <c r="D212" s="65" t="str">
        <f>IF('Prediction Log'!D213=0, "",'Prediction Log'!D213)</f>
      </c>
      <c r="E212" s="58" t="str">
        <f>IF('Prediction Log'!E213=0, "",'Prediction Log'!E213)</f>
      </c>
      <c r="F212" s="65" t="str">
        <f>IF('Prediction Log'!H213=0, "",'Prediction Log'!H213)</f>
      </c>
      <c r="G212" s="64" t="str">
        <f>IF(ISBLANK(Games!B212), "",'Prediction Log'!$I213)</f>
      </c>
      <c r="H212" s="66" t="n">
        <f>'Prediction Log'!$J213</f>
        <v>0</v>
      </c>
      <c r="I212" s="65" t="str">
        <f>IF(ISBLANK(Games!T212), "",IF(AND(Games!T212="",Games!U212=""),"",IF(ISTEXT(Games!U212), "Side",Games!T212)))</f>
      </c>
      <c r="J212" s="65" t="str">
        <f>IF(ISBLANK(Games!T212), "",IF(Table12[[#This Row],[Bet]]="Spread", Games!X212, ""))</f>
      </c>
      <c r="K212" s="65" t="str">
        <f>IF(ISBLANK(Games!U212), "",IF(ISTEXT(Games!U212), Games!U212, ""))</f>
      </c>
      <c r="L212" s="57" t="str">
        <f>IF(ISBLANK(Games!D212), "", Games!D212)</f>
      </c>
      <c r="M212" s="65"/>
      <c r="N212" s="75" t="str">
        <f>IF(Games!V212="", "",Games!V212)</f>
      </c>
      <c r="O212" s="75" t="str">
        <f>IF(Games!Z212=0, "",Games!Z212)</f>
      </c>
      <c r="P212" s="67"/>
      <c r="Q212" s="67" t="str">
        <f>IF(ISBLANK(Games!W212), "", Games!W212)</f>
      </c>
      <c r="R212" s="67" t="str">
        <f>IF(ISBLANK(Games!AA212), "", Games!AA212)</f>
      </c>
      <c r="S212" s="67"/>
      <c r="T212" s="68" t="str">
        <f t="shared" si="34"/>
      </c>
      <c r="U212" s="68" t="str">
        <f t="shared" si="35"/>
      </c>
      <c r="V212" s="68" t="str">
        <f t="shared" si="36"/>
      </c>
      <c r="W212" s="68" t="str">
        <f t="shared" si="37"/>
      </c>
      <c r="X212" s="68" t="n">
        <f t="shared" si="30"/>
        <v>0</v>
      </c>
      <c r="Y212" s="68" t="n">
        <f t="shared" si="31"/>
        <v>0</v>
      </c>
      <c r="Z212" s="67" t="str">
        <f>IF(OR('Prediction Log'!L213="", Table12[[#This Row],[Bet]]="", Table12[[#This Row],[Bet]]="Spread"), "",IF('Prediction Log'!L213=Table12[[#This Row],[Side]], "W", IF('Prediction Log'!L213&lt;&gt;Table12[[#This Row],[Side]], "L", "")))</f>
      </c>
      <c r="AA212" s="59" t="str">
        <f t="shared" si="32"/>
      </c>
      <c r="AB212" s="67" t="str">
        <f>IF(OR(Table12[[#This Row],[Bet]]="Side",Table12[[#This Row],[Bet]]="", 'Prediction Log'!L213=""), "",IF('Prediction Log'!U213="Y", "W", IF('Prediction Log'!U213="N", "L", "")))</f>
      </c>
      <c r="AC212" s="59" t="str">
        <f t="shared" si="33"/>
      </c>
      <c r="AD212" s="67"/>
      <c r="AE212" s="65" t="str">
        <f t="shared" si="38"/>
      </c>
      <c r="AF2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3">
      <c r="A213" s="65" t="str">
        <f>IF(ISBLANK(Games!A213), "", Games!A213)</f>
      </c>
      <c r="B213" s="65" t="str">
        <f>IF('Prediction Log'!B214=0, "",'Prediction Log'!B214)</f>
      </c>
      <c r="C213" s="65" t="str">
        <f>IF('Prediction Log'!C214=0, "",'Prediction Log'!C214)</f>
      </c>
      <c r="D213" s="65" t="str">
        <f>IF('Prediction Log'!D214=0, "",'Prediction Log'!D214)</f>
      </c>
      <c r="E213" s="58" t="str">
        <f>IF('Prediction Log'!E214=0, "",'Prediction Log'!E214)</f>
      </c>
      <c r="F213" s="65" t="str">
        <f>IF('Prediction Log'!H214=0, "",'Prediction Log'!H214)</f>
      </c>
      <c r="G213" s="64" t="str">
        <f>IF(ISBLANK(Games!B213), "",'Prediction Log'!$I214)</f>
      </c>
      <c r="H213" s="66" t="n">
        <f>'Prediction Log'!$J214</f>
        <v>0</v>
      </c>
      <c r="I213" s="65" t="str">
        <f>IF(ISBLANK(Games!T213), "",IF(AND(Games!T213="",Games!U213=""),"",IF(ISTEXT(Games!U213), "Side",Games!T213)))</f>
      </c>
      <c r="J213" s="65" t="str">
        <f>IF(ISBLANK(Games!T213), "",IF(Table12[[#This Row],[Bet]]="Spread", Games!X213, ""))</f>
      </c>
      <c r="K213" s="65" t="str">
        <f>IF(ISBLANK(Games!U213), "",IF(ISTEXT(Games!U213), Games!U213, ""))</f>
      </c>
      <c r="L213" s="57" t="str">
        <f>IF(ISBLANK(Games!D213), "", Games!D213)</f>
      </c>
      <c r="M213" s="65"/>
      <c r="N213" s="75" t="str">
        <f>IF(Games!V213="", "",Games!V213)</f>
      </c>
      <c r="O213" s="75" t="str">
        <f>IF(Games!Z213=0, "",Games!Z213)</f>
      </c>
      <c r="P213" s="67"/>
      <c r="Q213" s="67" t="str">
        <f>IF(ISBLANK(Games!W213), "", Games!W213)</f>
      </c>
      <c r="R213" s="67" t="str">
        <f>IF(ISBLANK(Games!AA213), "", Games!AA213)</f>
      </c>
      <c r="S213" s="67"/>
      <c r="T213" s="68" t="str">
        <f t="shared" si="34"/>
      </c>
      <c r="U213" s="68" t="str">
        <f t="shared" si="35"/>
      </c>
      <c r="V213" s="68" t="str">
        <f t="shared" si="36"/>
      </c>
      <c r="W213" s="68" t="str">
        <f t="shared" si="37"/>
      </c>
      <c r="X213" s="68" t="n">
        <f t="shared" si="30"/>
        <v>0</v>
      </c>
      <c r="Y213" s="68" t="n">
        <f t="shared" si="31"/>
        <v>0</v>
      </c>
      <c r="Z213" s="67" t="str">
        <f>IF(OR('Prediction Log'!L214="", Table12[[#This Row],[Bet]]="", Table12[[#This Row],[Bet]]="Spread"), "",IF('Prediction Log'!L214=Table12[[#This Row],[Side]], "W", IF('Prediction Log'!L214&lt;&gt;Table12[[#This Row],[Side]], "L", "")))</f>
      </c>
      <c r="AA213" s="59" t="str">
        <f t="shared" si="32"/>
      </c>
      <c r="AB213" s="67" t="str">
        <f>IF(OR(Table12[[#This Row],[Bet]]="Side",Table12[[#This Row],[Bet]]="", 'Prediction Log'!L214=""), "",IF('Prediction Log'!U214="Y", "W", IF('Prediction Log'!U214="N", "L", "")))</f>
      </c>
      <c r="AC213" s="59" t="str">
        <f t="shared" si="33"/>
      </c>
      <c r="AD213" s="67"/>
      <c r="AE213" s="65" t="str">
        <f t="shared" si="38"/>
      </c>
      <c r="AF2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4">
      <c r="A214" s="65" t="str">
        <f>IF(ISBLANK(Games!A214), "", Games!A214)</f>
      </c>
      <c r="B214" s="65" t="str">
        <f>IF('Prediction Log'!B215=0, "",'Prediction Log'!B215)</f>
      </c>
      <c r="C214" s="65" t="str">
        <f>IF('Prediction Log'!C215=0, "",'Prediction Log'!C215)</f>
      </c>
      <c r="D214" s="65" t="str">
        <f>IF('Prediction Log'!D215=0, "",'Prediction Log'!D215)</f>
      </c>
      <c r="E214" s="58" t="str">
        <f>IF('Prediction Log'!E215=0, "",'Prediction Log'!E215)</f>
      </c>
      <c r="F214" s="65" t="str">
        <f>IF('Prediction Log'!H215=0, "",'Prediction Log'!H215)</f>
      </c>
      <c r="G214" s="64" t="str">
        <f>IF(ISBLANK(Games!B214), "",'Prediction Log'!$I215)</f>
      </c>
      <c r="H214" s="66" t="n">
        <f>'Prediction Log'!$J215</f>
        <v>0</v>
      </c>
      <c r="I214" s="65" t="str">
        <f>IF(ISBLANK(Games!T214), "",IF(AND(Games!T214="",Games!U214=""),"",IF(ISTEXT(Games!U214), "Side",Games!T214)))</f>
      </c>
      <c r="J214" s="65" t="str">
        <f>IF(ISBLANK(Games!T214), "",IF(Table12[[#This Row],[Bet]]="Spread", Games!X214, ""))</f>
      </c>
      <c r="K214" s="65" t="str">
        <f>IF(ISBLANK(Games!U214), "",IF(ISTEXT(Games!U214), Games!U214, ""))</f>
      </c>
      <c r="L214" s="57" t="str">
        <f>IF(ISBLANK(Games!D214), "", Games!D214)</f>
      </c>
      <c r="M214" s="65"/>
      <c r="N214" s="75" t="str">
        <f>IF(Games!V214="", "",Games!V214)</f>
      </c>
      <c r="O214" s="75" t="str">
        <f>IF(Games!Z214=0, "",Games!Z214)</f>
      </c>
      <c r="P214" s="67"/>
      <c r="Q214" s="67" t="str">
        <f>IF(ISBLANK(Games!W214), "", Games!W214)</f>
      </c>
      <c r="R214" s="67" t="str">
        <f>IF(ISBLANK(Games!AA214), "", Games!AA214)</f>
      </c>
      <c r="S214" s="67"/>
      <c r="T214" s="68" t="str">
        <f t="shared" si="34"/>
      </c>
      <c r="U214" s="68" t="str">
        <f t="shared" si="35"/>
      </c>
      <c r="V214" s="68" t="str">
        <f t="shared" si="36"/>
      </c>
      <c r="W214" s="68" t="str">
        <f t="shared" si="37"/>
      </c>
      <c r="X214" s="68" t="n">
        <f t="shared" si="30"/>
        <v>0</v>
      </c>
      <c r="Y214" s="68" t="n">
        <f t="shared" si="31"/>
        <v>0</v>
      </c>
      <c r="Z214" s="67" t="str">
        <f>IF(OR('Prediction Log'!L215="", Table12[[#This Row],[Bet]]="", Table12[[#This Row],[Bet]]="Spread"), "",IF('Prediction Log'!L215=Table12[[#This Row],[Side]], "W", IF('Prediction Log'!L215&lt;&gt;Table12[[#This Row],[Side]], "L", "")))</f>
      </c>
      <c r="AA214" s="59" t="str">
        <f t="shared" si="32"/>
      </c>
      <c r="AB214" s="67" t="str">
        <f>IF(OR(Table12[[#This Row],[Bet]]="Side",Table12[[#This Row],[Bet]]="", 'Prediction Log'!L215=""), "",IF('Prediction Log'!U215="Y", "W", IF('Prediction Log'!U215="N", "L", "")))</f>
      </c>
      <c r="AC214" s="59" t="str">
        <f t="shared" si="33"/>
      </c>
      <c r="AD214" s="67"/>
      <c r="AE214" s="65" t="str">
        <f t="shared" si="38"/>
      </c>
      <c r="AF2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5">
      <c r="A215" s="65" t="str">
        <f>IF(ISBLANK(Games!A215), "", Games!A215)</f>
      </c>
      <c r="B215" s="65" t="str">
        <f>IF('Prediction Log'!B216=0, "",'Prediction Log'!B216)</f>
      </c>
      <c r="C215" s="65" t="str">
        <f>IF('Prediction Log'!C216=0, "",'Prediction Log'!C216)</f>
      </c>
      <c r="D215" s="65" t="str">
        <f>IF('Prediction Log'!D216=0, "",'Prediction Log'!D216)</f>
      </c>
      <c r="E215" s="58" t="str">
        <f>IF('Prediction Log'!E216=0, "",'Prediction Log'!E216)</f>
      </c>
      <c r="F215" s="65" t="str">
        <f>IF('Prediction Log'!H216=0, "",'Prediction Log'!H216)</f>
      </c>
      <c r="G215" s="64" t="str">
        <f>IF(ISBLANK(Games!B215), "",'Prediction Log'!$I216)</f>
      </c>
      <c r="H215" s="66" t="n">
        <f>'Prediction Log'!$J216</f>
        <v>0</v>
      </c>
      <c r="I215" s="65" t="str">
        <f>IF(ISBLANK(Games!T215), "",IF(AND(Games!T215="",Games!U215=""),"",IF(ISTEXT(Games!U215), "Side",Games!T215)))</f>
      </c>
      <c r="J215" s="65" t="str">
        <f>IF(ISBLANK(Games!T215), "",IF(Table12[[#This Row],[Bet]]="Spread", Games!X215, ""))</f>
      </c>
      <c r="K215" s="65" t="str">
        <f>IF(ISBLANK(Games!U215), "",IF(ISTEXT(Games!U215), Games!U215, ""))</f>
      </c>
      <c r="L215" s="57" t="str">
        <f>IF(ISBLANK(Games!D215), "", Games!D215)</f>
      </c>
      <c r="M215" s="65"/>
      <c r="N215" s="75" t="str">
        <f>IF(Games!V215="", "",Games!V215)</f>
      </c>
      <c r="O215" s="75" t="str">
        <f>IF(Games!Z215=0, "",Games!Z215)</f>
      </c>
      <c r="P215" s="67"/>
      <c r="Q215" s="67" t="str">
        <f>IF(ISBLANK(Games!W215), "", Games!W215)</f>
      </c>
      <c r="R215" s="67" t="str">
        <f>IF(ISBLANK(Games!AA215), "", Games!AA215)</f>
      </c>
      <c r="S215" s="67"/>
      <c r="T215" s="68" t="str">
        <f t="shared" si="34"/>
      </c>
      <c r="U215" s="68" t="str">
        <f t="shared" si="35"/>
      </c>
      <c r="V215" s="68" t="str">
        <f t="shared" si="36"/>
      </c>
      <c r="W215" s="68" t="str">
        <f t="shared" si="37"/>
      </c>
      <c r="X215" s="68" t="n">
        <f t="shared" si="30"/>
        <v>0</v>
      </c>
      <c r="Y215" s="68" t="n">
        <f t="shared" si="31"/>
        <v>0</v>
      </c>
      <c r="Z215" s="67" t="str">
        <f>IF(OR('Prediction Log'!L216="", Table12[[#This Row],[Bet]]="", Table12[[#This Row],[Bet]]="Spread"), "",IF('Prediction Log'!L216=Table12[[#This Row],[Side]], "W", IF('Prediction Log'!L216&lt;&gt;Table12[[#This Row],[Side]], "L", "")))</f>
      </c>
      <c r="AA215" s="59" t="str">
        <f t="shared" si="32"/>
      </c>
      <c r="AB215" s="67" t="str">
        <f>IF(OR(Table12[[#This Row],[Bet]]="Side",Table12[[#This Row],[Bet]]="", 'Prediction Log'!L216=""), "",IF('Prediction Log'!U216="Y", "W", IF('Prediction Log'!U216="N", "L", "")))</f>
      </c>
      <c r="AC215" s="59" t="str">
        <f t="shared" si="33"/>
      </c>
      <c r="AD215" s="67"/>
      <c r="AE215" s="65" t="str">
        <f t="shared" si="38"/>
      </c>
      <c r="AF2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6">
      <c r="A216" s="65" t="str">
        <f>IF(ISBLANK(Games!A216), "", Games!A216)</f>
      </c>
      <c r="B216" s="65" t="str">
        <f>IF('Prediction Log'!B217=0, "",'Prediction Log'!B217)</f>
      </c>
      <c r="C216" s="65" t="str">
        <f>IF('Prediction Log'!C217=0, "",'Prediction Log'!C217)</f>
      </c>
      <c r="D216" s="65" t="str">
        <f>IF('Prediction Log'!D217=0, "",'Prediction Log'!D217)</f>
      </c>
      <c r="E216" s="58" t="str">
        <f>IF('Prediction Log'!E217=0, "",'Prediction Log'!E217)</f>
      </c>
      <c r="F216" s="65" t="str">
        <f>IF('Prediction Log'!H217=0, "",'Prediction Log'!H217)</f>
      </c>
      <c r="G216" s="64" t="str">
        <f>IF(ISBLANK(Games!B216), "",'Prediction Log'!$I217)</f>
      </c>
      <c r="H216" s="66" t="n">
        <f>'Prediction Log'!$J217</f>
        <v>0</v>
      </c>
      <c r="I216" s="65" t="str">
        <f>IF(ISBLANK(Games!T216), "",IF(AND(Games!T216="",Games!U216=""),"",IF(ISTEXT(Games!U216), "Side",Games!T216)))</f>
      </c>
      <c r="J216" s="65" t="str">
        <f>IF(ISBLANK(Games!T216), "",IF(Table12[[#This Row],[Bet]]="Spread", Games!X216, ""))</f>
      </c>
      <c r="K216" s="65" t="str">
        <f>IF(ISBLANK(Games!U216), "",IF(ISTEXT(Games!U216), Games!U216, ""))</f>
      </c>
      <c r="L216" s="57" t="str">
        <f>IF(ISBLANK(Games!D216), "", Games!D216)</f>
      </c>
      <c r="M216" s="65"/>
      <c r="N216" s="75" t="str">
        <f>IF(Games!V216="", "",Games!V216)</f>
      </c>
      <c r="O216" s="75" t="str">
        <f>IF(Games!Z216=0, "",Games!Z216)</f>
      </c>
      <c r="P216" s="67"/>
      <c r="Q216" s="67" t="str">
        <f>IF(ISBLANK(Games!W216), "", Games!W216)</f>
      </c>
      <c r="R216" s="67" t="str">
        <f>IF(ISBLANK(Games!AA216), "", Games!AA216)</f>
      </c>
      <c r="S216" s="67"/>
      <c r="T216" s="68" t="str">
        <f t="shared" si="34"/>
      </c>
      <c r="U216" s="68" t="str">
        <f t="shared" si="35"/>
      </c>
      <c r="V216" s="68" t="str">
        <f t="shared" si="36"/>
      </c>
      <c r="W216" s="68" t="str">
        <f t="shared" si="37"/>
      </c>
      <c r="X216" s="68" t="n">
        <f t="shared" si="30"/>
        <v>0</v>
      </c>
      <c r="Y216" s="68" t="n">
        <f t="shared" si="31"/>
        <v>0</v>
      </c>
      <c r="Z216" s="67" t="str">
        <f>IF(OR('Prediction Log'!L217="", Table12[[#This Row],[Bet]]="", Table12[[#This Row],[Bet]]="Spread"), "",IF('Prediction Log'!L217=Table12[[#This Row],[Side]], "W", IF('Prediction Log'!L217&lt;&gt;Table12[[#This Row],[Side]], "L", "")))</f>
      </c>
      <c r="AA216" s="59" t="str">
        <f t="shared" si="32"/>
      </c>
      <c r="AB216" s="67" t="str">
        <f>IF(OR(Table12[[#This Row],[Bet]]="Side",Table12[[#This Row],[Bet]]="", 'Prediction Log'!L217=""), "",IF('Prediction Log'!U217="Y", "W", IF('Prediction Log'!U217="N", "L", "")))</f>
      </c>
      <c r="AC216" s="59" t="str">
        <f t="shared" si="33"/>
      </c>
      <c r="AD216" s="67"/>
      <c r="AE216" s="65" t="str">
        <f t="shared" si="38"/>
      </c>
      <c r="AF2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7">
      <c r="A217" s="65" t="str">
        <f>IF(ISBLANK(Games!A217), "", Games!A217)</f>
      </c>
      <c r="B217" s="65" t="str">
        <f>IF('Prediction Log'!B218=0, "",'Prediction Log'!B218)</f>
      </c>
      <c r="C217" s="65" t="str">
        <f>IF('Prediction Log'!C218=0, "",'Prediction Log'!C218)</f>
      </c>
      <c r="D217" s="65" t="str">
        <f>IF('Prediction Log'!D218=0, "",'Prediction Log'!D218)</f>
      </c>
      <c r="E217" s="58" t="str">
        <f>IF('Prediction Log'!E218=0, "",'Prediction Log'!E218)</f>
      </c>
      <c r="F217" s="65" t="str">
        <f>IF('Prediction Log'!H218=0, "",'Prediction Log'!H218)</f>
      </c>
      <c r="G217" s="64" t="str">
        <f>IF(ISBLANK(Games!B217), "",'Prediction Log'!$I218)</f>
      </c>
      <c r="H217" s="66" t="n">
        <f>'Prediction Log'!$J218</f>
        <v>0</v>
      </c>
      <c r="I217" s="65" t="str">
        <f>IF(ISBLANK(Games!T217), "",IF(AND(Games!T217="",Games!U217=""),"",IF(ISTEXT(Games!U217), "Side",Games!T217)))</f>
      </c>
      <c r="J217" s="65" t="str">
        <f>IF(ISBLANK(Games!T217), "",IF(Table12[[#This Row],[Bet]]="Spread", Games!X217, ""))</f>
      </c>
      <c r="K217" s="65" t="str">
        <f>IF(ISBLANK(Games!U217), "",IF(ISTEXT(Games!U217), Games!U217, ""))</f>
      </c>
      <c r="L217" s="57" t="str">
        <f>IF(ISBLANK(Games!D217), "", Games!D217)</f>
      </c>
      <c r="M217" s="65"/>
      <c r="N217" s="75" t="str">
        <f>IF(Games!V217="", "",Games!V217)</f>
      </c>
      <c r="O217" s="75" t="str">
        <f>IF(Games!Z217=0, "",Games!Z217)</f>
      </c>
      <c r="P217" s="67"/>
      <c r="Q217" s="67" t="str">
        <f>IF(ISBLANK(Games!W217), "", Games!W217)</f>
      </c>
      <c r="R217" s="67" t="str">
        <f>IF(ISBLANK(Games!AA217), "", Games!AA217)</f>
      </c>
      <c r="S217" s="67"/>
      <c r="T217" s="68" t="str">
        <f t="shared" si="34"/>
      </c>
      <c r="U217" s="68" t="str">
        <f t="shared" si="35"/>
      </c>
      <c r="V217" s="68" t="str">
        <f t="shared" si="36"/>
      </c>
      <c r="W217" s="68" t="str">
        <f t="shared" si="37"/>
      </c>
      <c r="X217" s="68" t="n">
        <f t="shared" si="30"/>
        <v>0</v>
      </c>
      <c r="Y217" s="68" t="n">
        <f t="shared" si="31"/>
        <v>0</v>
      </c>
      <c r="Z217" s="67" t="str">
        <f>IF(OR('Prediction Log'!L218="", Table12[[#This Row],[Bet]]="", Table12[[#This Row],[Bet]]="Spread"), "",IF('Prediction Log'!L218=Table12[[#This Row],[Side]], "W", IF('Prediction Log'!L218&lt;&gt;Table12[[#This Row],[Side]], "L", "")))</f>
      </c>
      <c r="AA217" s="59" t="str">
        <f t="shared" si="32"/>
      </c>
      <c r="AB217" s="67" t="str">
        <f>IF(OR(Table12[[#This Row],[Bet]]="Side",Table12[[#This Row],[Bet]]="", 'Prediction Log'!L218=""), "",IF('Prediction Log'!U218="Y", "W", IF('Prediction Log'!U218="N", "L", "")))</f>
      </c>
      <c r="AC217" s="59" t="str">
        <f t="shared" si="33"/>
      </c>
      <c r="AD217" s="67"/>
      <c r="AE217" s="65" t="str">
        <f t="shared" si="38"/>
      </c>
      <c r="AF2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8">
      <c r="A218" s="65" t="str">
        <f>IF(ISBLANK(Games!A218), "", Games!A218)</f>
      </c>
      <c r="B218" s="65" t="str">
        <f>IF('Prediction Log'!B219=0, "",'Prediction Log'!B219)</f>
      </c>
      <c r="C218" s="65" t="str">
        <f>IF('Prediction Log'!C219=0, "",'Prediction Log'!C219)</f>
      </c>
      <c r="D218" s="65" t="str">
        <f>IF('Prediction Log'!D219=0, "",'Prediction Log'!D219)</f>
      </c>
      <c r="E218" s="58" t="str">
        <f>IF('Prediction Log'!E219=0, "",'Prediction Log'!E219)</f>
      </c>
      <c r="F218" s="65" t="str">
        <f>IF('Prediction Log'!H219=0, "",'Prediction Log'!H219)</f>
      </c>
      <c r="G218" s="64" t="str">
        <f>IF(ISBLANK(Games!B218), "",'Prediction Log'!$I219)</f>
      </c>
      <c r="H218" s="66" t="n">
        <f>'Prediction Log'!$J219</f>
        <v>0</v>
      </c>
      <c r="I218" s="65" t="str">
        <f>IF(ISBLANK(Games!T218), "",IF(AND(Games!T218="",Games!U218=""),"",IF(ISTEXT(Games!U218), "Side",Games!T218)))</f>
      </c>
      <c r="J218" s="65" t="str">
        <f>IF(ISBLANK(Games!T218), "",IF(Table12[[#This Row],[Bet]]="Spread", Games!X218, ""))</f>
      </c>
      <c r="K218" s="65" t="str">
        <f>IF(ISBLANK(Games!U218), "",IF(ISTEXT(Games!U218), Games!U218, ""))</f>
      </c>
      <c r="L218" s="57" t="str">
        <f>IF(ISBLANK(Games!D218), "", Games!D218)</f>
      </c>
      <c r="M218" s="65"/>
      <c r="N218" s="75" t="str">
        <f>IF(Games!V218="", "",Games!V218)</f>
      </c>
      <c r="O218" s="75" t="str">
        <f>IF(Games!Z218=0, "",Games!Z218)</f>
      </c>
      <c r="P218" s="67"/>
      <c r="Q218" s="67" t="str">
        <f>IF(ISBLANK(Games!W218), "", Games!W218)</f>
      </c>
      <c r="R218" s="67" t="str">
        <f>IF(ISBLANK(Games!AA218), "", Games!AA218)</f>
      </c>
      <c r="S218" s="67"/>
      <c r="T218" s="68" t="str">
        <f t="shared" si="34"/>
      </c>
      <c r="U218" s="68" t="str">
        <f t="shared" si="35"/>
      </c>
      <c r="V218" s="68" t="str">
        <f t="shared" si="36"/>
      </c>
      <c r="W218" s="68" t="str">
        <f t="shared" si="37"/>
      </c>
      <c r="X218" s="68" t="n">
        <f t="shared" si="30"/>
        <v>0</v>
      </c>
      <c r="Y218" s="68" t="n">
        <f t="shared" si="31"/>
        <v>0</v>
      </c>
      <c r="Z218" s="67" t="str">
        <f>IF(OR('Prediction Log'!L219="", Table12[[#This Row],[Bet]]="", Table12[[#This Row],[Bet]]="Spread"), "",IF('Prediction Log'!L219=Table12[[#This Row],[Side]], "W", IF('Prediction Log'!L219&lt;&gt;Table12[[#This Row],[Side]], "L", "")))</f>
      </c>
      <c r="AA218" s="59" t="str">
        <f t="shared" si="32"/>
      </c>
      <c r="AB218" s="67" t="str">
        <f>IF(OR(Table12[[#This Row],[Bet]]="Side",Table12[[#This Row],[Bet]]="", 'Prediction Log'!L219=""), "",IF('Prediction Log'!U219="Y", "W", IF('Prediction Log'!U219="N", "L", "")))</f>
      </c>
      <c r="AC218" s="59" t="str">
        <f t="shared" si="33"/>
      </c>
      <c r="AD218" s="67"/>
      <c r="AE218" s="65" t="str">
        <f t="shared" si="38"/>
      </c>
      <c r="AF2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9">
      <c r="A219" s="65" t="str">
        <f>IF(ISBLANK(Games!A219), "", Games!A219)</f>
      </c>
      <c r="B219" s="65" t="str">
        <f>IF('Prediction Log'!B220=0, "",'Prediction Log'!B220)</f>
      </c>
      <c r="C219" s="65" t="str">
        <f>IF('Prediction Log'!C220=0, "",'Prediction Log'!C220)</f>
      </c>
      <c r="D219" s="65" t="str">
        <f>IF('Prediction Log'!D220=0, "",'Prediction Log'!D220)</f>
      </c>
      <c r="E219" s="58" t="str">
        <f>IF('Prediction Log'!E220=0, "",'Prediction Log'!E220)</f>
      </c>
      <c r="F219" s="65" t="str">
        <f>IF('Prediction Log'!H220=0, "",'Prediction Log'!H220)</f>
      </c>
      <c r="G219" s="64" t="str">
        <f>IF(ISBLANK(Games!B219), "",'Prediction Log'!$I220)</f>
      </c>
      <c r="H219" s="66" t="n">
        <f>'Prediction Log'!$J220</f>
        <v>0</v>
      </c>
      <c r="I219" s="65" t="str">
        <f>IF(ISBLANK(Games!T219), "",IF(AND(Games!T219="",Games!U219=""),"",IF(ISTEXT(Games!U219), "Side",Games!T219)))</f>
      </c>
      <c r="J219" s="65" t="str">
        <f>IF(ISBLANK(Games!T219), "",IF(Table12[[#This Row],[Bet]]="Spread", Games!X219, ""))</f>
      </c>
      <c r="K219" s="65" t="str">
        <f>IF(ISBLANK(Games!U219), "",IF(ISTEXT(Games!U219), Games!U219, ""))</f>
      </c>
      <c r="L219" s="57" t="str">
        <f>IF(ISBLANK(Games!D219), "", Games!D219)</f>
      </c>
      <c r="M219" s="65"/>
      <c r="N219" s="75" t="str">
        <f>IF(Games!V219="", "",Games!V219)</f>
      </c>
      <c r="O219" s="75" t="str">
        <f>IF(Games!Z219=0, "",Games!Z219)</f>
      </c>
      <c r="P219" s="67"/>
      <c r="Q219" s="67" t="str">
        <f>IF(ISBLANK(Games!W219), "", Games!W219)</f>
      </c>
      <c r="R219" s="67" t="str">
        <f>IF(ISBLANK(Games!AA219), "", Games!AA219)</f>
      </c>
      <c r="S219" s="67"/>
      <c r="T219" s="68" t="str">
        <f t="shared" si="34"/>
      </c>
      <c r="U219" s="68" t="str">
        <f t="shared" si="35"/>
      </c>
      <c r="V219" s="68" t="str">
        <f t="shared" si="36"/>
      </c>
      <c r="W219" s="68" t="str">
        <f t="shared" si="37"/>
      </c>
      <c r="X219" s="68" t="n">
        <f t="shared" si="30"/>
        <v>0</v>
      </c>
      <c r="Y219" s="68" t="n">
        <f t="shared" si="31"/>
        <v>0</v>
      </c>
      <c r="Z219" s="67" t="str">
        <f>IF(OR('Prediction Log'!L220="", Table12[[#This Row],[Bet]]="", Table12[[#This Row],[Bet]]="Spread"), "",IF('Prediction Log'!L220=Table12[[#This Row],[Side]], "W", IF('Prediction Log'!L220&lt;&gt;Table12[[#This Row],[Side]], "L", "")))</f>
      </c>
      <c r="AA219" s="59" t="str">
        <f t="shared" si="32"/>
      </c>
      <c r="AB219" s="67" t="str">
        <f>IF(OR(Table12[[#This Row],[Bet]]="Side",Table12[[#This Row],[Bet]]="", 'Prediction Log'!L220=""), "",IF('Prediction Log'!U220="Y", "W", IF('Prediction Log'!U220="N", "L", "")))</f>
      </c>
      <c r="AC219" s="59" t="str">
        <f t="shared" si="33"/>
      </c>
      <c r="AD219" s="67"/>
      <c r="AE219" s="65" t="str">
        <f t="shared" si="38"/>
      </c>
      <c r="AF2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0">
      <c r="A220" s="65" t="str">
        <f>IF(ISBLANK(Games!A220), "", Games!A220)</f>
      </c>
      <c r="B220" s="65" t="str">
        <f>IF('Prediction Log'!B221=0, "",'Prediction Log'!B221)</f>
      </c>
      <c r="C220" s="65" t="str">
        <f>IF('Prediction Log'!C221=0, "",'Prediction Log'!C221)</f>
      </c>
      <c r="D220" s="65" t="str">
        <f>IF('Prediction Log'!D221=0, "",'Prediction Log'!D221)</f>
      </c>
      <c r="E220" s="58" t="str">
        <f>IF('Prediction Log'!E221=0, "",'Prediction Log'!E221)</f>
      </c>
      <c r="F220" s="65" t="str">
        <f>IF('Prediction Log'!H221=0, "",'Prediction Log'!H221)</f>
      </c>
      <c r="G220" s="64" t="str">
        <f>IF(ISBLANK(Games!B220), "",'Prediction Log'!$I221)</f>
      </c>
      <c r="H220" s="66" t="n">
        <f>'Prediction Log'!$J221</f>
        <v>0</v>
      </c>
      <c r="I220" s="65" t="str">
        <f>IF(ISBLANK(Games!T220), "",IF(AND(Games!T220="",Games!U220=""),"",IF(ISTEXT(Games!U220), "Side",Games!T220)))</f>
      </c>
      <c r="J220" s="65" t="str">
        <f>IF(ISBLANK(Games!T220), "",IF(Table12[[#This Row],[Bet]]="Spread", Games!X220, ""))</f>
      </c>
      <c r="K220" s="65" t="str">
        <f>IF(ISBLANK(Games!U220), "",IF(ISTEXT(Games!U220), Games!U220, ""))</f>
      </c>
      <c r="L220" s="57" t="str">
        <f>IF(ISBLANK(Games!D220), "", Games!D220)</f>
      </c>
      <c r="M220" s="65"/>
      <c r="N220" s="75" t="str">
        <f>IF(Games!V220="", "",Games!V220)</f>
      </c>
      <c r="O220" s="75" t="str">
        <f>IF(Games!Z220=0, "",Games!Z220)</f>
      </c>
      <c r="P220" s="67"/>
      <c r="Q220" s="67" t="str">
        <f>IF(ISBLANK(Games!W220), "", Games!W220)</f>
      </c>
      <c r="R220" s="67" t="str">
        <f>IF(ISBLANK(Games!AA220), "", Games!AA220)</f>
      </c>
      <c r="S220" s="67"/>
      <c r="T220" s="68" t="str">
        <f t="shared" si="34"/>
      </c>
      <c r="U220" s="68" t="str">
        <f t="shared" si="35"/>
      </c>
      <c r="V220" s="68" t="str">
        <f t="shared" si="36"/>
      </c>
      <c r="W220" s="68" t="str">
        <f t="shared" si="37"/>
      </c>
      <c r="X220" s="68" t="n">
        <f t="shared" si="30"/>
        <v>0</v>
      </c>
      <c r="Y220" s="68" t="n">
        <f t="shared" si="31"/>
        <v>0</v>
      </c>
      <c r="Z220" s="67" t="str">
        <f>IF(OR('Prediction Log'!L221="", Table12[[#This Row],[Bet]]="", Table12[[#This Row],[Bet]]="Spread"), "",IF('Prediction Log'!L221=Table12[[#This Row],[Side]], "W", IF('Prediction Log'!L221&lt;&gt;Table12[[#This Row],[Side]], "L", "")))</f>
      </c>
      <c r="AA220" s="59" t="str">
        <f t="shared" si="32"/>
      </c>
      <c r="AB220" s="67" t="str">
        <f>IF(OR(Table12[[#This Row],[Bet]]="Side",Table12[[#This Row],[Bet]]="", 'Prediction Log'!L221=""), "",IF('Prediction Log'!U221="Y", "W", IF('Prediction Log'!U221="N", "L", "")))</f>
      </c>
      <c r="AC220" s="59" t="str">
        <f t="shared" si="33"/>
      </c>
      <c r="AD220" s="67"/>
      <c r="AE220" s="65" t="str">
        <f t="shared" si="38"/>
      </c>
      <c r="AF2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1">
      <c r="A221" s="65" t="str">
        <f>IF(ISBLANK(Games!A221), "", Games!A221)</f>
      </c>
      <c r="B221" s="65" t="str">
        <f>IF('Prediction Log'!B222=0, "",'Prediction Log'!B222)</f>
      </c>
      <c r="C221" s="65" t="str">
        <f>IF('Prediction Log'!C222=0, "",'Prediction Log'!C222)</f>
      </c>
      <c r="D221" s="65" t="str">
        <f>IF('Prediction Log'!D222=0, "",'Prediction Log'!D222)</f>
      </c>
      <c r="E221" s="58" t="str">
        <f>IF('Prediction Log'!E222=0, "",'Prediction Log'!E222)</f>
      </c>
      <c r="F221" s="65" t="str">
        <f>IF('Prediction Log'!H222=0, "",'Prediction Log'!H222)</f>
      </c>
      <c r="G221" s="64" t="str">
        <f>IF(ISBLANK(Games!B221), "",'Prediction Log'!$I222)</f>
      </c>
      <c r="H221" s="66" t="n">
        <f>'Prediction Log'!$J222</f>
        <v>0</v>
      </c>
      <c r="I221" s="65" t="str">
        <f>IF(ISBLANK(Games!T221), "",IF(AND(Games!T221="",Games!U221=""),"",IF(ISTEXT(Games!U221), "Side",Games!T221)))</f>
      </c>
      <c r="J221" s="65" t="str">
        <f>IF(ISBLANK(Games!T221), "",IF(Table12[[#This Row],[Bet]]="Spread", Games!X221, ""))</f>
      </c>
      <c r="K221" s="65" t="str">
        <f>IF(ISBLANK(Games!U221), "",IF(ISTEXT(Games!U221), Games!U221, ""))</f>
      </c>
      <c r="L221" s="57" t="str">
        <f>IF(ISBLANK(Games!D221), "", Games!D221)</f>
      </c>
      <c r="M221" s="65"/>
      <c r="N221" s="75" t="str">
        <f>IF(Games!V221="", "",Games!V221)</f>
      </c>
      <c r="O221" s="75" t="str">
        <f>IF(Games!Z221=0, "",Games!Z221)</f>
      </c>
      <c r="P221" s="67"/>
      <c r="Q221" s="67" t="str">
        <f>IF(ISBLANK(Games!W221), "", Games!W221)</f>
      </c>
      <c r="R221" s="67" t="str">
        <f>IF(ISBLANK(Games!AA221), "", Games!AA221)</f>
      </c>
      <c r="S221" s="67"/>
      <c r="T221" s="68" t="str">
        <f t="shared" si="34"/>
      </c>
      <c r="U221" s="68" t="str">
        <f t="shared" si="35"/>
      </c>
      <c r="V221" s="68" t="str">
        <f t="shared" si="36"/>
      </c>
      <c r="W221" s="68" t="str">
        <f t="shared" si="37"/>
      </c>
      <c r="X221" s="68" t="n">
        <f t="shared" si="30"/>
        <v>0</v>
      </c>
      <c r="Y221" s="68" t="n">
        <f t="shared" si="31"/>
        <v>0</v>
      </c>
      <c r="Z221" s="67" t="str">
        <f>IF(OR('Prediction Log'!L222="", Table12[[#This Row],[Bet]]="", Table12[[#This Row],[Bet]]="Spread"), "",IF('Prediction Log'!L222=Table12[[#This Row],[Side]], "W", IF('Prediction Log'!L222&lt;&gt;Table12[[#This Row],[Side]], "L", "")))</f>
      </c>
      <c r="AA221" s="59" t="str">
        <f t="shared" si="32"/>
      </c>
      <c r="AB221" s="67" t="str">
        <f>IF(OR(Table12[[#This Row],[Bet]]="Side",Table12[[#This Row],[Bet]]="", 'Prediction Log'!L222=""), "",IF('Prediction Log'!U222="Y", "W", IF('Prediction Log'!U222="N", "L", "")))</f>
      </c>
      <c r="AC221" s="59" t="str">
        <f t="shared" si="33"/>
      </c>
      <c r="AD221" s="67"/>
      <c r="AE221" s="65" t="str">
        <f t="shared" si="38"/>
      </c>
      <c r="AF2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2">
      <c r="A222" s="65" t="str">
        <f>IF(ISBLANK(Games!A222), "", Games!A222)</f>
      </c>
      <c r="B222" s="65" t="str">
        <f>IF('Prediction Log'!B223=0, "",'Prediction Log'!B223)</f>
      </c>
      <c r="C222" s="65" t="str">
        <f>IF('Prediction Log'!C223=0, "",'Prediction Log'!C223)</f>
      </c>
      <c r="D222" s="65" t="str">
        <f>IF('Prediction Log'!D223=0, "",'Prediction Log'!D223)</f>
      </c>
      <c r="E222" s="58" t="str">
        <f>IF('Prediction Log'!E223=0, "",'Prediction Log'!E223)</f>
      </c>
      <c r="F222" s="65" t="str">
        <f>IF('Prediction Log'!H223=0, "",'Prediction Log'!H223)</f>
      </c>
      <c r="G222" s="64" t="str">
        <f>IF(ISBLANK(Games!B222), "",'Prediction Log'!$I223)</f>
      </c>
      <c r="H222" s="66" t="n">
        <f>'Prediction Log'!$J223</f>
        <v>0</v>
      </c>
      <c r="I222" s="65" t="str">
        <f>IF(ISBLANK(Games!T222), "",IF(AND(Games!T222="",Games!U222=""),"",IF(ISTEXT(Games!U222), "Side",Games!T222)))</f>
      </c>
      <c r="J222" s="65" t="str">
        <f>IF(ISBLANK(Games!T222), "",IF(Table12[[#This Row],[Bet]]="Spread", Games!X222, ""))</f>
      </c>
      <c r="K222" s="65" t="str">
        <f>IF(ISBLANK(Games!U222), "",IF(ISTEXT(Games!U222), Games!U222, ""))</f>
      </c>
      <c r="L222" s="57" t="str">
        <f>IF(ISBLANK(Games!D222), "", Games!D222)</f>
      </c>
      <c r="M222" s="65"/>
      <c r="N222" s="75" t="str">
        <f>IF(Games!V222="", "",Games!V222)</f>
      </c>
      <c r="O222" s="75" t="str">
        <f>IF(Games!Z222=0, "",Games!Z222)</f>
      </c>
      <c r="P222" s="67"/>
      <c r="Q222" s="67" t="str">
        <f>IF(ISBLANK(Games!W222), "", Games!W222)</f>
      </c>
      <c r="R222" s="67" t="str">
        <f>IF(ISBLANK(Games!AA222), "", Games!AA222)</f>
      </c>
      <c r="S222" s="67"/>
      <c r="T222" s="68" t="str">
        <f t="shared" si="34"/>
      </c>
      <c r="U222" s="68" t="str">
        <f t="shared" si="35"/>
      </c>
      <c r="V222" s="68" t="str">
        <f t="shared" si="36"/>
      </c>
      <c r="W222" s="68" t="str">
        <f t="shared" si="37"/>
      </c>
      <c r="X222" s="68" t="n">
        <f t="shared" si="30"/>
        <v>0</v>
      </c>
      <c r="Y222" s="68" t="n">
        <f t="shared" si="31"/>
        <v>0</v>
      </c>
      <c r="Z222" s="67" t="str">
        <f>IF(OR('Prediction Log'!L223="", Table12[[#This Row],[Bet]]="", Table12[[#This Row],[Bet]]="Spread"), "",IF('Prediction Log'!L223=Table12[[#This Row],[Side]], "W", IF('Prediction Log'!L223&lt;&gt;Table12[[#This Row],[Side]], "L", "")))</f>
      </c>
      <c r="AA222" s="59" t="str">
        <f t="shared" si="32"/>
      </c>
      <c r="AB222" s="67" t="str">
        <f>IF(OR(Table12[[#This Row],[Bet]]="Side",Table12[[#This Row],[Bet]]="", 'Prediction Log'!L223=""), "",IF('Prediction Log'!U223="Y", "W", IF('Prediction Log'!U223="N", "L", "")))</f>
      </c>
      <c r="AC222" s="59" t="str">
        <f t="shared" si="33"/>
      </c>
      <c r="AD222" s="67"/>
      <c r="AE222" s="65" t="str">
        <f t="shared" si="38"/>
      </c>
      <c r="AF2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3">
      <c r="A223" s="65" t="str">
        <f>IF(ISBLANK(Games!A223), "", Games!A223)</f>
      </c>
      <c r="B223" s="65" t="str">
        <f>IF('Prediction Log'!B224=0, "",'Prediction Log'!B224)</f>
      </c>
      <c r="C223" s="65" t="str">
        <f>IF('Prediction Log'!C224=0, "",'Prediction Log'!C224)</f>
      </c>
      <c r="D223" s="65" t="str">
        <f>IF('Prediction Log'!D224=0, "",'Prediction Log'!D224)</f>
      </c>
      <c r="E223" s="58" t="str">
        <f>IF('Prediction Log'!E224=0, "",'Prediction Log'!E224)</f>
      </c>
      <c r="F223" s="65" t="str">
        <f>IF('Prediction Log'!H224=0, "",'Prediction Log'!H224)</f>
      </c>
      <c r="G223" s="64" t="str">
        <f>IF(ISBLANK(Games!B223), "",'Prediction Log'!$I224)</f>
      </c>
      <c r="H223" s="66" t="n">
        <f>'Prediction Log'!$J224</f>
        <v>0</v>
      </c>
      <c r="I223" s="65" t="str">
        <f>IF(ISBLANK(Games!T223), "",IF(AND(Games!T223="",Games!U223=""),"",IF(ISTEXT(Games!U223), "Side",Games!T223)))</f>
      </c>
      <c r="J223" s="65" t="str">
        <f>IF(ISBLANK(Games!T223), "",IF(Table12[[#This Row],[Bet]]="Spread", Games!X223, ""))</f>
      </c>
      <c r="K223" s="65" t="str">
        <f>IF(ISBLANK(Games!U223), "",IF(ISTEXT(Games!U223), Games!U223, ""))</f>
      </c>
      <c r="L223" s="57" t="str">
        <f>IF(ISBLANK(Games!D223), "", Games!D223)</f>
      </c>
      <c r="M223" s="65"/>
      <c r="N223" s="75" t="str">
        <f>IF(Games!V223="", "",Games!V223)</f>
      </c>
      <c r="O223" s="75" t="str">
        <f>IF(Games!Z223=0, "",Games!Z223)</f>
      </c>
      <c r="P223" s="67"/>
      <c r="Q223" s="67" t="str">
        <f>IF(ISBLANK(Games!W223), "", Games!W223)</f>
      </c>
      <c r="R223" s="67" t="str">
        <f>IF(ISBLANK(Games!AA223), "", Games!AA223)</f>
      </c>
      <c r="S223" s="67"/>
      <c r="T223" s="68" t="str">
        <f t="shared" si="34"/>
      </c>
      <c r="U223" s="68" t="str">
        <f t="shared" si="35"/>
      </c>
      <c r="V223" s="68" t="str">
        <f t="shared" si="36"/>
      </c>
      <c r="W223" s="68" t="str">
        <f t="shared" si="37"/>
      </c>
      <c r="X223" s="68" t="n">
        <f t="shared" si="30"/>
        <v>0</v>
      </c>
      <c r="Y223" s="68" t="n">
        <f t="shared" si="31"/>
        <v>0</v>
      </c>
      <c r="Z223" s="67" t="str">
        <f>IF(OR('Prediction Log'!L224="", Table12[[#This Row],[Bet]]="", Table12[[#This Row],[Bet]]="Spread"), "",IF('Prediction Log'!L224=Table12[[#This Row],[Side]], "W", IF('Prediction Log'!L224&lt;&gt;Table12[[#This Row],[Side]], "L", "")))</f>
      </c>
      <c r="AA223" s="59" t="str">
        <f t="shared" si="32"/>
      </c>
      <c r="AB223" s="67" t="str">
        <f>IF(OR(Table12[[#This Row],[Bet]]="Side",Table12[[#This Row],[Bet]]="", 'Prediction Log'!L224=""), "",IF('Prediction Log'!U224="Y", "W", IF('Prediction Log'!U224="N", "L", "")))</f>
      </c>
      <c r="AC223" s="59" t="str">
        <f t="shared" si="33"/>
      </c>
      <c r="AD223" s="67"/>
      <c r="AE223" s="65" t="str">
        <f t="shared" si="38"/>
      </c>
      <c r="AF2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4">
      <c r="A224" s="65" t="str">
        <f>IF(ISBLANK(Games!A224), "", Games!A224)</f>
      </c>
      <c r="B224" s="65" t="str">
        <f>IF('Prediction Log'!B225=0, "",'Prediction Log'!B225)</f>
      </c>
      <c r="C224" s="65" t="str">
        <f>IF('Prediction Log'!C225=0, "",'Prediction Log'!C225)</f>
      </c>
      <c r="D224" s="65" t="str">
        <f>IF('Prediction Log'!D225=0, "",'Prediction Log'!D225)</f>
      </c>
      <c r="E224" s="58" t="str">
        <f>IF('Prediction Log'!E225=0, "",'Prediction Log'!E225)</f>
      </c>
      <c r="F224" s="65" t="str">
        <f>IF('Prediction Log'!H225=0, "",'Prediction Log'!H225)</f>
      </c>
      <c r="G224" s="64" t="str">
        <f>IF(ISBLANK(Games!B224), "",'Prediction Log'!$I225)</f>
      </c>
      <c r="H224" s="66" t="n">
        <f>'Prediction Log'!$J225</f>
        <v>0</v>
      </c>
      <c r="I224" s="65" t="str">
        <f>IF(ISBLANK(Games!T224), "",IF(AND(Games!T224="",Games!U224=""),"",IF(ISTEXT(Games!U224), "Side",Games!T224)))</f>
      </c>
      <c r="J224" s="65" t="str">
        <f>IF(ISBLANK(Games!T224), "",IF(Table12[[#This Row],[Bet]]="Spread", Games!X224, ""))</f>
      </c>
      <c r="K224" s="65" t="str">
        <f>IF(ISBLANK(Games!U224), "",IF(ISTEXT(Games!U224), Games!U224, ""))</f>
      </c>
      <c r="L224" s="57" t="str">
        <f>IF(ISBLANK(Games!D224), "", Games!D224)</f>
      </c>
      <c r="M224" s="65"/>
      <c r="N224" s="75" t="str">
        <f>IF(Games!V224="", "",Games!V224)</f>
      </c>
      <c r="O224" s="75" t="str">
        <f>IF(Games!Z224=0, "",Games!Z224)</f>
      </c>
      <c r="P224" s="67"/>
      <c r="Q224" s="67" t="str">
        <f>IF(ISBLANK(Games!W224), "", Games!W224)</f>
      </c>
      <c r="R224" s="67" t="str">
        <f>IF(ISBLANK(Games!AA224), "", Games!AA224)</f>
      </c>
      <c r="S224" s="67"/>
      <c r="T224" s="68" t="str">
        <f t="shared" si="34"/>
      </c>
      <c r="U224" s="68" t="str">
        <f t="shared" si="35"/>
      </c>
      <c r="V224" s="68" t="str">
        <f t="shared" si="36"/>
      </c>
      <c r="W224" s="68" t="str">
        <f t="shared" si="37"/>
      </c>
      <c r="X224" s="68" t="n">
        <f t="shared" si="30"/>
        <v>0</v>
      </c>
      <c r="Y224" s="68" t="n">
        <f t="shared" si="31"/>
        <v>0</v>
      </c>
      <c r="Z224" s="67" t="str">
        <f>IF(OR('Prediction Log'!L225="", Table12[[#This Row],[Bet]]="", Table12[[#This Row],[Bet]]="Spread"), "",IF('Prediction Log'!L225=Table12[[#This Row],[Side]], "W", IF('Prediction Log'!L225&lt;&gt;Table12[[#This Row],[Side]], "L", "")))</f>
      </c>
      <c r="AA224" s="59" t="str">
        <f t="shared" si="32"/>
      </c>
      <c r="AB224" s="67" t="str">
        <f>IF(OR(Table12[[#This Row],[Bet]]="Side",Table12[[#This Row],[Bet]]="", 'Prediction Log'!L225=""), "",IF('Prediction Log'!U225="Y", "W", IF('Prediction Log'!U225="N", "L", "")))</f>
      </c>
      <c r="AC224" s="59" t="str">
        <f t="shared" si="33"/>
      </c>
      <c r="AD224" s="67"/>
      <c r="AE224" s="65" t="str">
        <f t="shared" si="38"/>
      </c>
      <c r="AF2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5">
      <c r="A225" s="65" t="str">
        <f>IF(ISBLANK(Games!A225), "", Games!A225)</f>
      </c>
      <c r="B225" s="65" t="str">
        <f>IF('Prediction Log'!B226=0, "",'Prediction Log'!B226)</f>
      </c>
      <c r="C225" s="65" t="str">
        <f>IF('Prediction Log'!C226=0, "",'Prediction Log'!C226)</f>
      </c>
      <c r="D225" s="65" t="str">
        <f>IF('Prediction Log'!D226=0, "",'Prediction Log'!D226)</f>
      </c>
      <c r="E225" s="58" t="str">
        <f>IF('Prediction Log'!E226=0, "",'Prediction Log'!E226)</f>
      </c>
      <c r="F225" s="65" t="str">
        <f>IF('Prediction Log'!H226=0, "",'Prediction Log'!H226)</f>
      </c>
      <c r="G225" s="64" t="str">
        <f>IF(ISBLANK(Games!B225), "",'Prediction Log'!$I226)</f>
      </c>
      <c r="H225" s="66" t="n">
        <f>'Prediction Log'!$J226</f>
        <v>0</v>
      </c>
      <c r="I225" s="65" t="str">
        <f>IF(ISBLANK(Games!T225), "",IF(AND(Games!T225="",Games!U225=""),"",IF(ISTEXT(Games!U225), "Side",Games!T225)))</f>
      </c>
      <c r="J225" s="65" t="str">
        <f>IF(ISBLANK(Games!T225), "",IF(Table12[[#This Row],[Bet]]="Spread", Games!X225, ""))</f>
      </c>
      <c r="K225" s="65" t="str">
        <f>IF(ISBLANK(Games!U225), "",IF(ISTEXT(Games!U225), Games!U225, ""))</f>
      </c>
      <c r="L225" s="57" t="str">
        <f>IF(ISBLANK(Games!D225), "", Games!D225)</f>
      </c>
      <c r="M225" s="65"/>
      <c r="N225" s="75" t="str">
        <f>IF(Games!V225="", "",Games!V225)</f>
      </c>
      <c r="O225" s="75" t="str">
        <f>IF(Games!Z225=0, "",Games!Z225)</f>
      </c>
      <c r="P225" s="67"/>
      <c r="Q225" s="67" t="str">
        <f>IF(ISBLANK(Games!W225), "", Games!W225)</f>
      </c>
      <c r="R225" s="67" t="str">
        <f>IF(ISBLANK(Games!AA225), "", Games!AA225)</f>
      </c>
      <c r="S225" s="67"/>
      <c r="T225" s="68" t="str">
        <f t="shared" si="34"/>
      </c>
      <c r="U225" s="68" t="str">
        <f t="shared" si="35"/>
      </c>
      <c r="V225" s="68" t="str">
        <f t="shared" si="36"/>
      </c>
      <c r="W225" s="68" t="str">
        <f t="shared" si="37"/>
      </c>
      <c r="X225" s="68" t="n">
        <f t="shared" si="30"/>
        <v>0</v>
      </c>
      <c r="Y225" s="68" t="n">
        <f t="shared" si="31"/>
        <v>0</v>
      </c>
      <c r="Z225" s="67" t="str">
        <f>IF(OR('Prediction Log'!L226="", Table12[[#This Row],[Bet]]="", Table12[[#This Row],[Bet]]="Spread"), "",IF('Prediction Log'!L226=Table12[[#This Row],[Side]], "W", IF('Prediction Log'!L226&lt;&gt;Table12[[#This Row],[Side]], "L", "")))</f>
      </c>
      <c r="AA225" s="59" t="str">
        <f t="shared" si="32"/>
      </c>
      <c r="AB225" s="67" t="str">
        <f>IF(OR(Table12[[#This Row],[Bet]]="Side",Table12[[#This Row],[Bet]]="", 'Prediction Log'!L226=""), "",IF('Prediction Log'!U226="Y", "W", IF('Prediction Log'!U226="N", "L", "")))</f>
      </c>
      <c r="AC225" s="59" t="str">
        <f t="shared" si="33"/>
      </c>
      <c r="AD225" s="67"/>
      <c r="AE225" s="65" t="str">
        <f t="shared" si="38"/>
      </c>
      <c r="AF2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6">
      <c r="A226" s="65" t="str">
        <f>IF(ISBLANK(Games!A226), "", Games!A226)</f>
      </c>
      <c r="B226" s="65" t="str">
        <f>IF('Prediction Log'!B227=0, "",'Prediction Log'!B227)</f>
      </c>
      <c r="C226" s="65" t="str">
        <f>IF('Prediction Log'!C227=0, "",'Prediction Log'!C227)</f>
      </c>
      <c r="D226" s="65" t="str">
        <f>IF('Prediction Log'!D227=0, "",'Prediction Log'!D227)</f>
      </c>
      <c r="E226" s="58" t="str">
        <f>IF('Prediction Log'!E227=0, "",'Prediction Log'!E227)</f>
      </c>
      <c r="F226" s="65" t="str">
        <f>IF('Prediction Log'!H227=0, "",'Prediction Log'!H227)</f>
      </c>
      <c r="G226" s="64" t="str">
        <f>IF(ISBLANK(Games!B226), "",'Prediction Log'!$I227)</f>
      </c>
      <c r="H226" s="66" t="n">
        <f>'Prediction Log'!$J227</f>
        <v>0</v>
      </c>
      <c r="I226" s="65" t="str">
        <f>IF(ISBLANK(Games!T226), "",IF(AND(Games!T226="",Games!U226=""),"",IF(ISTEXT(Games!U226), "Side",Games!T226)))</f>
      </c>
      <c r="J226" s="65" t="str">
        <f>IF(ISBLANK(Games!T226), "",IF(Table12[[#This Row],[Bet]]="Spread", Games!X226, ""))</f>
      </c>
      <c r="K226" s="65" t="str">
        <f>IF(ISBLANK(Games!U226), "",IF(ISTEXT(Games!U226), Games!U226, ""))</f>
      </c>
      <c r="L226" s="57" t="str">
        <f>IF(ISBLANK(Games!D226), "", Games!D226)</f>
      </c>
      <c r="M226" s="65"/>
      <c r="N226" s="75" t="str">
        <f>IF(Games!V226="", "",Games!V226)</f>
      </c>
      <c r="O226" s="75" t="str">
        <f>IF(Games!Z226=0, "",Games!Z226)</f>
      </c>
      <c r="P226" s="67"/>
      <c r="Q226" s="67" t="str">
        <f>IF(ISBLANK(Games!W226), "", Games!W226)</f>
      </c>
      <c r="R226" s="67" t="str">
        <f>IF(ISBLANK(Games!AA226), "", Games!AA226)</f>
      </c>
      <c r="S226" s="67"/>
      <c r="T226" s="68" t="str">
        <f t="shared" si="34"/>
      </c>
      <c r="U226" s="68" t="str">
        <f t="shared" si="35"/>
      </c>
      <c r="V226" s="68" t="str">
        <f t="shared" si="36"/>
      </c>
      <c r="W226" s="68" t="str">
        <f t="shared" si="37"/>
      </c>
      <c r="X226" s="68" t="n">
        <f t="shared" si="30"/>
        <v>0</v>
      </c>
      <c r="Y226" s="68" t="n">
        <f t="shared" si="31"/>
        <v>0</v>
      </c>
      <c r="Z226" s="67" t="str">
        <f>IF(OR('Prediction Log'!L227="", Table12[[#This Row],[Bet]]="", Table12[[#This Row],[Bet]]="Spread"), "",IF('Prediction Log'!L227=Table12[[#This Row],[Side]], "W", IF('Prediction Log'!L227&lt;&gt;Table12[[#This Row],[Side]], "L", "")))</f>
      </c>
      <c r="AA226" s="59" t="str">
        <f t="shared" si="32"/>
      </c>
      <c r="AB226" s="67" t="str">
        <f>IF(OR(Table12[[#This Row],[Bet]]="Side",Table12[[#This Row],[Bet]]="", 'Prediction Log'!L227=""), "",IF('Prediction Log'!U227="Y", "W", IF('Prediction Log'!U227="N", "L", "")))</f>
      </c>
      <c r="AC226" s="59" t="str">
        <f t="shared" si="33"/>
      </c>
      <c r="AD226" s="67"/>
      <c r="AE226" s="65" t="str">
        <f t="shared" si="38"/>
      </c>
      <c r="AF2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7">
      <c r="A227" s="65" t="str">
        <f>IF(ISBLANK(Games!A227), "", Games!A227)</f>
      </c>
      <c r="B227" s="65" t="str">
        <f>IF('Prediction Log'!B228=0, "",'Prediction Log'!B228)</f>
      </c>
      <c r="C227" s="65" t="str">
        <f>IF('Prediction Log'!C228=0, "",'Prediction Log'!C228)</f>
      </c>
      <c r="D227" s="65" t="str">
        <f>IF('Prediction Log'!D228=0, "",'Prediction Log'!D228)</f>
      </c>
      <c r="E227" s="58" t="str">
        <f>IF('Prediction Log'!E228=0, "",'Prediction Log'!E228)</f>
      </c>
      <c r="F227" s="65" t="str">
        <f>IF('Prediction Log'!H228=0, "",'Prediction Log'!H228)</f>
      </c>
      <c r="G227" s="64" t="str">
        <f>IF(ISBLANK(Games!B227), "",'Prediction Log'!$I228)</f>
      </c>
      <c r="H227" s="66" t="n">
        <f>'Prediction Log'!$J228</f>
        <v>0</v>
      </c>
      <c r="I227" s="65" t="str">
        <f>IF(ISBLANK(Games!T227), "",IF(AND(Games!T227="",Games!U227=""),"",IF(ISTEXT(Games!U227), "Side",Games!T227)))</f>
      </c>
      <c r="J227" s="65" t="str">
        <f>IF(ISBLANK(Games!T227), "",IF(Table12[[#This Row],[Bet]]="Spread", Games!X227, ""))</f>
      </c>
      <c r="K227" s="65" t="str">
        <f>IF(ISBLANK(Games!U227), "",IF(ISTEXT(Games!U227), Games!U227, ""))</f>
      </c>
      <c r="L227" s="57" t="str">
        <f>IF(ISBLANK(Games!D227), "", Games!D227)</f>
      </c>
      <c r="M227" s="65"/>
      <c r="N227" s="75" t="str">
        <f>IF(Games!V227="", "",Games!V227)</f>
      </c>
      <c r="O227" s="75" t="str">
        <f>IF(Games!Z227=0, "",Games!Z227)</f>
      </c>
      <c r="P227" s="67"/>
      <c r="Q227" s="67" t="str">
        <f>IF(ISBLANK(Games!W227), "", Games!W227)</f>
      </c>
      <c r="R227" s="67" t="str">
        <f>IF(ISBLANK(Games!AA227), "", Games!AA227)</f>
      </c>
      <c r="S227" s="67"/>
      <c r="T227" s="68" t="str">
        <f t="shared" si="34"/>
      </c>
      <c r="U227" s="68" t="str">
        <f t="shared" si="35"/>
      </c>
      <c r="V227" s="68" t="str">
        <f t="shared" si="36"/>
      </c>
      <c r="W227" s="68" t="str">
        <f t="shared" si="37"/>
      </c>
      <c r="X227" s="68" t="n">
        <f t="shared" si="30"/>
        <v>0</v>
      </c>
      <c r="Y227" s="68" t="n">
        <f t="shared" si="31"/>
        <v>0</v>
      </c>
      <c r="Z227" s="67" t="str">
        <f>IF(OR('Prediction Log'!L228="", Table12[[#This Row],[Bet]]="", Table12[[#This Row],[Bet]]="Spread"), "",IF('Prediction Log'!L228=Table12[[#This Row],[Side]], "W", IF('Prediction Log'!L228&lt;&gt;Table12[[#This Row],[Side]], "L", "")))</f>
      </c>
      <c r="AA227" s="59" t="str">
        <f t="shared" si="32"/>
      </c>
      <c r="AB227" s="67" t="str">
        <f>IF(OR(Table12[[#This Row],[Bet]]="Side",Table12[[#This Row],[Bet]]="", 'Prediction Log'!L228=""), "",IF('Prediction Log'!U228="Y", "W", IF('Prediction Log'!U228="N", "L", "")))</f>
      </c>
      <c r="AC227" s="59" t="str">
        <f t="shared" si="33"/>
      </c>
      <c r="AD227" s="67"/>
      <c r="AE227" s="65" t="str">
        <f t="shared" si="38"/>
      </c>
      <c r="AF2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8">
      <c r="A228" s="65" t="str">
        <f>IF(ISBLANK(Games!A228), "", Games!A228)</f>
      </c>
      <c r="B228" s="65" t="str">
        <f>IF('Prediction Log'!B229=0, "",'Prediction Log'!B229)</f>
      </c>
      <c r="C228" s="65" t="str">
        <f>IF('Prediction Log'!C229=0, "",'Prediction Log'!C229)</f>
      </c>
      <c r="D228" s="65" t="str">
        <f>IF('Prediction Log'!D229=0, "",'Prediction Log'!D229)</f>
      </c>
      <c r="E228" s="58" t="str">
        <f>IF('Prediction Log'!E229=0, "",'Prediction Log'!E229)</f>
      </c>
      <c r="F228" s="65" t="str">
        <f>IF('Prediction Log'!H229=0, "",'Prediction Log'!H229)</f>
      </c>
      <c r="G228" s="64" t="str">
        <f>IF(ISBLANK(Games!B228), "",'Prediction Log'!$I229)</f>
      </c>
      <c r="H228" s="66" t="n">
        <f>'Prediction Log'!$J229</f>
        <v>0</v>
      </c>
      <c r="I228" s="65" t="str">
        <f>IF(ISBLANK(Games!T228), "",IF(AND(Games!T228="",Games!U228=""),"",IF(ISTEXT(Games!U228), "Side",Games!T228)))</f>
      </c>
      <c r="J228" s="65" t="str">
        <f>IF(ISBLANK(Games!T228), "",IF(Table12[[#This Row],[Bet]]="Spread", Games!X228, ""))</f>
      </c>
      <c r="K228" s="65" t="str">
        <f>IF(ISBLANK(Games!U228), "",IF(ISTEXT(Games!U228), Games!U228, ""))</f>
      </c>
      <c r="L228" s="57" t="str">
        <f>IF(ISBLANK(Games!D228), "", Games!D228)</f>
      </c>
      <c r="M228" s="65"/>
      <c r="N228" s="75" t="str">
        <f>IF(Games!V228="", "",Games!V228)</f>
      </c>
      <c r="O228" s="75" t="str">
        <f>IF(Games!Z228=0, "",Games!Z228)</f>
      </c>
      <c r="P228" s="67"/>
      <c r="Q228" s="67" t="str">
        <f>IF(ISBLANK(Games!W228), "", Games!W228)</f>
      </c>
      <c r="R228" s="67" t="str">
        <f>IF(ISBLANK(Games!AA228), "", Games!AA228)</f>
      </c>
      <c r="S228" s="67"/>
      <c r="T228" s="68" t="str">
        <f t="shared" si="34"/>
      </c>
      <c r="U228" s="68" t="str">
        <f t="shared" si="35"/>
      </c>
      <c r="V228" s="68" t="str">
        <f t="shared" si="36"/>
      </c>
      <c r="W228" s="68" t="str">
        <f t="shared" si="37"/>
      </c>
      <c r="X228" s="68" t="n">
        <f t="shared" si="30"/>
        <v>0</v>
      </c>
      <c r="Y228" s="68" t="n">
        <f t="shared" si="31"/>
        <v>0</v>
      </c>
      <c r="Z228" s="67" t="str">
        <f>IF(OR('Prediction Log'!L229="", Table12[[#This Row],[Bet]]="", Table12[[#This Row],[Bet]]="Spread"), "",IF('Prediction Log'!L229=Table12[[#This Row],[Side]], "W", IF('Prediction Log'!L229&lt;&gt;Table12[[#This Row],[Side]], "L", "")))</f>
      </c>
      <c r="AA228" s="59" t="str">
        <f t="shared" si="32"/>
      </c>
      <c r="AB228" s="67" t="str">
        <f>IF(OR(Table12[[#This Row],[Bet]]="Side",Table12[[#This Row],[Bet]]="", 'Prediction Log'!L229=""), "",IF('Prediction Log'!U229="Y", "W", IF('Prediction Log'!U229="N", "L", "")))</f>
      </c>
      <c r="AC228" s="59" t="str">
        <f t="shared" si="33"/>
      </c>
      <c r="AD228" s="67"/>
      <c r="AE228" s="65" t="str">
        <f t="shared" si="38"/>
      </c>
      <c r="AF2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9">
      <c r="A229" s="65" t="str">
        <f>IF(ISBLANK(Games!A229), "", Games!A229)</f>
      </c>
      <c r="B229" s="65" t="str">
        <f>IF('Prediction Log'!B230=0, "",'Prediction Log'!B230)</f>
      </c>
      <c r="C229" s="65" t="str">
        <f>IF('Prediction Log'!C230=0, "",'Prediction Log'!C230)</f>
      </c>
      <c r="D229" s="65" t="str">
        <f>IF('Prediction Log'!D230=0, "",'Prediction Log'!D230)</f>
      </c>
      <c r="E229" s="58" t="str">
        <f>IF('Prediction Log'!E230=0, "",'Prediction Log'!E230)</f>
      </c>
      <c r="F229" s="65" t="str">
        <f>IF('Prediction Log'!H230=0, "",'Prediction Log'!H230)</f>
      </c>
      <c r="G229" s="64" t="str">
        <f>IF(ISBLANK(Games!B229), "",'Prediction Log'!$I230)</f>
      </c>
      <c r="H229" s="66" t="n">
        <f>'Prediction Log'!$J230</f>
        <v>0</v>
      </c>
      <c r="I229" s="65" t="str">
        <f>IF(ISBLANK(Games!T229), "",IF(AND(Games!T229="",Games!U229=""),"",IF(ISTEXT(Games!U229), "Side",Games!T229)))</f>
      </c>
      <c r="J229" s="65" t="str">
        <f>IF(ISBLANK(Games!T229), "",IF(Table12[[#This Row],[Bet]]="Spread", Games!X229, ""))</f>
      </c>
      <c r="K229" s="65" t="str">
        <f>IF(ISBLANK(Games!U229), "",IF(ISTEXT(Games!U229), Games!U229, ""))</f>
      </c>
      <c r="L229" s="57" t="str">
        <f>IF(ISBLANK(Games!D229), "", Games!D229)</f>
      </c>
      <c r="M229" s="65"/>
      <c r="N229" s="75" t="str">
        <f>IF(Games!V229="", "",Games!V229)</f>
      </c>
      <c r="O229" s="75" t="str">
        <f>IF(Games!Z229=0, "",Games!Z229)</f>
      </c>
      <c r="P229" s="67"/>
      <c r="Q229" s="67" t="str">
        <f>IF(ISBLANK(Games!W229), "", Games!W229)</f>
      </c>
      <c r="R229" s="67" t="str">
        <f>IF(ISBLANK(Games!AA229), "", Games!AA229)</f>
      </c>
      <c r="S229" s="67"/>
      <c r="T229" s="68" t="str">
        <f t="shared" si="34"/>
      </c>
      <c r="U229" s="68" t="str">
        <f t="shared" si="35"/>
      </c>
      <c r="V229" s="68" t="str">
        <f t="shared" si="36"/>
      </c>
      <c r="W229" s="68" t="str">
        <f t="shared" si="37"/>
      </c>
      <c r="X229" s="68" t="n">
        <f t="shared" si="30"/>
        <v>0</v>
      </c>
      <c r="Y229" s="68" t="n">
        <f t="shared" si="31"/>
        <v>0</v>
      </c>
      <c r="Z229" s="67" t="str">
        <f>IF(OR('Prediction Log'!L230="", Table12[[#This Row],[Bet]]="", Table12[[#This Row],[Bet]]="Spread"), "",IF('Prediction Log'!L230=Table12[[#This Row],[Side]], "W", IF('Prediction Log'!L230&lt;&gt;Table12[[#This Row],[Side]], "L", "")))</f>
      </c>
      <c r="AA229" s="59" t="str">
        <f t="shared" si="32"/>
      </c>
      <c r="AB229" s="67" t="str">
        <f>IF(OR(Table12[[#This Row],[Bet]]="Side",Table12[[#This Row],[Bet]]="", 'Prediction Log'!L230=""), "",IF('Prediction Log'!U230="Y", "W", IF('Prediction Log'!U230="N", "L", "")))</f>
      </c>
      <c r="AC229" s="59" t="str">
        <f t="shared" si="33"/>
      </c>
      <c r="AD229" s="67"/>
      <c r="AE229" s="65" t="str">
        <f t="shared" si="38"/>
      </c>
      <c r="AF2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0">
      <c r="A230" s="65" t="str">
        <f>IF(ISBLANK(Games!A230), "", Games!A230)</f>
      </c>
      <c r="B230" s="65" t="str">
        <f>IF('Prediction Log'!B231=0, "",'Prediction Log'!B231)</f>
      </c>
      <c r="C230" s="65" t="str">
        <f>IF('Prediction Log'!C231=0, "",'Prediction Log'!C231)</f>
      </c>
      <c r="D230" s="65" t="str">
        <f>IF('Prediction Log'!D231=0, "",'Prediction Log'!D231)</f>
      </c>
      <c r="E230" s="58" t="str">
        <f>IF('Prediction Log'!E231=0, "",'Prediction Log'!E231)</f>
      </c>
      <c r="F230" s="65" t="str">
        <f>IF('Prediction Log'!H231=0, "",'Prediction Log'!H231)</f>
      </c>
      <c r="G230" s="64" t="str">
        <f>IF(ISBLANK(Games!B230), "",'Prediction Log'!$I231)</f>
      </c>
      <c r="H230" s="66" t="n">
        <f>'Prediction Log'!$J231</f>
        <v>0</v>
      </c>
      <c r="I230" s="65" t="str">
        <f>IF(ISBLANK(Games!T230), "",IF(AND(Games!T230="",Games!U230=""),"",IF(ISTEXT(Games!U230), "Side",Games!T230)))</f>
      </c>
      <c r="J230" s="65" t="str">
        <f>IF(ISBLANK(Games!T230), "",IF(Table12[[#This Row],[Bet]]="Spread", Games!X230, ""))</f>
      </c>
      <c r="K230" s="65" t="str">
        <f>IF(ISBLANK(Games!U230), "",IF(ISTEXT(Games!U230), Games!U230, ""))</f>
      </c>
      <c r="L230" s="57" t="str">
        <f>IF(ISBLANK(Games!D230), "", Games!D230)</f>
      </c>
      <c r="M230" s="65"/>
      <c r="N230" s="75" t="str">
        <f>IF(Games!V230="", "",Games!V230)</f>
      </c>
      <c r="O230" s="75" t="str">
        <f>IF(Games!Z230=0, "",Games!Z230)</f>
      </c>
      <c r="P230" s="67"/>
      <c r="Q230" s="67" t="str">
        <f>IF(ISBLANK(Games!W230), "", Games!W230)</f>
      </c>
      <c r="R230" s="67" t="str">
        <f>IF(ISBLANK(Games!AA230), "", Games!AA230)</f>
      </c>
      <c r="S230" s="67"/>
      <c r="T230" s="68" t="str">
        <f t="shared" si="34"/>
      </c>
      <c r="U230" s="68" t="str">
        <f t="shared" si="35"/>
      </c>
      <c r="V230" s="68" t="str">
        <f t="shared" si="36"/>
      </c>
      <c r="W230" s="68" t="str">
        <f t="shared" si="37"/>
      </c>
      <c r="X230" s="68" t="n">
        <f t="shared" ref="X230:X293" si="39">P230+IF(S230&lt;0, (P230/(S230/-100)), P230*(S230/100))</f>
        <v>0</v>
      </c>
      <c r="Y230" s="68" t="n">
        <f t="shared" ref="Y230:Y293" si="40">S230-P230</f>
        <v>0</v>
      </c>
      <c r="Z230" s="67" t="str">
        <f>IF(OR('Prediction Log'!L231="", Table12[[#This Row],[Bet]]="", Table12[[#This Row],[Bet]]="Spread"), "",IF('Prediction Log'!L231=Table12[[#This Row],[Side]], "W", IF('Prediction Log'!L231&lt;&gt;Table12[[#This Row],[Side]], "L", "")))</f>
      </c>
      <c r="AA230" s="59" t="str">
        <f t="shared" ref="AA230:AA293" si="41">IF(Z230="W", U230, IF(Z230="L",-N230, ""))</f>
      </c>
      <c r="AB230" s="67" t="str">
        <f>IF(OR(Table12[[#This Row],[Bet]]="Side",Table12[[#This Row],[Bet]]="", 'Prediction Log'!L231=""), "",IF('Prediction Log'!U231="Y", "W", IF('Prediction Log'!U231="N", "L", "")))</f>
      </c>
      <c r="AC230" s="59" t="str">
        <f t="shared" si="33"/>
      </c>
      <c r="AD230" s="67"/>
      <c r="AE230" s="65" t="str">
        <f t="shared" si="38"/>
      </c>
      <c r="AF2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1">
      <c r="A231" s="65" t="str">
        <f>IF(ISBLANK(Games!A231), "", Games!A231)</f>
      </c>
      <c r="B231" s="65" t="str">
        <f>IF('Prediction Log'!B232=0, "",'Prediction Log'!B232)</f>
      </c>
      <c r="C231" s="65" t="str">
        <f>IF('Prediction Log'!C232=0, "",'Prediction Log'!C232)</f>
      </c>
      <c r="D231" s="65" t="str">
        <f>IF('Prediction Log'!D232=0, "",'Prediction Log'!D232)</f>
      </c>
      <c r="E231" s="58" t="str">
        <f>IF('Prediction Log'!E232=0, "",'Prediction Log'!E232)</f>
      </c>
      <c r="F231" s="65" t="str">
        <f>IF('Prediction Log'!H232=0, "",'Prediction Log'!H232)</f>
      </c>
      <c r="G231" s="64" t="str">
        <f>IF(ISBLANK(Games!B231), "",'Prediction Log'!$I232)</f>
      </c>
      <c r="H231" s="66" t="n">
        <f>'Prediction Log'!$J232</f>
        <v>0</v>
      </c>
      <c r="I231" s="65" t="str">
        <f>IF(ISBLANK(Games!T231), "",IF(AND(Games!T231="",Games!U231=""),"",IF(ISTEXT(Games!U231), "Side",Games!T231)))</f>
      </c>
      <c r="J231" s="65" t="str">
        <f>IF(ISBLANK(Games!T231), "",IF(Table12[[#This Row],[Bet]]="Spread", Games!X231, ""))</f>
      </c>
      <c r="K231" s="65" t="str">
        <f>IF(ISBLANK(Games!U231), "",IF(ISTEXT(Games!U231), Games!U231, ""))</f>
      </c>
      <c r="L231" s="57" t="str">
        <f>IF(ISBLANK(Games!D231), "", Games!D231)</f>
      </c>
      <c r="M231" s="65"/>
      <c r="N231" s="75" t="str">
        <f>IF(Games!V231="", "",Games!V231)</f>
      </c>
      <c r="O231" s="75" t="str">
        <f>IF(Games!Z231=0, "",Games!Z231)</f>
      </c>
      <c r="P231" s="67"/>
      <c r="Q231" s="67" t="str">
        <f>IF(ISBLANK(Games!W231), "", Games!W231)</f>
      </c>
      <c r="R231" s="67" t="str">
        <f>IF(ISBLANK(Games!AA231), "", Games!AA231)</f>
      </c>
      <c r="S231" s="67"/>
      <c r="T231" s="68" t="str">
        <f t="shared" si="34"/>
      </c>
      <c r="U231" s="68" t="str">
        <f t="shared" si="35"/>
      </c>
      <c r="V231" s="68" t="str">
        <f t="shared" si="36"/>
      </c>
      <c r="W231" s="68" t="str">
        <f t="shared" si="37"/>
      </c>
      <c r="X231" s="68" t="n">
        <f t="shared" si="39"/>
        <v>0</v>
      </c>
      <c r="Y231" s="68" t="n">
        <f t="shared" si="40"/>
        <v>0</v>
      </c>
      <c r="Z231" s="67" t="str">
        <f>IF(OR('Prediction Log'!L232="", Table12[[#This Row],[Bet]]="", Table12[[#This Row],[Bet]]="Spread"), "",IF('Prediction Log'!L232=Table12[[#This Row],[Side]], "W", IF('Prediction Log'!L232&lt;&gt;Table12[[#This Row],[Side]], "L", "")))</f>
      </c>
      <c r="AA231" s="59" t="str">
        <f t="shared" si="41"/>
      </c>
      <c r="AB231" s="67" t="str">
        <f>IF(OR(Table12[[#This Row],[Bet]]="Side",Table12[[#This Row],[Bet]]="", 'Prediction Log'!L232=""), "",IF('Prediction Log'!U232="Y", "W", IF('Prediction Log'!U232="N", "L", "")))</f>
      </c>
      <c r="AC231" s="59" t="str">
        <f t="shared" si="33"/>
      </c>
      <c r="AD231" s="67"/>
      <c r="AE231" s="65" t="str">
        <f t="shared" si="38"/>
      </c>
      <c r="AF2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2">
      <c r="A232" s="65" t="str">
        <f>IF(ISBLANK(Games!A232), "", Games!A232)</f>
      </c>
      <c r="B232" s="65" t="str">
        <f>IF('Prediction Log'!B233=0, "",'Prediction Log'!B233)</f>
      </c>
      <c r="C232" s="65" t="str">
        <f>IF('Prediction Log'!C233=0, "",'Prediction Log'!C233)</f>
      </c>
      <c r="D232" s="65" t="str">
        <f>IF('Prediction Log'!D233=0, "",'Prediction Log'!D233)</f>
      </c>
      <c r="E232" s="58" t="str">
        <f>IF('Prediction Log'!E233=0, "",'Prediction Log'!E233)</f>
      </c>
      <c r="F232" s="65" t="str">
        <f>IF('Prediction Log'!H233=0, "",'Prediction Log'!H233)</f>
      </c>
      <c r="G232" s="64" t="str">
        <f>IF(ISBLANK(Games!B232), "",'Prediction Log'!$I233)</f>
      </c>
      <c r="H232" s="66" t="n">
        <f>'Prediction Log'!$J233</f>
        <v>0</v>
      </c>
      <c r="I232" s="65" t="str">
        <f>IF(ISBLANK(Games!T232), "",IF(AND(Games!T232="",Games!U232=""),"",IF(ISTEXT(Games!U232), "Side",Games!T232)))</f>
      </c>
      <c r="J232" s="65" t="str">
        <f>IF(ISBLANK(Games!T232), "",IF(Table12[[#This Row],[Bet]]="Spread", Games!X232, ""))</f>
      </c>
      <c r="K232" s="65" t="str">
        <f>IF(ISBLANK(Games!U232), "",IF(ISTEXT(Games!U232), Games!U232, ""))</f>
      </c>
      <c r="L232" s="57" t="str">
        <f>IF(ISBLANK(Games!D232), "", Games!D232)</f>
      </c>
      <c r="M232" s="65"/>
      <c r="N232" s="75" t="str">
        <f>IF(Games!V232="", "",Games!V232)</f>
      </c>
      <c r="O232" s="75" t="str">
        <f>IF(Games!Z232=0, "",Games!Z232)</f>
      </c>
      <c r="P232" s="67"/>
      <c r="Q232" s="67" t="str">
        <f>IF(ISBLANK(Games!W232), "", Games!W232)</f>
      </c>
      <c r="R232" s="67" t="str">
        <f>IF(ISBLANK(Games!AA232), "", Games!AA232)</f>
      </c>
      <c r="S232" s="67"/>
      <c r="T232" s="68" t="str">
        <f t="shared" si="34"/>
      </c>
      <c r="U232" s="68" t="str">
        <f t="shared" si="35"/>
      </c>
      <c r="V232" s="68" t="str">
        <f t="shared" si="36"/>
      </c>
      <c r="W232" s="68" t="str">
        <f t="shared" si="37"/>
      </c>
      <c r="X232" s="68" t="n">
        <f t="shared" si="39"/>
        <v>0</v>
      </c>
      <c r="Y232" s="68" t="n">
        <f t="shared" si="40"/>
        <v>0</v>
      </c>
      <c r="Z232" s="67" t="str">
        <f>IF(OR('Prediction Log'!L233="", Table12[[#This Row],[Bet]]="", Table12[[#This Row],[Bet]]="Spread"), "",IF('Prediction Log'!L233=Table12[[#This Row],[Side]], "W", IF('Prediction Log'!L233&lt;&gt;Table12[[#This Row],[Side]], "L", "")))</f>
      </c>
      <c r="AA232" s="59" t="str">
        <f t="shared" si="41"/>
      </c>
      <c r="AB232" s="67" t="str">
        <f>IF(OR(Table12[[#This Row],[Bet]]="Side",Table12[[#This Row],[Bet]]="", 'Prediction Log'!L233=""), "",IF('Prediction Log'!U233="Y", "W", IF('Prediction Log'!U233="N", "L", "")))</f>
      </c>
      <c r="AC232" s="59" t="str">
        <f t="shared" si="33"/>
      </c>
      <c r="AD232" s="67"/>
      <c r="AE232" s="65" t="str">
        <f t="shared" si="38"/>
      </c>
      <c r="AF2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3">
      <c r="A233" s="65" t="str">
        <f>IF(ISBLANK(Games!A233), "", Games!A233)</f>
      </c>
      <c r="B233" s="65" t="str">
        <f>IF('Prediction Log'!B234=0, "",'Prediction Log'!B234)</f>
      </c>
      <c r="C233" s="65" t="str">
        <f>IF('Prediction Log'!C234=0, "",'Prediction Log'!C234)</f>
      </c>
      <c r="D233" s="65" t="str">
        <f>IF('Prediction Log'!D234=0, "",'Prediction Log'!D234)</f>
      </c>
      <c r="E233" s="58" t="str">
        <f>IF('Prediction Log'!E234=0, "",'Prediction Log'!E234)</f>
      </c>
      <c r="F233" s="65" t="str">
        <f>IF('Prediction Log'!H234=0, "",'Prediction Log'!H234)</f>
      </c>
      <c r="G233" s="64" t="str">
        <f>IF(ISBLANK(Games!B233), "",'Prediction Log'!$I234)</f>
      </c>
      <c r="H233" s="66" t="n">
        <f>'Prediction Log'!$J234</f>
        <v>0</v>
      </c>
      <c r="I233" s="65" t="str">
        <f>IF(ISBLANK(Games!T233), "",IF(AND(Games!T233="",Games!U233=""),"",IF(ISTEXT(Games!U233), "Side",Games!T233)))</f>
      </c>
      <c r="J233" s="65" t="str">
        <f>IF(ISBLANK(Games!T233), "",IF(Table12[[#This Row],[Bet]]="Spread", Games!X233, ""))</f>
      </c>
      <c r="K233" s="65" t="str">
        <f>IF(ISBLANK(Games!U233), "",IF(ISTEXT(Games!U233), Games!U233, ""))</f>
      </c>
      <c r="L233" s="57" t="str">
        <f>IF(ISBLANK(Games!D233), "", Games!D233)</f>
      </c>
      <c r="M233" s="65"/>
      <c r="N233" s="75" t="str">
        <f>IF(Games!V233="", "",Games!V233)</f>
      </c>
      <c r="O233" s="75" t="str">
        <f>IF(Games!Z233=0, "",Games!Z233)</f>
      </c>
      <c r="P233" s="67"/>
      <c r="Q233" s="67" t="str">
        <f>IF(ISBLANK(Games!W233), "", Games!W233)</f>
      </c>
      <c r="R233" s="67" t="str">
        <f>IF(ISBLANK(Games!AA233), "", Games!AA233)</f>
      </c>
      <c r="S233" s="67"/>
      <c r="T233" s="68" t="str">
        <f t="shared" si="34"/>
      </c>
      <c r="U233" s="68" t="str">
        <f t="shared" si="35"/>
      </c>
      <c r="V233" s="68" t="str">
        <f t="shared" si="36"/>
      </c>
      <c r="W233" s="68" t="str">
        <f t="shared" si="37"/>
      </c>
      <c r="X233" s="68" t="n">
        <f t="shared" si="39"/>
        <v>0</v>
      </c>
      <c r="Y233" s="68" t="n">
        <f t="shared" si="40"/>
        <v>0</v>
      </c>
      <c r="Z233" s="67" t="str">
        <f>IF(OR('Prediction Log'!L234="", Table12[[#This Row],[Bet]]="", Table12[[#This Row],[Bet]]="Spread"), "",IF('Prediction Log'!L234=Table12[[#This Row],[Side]], "W", IF('Prediction Log'!L234&lt;&gt;Table12[[#This Row],[Side]], "L", "")))</f>
      </c>
      <c r="AA233" s="59" t="str">
        <f t="shared" si="41"/>
      </c>
      <c r="AB233" s="67" t="str">
        <f>IF(OR(Table12[[#This Row],[Bet]]="Side",Table12[[#This Row],[Bet]]="", 'Prediction Log'!L234=""), "",IF('Prediction Log'!U234="Y", "W", IF('Prediction Log'!U234="N", "L", "")))</f>
      </c>
      <c r="AC233" s="59" t="str">
        <f t="shared" si="33"/>
      </c>
      <c r="AD233" s="67"/>
      <c r="AE233" s="65" t="str">
        <f t="shared" si="38"/>
      </c>
      <c r="AF2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4">
      <c r="A234" s="65" t="str">
        <f>IF(ISBLANK(Games!A234), "", Games!A234)</f>
      </c>
      <c r="B234" s="65" t="str">
        <f>IF('Prediction Log'!B235=0, "",'Prediction Log'!B235)</f>
      </c>
      <c r="C234" s="65" t="str">
        <f>IF('Prediction Log'!C235=0, "",'Prediction Log'!C235)</f>
      </c>
      <c r="D234" s="65" t="str">
        <f>IF('Prediction Log'!D235=0, "",'Prediction Log'!D235)</f>
      </c>
      <c r="E234" s="58" t="str">
        <f>IF('Prediction Log'!E235=0, "",'Prediction Log'!E235)</f>
      </c>
      <c r="F234" s="65" t="str">
        <f>IF('Prediction Log'!H235=0, "",'Prediction Log'!H235)</f>
      </c>
      <c r="G234" s="64" t="str">
        <f>IF(ISBLANK(Games!B234), "",'Prediction Log'!$I235)</f>
      </c>
      <c r="H234" s="66" t="n">
        <f>'Prediction Log'!$J235</f>
        <v>0</v>
      </c>
      <c r="I234" s="65" t="str">
        <f>IF(ISBLANK(Games!T234), "",IF(AND(Games!T234="",Games!U234=""),"",IF(ISTEXT(Games!U234), "Side",Games!T234)))</f>
      </c>
      <c r="J234" s="65" t="str">
        <f>IF(ISBLANK(Games!T234), "",IF(Table12[[#This Row],[Bet]]="Spread", Games!X234, ""))</f>
      </c>
      <c r="K234" s="65" t="str">
        <f>IF(ISBLANK(Games!U234), "",IF(ISTEXT(Games!U234), Games!U234, ""))</f>
      </c>
      <c r="L234" s="57" t="str">
        <f>IF(ISBLANK(Games!D234), "", Games!D234)</f>
      </c>
      <c r="M234" s="65"/>
      <c r="N234" s="75" t="str">
        <f>IF(Games!V234="", "",Games!V234)</f>
      </c>
      <c r="O234" s="75" t="str">
        <f>IF(Games!Z234=0, "",Games!Z234)</f>
      </c>
      <c r="P234" s="67"/>
      <c r="Q234" s="67" t="str">
        <f>IF(ISBLANK(Games!W234), "", Games!W234)</f>
      </c>
      <c r="R234" s="67" t="str">
        <f>IF(ISBLANK(Games!AA234), "", Games!AA234)</f>
      </c>
      <c r="S234" s="67"/>
      <c r="T234" s="68" t="str">
        <f t="shared" si="34"/>
      </c>
      <c r="U234" s="68" t="str">
        <f t="shared" si="35"/>
      </c>
      <c r="V234" s="68" t="str">
        <f t="shared" si="36"/>
      </c>
      <c r="W234" s="68" t="str">
        <f t="shared" si="37"/>
      </c>
      <c r="X234" s="68" t="n">
        <f t="shared" si="39"/>
        <v>0</v>
      </c>
      <c r="Y234" s="68" t="n">
        <f t="shared" si="40"/>
        <v>0</v>
      </c>
      <c r="Z234" s="67" t="str">
        <f>IF(OR('Prediction Log'!L235="", Table12[[#This Row],[Bet]]="", Table12[[#This Row],[Bet]]="Spread"), "",IF('Prediction Log'!L235=Table12[[#This Row],[Side]], "W", IF('Prediction Log'!L235&lt;&gt;Table12[[#This Row],[Side]], "L", "")))</f>
      </c>
      <c r="AA234" s="59" t="str">
        <f t="shared" si="41"/>
      </c>
      <c r="AB234" s="67" t="str">
        <f>IF(OR(Table12[[#This Row],[Bet]]="Side",Table12[[#This Row],[Bet]]="", 'Prediction Log'!L235=""), "",IF('Prediction Log'!U235="Y", "W", IF('Prediction Log'!U235="N", "L", "")))</f>
      </c>
      <c r="AC234" s="59" t="str">
        <f t="shared" si="33"/>
      </c>
      <c r="AD234" s="67"/>
      <c r="AE234" s="65" t="str">
        <f t="shared" si="38"/>
      </c>
      <c r="AF2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5">
      <c r="A235" s="65" t="str">
        <f>IF(ISBLANK(Games!A235), "", Games!A235)</f>
      </c>
      <c r="B235" s="65" t="str">
        <f>IF('Prediction Log'!B236=0, "",'Prediction Log'!B236)</f>
      </c>
      <c r="C235" s="65" t="str">
        <f>IF('Prediction Log'!C236=0, "",'Prediction Log'!C236)</f>
      </c>
      <c r="D235" s="65" t="str">
        <f>IF('Prediction Log'!D236=0, "",'Prediction Log'!D236)</f>
      </c>
      <c r="E235" s="58" t="str">
        <f>IF('Prediction Log'!E236=0, "",'Prediction Log'!E236)</f>
      </c>
      <c r="F235" s="65" t="str">
        <f>IF('Prediction Log'!H236=0, "",'Prediction Log'!H236)</f>
      </c>
      <c r="G235" s="64" t="str">
        <f>IF(ISBLANK(Games!B235), "",'Prediction Log'!$I236)</f>
      </c>
      <c r="H235" s="66" t="n">
        <f>'Prediction Log'!$J236</f>
        <v>0</v>
      </c>
      <c r="I235" s="65" t="str">
        <f>IF(ISBLANK(Games!T235), "",IF(AND(Games!T235="",Games!U235=""),"",IF(ISTEXT(Games!U235), "Side",Games!T235)))</f>
      </c>
      <c r="J235" s="65" t="str">
        <f>IF(ISBLANK(Games!T235), "",IF(Table12[[#This Row],[Bet]]="Spread", Games!X235, ""))</f>
      </c>
      <c r="K235" s="65" t="str">
        <f>IF(ISBLANK(Games!U235), "",IF(ISTEXT(Games!U235), Games!U235, ""))</f>
      </c>
      <c r="L235" s="57" t="str">
        <f>IF(ISBLANK(Games!D235), "", Games!D235)</f>
      </c>
      <c r="M235" s="65"/>
      <c r="N235" s="75" t="str">
        <f>IF(Games!V235="", "",Games!V235)</f>
      </c>
      <c r="O235" s="75" t="str">
        <f>IF(Games!Z235=0, "",Games!Z235)</f>
      </c>
      <c r="P235" s="67"/>
      <c r="Q235" s="67" t="str">
        <f>IF(ISBLANK(Games!W235), "", Games!W235)</f>
      </c>
      <c r="R235" s="67" t="str">
        <f>IF(ISBLANK(Games!AA235), "", Games!AA235)</f>
      </c>
      <c r="S235" s="67"/>
      <c r="T235" s="68" t="str">
        <f t="shared" si="34"/>
      </c>
      <c r="U235" s="68" t="str">
        <f t="shared" si="35"/>
      </c>
      <c r="V235" s="68" t="str">
        <f t="shared" si="36"/>
      </c>
      <c r="W235" s="68" t="str">
        <f t="shared" si="37"/>
      </c>
      <c r="X235" s="68" t="n">
        <f t="shared" si="39"/>
        <v>0</v>
      </c>
      <c r="Y235" s="68" t="n">
        <f t="shared" si="40"/>
        <v>0</v>
      </c>
      <c r="Z235" s="67" t="str">
        <f>IF(OR('Prediction Log'!L236="", Table12[[#This Row],[Bet]]="", Table12[[#This Row],[Bet]]="Spread"), "",IF('Prediction Log'!L236=Table12[[#This Row],[Side]], "W", IF('Prediction Log'!L236&lt;&gt;Table12[[#This Row],[Side]], "L", "")))</f>
      </c>
      <c r="AA235" s="59" t="str">
        <f t="shared" si="41"/>
      </c>
      <c r="AB235" s="67" t="str">
        <f>IF(OR(Table12[[#This Row],[Bet]]="Side",Table12[[#This Row],[Bet]]="", 'Prediction Log'!L236=""), "",IF('Prediction Log'!U236="Y", "W", IF('Prediction Log'!U236="N", "L", "")))</f>
      </c>
      <c r="AC235" s="59" t="str">
        <f t="shared" si="33"/>
      </c>
      <c r="AD235" s="67"/>
      <c r="AE235" s="65" t="str">
        <f t="shared" si="38"/>
      </c>
      <c r="AF2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6">
      <c r="A236" s="65" t="str">
        <f>IF(ISBLANK(Games!A236), "", Games!A236)</f>
      </c>
      <c r="B236" s="65" t="str">
        <f>IF('Prediction Log'!B237=0, "",'Prediction Log'!B237)</f>
      </c>
      <c r="C236" s="65" t="str">
        <f>IF('Prediction Log'!C237=0, "",'Prediction Log'!C237)</f>
      </c>
      <c r="D236" s="65" t="str">
        <f>IF('Prediction Log'!D237=0, "",'Prediction Log'!D237)</f>
      </c>
      <c r="E236" s="58" t="str">
        <f>IF('Prediction Log'!E237=0, "",'Prediction Log'!E237)</f>
      </c>
      <c r="F236" s="65" t="str">
        <f>IF('Prediction Log'!H237=0, "",'Prediction Log'!H237)</f>
      </c>
      <c r="G236" s="64" t="str">
        <f>IF(ISBLANK(Games!B236), "",'Prediction Log'!$I237)</f>
      </c>
      <c r="H236" s="66" t="n">
        <f>'Prediction Log'!$J237</f>
        <v>0</v>
      </c>
      <c r="I236" s="65" t="str">
        <f>IF(ISBLANK(Games!T236), "",IF(AND(Games!T236="",Games!U236=""),"",IF(ISTEXT(Games!U236), "Side",Games!T236)))</f>
      </c>
      <c r="J236" s="65" t="str">
        <f>IF(ISBLANK(Games!T236), "",IF(Table12[[#This Row],[Bet]]="Spread", Games!X236, ""))</f>
      </c>
      <c r="K236" s="65" t="str">
        <f>IF(ISBLANK(Games!U236), "",IF(ISTEXT(Games!U236), Games!U236, ""))</f>
      </c>
      <c r="L236" s="57" t="str">
        <f>IF(ISBLANK(Games!D236), "", Games!D236)</f>
      </c>
      <c r="M236" s="65"/>
      <c r="N236" s="75" t="str">
        <f>IF(Games!V236="", "",Games!V236)</f>
      </c>
      <c r="O236" s="75" t="str">
        <f>IF(Games!Z236=0, "",Games!Z236)</f>
      </c>
      <c r="P236" s="67"/>
      <c r="Q236" s="67" t="str">
        <f>IF(ISBLANK(Games!W236), "", Games!W236)</f>
      </c>
      <c r="R236" s="67" t="str">
        <f>IF(ISBLANK(Games!AA236), "", Games!AA236)</f>
      </c>
      <c r="S236" s="67"/>
      <c r="T236" s="68" t="str">
        <f t="shared" si="34"/>
      </c>
      <c r="U236" s="68" t="str">
        <f t="shared" si="35"/>
      </c>
      <c r="V236" s="68" t="str">
        <f t="shared" si="36"/>
      </c>
      <c r="W236" s="68" t="str">
        <f t="shared" si="37"/>
      </c>
      <c r="X236" s="68" t="n">
        <f t="shared" si="39"/>
        <v>0</v>
      </c>
      <c r="Y236" s="68" t="n">
        <f t="shared" si="40"/>
        <v>0</v>
      </c>
      <c r="Z236" s="67" t="str">
        <f>IF(OR('Prediction Log'!L237="", Table12[[#This Row],[Bet]]="", Table12[[#This Row],[Bet]]="Spread"), "",IF('Prediction Log'!L237=Table12[[#This Row],[Side]], "W", IF('Prediction Log'!L237&lt;&gt;Table12[[#This Row],[Side]], "L", "")))</f>
      </c>
      <c r="AA236" s="59" t="str">
        <f t="shared" si="41"/>
      </c>
      <c r="AB236" s="67" t="str">
        <f>IF(OR(Table12[[#This Row],[Bet]]="Side",Table12[[#This Row],[Bet]]="", 'Prediction Log'!L237=""), "",IF('Prediction Log'!U237="Y", "W", IF('Prediction Log'!U237="N", "L", "")))</f>
      </c>
      <c r="AC236" s="59" t="str">
        <f t="shared" si="33"/>
      </c>
      <c r="AD236" s="67"/>
      <c r="AE236" s="65" t="str">
        <f t="shared" si="38"/>
      </c>
      <c r="AF2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7">
      <c r="A237" s="65" t="str">
        <f>IF(ISBLANK(Games!A237), "", Games!A237)</f>
      </c>
      <c r="B237" s="65" t="str">
        <f>IF('Prediction Log'!B238=0, "",'Prediction Log'!B238)</f>
      </c>
      <c r="C237" s="65" t="str">
        <f>IF('Prediction Log'!C238=0, "",'Prediction Log'!C238)</f>
      </c>
      <c r="D237" s="65" t="str">
        <f>IF('Prediction Log'!D238=0, "",'Prediction Log'!D238)</f>
      </c>
      <c r="E237" s="58" t="str">
        <f>IF('Prediction Log'!E238=0, "",'Prediction Log'!E238)</f>
      </c>
      <c r="F237" s="65" t="str">
        <f>IF('Prediction Log'!H238=0, "",'Prediction Log'!H238)</f>
      </c>
      <c r="G237" s="64" t="str">
        <f>IF(ISBLANK(Games!B237), "",'Prediction Log'!$I238)</f>
      </c>
      <c r="H237" s="66" t="n">
        <f>'Prediction Log'!$J238</f>
        <v>0</v>
      </c>
      <c r="I237" s="65" t="str">
        <f>IF(ISBLANK(Games!T237), "",IF(AND(Games!T237="",Games!U237=""),"",IF(ISTEXT(Games!U237), "Side",Games!T237)))</f>
      </c>
      <c r="J237" s="65" t="str">
        <f>IF(ISBLANK(Games!T237), "",IF(Table12[[#This Row],[Bet]]="Spread", Games!X237, ""))</f>
      </c>
      <c r="K237" s="65" t="str">
        <f>IF(ISBLANK(Games!U237), "",IF(ISTEXT(Games!U237), Games!U237, ""))</f>
      </c>
      <c r="L237" s="57" t="str">
        <f>IF(ISBLANK(Games!D237), "", Games!D237)</f>
      </c>
      <c r="M237" s="65"/>
      <c r="N237" s="75" t="str">
        <f>IF(Games!V237="", "",Games!V237)</f>
      </c>
      <c r="O237" s="75" t="str">
        <f>IF(Games!Z237=0, "",Games!Z237)</f>
      </c>
      <c r="P237" s="67"/>
      <c r="Q237" s="67" t="str">
        <f>IF(ISBLANK(Games!W237), "", Games!W237)</f>
      </c>
      <c r="R237" s="67" t="str">
        <f>IF(ISBLANK(Games!AA237), "", Games!AA237)</f>
      </c>
      <c r="S237" s="67"/>
      <c r="T237" s="68" t="str">
        <f t="shared" si="34"/>
      </c>
      <c r="U237" s="68" t="str">
        <f t="shared" si="35"/>
      </c>
      <c r="V237" s="68" t="str">
        <f t="shared" si="36"/>
      </c>
      <c r="W237" s="68" t="str">
        <f t="shared" si="37"/>
      </c>
      <c r="X237" s="68" t="n">
        <f t="shared" si="39"/>
        <v>0</v>
      </c>
      <c r="Y237" s="68" t="n">
        <f t="shared" si="40"/>
        <v>0</v>
      </c>
      <c r="Z237" s="67" t="str">
        <f>IF(OR('Prediction Log'!L238="", Table12[[#This Row],[Bet]]="", Table12[[#This Row],[Bet]]="Spread"), "",IF('Prediction Log'!L238=Table12[[#This Row],[Side]], "W", IF('Prediction Log'!L238&lt;&gt;Table12[[#This Row],[Side]], "L", "")))</f>
      </c>
      <c r="AA237" s="59" t="str">
        <f t="shared" si="41"/>
      </c>
      <c r="AB237" s="67" t="str">
        <f>IF(OR(Table12[[#This Row],[Bet]]="Side",Table12[[#This Row],[Bet]]="", 'Prediction Log'!L238=""), "",IF('Prediction Log'!U238="Y", "W", IF('Prediction Log'!U238="N", "L", "")))</f>
      </c>
      <c r="AC237" s="59" t="str">
        <f t="shared" si="33"/>
      </c>
      <c r="AD237" s="67"/>
      <c r="AE237" s="65" t="str">
        <f t="shared" si="38"/>
      </c>
      <c r="AF2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8">
      <c r="A238" s="65" t="str">
        <f>IF(ISBLANK(Games!A238), "", Games!A238)</f>
      </c>
      <c r="B238" s="65" t="str">
        <f>IF('Prediction Log'!B239=0, "",'Prediction Log'!B239)</f>
      </c>
      <c r="C238" s="65" t="str">
        <f>IF('Prediction Log'!C239=0, "",'Prediction Log'!C239)</f>
      </c>
      <c r="D238" s="65" t="str">
        <f>IF('Prediction Log'!D239=0, "",'Prediction Log'!D239)</f>
      </c>
      <c r="E238" s="58" t="str">
        <f>IF('Prediction Log'!E239=0, "",'Prediction Log'!E239)</f>
      </c>
      <c r="F238" s="65" t="str">
        <f>IF('Prediction Log'!H239=0, "",'Prediction Log'!H239)</f>
      </c>
      <c r="G238" s="64" t="str">
        <f>IF(ISBLANK(Games!B238), "",'Prediction Log'!$I239)</f>
      </c>
      <c r="H238" s="66" t="n">
        <f>'Prediction Log'!$J239</f>
        <v>0</v>
      </c>
      <c r="I238" s="65" t="str">
        <f>IF(ISBLANK(Games!T238), "",IF(AND(Games!T238="",Games!U238=""),"",IF(ISTEXT(Games!U238), "Side",Games!T238)))</f>
      </c>
      <c r="J238" s="65" t="str">
        <f>IF(ISBLANK(Games!T238), "",IF(Table12[[#This Row],[Bet]]="Spread", Games!X238, ""))</f>
      </c>
      <c r="K238" s="65" t="str">
        <f>IF(ISBLANK(Games!U238), "",IF(ISTEXT(Games!U238), Games!U238, ""))</f>
      </c>
      <c r="L238" s="57" t="str">
        <f>IF(ISBLANK(Games!D238), "", Games!D238)</f>
      </c>
      <c r="M238" s="65"/>
      <c r="N238" s="75" t="str">
        <f>IF(Games!V238="", "",Games!V238)</f>
      </c>
      <c r="O238" s="75" t="str">
        <f>IF(Games!Z238=0, "",Games!Z238)</f>
      </c>
      <c r="P238" s="67"/>
      <c r="Q238" s="67" t="str">
        <f>IF(ISBLANK(Games!W238), "", Games!W238)</f>
      </c>
      <c r="R238" s="67" t="str">
        <f>IF(ISBLANK(Games!AA238), "", Games!AA238)</f>
      </c>
      <c r="S238" s="67"/>
      <c r="T238" s="68" t="str">
        <f t="shared" si="34"/>
      </c>
      <c r="U238" s="68" t="str">
        <f t="shared" si="35"/>
      </c>
      <c r="V238" s="68" t="str">
        <f t="shared" si="36"/>
      </c>
      <c r="W238" s="68" t="str">
        <f t="shared" si="37"/>
      </c>
      <c r="X238" s="68" t="n">
        <f t="shared" si="39"/>
        <v>0</v>
      </c>
      <c r="Y238" s="68" t="n">
        <f t="shared" si="40"/>
        <v>0</v>
      </c>
      <c r="Z238" s="67" t="str">
        <f>IF(OR('Prediction Log'!L239="", Table12[[#This Row],[Bet]]="", Table12[[#This Row],[Bet]]="Spread"), "",IF('Prediction Log'!L239=Table12[[#This Row],[Side]], "W", IF('Prediction Log'!L239&lt;&gt;Table12[[#This Row],[Side]], "L", "")))</f>
      </c>
      <c r="AA238" s="59" t="str">
        <f t="shared" si="41"/>
      </c>
      <c r="AB238" s="67" t="str">
        <f>IF(OR(Table12[[#This Row],[Bet]]="Side",Table12[[#This Row],[Bet]]="", 'Prediction Log'!L239=""), "",IF('Prediction Log'!U239="Y", "W", IF('Prediction Log'!U239="N", "L", "")))</f>
      </c>
      <c r="AC238" s="59" t="str">
        <f t="shared" si="33"/>
      </c>
      <c r="AD238" s="67"/>
      <c r="AE238" s="65" t="str">
        <f t="shared" si="38"/>
      </c>
      <c r="AF2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9">
      <c r="A239" s="65" t="str">
        <f>IF(ISBLANK(Games!A239), "", Games!A239)</f>
      </c>
      <c r="B239" s="65" t="str">
        <f>IF('Prediction Log'!B240=0, "",'Prediction Log'!B240)</f>
      </c>
      <c r="C239" s="65" t="str">
        <f>IF('Prediction Log'!C240=0, "",'Prediction Log'!C240)</f>
      </c>
      <c r="D239" s="65" t="str">
        <f>IF('Prediction Log'!D240=0, "",'Prediction Log'!D240)</f>
      </c>
      <c r="E239" s="58" t="str">
        <f>IF('Prediction Log'!E240=0, "",'Prediction Log'!E240)</f>
      </c>
      <c r="F239" s="65" t="str">
        <f>IF('Prediction Log'!H240=0, "",'Prediction Log'!H240)</f>
      </c>
      <c r="G239" s="64" t="str">
        <f>IF(ISBLANK(Games!B239), "",'Prediction Log'!$I240)</f>
      </c>
      <c r="H239" s="66" t="n">
        <f>'Prediction Log'!$J240</f>
        <v>0</v>
      </c>
      <c r="I239" s="65" t="str">
        <f>IF(ISBLANK(Games!T239), "",IF(AND(Games!T239="",Games!U239=""),"",IF(ISTEXT(Games!U239), "Side",Games!T239)))</f>
      </c>
      <c r="J239" s="65" t="str">
        <f>IF(ISBLANK(Games!T239), "",IF(Table12[[#This Row],[Bet]]="Spread", Games!X239, ""))</f>
      </c>
      <c r="K239" s="65" t="str">
        <f>IF(ISBLANK(Games!U239), "",IF(ISTEXT(Games!U239), Games!U239, ""))</f>
      </c>
      <c r="L239" s="57" t="str">
        <f>IF(ISBLANK(Games!D239), "", Games!D239)</f>
      </c>
      <c r="M239" s="65"/>
      <c r="N239" s="75" t="str">
        <f>IF(Games!V239="", "",Games!V239)</f>
      </c>
      <c r="O239" s="75" t="str">
        <f>IF(Games!Z239=0, "",Games!Z239)</f>
      </c>
      <c r="P239" s="67"/>
      <c r="Q239" s="67" t="str">
        <f>IF(ISBLANK(Games!W239), "", Games!W239)</f>
      </c>
      <c r="R239" s="67" t="str">
        <f>IF(ISBLANK(Games!AA239), "", Games!AA239)</f>
      </c>
      <c r="S239" s="67"/>
      <c r="T239" s="68" t="str">
        <f t="shared" si="34"/>
      </c>
      <c r="U239" s="68" t="str">
        <f t="shared" si="35"/>
      </c>
      <c r="V239" s="68" t="str">
        <f t="shared" si="36"/>
      </c>
      <c r="W239" s="68" t="str">
        <f t="shared" si="37"/>
      </c>
      <c r="X239" s="68" t="n">
        <f t="shared" si="39"/>
        <v>0</v>
      </c>
      <c r="Y239" s="68" t="n">
        <f t="shared" si="40"/>
        <v>0</v>
      </c>
      <c r="Z239" s="67" t="str">
        <f>IF(OR('Prediction Log'!L240="", Table12[[#This Row],[Bet]]="", Table12[[#This Row],[Bet]]="Spread"), "",IF('Prediction Log'!L240=Table12[[#This Row],[Side]], "W", IF('Prediction Log'!L240&lt;&gt;Table12[[#This Row],[Side]], "L", "")))</f>
      </c>
      <c r="AA239" s="59" t="str">
        <f t="shared" si="41"/>
      </c>
      <c r="AB239" s="67" t="str">
        <f>IF(OR(Table12[[#This Row],[Bet]]="Side",Table12[[#This Row],[Bet]]="", 'Prediction Log'!L240=""), "",IF('Prediction Log'!U240="Y", "W", IF('Prediction Log'!U240="N", "L", "")))</f>
      </c>
      <c r="AC239" s="59" t="str">
        <f t="shared" si="33"/>
      </c>
      <c r="AD239" s="67"/>
      <c r="AE239" s="65" t="str">
        <f t="shared" si="38"/>
      </c>
      <c r="AF2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0">
      <c r="A240" s="65" t="str">
        <f>IF(ISBLANK(Games!A240), "", Games!A240)</f>
      </c>
      <c r="B240" s="65" t="str">
        <f>IF('Prediction Log'!B241=0, "",'Prediction Log'!B241)</f>
      </c>
      <c r="C240" s="65" t="str">
        <f>IF('Prediction Log'!C241=0, "",'Prediction Log'!C241)</f>
      </c>
      <c r="D240" s="65" t="str">
        <f>IF('Prediction Log'!D241=0, "",'Prediction Log'!D241)</f>
      </c>
      <c r="E240" s="58" t="str">
        <f>IF('Prediction Log'!E241=0, "",'Prediction Log'!E241)</f>
      </c>
      <c r="F240" s="65" t="str">
        <f>IF('Prediction Log'!H241=0, "",'Prediction Log'!H241)</f>
      </c>
      <c r="G240" s="64" t="str">
        <f>IF(ISBLANK(Games!B240), "",'Prediction Log'!$I241)</f>
      </c>
      <c r="H240" s="66" t="n">
        <f>'Prediction Log'!$J241</f>
        <v>0</v>
      </c>
      <c r="I240" s="65" t="str">
        <f>IF(ISBLANK(Games!T240), "",IF(AND(Games!T240="",Games!U240=""),"",IF(ISTEXT(Games!U240), "Side",Games!T240)))</f>
      </c>
      <c r="J240" s="65" t="str">
        <f>IF(ISBLANK(Games!T240), "",IF(Table12[[#This Row],[Bet]]="Spread", Games!X240, ""))</f>
      </c>
      <c r="K240" s="65" t="str">
        <f>IF(ISBLANK(Games!U240), "",IF(ISTEXT(Games!U240), Games!U240, ""))</f>
      </c>
      <c r="L240" s="57" t="str">
        <f>IF(ISBLANK(Games!D240), "", Games!D240)</f>
      </c>
      <c r="M240" s="65"/>
      <c r="N240" s="75" t="str">
        <f>IF(Games!V240="", "",Games!V240)</f>
      </c>
      <c r="O240" s="75" t="str">
        <f>IF(Games!Z240=0, "",Games!Z240)</f>
      </c>
      <c r="P240" s="67"/>
      <c r="Q240" s="67" t="str">
        <f>IF(ISBLANK(Games!W240), "", Games!W240)</f>
      </c>
      <c r="R240" s="67" t="str">
        <f>IF(ISBLANK(Games!AA240), "", Games!AA240)</f>
      </c>
      <c r="S240" s="67"/>
      <c r="T240" s="68" t="str">
        <f t="shared" si="34"/>
      </c>
      <c r="U240" s="68" t="str">
        <f t="shared" si="35"/>
      </c>
      <c r="V240" s="68" t="str">
        <f t="shared" si="36"/>
      </c>
      <c r="W240" s="68" t="str">
        <f t="shared" si="37"/>
      </c>
      <c r="X240" s="68" t="n">
        <f t="shared" si="39"/>
        <v>0</v>
      </c>
      <c r="Y240" s="68" t="n">
        <f t="shared" si="40"/>
        <v>0</v>
      </c>
      <c r="Z240" s="67" t="str">
        <f>IF(OR('Prediction Log'!L241="", Table12[[#This Row],[Bet]]="", Table12[[#This Row],[Bet]]="Spread"), "",IF('Prediction Log'!L241=Table12[[#This Row],[Side]], "W", IF('Prediction Log'!L241&lt;&gt;Table12[[#This Row],[Side]], "L", "")))</f>
      </c>
      <c r="AA240" s="59" t="str">
        <f t="shared" si="41"/>
      </c>
      <c r="AB240" s="67" t="str">
        <f>IF(OR(Table12[[#This Row],[Bet]]="Side",Table12[[#This Row],[Bet]]="", 'Prediction Log'!L241=""), "",IF('Prediction Log'!U241="Y", "W", IF('Prediction Log'!U241="N", "L", "")))</f>
      </c>
      <c r="AC240" s="59" t="str">
        <f t="shared" si="33"/>
      </c>
      <c r="AD240" s="67"/>
      <c r="AE240" s="65" t="str">
        <f t="shared" si="38"/>
      </c>
      <c r="AF2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1">
      <c r="A241" s="65" t="str">
        <f>IF(ISBLANK(Games!A241), "", Games!A241)</f>
      </c>
      <c r="B241" s="65" t="str">
        <f>IF('Prediction Log'!B242=0, "",'Prediction Log'!B242)</f>
      </c>
      <c r="C241" s="65" t="str">
        <f>IF('Prediction Log'!C242=0, "",'Prediction Log'!C242)</f>
      </c>
      <c r="D241" s="65" t="str">
        <f>IF('Prediction Log'!D242=0, "",'Prediction Log'!D242)</f>
      </c>
      <c r="E241" s="58" t="str">
        <f>IF('Prediction Log'!E242=0, "",'Prediction Log'!E242)</f>
      </c>
      <c r="F241" s="65" t="str">
        <f>IF('Prediction Log'!H242=0, "",'Prediction Log'!H242)</f>
      </c>
      <c r="G241" s="64" t="str">
        <f>IF(ISBLANK(Games!B241), "",'Prediction Log'!$I242)</f>
      </c>
      <c r="H241" s="66" t="n">
        <f>'Prediction Log'!$J242</f>
        <v>0</v>
      </c>
      <c r="I241" s="65" t="str">
        <f>IF(ISBLANK(Games!T241), "",IF(AND(Games!T241="",Games!U241=""),"",IF(ISTEXT(Games!U241), "Side",Games!T241)))</f>
      </c>
      <c r="J241" s="65" t="str">
        <f>IF(ISBLANK(Games!T241), "",IF(Table12[[#This Row],[Bet]]="Spread", Games!X241, ""))</f>
      </c>
      <c r="K241" s="65" t="str">
        <f>IF(ISBLANK(Games!U241), "",IF(ISTEXT(Games!U241), Games!U241, ""))</f>
      </c>
      <c r="L241" s="57" t="str">
        <f>IF(ISBLANK(Games!D241), "", Games!D241)</f>
      </c>
      <c r="M241" s="65"/>
      <c r="N241" s="75" t="str">
        <f>IF(Games!V241="", "",Games!V241)</f>
      </c>
      <c r="O241" s="75" t="str">
        <f>IF(Games!Z241=0, "",Games!Z241)</f>
      </c>
      <c r="P241" s="67"/>
      <c r="Q241" s="67" t="str">
        <f>IF(ISBLANK(Games!W241), "", Games!W241)</f>
      </c>
      <c r="R241" s="67" t="str">
        <f>IF(ISBLANK(Games!AA241), "", Games!AA241)</f>
      </c>
      <c r="S241" s="67"/>
      <c r="T241" s="68" t="str">
        <f t="shared" si="34"/>
      </c>
      <c r="U241" s="68" t="str">
        <f t="shared" si="35"/>
      </c>
      <c r="V241" s="68" t="str">
        <f t="shared" si="36"/>
      </c>
      <c r="W241" s="68" t="str">
        <f t="shared" si="37"/>
      </c>
      <c r="X241" s="68" t="n">
        <f t="shared" si="39"/>
        <v>0</v>
      </c>
      <c r="Y241" s="68" t="n">
        <f t="shared" si="40"/>
        <v>0</v>
      </c>
      <c r="Z241" s="67" t="str">
        <f>IF(OR('Prediction Log'!L242="", Table12[[#This Row],[Bet]]="", Table12[[#This Row],[Bet]]="Spread"), "",IF('Prediction Log'!L242=Table12[[#This Row],[Side]], "W", IF('Prediction Log'!L242&lt;&gt;Table12[[#This Row],[Side]], "L", "")))</f>
      </c>
      <c r="AA241" s="59" t="str">
        <f t="shared" si="41"/>
      </c>
      <c r="AB241" s="67" t="str">
        <f>IF(OR(Table12[[#This Row],[Bet]]="Side",Table12[[#This Row],[Bet]]="", 'Prediction Log'!L242=""), "",IF('Prediction Log'!U242="Y", "W", IF('Prediction Log'!U242="N", "L", "")))</f>
      </c>
      <c r="AC241" s="59" t="str">
        <f t="shared" si="33"/>
      </c>
      <c r="AD241" s="67"/>
      <c r="AE241" s="65" t="str">
        <f t="shared" si="38"/>
      </c>
      <c r="AF2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2">
      <c r="A242" s="65" t="str">
        <f>IF(ISBLANK(Games!A242), "", Games!A242)</f>
      </c>
      <c r="B242" s="65" t="str">
        <f>IF('Prediction Log'!B243=0, "",'Prediction Log'!B243)</f>
      </c>
      <c r="C242" s="65" t="str">
        <f>IF('Prediction Log'!C243=0, "",'Prediction Log'!C243)</f>
      </c>
      <c r="D242" s="65" t="str">
        <f>IF('Prediction Log'!D243=0, "",'Prediction Log'!D243)</f>
      </c>
      <c r="E242" s="58" t="str">
        <f>IF('Prediction Log'!E243=0, "",'Prediction Log'!E243)</f>
      </c>
      <c r="F242" s="65" t="str">
        <f>IF('Prediction Log'!H243=0, "",'Prediction Log'!H243)</f>
      </c>
      <c r="G242" s="64" t="str">
        <f>IF(ISBLANK(Games!B242), "",'Prediction Log'!$I243)</f>
      </c>
      <c r="H242" s="66" t="n">
        <f>'Prediction Log'!$J243</f>
        <v>0</v>
      </c>
      <c r="I242" s="65" t="str">
        <f>IF(ISBLANK(Games!T242), "",IF(AND(Games!T242="",Games!U242=""),"",IF(ISTEXT(Games!U242), "Side",Games!T242)))</f>
      </c>
      <c r="J242" s="65" t="str">
        <f>IF(ISBLANK(Games!T242), "",IF(Table12[[#This Row],[Bet]]="Spread", Games!X242, ""))</f>
      </c>
      <c r="K242" s="65" t="str">
        <f>IF(ISBLANK(Games!U242), "",IF(ISTEXT(Games!U242), Games!U242, ""))</f>
      </c>
      <c r="L242" s="57" t="str">
        <f>IF(ISBLANK(Games!D242), "", Games!D242)</f>
      </c>
      <c r="M242" s="65"/>
      <c r="N242" s="75" t="str">
        <f>IF(Games!V242="", "",Games!V242)</f>
      </c>
      <c r="O242" s="75" t="str">
        <f>IF(Games!Z242=0, "",Games!Z242)</f>
      </c>
      <c r="P242" s="67"/>
      <c r="Q242" s="67" t="str">
        <f>IF(ISBLANK(Games!W242), "", Games!W242)</f>
      </c>
      <c r="R242" s="67" t="str">
        <f>IF(ISBLANK(Games!AA242), "", Games!AA242)</f>
      </c>
      <c r="S242" s="67"/>
      <c r="T242" s="68" t="str">
        <f t="shared" si="34"/>
      </c>
      <c r="U242" s="68" t="str">
        <f t="shared" si="35"/>
      </c>
      <c r="V242" s="68" t="str">
        <f t="shared" si="36"/>
      </c>
      <c r="W242" s="68" t="str">
        <f t="shared" si="37"/>
      </c>
      <c r="X242" s="68" t="n">
        <f t="shared" si="39"/>
        <v>0</v>
      </c>
      <c r="Y242" s="68" t="n">
        <f t="shared" si="40"/>
        <v>0</v>
      </c>
      <c r="Z242" s="67" t="str">
        <f>IF(OR('Prediction Log'!L243="", Table12[[#This Row],[Bet]]="", Table12[[#This Row],[Bet]]="Spread"), "",IF('Prediction Log'!L243=Table12[[#This Row],[Side]], "W", IF('Prediction Log'!L243&lt;&gt;Table12[[#This Row],[Side]], "L", "")))</f>
      </c>
      <c r="AA242" s="59" t="str">
        <f t="shared" si="41"/>
      </c>
      <c r="AB242" s="67" t="str">
        <f>IF(OR(Table12[[#This Row],[Bet]]="Side",Table12[[#This Row],[Bet]]="", 'Prediction Log'!L243=""), "",IF('Prediction Log'!U243="Y", "W", IF('Prediction Log'!U243="N", "L", "")))</f>
      </c>
      <c r="AC242" s="59" t="str">
        <f t="shared" si="33"/>
      </c>
      <c r="AD242" s="67"/>
      <c r="AE242" s="65" t="str">
        <f t="shared" si="38"/>
      </c>
      <c r="AF2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3">
      <c r="A243" s="65" t="str">
        <f>IF(ISBLANK(Games!A243), "", Games!A243)</f>
      </c>
      <c r="B243" s="65" t="str">
        <f>IF('Prediction Log'!B244=0, "",'Prediction Log'!B244)</f>
      </c>
      <c r="C243" s="65" t="str">
        <f>IF('Prediction Log'!C244=0, "",'Prediction Log'!C244)</f>
      </c>
      <c r="D243" s="65" t="str">
        <f>IF('Prediction Log'!D244=0, "",'Prediction Log'!D244)</f>
      </c>
      <c r="E243" s="58" t="str">
        <f>IF('Prediction Log'!E244=0, "",'Prediction Log'!E244)</f>
      </c>
      <c r="F243" s="65" t="str">
        <f>IF('Prediction Log'!H244=0, "",'Prediction Log'!H244)</f>
      </c>
      <c r="G243" s="64" t="str">
        <f>IF(ISBLANK(Games!B243), "",'Prediction Log'!$I244)</f>
      </c>
      <c r="H243" s="66" t="n">
        <f>'Prediction Log'!$J244</f>
        <v>0</v>
      </c>
      <c r="I243" s="65" t="str">
        <f>IF(ISBLANK(Games!T243), "",IF(AND(Games!T243="",Games!U243=""),"",IF(ISTEXT(Games!U243), "Side",Games!T243)))</f>
      </c>
      <c r="J243" s="65" t="str">
        <f>IF(ISBLANK(Games!T243), "",IF(Table12[[#This Row],[Bet]]="Spread", Games!X243, ""))</f>
      </c>
      <c r="K243" s="65" t="str">
        <f>IF(ISBLANK(Games!U243), "",IF(ISTEXT(Games!U243), Games!U243, ""))</f>
      </c>
      <c r="L243" s="57" t="str">
        <f>IF(ISBLANK(Games!D243), "", Games!D243)</f>
      </c>
      <c r="M243" s="65"/>
      <c r="N243" s="75" t="str">
        <f>IF(Games!V243="", "",Games!V243)</f>
      </c>
      <c r="O243" s="75" t="str">
        <f>IF(Games!Z243=0, "",Games!Z243)</f>
      </c>
      <c r="P243" s="67"/>
      <c r="Q243" s="67" t="str">
        <f>IF(ISBLANK(Games!W243), "", Games!W243)</f>
      </c>
      <c r="R243" s="67" t="str">
        <f>IF(ISBLANK(Games!AA243), "", Games!AA243)</f>
      </c>
      <c r="S243" s="67"/>
      <c r="T243" s="68" t="str">
        <f t="shared" si="34"/>
      </c>
      <c r="U243" s="68" t="str">
        <f t="shared" si="35"/>
      </c>
      <c r="V243" s="68" t="str">
        <f t="shared" si="36"/>
      </c>
      <c r="W243" s="68" t="str">
        <f t="shared" si="37"/>
      </c>
      <c r="X243" s="68" t="n">
        <f t="shared" si="39"/>
        <v>0</v>
      </c>
      <c r="Y243" s="68" t="n">
        <f t="shared" si="40"/>
        <v>0</v>
      </c>
      <c r="Z243" s="67" t="str">
        <f>IF(OR('Prediction Log'!L244="", Table12[[#This Row],[Bet]]="", Table12[[#This Row],[Bet]]="Spread"), "",IF('Prediction Log'!L244=Table12[[#This Row],[Side]], "W", IF('Prediction Log'!L244&lt;&gt;Table12[[#This Row],[Side]], "L", "")))</f>
      </c>
      <c r="AA243" s="59" t="str">
        <f t="shared" si="41"/>
      </c>
      <c r="AB243" s="67" t="str">
        <f>IF(OR(Table12[[#This Row],[Bet]]="Side",Table12[[#This Row],[Bet]]="", 'Prediction Log'!L244=""), "",IF('Prediction Log'!U244="Y", "W", IF('Prediction Log'!U244="N", "L", "")))</f>
      </c>
      <c r="AC243" s="59" t="str">
        <f t="shared" si="33"/>
      </c>
      <c r="AD243" s="67"/>
      <c r="AE243" s="65" t="str">
        <f t="shared" si="38"/>
      </c>
      <c r="AF2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4">
      <c r="A244" s="65" t="str">
        <f>IF(ISBLANK(Games!A244), "", Games!A244)</f>
      </c>
      <c r="B244" s="65" t="str">
        <f>IF('Prediction Log'!B245=0, "",'Prediction Log'!B245)</f>
      </c>
      <c r="C244" s="65" t="str">
        <f>IF('Prediction Log'!C245=0, "",'Prediction Log'!C245)</f>
      </c>
      <c r="D244" s="65" t="str">
        <f>IF('Prediction Log'!D245=0, "",'Prediction Log'!D245)</f>
      </c>
      <c r="E244" s="58" t="str">
        <f>IF('Prediction Log'!E245=0, "",'Prediction Log'!E245)</f>
      </c>
      <c r="F244" s="65" t="str">
        <f>IF('Prediction Log'!H245=0, "",'Prediction Log'!H245)</f>
      </c>
      <c r="G244" s="64" t="str">
        <f>IF(ISBLANK(Games!B244), "",'Prediction Log'!$I245)</f>
      </c>
      <c r="H244" s="66" t="n">
        <f>'Prediction Log'!$J245</f>
        <v>0</v>
      </c>
      <c r="I244" s="65" t="str">
        <f>IF(ISBLANK(Games!T244), "",IF(AND(Games!T244="",Games!U244=""),"",IF(ISTEXT(Games!U244), "Side",Games!T244)))</f>
      </c>
      <c r="J244" s="65" t="str">
        <f>IF(ISBLANK(Games!T244), "",IF(Table12[[#This Row],[Bet]]="Spread", Games!X244, ""))</f>
      </c>
      <c r="K244" s="65" t="str">
        <f>IF(ISBLANK(Games!U244), "",IF(ISTEXT(Games!U244), Games!U244, ""))</f>
      </c>
      <c r="L244" s="57" t="str">
        <f>IF(ISBLANK(Games!D244), "", Games!D244)</f>
      </c>
      <c r="M244" s="65"/>
      <c r="N244" s="75" t="str">
        <f>IF(Games!V244="", "",Games!V244)</f>
      </c>
      <c r="O244" s="75" t="str">
        <f>IF(Games!Z244=0, "",Games!Z244)</f>
      </c>
      <c r="P244" s="67"/>
      <c r="Q244" s="67" t="str">
        <f>IF(ISBLANK(Games!W244), "", Games!W244)</f>
      </c>
      <c r="R244" s="67" t="str">
        <f>IF(ISBLANK(Games!AA244), "", Games!AA244)</f>
      </c>
      <c r="S244" s="67"/>
      <c r="T244" s="68" t="str">
        <f t="shared" si="34"/>
      </c>
      <c r="U244" s="68" t="str">
        <f t="shared" si="35"/>
      </c>
      <c r="V244" s="68" t="str">
        <f t="shared" si="36"/>
      </c>
      <c r="W244" s="68" t="str">
        <f t="shared" si="37"/>
      </c>
      <c r="X244" s="68" t="n">
        <f t="shared" si="39"/>
        <v>0</v>
      </c>
      <c r="Y244" s="68" t="n">
        <f t="shared" si="40"/>
        <v>0</v>
      </c>
      <c r="Z244" s="67" t="str">
        <f>IF(OR('Prediction Log'!L245="", Table12[[#This Row],[Bet]]="", Table12[[#This Row],[Bet]]="Spread"), "",IF('Prediction Log'!L245=Table12[[#This Row],[Side]], "W", IF('Prediction Log'!L245&lt;&gt;Table12[[#This Row],[Side]], "L", "")))</f>
      </c>
      <c r="AA244" s="59" t="str">
        <f t="shared" si="41"/>
      </c>
      <c r="AB244" s="67" t="str">
        <f>IF(OR(Table12[[#This Row],[Bet]]="Side",Table12[[#This Row],[Bet]]="", 'Prediction Log'!L245=""), "",IF('Prediction Log'!U245="Y", "W", IF('Prediction Log'!U245="N", "L", "")))</f>
      </c>
      <c r="AC244" s="59" t="str">
        <f t="shared" si="33"/>
      </c>
      <c r="AD244" s="67"/>
      <c r="AE244" s="65" t="str">
        <f t="shared" si="38"/>
      </c>
      <c r="AF2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5">
      <c r="A245" s="65" t="str">
        <f>IF(ISBLANK(Games!A245), "", Games!A245)</f>
      </c>
      <c r="B245" s="65" t="str">
        <f>IF('Prediction Log'!B246=0, "",'Prediction Log'!B246)</f>
      </c>
      <c r="C245" s="65" t="str">
        <f>IF('Prediction Log'!C246=0, "",'Prediction Log'!C246)</f>
      </c>
      <c r="D245" s="65" t="str">
        <f>IF('Prediction Log'!D246=0, "",'Prediction Log'!D246)</f>
      </c>
      <c r="E245" s="58" t="str">
        <f>IF('Prediction Log'!E246=0, "",'Prediction Log'!E246)</f>
      </c>
      <c r="F245" s="65" t="str">
        <f>IF('Prediction Log'!H246=0, "",'Prediction Log'!H246)</f>
      </c>
      <c r="G245" s="64" t="str">
        <f>IF(ISBLANK(Games!B245), "",'Prediction Log'!$I246)</f>
      </c>
      <c r="H245" s="66" t="n">
        <f>'Prediction Log'!$J246</f>
        <v>0</v>
      </c>
      <c r="I245" s="65" t="str">
        <f>IF(ISBLANK(Games!T245), "",IF(AND(Games!T245="",Games!U245=""),"",IF(ISTEXT(Games!U245), "Side",Games!T245)))</f>
      </c>
      <c r="J245" s="65" t="str">
        <f>IF(ISBLANK(Games!T245), "",IF(Table12[[#This Row],[Bet]]="Spread", Games!X245, ""))</f>
      </c>
      <c r="K245" s="65" t="str">
        <f>IF(ISBLANK(Games!U245), "",IF(ISTEXT(Games!U245), Games!U245, ""))</f>
      </c>
      <c r="L245" s="57" t="str">
        <f>IF(ISBLANK(Games!D245), "", Games!D245)</f>
      </c>
      <c r="M245" s="65"/>
      <c r="N245" s="75" t="str">
        <f>IF(Games!V245="", "",Games!V245)</f>
      </c>
      <c r="O245" s="75" t="str">
        <f>IF(Games!Z245=0, "",Games!Z245)</f>
      </c>
      <c r="P245" s="67"/>
      <c r="Q245" s="67" t="str">
        <f>IF(ISBLANK(Games!W245), "", Games!W245)</f>
      </c>
      <c r="R245" s="67" t="str">
        <f>IF(ISBLANK(Games!AA245), "", Games!AA245)</f>
      </c>
      <c r="S245" s="67"/>
      <c r="T245" s="68" t="str">
        <f t="shared" si="34"/>
      </c>
      <c r="U245" s="68" t="str">
        <f t="shared" si="35"/>
      </c>
      <c r="V245" s="68" t="str">
        <f t="shared" si="36"/>
      </c>
      <c r="W245" s="68" t="str">
        <f t="shared" si="37"/>
      </c>
      <c r="X245" s="68" t="n">
        <f t="shared" si="39"/>
        <v>0</v>
      </c>
      <c r="Y245" s="68" t="n">
        <f t="shared" si="40"/>
        <v>0</v>
      </c>
      <c r="Z245" s="67" t="str">
        <f>IF(OR('Prediction Log'!L246="", Table12[[#This Row],[Bet]]="", Table12[[#This Row],[Bet]]="Spread"), "",IF('Prediction Log'!L246=Table12[[#This Row],[Side]], "W", IF('Prediction Log'!L246&lt;&gt;Table12[[#This Row],[Side]], "L", "")))</f>
      </c>
      <c r="AA245" s="59" t="str">
        <f t="shared" si="41"/>
      </c>
      <c r="AB245" s="67" t="str">
        <f>IF(OR(Table12[[#This Row],[Bet]]="Side",Table12[[#This Row],[Bet]]="", 'Prediction Log'!L246=""), "",IF('Prediction Log'!U246="Y", "W", IF('Prediction Log'!U246="N", "L", "")))</f>
      </c>
      <c r="AC245" s="59" t="str">
        <f t="shared" si="33"/>
      </c>
      <c r="AD245" s="67"/>
      <c r="AE245" s="65" t="str">
        <f t="shared" si="38"/>
      </c>
      <c r="AF2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6">
      <c r="A246" s="65" t="str">
        <f>IF(ISBLANK(Games!A246), "", Games!A246)</f>
      </c>
      <c r="B246" s="65" t="str">
        <f>IF('Prediction Log'!B247=0, "",'Prediction Log'!B247)</f>
      </c>
      <c r="C246" s="65" t="str">
        <f>IF('Prediction Log'!C247=0, "",'Prediction Log'!C247)</f>
      </c>
      <c r="D246" s="65" t="str">
        <f>IF('Prediction Log'!D247=0, "",'Prediction Log'!D247)</f>
      </c>
      <c r="E246" s="58" t="str">
        <f>IF('Prediction Log'!E247=0, "",'Prediction Log'!E247)</f>
      </c>
      <c r="F246" s="65" t="str">
        <f>IF('Prediction Log'!H247=0, "",'Prediction Log'!H247)</f>
      </c>
      <c r="G246" s="64" t="str">
        <f>IF(ISBLANK(Games!B246), "",'Prediction Log'!$I247)</f>
      </c>
      <c r="H246" s="66" t="n">
        <f>'Prediction Log'!$J247</f>
        <v>0</v>
      </c>
      <c r="I246" s="65" t="str">
        <f>IF(ISBLANK(Games!T246), "",IF(AND(Games!T246="",Games!U246=""),"",IF(ISTEXT(Games!U246), "Side",Games!T246)))</f>
      </c>
      <c r="J246" s="65" t="str">
        <f>IF(ISBLANK(Games!T246), "",IF(Table12[[#This Row],[Bet]]="Spread", Games!X246, ""))</f>
      </c>
      <c r="K246" s="65" t="str">
        <f>IF(ISBLANK(Games!U246), "",IF(ISTEXT(Games!U246), Games!U246, ""))</f>
      </c>
      <c r="L246" s="57" t="str">
        <f>IF(ISBLANK(Games!D246), "", Games!D246)</f>
      </c>
      <c r="M246" s="65"/>
      <c r="N246" s="75" t="str">
        <f>IF(Games!V246="", "",Games!V246)</f>
      </c>
      <c r="O246" s="75" t="str">
        <f>IF(Games!Z246=0, "",Games!Z246)</f>
      </c>
      <c r="P246" s="67"/>
      <c r="Q246" s="67" t="str">
        <f>IF(ISBLANK(Games!W246), "", Games!W246)</f>
      </c>
      <c r="R246" s="67" t="str">
        <f>IF(ISBLANK(Games!AA246), "", Games!AA246)</f>
      </c>
      <c r="S246" s="67"/>
      <c r="T246" s="68" t="str">
        <f t="shared" si="34"/>
      </c>
      <c r="U246" s="68" t="str">
        <f t="shared" si="35"/>
      </c>
      <c r="V246" s="68" t="str">
        <f t="shared" si="36"/>
      </c>
      <c r="W246" s="68" t="str">
        <f t="shared" si="37"/>
      </c>
      <c r="X246" s="68" t="n">
        <f t="shared" si="39"/>
        <v>0</v>
      </c>
      <c r="Y246" s="68" t="n">
        <f t="shared" si="40"/>
        <v>0</v>
      </c>
      <c r="Z246" s="67" t="str">
        <f>IF(OR('Prediction Log'!L247="", Table12[[#This Row],[Bet]]="", Table12[[#This Row],[Bet]]="Spread"), "",IF('Prediction Log'!L247=Table12[[#This Row],[Side]], "W", IF('Prediction Log'!L247&lt;&gt;Table12[[#This Row],[Side]], "L", "")))</f>
      </c>
      <c r="AA246" s="59" t="str">
        <f t="shared" si="41"/>
      </c>
      <c r="AB246" s="67" t="str">
        <f>IF(OR(Table12[[#This Row],[Bet]]="Side",Table12[[#This Row],[Bet]]="", 'Prediction Log'!L247=""), "",IF('Prediction Log'!U247="Y", "W", IF('Prediction Log'!U247="N", "L", "")))</f>
      </c>
      <c r="AC246" s="59" t="str">
        <f t="shared" si="33"/>
      </c>
      <c r="AD246" s="67"/>
      <c r="AE246" s="65" t="str">
        <f t="shared" si="38"/>
      </c>
      <c r="AF2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7">
      <c r="A247" s="65" t="str">
        <f>IF(ISBLANK(Games!A247), "", Games!A247)</f>
      </c>
      <c r="B247" s="65" t="str">
        <f>IF('Prediction Log'!B248=0, "",'Prediction Log'!B248)</f>
      </c>
      <c r="C247" s="65" t="str">
        <f>IF('Prediction Log'!C248=0, "",'Prediction Log'!C248)</f>
      </c>
      <c r="D247" s="65" t="str">
        <f>IF('Prediction Log'!D248=0, "",'Prediction Log'!D248)</f>
      </c>
      <c r="E247" s="58" t="str">
        <f>IF('Prediction Log'!E248=0, "",'Prediction Log'!E248)</f>
      </c>
      <c r="F247" s="65" t="str">
        <f>IF('Prediction Log'!H248=0, "",'Prediction Log'!H248)</f>
      </c>
      <c r="G247" s="64" t="str">
        <f>IF(ISBLANK(Games!B247), "",'Prediction Log'!$I248)</f>
      </c>
      <c r="H247" s="66" t="n">
        <f>'Prediction Log'!$J248</f>
        <v>0</v>
      </c>
      <c r="I247" s="65" t="str">
        <f>IF(ISBLANK(Games!T247), "",IF(AND(Games!T247="",Games!U247=""),"",IF(ISTEXT(Games!U247), "Side",Games!T247)))</f>
      </c>
      <c r="J247" s="65" t="str">
        <f>IF(ISBLANK(Games!T247), "",IF(Table12[[#This Row],[Bet]]="Spread", Games!X247, ""))</f>
      </c>
      <c r="K247" s="65" t="str">
        <f>IF(ISBLANK(Games!U247), "",IF(ISTEXT(Games!U247), Games!U247, ""))</f>
      </c>
      <c r="L247" s="57" t="str">
        <f>IF(ISBLANK(Games!D247), "", Games!D247)</f>
      </c>
      <c r="M247" s="65"/>
      <c r="N247" s="75" t="str">
        <f>IF(Games!V247="", "",Games!V247)</f>
      </c>
      <c r="O247" s="75" t="str">
        <f>IF(Games!Z247=0, "",Games!Z247)</f>
      </c>
      <c r="P247" s="67"/>
      <c r="Q247" s="67" t="str">
        <f>IF(ISBLANK(Games!W247), "", Games!W247)</f>
      </c>
      <c r="R247" s="67" t="str">
        <f>IF(ISBLANK(Games!AA247), "", Games!AA247)</f>
      </c>
      <c r="S247" s="67"/>
      <c r="T247" s="68" t="str">
        <f t="shared" si="34"/>
      </c>
      <c r="U247" s="68" t="str">
        <f t="shared" si="35"/>
      </c>
      <c r="V247" s="68" t="str">
        <f t="shared" si="36"/>
      </c>
      <c r="W247" s="68" t="str">
        <f t="shared" si="37"/>
      </c>
      <c r="X247" s="68" t="n">
        <f t="shared" si="39"/>
        <v>0</v>
      </c>
      <c r="Y247" s="68" t="n">
        <f t="shared" si="40"/>
        <v>0</v>
      </c>
      <c r="Z247" s="67" t="str">
        <f>IF(OR('Prediction Log'!L248="", Table12[[#This Row],[Bet]]="", Table12[[#This Row],[Bet]]="Spread"), "",IF('Prediction Log'!L248=Table12[[#This Row],[Side]], "W", IF('Prediction Log'!L248&lt;&gt;Table12[[#This Row],[Side]], "L", "")))</f>
      </c>
      <c r="AA247" s="59" t="str">
        <f t="shared" si="41"/>
      </c>
      <c r="AB247" s="67" t="str">
        <f>IF(OR(Table12[[#This Row],[Bet]]="Side",Table12[[#This Row],[Bet]]="", 'Prediction Log'!L248=""), "",IF('Prediction Log'!U248="Y", "W", IF('Prediction Log'!U248="N", "L", "")))</f>
      </c>
      <c r="AC247" s="59" t="str">
        <f t="shared" si="33"/>
      </c>
      <c r="AD247" s="67"/>
      <c r="AE247" s="65" t="str">
        <f t="shared" si="38"/>
      </c>
      <c r="AF2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8">
      <c r="A248" s="65" t="str">
        <f>IF(ISBLANK(Games!A248), "", Games!A248)</f>
      </c>
      <c r="B248" s="65" t="str">
        <f>IF('Prediction Log'!B249=0, "",'Prediction Log'!B249)</f>
      </c>
      <c r="C248" s="65" t="str">
        <f>IF('Prediction Log'!C249=0, "",'Prediction Log'!C249)</f>
      </c>
      <c r="D248" s="65" t="str">
        <f>IF('Prediction Log'!D249=0, "",'Prediction Log'!D249)</f>
      </c>
      <c r="E248" s="58" t="str">
        <f>IF('Prediction Log'!E249=0, "",'Prediction Log'!E249)</f>
      </c>
      <c r="F248" s="65" t="str">
        <f>IF('Prediction Log'!H249=0, "",'Prediction Log'!H249)</f>
      </c>
      <c r="G248" s="64" t="str">
        <f>IF(ISBLANK(Games!B248), "",'Prediction Log'!$I249)</f>
      </c>
      <c r="H248" s="66" t="n">
        <f>'Prediction Log'!$J249</f>
        <v>0</v>
      </c>
      <c r="I248" s="65" t="str">
        <f>IF(ISBLANK(Games!T248), "",IF(AND(Games!T248="",Games!U248=""),"",IF(ISTEXT(Games!U248), "Side",Games!T248)))</f>
      </c>
      <c r="J248" s="65" t="str">
        <f>IF(ISBLANK(Games!T248), "",IF(Table12[[#This Row],[Bet]]="Spread", Games!X248, ""))</f>
      </c>
      <c r="K248" s="65" t="str">
        <f>IF(ISBLANK(Games!U248), "",IF(ISTEXT(Games!U248), Games!U248, ""))</f>
      </c>
      <c r="L248" s="57" t="str">
        <f>IF(ISBLANK(Games!D248), "", Games!D248)</f>
      </c>
      <c r="M248" s="65"/>
      <c r="N248" s="75" t="str">
        <f>IF(Games!V248="", "",Games!V248)</f>
      </c>
      <c r="O248" s="75" t="str">
        <f>IF(Games!Z248=0, "",Games!Z248)</f>
      </c>
      <c r="P248" s="67"/>
      <c r="Q248" s="67" t="str">
        <f>IF(ISBLANK(Games!W248), "", Games!W248)</f>
      </c>
      <c r="R248" s="67" t="str">
        <f>IF(ISBLANK(Games!AA248), "", Games!AA248)</f>
      </c>
      <c r="S248" s="67"/>
      <c r="T248" s="68" t="str">
        <f t="shared" si="34"/>
      </c>
      <c r="U248" s="68" t="str">
        <f t="shared" si="35"/>
      </c>
      <c r="V248" s="68" t="str">
        <f t="shared" si="36"/>
      </c>
      <c r="W248" s="68" t="str">
        <f t="shared" si="37"/>
      </c>
      <c r="X248" s="68" t="n">
        <f t="shared" si="39"/>
        <v>0</v>
      </c>
      <c r="Y248" s="68" t="n">
        <f t="shared" si="40"/>
        <v>0</v>
      </c>
      <c r="Z248" s="67" t="str">
        <f>IF(OR('Prediction Log'!L249="", Table12[[#This Row],[Bet]]="", Table12[[#This Row],[Bet]]="Spread"), "",IF('Prediction Log'!L249=Table12[[#This Row],[Side]], "W", IF('Prediction Log'!L249&lt;&gt;Table12[[#This Row],[Side]], "L", "")))</f>
      </c>
      <c r="AA248" s="59" t="str">
        <f t="shared" si="41"/>
      </c>
      <c r="AB248" s="67" t="str">
        <f>IF(OR(Table12[[#This Row],[Bet]]="Side",Table12[[#This Row],[Bet]]="", 'Prediction Log'!L249=""), "",IF('Prediction Log'!U249="Y", "W", IF('Prediction Log'!U249="N", "L", "")))</f>
      </c>
      <c r="AC248" s="59" t="str">
        <f t="shared" si="33"/>
      </c>
      <c r="AD248" s="67"/>
      <c r="AE248" s="65" t="str">
        <f t="shared" si="38"/>
      </c>
      <c r="AF2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9">
      <c r="A249" s="65" t="str">
        <f>IF(ISBLANK(Games!A249), "", Games!A249)</f>
      </c>
      <c r="B249" s="65" t="str">
        <f>IF('Prediction Log'!B250=0, "",'Prediction Log'!B250)</f>
      </c>
      <c r="C249" s="65" t="str">
        <f>IF('Prediction Log'!C250=0, "",'Prediction Log'!C250)</f>
      </c>
      <c r="D249" s="65" t="str">
        <f>IF('Prediction Log'!D250=0, "",'Prediction Log'!D250)</f>
      </c>
      <c r="E249" s="58" t="str">
        <f>IF('Prediction Log'!E250=0, "",'Prediction Log'!E250)</f>
      </c>
      <c r="F249" s="65" t="str">
        <f>IF('Prediction Log'!H250=0, "",'Prediction Log'!H250)</f>
      </c>
      <c r="G249" s="64" t="str">
        <f>IF(ISBLANK(Games!B249), "",'Prediction Log'!$I250)</f>
      </c>
      <c r="H249" s="66" t="n">
        <f>'Prediction Log'!$J250</f>
        <v>0</v>
      </c>
      <c r="I249" s="65" t="str">
        <f>IF(ISBLANK(Games!T249), "",IF(AND(Games!T249="",Games!U249=""),"",IF(ISTEXT(Games!U249), "Side",Games!T249)))</f>
      </c>
      <c r="J249" s="65" t="str">
        <f>IF(ISBLANK(Games!T249), "",IF(Table12[[#This Row],[Bet]]="Spread", Games!X249, ""))</f>
      </c>
      <c r="K249" s="65" t="str">
        <f>IF(ISBLANK(Games!U249), "",IF(ISTEXT(Games!U249), Games!U249, ""))</f>
      </c>
      <c r="L249" s="57" t="str">
        <f>IF(ISBLANK(Games!D249), "", Games!D249)</f>
      </c>
      <c r="M249" s="65"/>
      <c r="N249" s="75" t="str">
        <f>IF(Games!V249="", "",Games!V249)</f>
      </c>
      <c r="O249" s="75" t="str">
        <f>IF(Games!Z249=0, "",Games!Z249)</f>
      </c>
      <c r="P249" s="67"/>
      <c r="Q249" s="67" t="str">
        <f>IF(ISBLANK(Games!W249), "", Games!W249)</f>
      </c>
      <c r="R249" s="67" t="str">
        <f>IF(ISBLANK(Games!AA249), "", Games!AA249)</f>
      </c>
      <c r="S249" s="67"/>
      <c r="T249" s="68" t="str">
        <f t="shared" si="34"/>
      </c>
      <c r="U249" s="68" t="str">
        <f t="shared" si="35"/>
      </c>
      <c r="V249" s="68" t="str">
        <f t="shared" si="36"/>
      </c>
      <c r="W249" s="68" t="str">
        <f t="shared" si="37"/>
      </c>
      <c r="X249" s="68" t="n">
        <f t="shared" si="39"/>
        <v>0</v>
      </c>
      <c r="Y249" s="68" t="n">
        <f t="shared" si="40"/>
        <v>0</v>
      </c>
      <c r="Z249" s="67" t="str">
        <f>IF(OR('Prediction Log'!L250="", Table12[[#This Row],[Bet]]="", Table12[[#This Row],[Bet]]="Spread"), "",IF('Prediction Log'!L250=Table12[[#This Row],[Side]], "W", IF('Prediction Log'!L250&lt;&gt;Table12[[#This Row],[Side]], "L", "")))</f>
      </c>
      <c r="AA249" s="59" t="str">
        <f t="shared" si="41"/>
      </c>
      <c r="AB249" s="67" t="str">
        <f>IF(OR(Table12[[#This Row],[Bet]]="Side",Table12[[#This Row],[Bet]]="", 'Prediction Log'!L250=""), "",IF('Prediction Log'!U250="Y", "W", IF('Prediction Log'!U250="N", "L", "")))</f>
      </c>
      <c r="AC249" s="59" t="str">
        <f t="shared" si="33"/>
      </c>
      <c r="AD249" s="67"/>
      <c r="AE249" s="65" t="str">
        <f t="shared" si="38"/>
      </c>
      <c r="AF2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0">
      <c r="A250" s="65" t="str">
        <f>IF(ISBLANK(Games!A250), "", Games!A250)</f>
      </c>
      <c r="B250" s="65" t="str">
        <f>IF('Prediction Log'!B251=0, "",'Prediction Log'!B251)</f>
      </c>
      <c r="C250" s="65" t="str">
        <f>IF('Prediction Log'!C251=0, "",'Prediction Log'!C251)</f>
      </c>
      <c r="D250" s="65" t="str">
        <f>IF('Prediction Log'!D251=0, "",'Prediction Log'!D251)</f>
      </c>
      <c r="E250" s="58" t="str">
        <f>IF('Prediction Log'!E251=0, "",'Prediction Log'!E251)</f>
      </c>
      <c r="F250" s="65" t="str">
        <f>IF('Prediction Log'!H251=0, "",'Prediction Log'!H251)</f>
      </c>
      <c r="G250" s="64" t="str">
        <f>IF(ISBLANK(Games!B250), "",'Prediction Log'!$I251)</f>
      </c>
      <c r="H250" s="66" t="n">
        <f>'Prediction Log'!$J251</f>
        <v>0</v>
      </c>
      <c r="I250" s="65" t="str">
        <f>IF(ISBLANK(Games!T250), "",IF(AND(Games!T250="",Games!U250=""),"",IF(ISTEXT(Games!U250), "Side",Games!T250)))</f>
      </c>
      <c r="J250" s="65" t="str">
        <f>IF(ISBLANK(Games!T250), "",IF(Table12[[#This Row],[Bet]]="Spread", Games!X250, ""))</f>
      </c>
      <c r="K250" s="65" t="str">
        <f>IF(ISBLANK(Games!U250), "",IF(ISTEXT(Games!U250), Games!U250, ""))</f>
      </c>
      <c r="L250" s="57" t="str">
        <f>IF(ISBLANK(Games!D250), "", Games!D250)</f>
      </c>
      <c r="M250" s="65"/>
      <c r="N250" s="75" t="str">
        <f>IF(Games!V250="", "",Games!V250)</f>
      </c>
      <c r="O250" s="75" t="str">
        <f>IF(Games!Z250=0, "",Games!Z250)</f>
      </c>
      <c r="P250" s="67"/>
      <c r="Q250" s="67" t="str">
        <f>IF(ISBLANK(Games!W250), "", Games!W250)</f>
      </c>
      <c r="R250" s="67" t="str">
        <f>IF(ISBLANK(Games!AA250), "", Games!AA250)</f>
      </c>
      <c r="S250" s="67"/>
      <c r="T250" s="68" t="str">
        <f t="shared" si="34"/>
      </c>
      <c r="U250" s="68" t="str">
        <f t="shared" si="35"/>
      </c>
      <c r="V250" s="68" t="str">
        <f t="shared" si="36"/>
      </c>
      <c r="W250" s="68" t="str">
        <f t="shared" si="37"/>
      </c>
      <c r="X250" s="68" t="n">
        <f t="shared" si="39"/>
        <v>0</v>
      </c>
      <c r="Y250" s="68" t="n">
        <f t="shared" si="40"/>
        <v>0</v>
      </c>
      <c r="Z250" s="67" t="str">
        <f>IF(OR('Prediction Log'!L251="", Table12[[#This Row],[Bet]]="", Table12[[#This Row],[Bet]]="Spread"), "",IF('Prediction Log'!L251=Table12[[#This Row],[Side]], "W", IF('Prediction Log'!L251&lt;&gt;Table12[[#This Row],[Side]], "L", "")))</f>
      </c>
      <c r="AA250" s="59" t="str">
        <f t="shared" si="41"/>
      </c>
      <c r="AB250" s="67" t="str">
        <f>IF(OR(Table12[[#This Row],[Bet]]="Side",Table12[[#This Row],[Bet]]="", 'Prediction Log'!L251=""), "",IF('Prediction Log'!U251="Y", "W", IF('Prediction Log'!U251="N", "L", "")))</f>
      </c>
      <c r="AC250" s="59" t="str">
        <f t="shared" si="33"/>
      </c>
      <c r="AD250" s="67"/>
      <c r="AE250" s="65" t="str">
        <f t="shared" si="38"/>
      </c>
      <c r="AF2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1">
      <c r="A251" s="65" t="str">
        <f>IF(ISBLANK(Games!A251), "", Games!A251)</f>
      </c>
      <c r="B251" s="65" t="str">
        <f>IF('Prediction Log'!B252=0, "",'Prediction Log'!B252)</f>
      </c>
      <c r="C251" s="65" t="str">
        <f>IF('Prediction Log'!C252=0, "",'Prediction Log'!C252)</f>
      </c>
      <c r="D251" s="65" t="str">
        <f>IF('Prediction Log'!D252=0, "",'Prediction Log'!D252)</f>
      </c>
      <c r="E251" s="58" t="str">
        <f>IF('Prediction Log'!E252=0, "",'Prediction Log'!E252)</f>
      </c>
      <c r="F251" s="65" t="str">
        <f>IF('Prediction Log'!H252=0, "",'Prediction Log'!H252)</f>
      </c>
      <c r="G251" s="64" t="str">
        <f>IF(ISBLANK(Games!B251), "",'Prediction Log'!$I252)</f>
      </c>
      <c r="H251" s="66" t="n">
        <f>'Prediction Log'!$J252</f>
        <v>0</v>
      </c>
      <c r="I251" s="65" t="str">
        <f>IF(ISBLANK(Games!T251), "",IF(AND(Games!T251="",Games!U251=""),"",IF(ISTEXT(Games!U251), "Side",Games!T251)))</f>
      </c>
      <c r="J251" s="65" t="str">
        <f>IF(ISBLANK(Games!T251), "",IF(Table12[[#This Row],[Bet]]="Spread", Games!X251, ""))</f>
      </c>
      <c r="K251" s="65" t="str">
        <f>IF(ISBLANK(Games!U251), "",IF(ISTEXT(Games!U251), Games!U251, ""))</f>
      </c>
      <c r="L251" s="57" t="str">
        <f>IF(ISBLANK(Games!D251), "", Games!D251)</f>
      </c>
      <c r="M251" s="65"/>
      <c r="N251" s="75" t="str">
        <f>IF(Games!V251="", "",Games!V251)</f>
      </c>
      <c r="O251" s="75" t="str">
        <f>IF(Games!Z251=0, "",Games!Z251)</f>
      </c>
      <c r="P251" s="67"/>
      <c r="Q251" s="67" t="str">
        <f>IF(ISBLANK(Games!W251), "", Games!W251)</f>
      </c>
      <c r="R251" s="67" t="str">
        <f>IF(ISBLANK(Games!AA251), "", Games!AA251)</f>
      </c>
      <c r="S251" s="67"/>
      <c r="T251" s="68" t="str">
        <f t="shared" si="34"/>
      </c>
      <c r="U251" s="68" t="str">
        <f t="shared" si="35"/>
      </c>
      <c r="V251" s="68" t="str">
        <f t="shared" si="36"/>
      </c>
      <c r="W251" s="68" t="str">
        <f t="shared" si="37"/>
      </c>
      <c r="X251" s="68" t="n">
        <f t="shared" si="39"/>
        <v>0</v>
      </c>
      <c r="Y251" s="68" t="n">
        <f t="shared" si="40"/>
        <v>0</v>
      </c>
      <c r="Z251" s="67" t="str">
        <f>IF(OR('Prediction Log'!L252="", Table12[[#This Row],[Bet]]="", Table12[[#This Row],[Bet]]="Spread"), "",IF('Prediction Log'!L252=Table12[[#This Row],[Side]], "W", IF('Prediction Log'!L252&lt;&gt;Table12[[#This Row],[Side]], "L", "")))</f>
      </c>
      <c r="AA251" s="59" t="str">
        <f t="shared" si="41"/>
      </c>
      <c r="AB251" s="67" t="str">
        <f>IF(OR(Table12[[#This Row],[Bet]]="Side",Table12[[#This Row],[Bet]]="", 'Prediction Log'!L252=""), "",IF('Prediction Log'!U252="Y", "W", IF('Prediction Log'!U252="N", "L", "")))</f>
      </c>
      <c r="AC251" s="59" t="str">
        <f t="shared" si="33"/>
      </c>
      <c r="AD251" s="67"/>
      <c r="AE251" s="65" t="str">
        <f t="shared" si="38"/>
      </c>
      <c r="AF2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2">
      <c r="A252" s="65" t="str">
        <f>IF(ISBLANK(Games!A252), "", Games!A252)</f>
      </c>
      <c r="B252" s="65" t="str">
        <f>IF('Prediction Log'!B253=0, "",'Prediction Log'!B253)</f>
      </c>
      <c r="C252" s="65" t="str">
        <f>IF('Prediction Log'!C253=0, "",'Prediction Log'!C253)</f>
      </c>
      <c r="D252" s="65" t="str">
        <f>IF('Prediction Log'!D253=0, "",'Prediction Log'!D253)</f>
      </c>
      <c r="E252" s="58" t="str">
        <f>IF('Prediction Log'!E253=0, "",'Prediction Log'!E253)</f>
      </c>
      <c r="F252" s="65" t="str">
        <f>IF('Prediction Log'!H253=0, "",'Prediction Log'!H253)</f>
      </c>
      <c r="G252" s="64" t="str">
        <f>IF(ISBLANK(Games!B252), "",'Prediction Log'!$I253)</f>
      </c>
      <c r="H252" s="66" t="n">
        <f>'Prediction Log'!$J253</f>
        <v>0</v>
      </c>
      <c r="I252" s="65" t="str">
        <f>IF(ISBLANK(Games!T252), "",IF(AND(Games!T252="",Games!U252=""),"",IF(ISTEXT(Games!U252), "Side",Games!T252)))</f>
      </c>
      <c r="J252" s="65" t="str">
        <f>IF(ISBLANK(Games!T252), "",IF(Table12[[#This Row],[Bet]]="Spread", Games!X252, ""))</f>
      </c>
      <c r="K252" s="65" t="str">
        <f>IF(ISBLANK(Games!U252), "",IF(ISTEXT(Games!U252), Games!U252, ""))</f>
      </c>
      <c r="L252" s="57" t="str">
        <f>IF(ISBLANK(Games!D252), "", Games!D252)</f>
      </c>
      <c r="M252" s="65"/>
      <c r="N252" s="75" t="str">
        <f>IF(Games!V252="", "",Games!V252)</f>
      </c>
      <c r="O252" s="75" t="str">
        <f>IF(Games!Z252=0, "",Games!Z252)</f>
      </c>
      <c r="P252" s="67"/>
      <c r="Q252" s="67" t="str">
        <f>IF(ISBLANK(Games!W252), "", Games!W252)</f>
      </c>
      <c r="R252" s="67" t="str">
        <f>IF(ISBLANK(Games!AA252), "", Games!AA252)</f>
      </c>
      <c r="S252" s="67"/>
      <c r="T252" s="68" t="str">
        <f t="shared" si="34"/>
      </c>
      <c r="U252" s="68" t="str">
        <f t="shared" si="35"/>
      </c>
      <c r="V252" s="68" t="str">
        <f t="shared" si="36"/>
      </c>
      <c r="W252" s="68" t="str">
        <f t="shared" si="37"/>
      </c>
      <c r="X252" s="68" t="n">
        <f t="shared" si="39"/>
        <v>0</v>
      </c>
      <c r="Y252" s="68" t="n">
        <f t="shared" si="40"/>
        <v>0</v>
      </c>
      <c r="Z252" s="67" t="str">
        <f>IF(OR('Prediction Log'!L253="", Table12[[#This Row],[Bet]]="", Table12[[#This Row],[Bet]]="Spread"), "",IF('Prediction Log'!L253=Table12[[#This Row],[Side]], "W", IF('Prediction Log'!L253&lt;&gt;Table12[[#This Row],[Side]], "L", "")))</f>
      </c>
      <c r="AA252" s="59" t="str">
        <f t="shared" si="41"/>
      </c>
      <c r="AB252" s="67" t="str">
        <f>IF(OR(Table12[[#This Row],[Bet]]="Side",Table12[[#This Row],[Bet]]="", 'Prediction Log'!L253=""), "",IF('Prediction Log'!U253="Y", "W", IF('Prediction Log'!U253="N", "L", "")))</f>
      </c>
      <c r="AC252" s="59" t="str">
        <f t="shared" si="33"/>
      </c>
      <c r="AD252" s="67"/>
      <c r="AE252" s="65" t="str">
        <f t="shared" si="38"/>
      </c>
      <c r="AF2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3">
      <c r="A253" s="65" t="str">
        <f>IF(ISBLANK(Games!A253), "", Games!A253)</f>
      </c>
      <c r="B253" s="65" t="str">
        <f>IF('Prediction Log'!B254=0, "",'Prediction Log'!B254)</f>
      </c>
      <c r="C253" s="65" t="str">
        <f>IF('Prediction Log'!C254=0, "",'Prediction Log'!C254)</f>
      </c>
      <c r="D253" s="65" t="str">
        <f>IF('Prediction Log'!D254=0, "",'Prediction Log'!D254)</f>
      </c>
      <c r="E253" s="58" t="str">
        <f>IF('Prediction Log'!E254=0, "",'Prediction Log'!E254)</f>
      </c>
      <c r="F253" s="65" t="str">
        <f>IF('Prediction Log'!H254=0, "",'Prediction Log'!H254)</f>
      </c>
      <c r="G253" s="64" t="str">
        <f>IF(ISBLANK(Games!B253), "",'Prediction Log'!$I254)</f>
      </c>
      <c r="H253" s="66" t="n">
        <f>'Prediction Log'!$J254</f>
        <v>0</v>
      </c>
      <c r="I253" s="65" t="str">
        <f>IF(ISBLANK(Games!T253), "",IF(AND(Games!T253="",Games!U253=""),"",IF(ISTEXT(Games!U253), "Side",Games!T253)))</f>
      </c>
      <c r="J253" s="65" t="str">
        <f>IF(ISBLANK(Games!T253), "",IF(Table12[[#This Row],[Bet]]="Spread", Games!X253, ""))</f>
      </c>
      <c r="K253" s="65" t="str">
        <f>IF(ISBLANK(Games!U253), "",IF(ISTEXT(Games!U253), Games!U253, ""))</f>
      </c>
      <c r="L253" s="57" t="str">
        <f>IF(ISBLANK(Games!D253), "", Games!D253)</f>
      </c>
      <c r="M253" s="65"/>
      <c r="N253" s="75" t="str">
        <f>IF(Games!V253="", "",Games!V253)</f>
      </c>
      <c r="O253" s="75" t="str">
        <f>IF(Games!Z253=0, "",Games!Z253)</f>
      </c>
      <c r="P253" s="67"/>
      <c r="Q253" s="67" t="str">
        <f>IF(ISBLANK(Games!W253), "", Games!W253)</f>
      </c>
      <c r="R253" s="67" t="str">
        <f>IF(ISBLANK(Games!AA253), "", Games!AA253)</f>
      </c>
      <c r="S253" s="67"/>
      <c r="T253" s="68" t="str">
        <f t="shared" si="34"/>
      </c>
      <c r="U253" s="68" t="str">
        <f t="shared" si="35"/>
      </c>
      <c r="V253" s="68" t="str">
        <f t="shared" si="36"/>
      </c>
      <c r="W253" s="68" t="str">
        <f t="shared" si="37"/>
      </c>
      <c r="X253" s="68" t="n">
        <f t="shared" si="39"/>
        <v>0</v>
      </c>
      <c r="Y253" s="68" t="n">
        <f t="shared" si="40"/>
        <v>0</v>
      </c>
      <c r="Z253" s="67" t="str">
        <f>IF(OR('Prediction Log'!L254="", Table12[[#This Row],[Bet]]="", Table12[[#This Row],[Bet]]="Spread"), "",IF('Prediction Log'!L254=Table12[[#This Row],[Side]], "W", IF('Prediction Log'!L254&lt;&gt;Table12[[#This Row],[Side]], "L", "")))</f>
      </c>
      <c r="AA253" s="59" t="str">
        <f t="shared" si="41"/>
      </c>
      <c r="AB253" s="67" t="str">
        <f>IF(OR(Table12[[#This Row],[Bet]]="Side",Table12[[#This Row],[Bet]]="", 'Prediction Log'!L254=""), "",IF('Prediction Log'!U254="Y", "W", IF('Prediction Log'!U254="N", "L", "")))</f>
      </c>
      <c r="AC253" s="59" t="str">
        <f t="shared" si="33"/>
      </c>
      <c r="AD253" s="67"/>
      <c r="AE253" s="65" t="str">
        <f t="shared" si="38"/>
      </c>
      <c r="AF2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4">
      <c r="A254" s="65" t="str">
        <f>IF(ISBLANK(Games!A254), "", Games!A254)</f>
      </c>
      <c r="B254" s="65" t="str">
        <f>IF('Prediction Log'!B255=0, "",'Prediction Log'!B255)</f>
      </c>
      <c r="C254" s="65" t="str">
        <f>IF('Prediction Log'!C255=0, "",'Prediction Log'!C255)</f>
      </c>
      <c r="D254" s="65" t="str">
        <f>IF('Prediction Log'!D255=0, "",'Prediction Log'!D255)</f>
      </c>
      <c r="E254" s="58" t="str">
        <f>IF('Prediction Log'!E255=0, "",'Prediction Log'!E255)</f>
      </c>
      <c r="F254" s="65" t="str">
        <f>IF('Prediction Log'!H255=0, "",'Prediction Log'!H255)</f>
      </c>
      <c r="G254" s="64" t="str">
        <f>IF(ISBLANK(Games!B254), "",'Prediction Log'!$I255)</f>
      </c>
      <c r="H254" s="66" t="n">
        <f>'Prediction Log'!$J255</f>
        <v>0</v>
      </c>
      <c r="I254" s="65" t="str">
        <f>IF(ISBLANK(Games!T254), "",IF(AND(Games!T254="",Games!U254=""),"",IF(ISTEXT(Games!U254), "Side",Games!T254)))</f>
      </c>
      <c r="J254" s="65" t="str">
        <f>IF(ISBLANK(Games!T254), "",IF(Table12[[#This Row],[Bet]]="Spread", Games!X254, ""))</f>
      </c>
      <c r="K254" s="65" t="str">
        <f>IF(ISBLANK(Games!U254), "",IF(ISTEXT(Games!U254), Games!U254, ""))</f>
      </c>
      <c r="L254" s="57" t="str">
        <f>IF(ISBLANK(Games!D254), "", Games!D254)</f>
      </c>
      <c r="M254" s="65"/>
      <c r="N254" s="75" t="str">
        <f>IF(Games!V254="", "",Games!V254)</f>
      </c>
      <c r="O254" s="75" t="str">
        <f>IF(Games!Z254=0, "",Games!Z254)</f>
      </c>
      <c r="P254" s="67"/>
      <c r="Q254" s="67" t="str">
        <f>IF(ISBLANK(Games!W254), "", Games!W254)</f>
      </c>
      <c r="R254" s="67" t="str">
        <f>IF(ISBLANK(Games!AA254), "", Games!AA254)</f>
      </c>
      <c r="S254" s="67"/>
      <c r="T254" s="68" t="str">
        <f t="shared" si="34"/>
      </c>
      <c r="U254" s="68" t="str">
        <f t="shared" si="35"/>
      </c>
      <c r="V254" s="68" t="str">
        <f t="shared" si="36"/>
      </c>
      <c r="W254" s="68" t="str">
        <f t="shared" si="37"/>
      </c>
      <c r="X254" s="68" t="n">
        <f t="shared" si="39"/>
        <v>0</v>
      </c>
      <c r="Y254" s="68" t="n">
        <f t="shared" si="40"/>
        <v>0</v>
      </c>
      <c r="Z254" s="67" t="str">
        <f>IF(OR('Prediction Log'!L255="", Table12[[#This Row],[Bet]]="", Table12[[#This Row],[Bet]]="Spread"), "",IF('Prediction Log'!L255=Table12[[#This Row],[Side]], "W", IF('Prediction Log'!L255&lt;&gt;Table12[[#This Row],[Side]], "L", "")))</f>
      </c>
      <c r="AA254" s="59" t="str">
        <f t="shared" si="41"/>
      </c>
      <c r="AB254" s="67" t="str">
        <f>IF(OR(Table12[[#This Row],[Bet]]="Side",Table12[[#This Row],[Bet]]="", 'Prediction Log'!L255=""), "",IF('Prediction Log'!U255="Y", "W", IF('Prediction Log'!U255="N", "L", "")))</f>
      </c>
      <c r="AC254" s="59" t="str">
        <f t="shared" si="33"/>
      </c>
      <c r="AD254" s="67"/>
      <c r="AE254" s="65" t="str">
        <f t="shared" si="38"/>
      </c>
      <c r="AF2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5">
      <c r="A255" s="65" t="str">
        <f>IF(ISBLANK(Games!A255), "", Games!A255)</f>
      </c>
      <c r="B255" s="65" t="str">
        <f>IF('Prediction Log'!B256=0, "",'Prediction Log'!B256)</f>
      </c>
      <c r="C255" s="65" t="str">
        <f>IF('Prediction Log'!C256=0, "",'Prediction Log'!C256)</f>
      </c>
      <c r="D255" s="65" t="str">
        <f>IF('Prediction Log'!D256=0, "",'Prediction Log'!D256)</f>
      </c>
      <c r="E255" s="58" t="str">
        <f>IF('Prediction Log'!E256=0, "",'Prediction Log'!E256)</f>
      </c>
      <c r="F255" s="65" t="str">
        <f>IF('Prediction Log'!H256=0, "",'Prediction Log'!H256)</f>
      </c>
      <c r="G255" s="64" t="str">
        <f>IF(ISBLANK(Games!B255), "",'Prediction Log'!$I256)</f>
      </c>
      <c r="H255" s="66" t="n">
        <f>'Prediction Log'!$J256</f>
        <v>0</v>
      </c>
      <c r="I255" s="65" t="str">
        <f>IF(ISBLANK(Games!T255), "",IF(AND(Games!T255="",Games!U255=""),"",IF(ISTEXT(Games!U255), "Side",Games!T255)))</f>
      </c>
      <c r="J255" s="65" t="str">
        <f>IF(ISBLANK(Games!T255), "",IF(Table12[[#This Row],[Bet]]="Spread", Games!X255, ""))</f>
      </c>
      <c r="K255" s="65" t="str">
        <f>IF(ISBLANK(Games!U255), "",IF(ISTEXT(Games!U255), Games!U255, ""))</f>
      </c>
      <c r="L255" s="57" t="str">
        <f>IF(ISBLANK(Games!D255), "", Games!D255)</f>
      </c>
      <c r="M255" s="65"/>
      <c r="N255" s="75" t="str">
        <f>IF(Games!V255="", "",Games!V255)</f>
      </c>
      <c r="O255" s="75" t="str">
        <f>IF(Games!Z255=0, "",Games!Z255)</f>
      </c>
      <c r="P255" s="67"/>
      <c r="Q255" s="67" t="str">
        <f>IF(ISBLANK(Games!W255), "", Games!W255)</f>
      </c>
      <c r="R255" s="67" t="str">
        <f>IF(ISBLANK(Games!AA255), "", Games!AA255)</f>
      </c>
      <c r="S255" s="67"/>
      <c r="T255" s="68" t="str">
        <f t="shared" si="34"/>
      </c>
      <c r="U255" s="68" t="str">
        <f t="shared" si="35"/>
      </c>
      <c r="V255" s="68" t="str">
        <f t="shared" si="36"/>
      </c>
      <c r="W255" s="68" t="str">
        <f t="shared" si="37"/>
      </c>
      <c r="X255" s="68" t="n">
        <f t="shared" si="39"/>
        <v>0</v>
      </c>
      <c r="Y255" s="68" t="n">
        <f t="shared" si="40"/>
        <v>0</v>
      </c>
      <c r="Z255" s="67" t="str">
        <f>IF(OR('Prediction Log'!L256="", Table12[[#This Row],[Bet]]="", Table12[[#This Row],[Bet]]="Spread"), "",IF('Prediction Log'!L256=Table12[[#This Row],[Side]], "W", IF('Prediction Log'!L256&lt;&gt;Table12[[#This Row],[Side]], "L", "")))</f>
      </c>
      <c r="AA255" s="59" t="str">
        <f t="shared" si="41"/>
      </c>
      <c r="AB255" s="67" t="str">
        <f>IF(OR(Table12[[#This Row],[Bet]]="Side",Table12[[#This Row],[Bet]]="", 'Prediction Log'!L256=""), "",IF('Prediction Log'!U256="Y", "W", IF('Prediction Log'!U256="N", "L", "")))</f>
      </c>
      <c r="AC255" s="59" t="str">
        <f t="shared" si="33"/>
      </c>
      <c r="AD255" s="67"/>
      <c r="AE255" s="65" t="str">
        <f t="shared" si="38"/>
      </c>
      <c r="AF2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6">
      <c r="A256" s="65" t="str">
        <f>IF(ISBLANK(Games!A256), "", Games!A256)</f>
      </c>
      <c r="B256" s="65" t="str">
        <f>IF('Prediction Log'!B257=0, "",'Prediction Log'!B257)</f>
      </c>
      <c r="C256" s="65" t="str">
        <f>IF('Prediction Log'!C257=0, "",'Prediction Log'!C257)</f>
      </c>
      <c r="D256" s="65" t="str">
        <f>IF('Prediction Log'!D257=0, "",'Prediction Log'!D257)</f>
      </c>
      <c r="E256" s="58" t="str">
        <f>IF('Prediction Log'!E257=0, "",'Prediction Log'!E257)</f>
      </c>
      <c r="F256" s="65" t="str">
        <f>IF('Prediction Log'!H257=0, "",'Prediction Log'!H257)</f>
      </c>
      <c r="G256" s="64" t="str">
        <f>IF(ISBLANK(Games!B256), "",'Prediction Log'!$I257)</f>
      </c>
      <c r="H256" s="66" t="n">
        <f>'Prediction Log'!$J257</f>
        <v>0</v>
      </c>
      <c r="I256" s="65" t="str">
        <f>IF(ISBLANK(Games!T256), "",IF(AND(Games!T256="",Games!U256=""),"",IF(ISTEXT(Games!U256), "Side",Games!T256)))</f>
      </c>
      <c r="J256" s="65" t="str">
        <f>IF(ISBLANK(Games!T256), "",IF(Table12[[#This Row],[Bet]]="Spread", Games!X256, ""))</f>
      </c>
      <c r="K256" s="65" t="str">
        <f>IF(ISBLANK(Games!U256), "",IF(ISTEXT(Games!U256), Games!U256, ""))</f>
      </c>
      <c r="L256" s="57" t="str">
        <f>IF(ISBLANK(Games!D256), "", Games!D256)</f>
      </c>
      <c r="M256" s="65"/>
      <c r="N256" s="75" t="str">
        <f>IF(Games!V256="", "",Games!V256)</f>
      </c>
      <c r="O256" s="75" t="str">
        <f>IF(Games!Z256=0, "",Games!Z256)</f>
      </c>
      <c r="P256" s="67"/>
      <c r="Q256" s="67" t="str">
        <f>IF(ISBLANK(Games!W256), "", Games!W256)</f>
      </c>
      <c r="R256" s="67" t="str">
        <f>IF(ISBLANK(Games!AA256), "", Games!AA256)</f>
      </c>
      <c r="S256" s="67"/>
      <c r="T256" s="68" t="str">
        <f t="shared" si="34"/>
      </c>
      <c r="U256" s="68" t="str">
        <f t="shared" si="35"/>
      </c>
      <c r="V256" s="68" t="str">
        <f t="shared" si="36"/>
      </c>
      <c r="W256" s="68" t="str">
        <f t="shared" si="37"/>
      </c>
      <c r="X256" s="68" t="n">
        <f t="shared" si="39"/>
        <v>0</v>
      </c>
      <c r="Y256" s="68" t="n">
        <f t="shared" si="40"/>
        <v>0</v>
      </c>
      <c r="Z256" s="67" t="str">
        <f>IF(OR('Prediction Log'!L257="", Table12[[#This Row],[Bet]]="", Table12[[#This Row],[Bet]]="Spread"), "",IF('Prediction Log'!L257=Table12[[#This Row],[Side]], "W", IF('Prediction Log'!L257&lt;&gt;Table12[[#This Row],[Side]], "L", "")))</f>
      </c>
      <c r="AA256" s="59" t="str">
        <f t="shared" si="41"/>
      </c>
      <c r="AB256" s="67" t="str">
        <f>IF(OR(Table12[[#This Row],[Bet]]="Side",Table12[[#This Row],[Bet]]="", 'Prediction Log'!L257=""), "",IF('Prediction Log'!U257="Y", "W", IF('Prediction Log'!U257="N", "L", "")))</f>
      </c>
      <c r="AC256" s="59" t="str">
        <f t="shared" si="33"/>
      </c>
      <c r="AD256" s="67"/>
      <c r="AE256" s="65" t="str">
        <f t="shared" si="38"/>
      </c>
      <c r="AF2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7">
      <c r="A257" s="65" t="str">
        <f>IF(ISBLANK(Games!A257), "", Games!A257)</f>
      </c>
      <c r="B257" s="65" t="str">
        <f>IF('Prediction Log'!B258=0, "",'Prediction Log'!B258)</f>
      </c>
      <c r="C257" s="65" t="str">
        <f>IF('Prediction Log'!C258=0, "",'Prediction Log'!C258)</f>
      </c>
      <c r="D257" s="65" t="str">
        <f>IF('Prediction Log'!D258=0, "",'Prediction Log'!D258)</f>
      </c>
      <c r="E257" s="58" t="str">
        <f>IF('Prediction Log'!E258=0, "",'Prediction Log'!E258)</f>
      </c>
      <c r="F257" s="65" t="str">
        <f>IF('Prediction Log'!H258=0, "",'Prediction Log'!H258)</f>
      </c>
      <c r="G257" s="64" t="str">
        <f>IF(ISBLANK(Games!B257), "",'Prediction Log'!$I258)</f>
      </c>
      <c r="H257" s="66" t="n">
        <f>'Prediction Log'!$J258</f>
        <v>0</v>
      </c>
      <c r="I257" s="65" t="str">
        <f>IF(ISBLANK(Games!T257), "",IF(AND(Games!T257="",Games!U257=""),"",IF(ISTEXT(Games!U257), "Side",Games!T257)))</f>
      </c>
      <c r="J257" s="65" t="str">
        <f>IF(ISBLANK(Games!T257), "",IF(Table12[[#This Row],[Bet]]="Spread", Games!X257, ""))</f>
      </c>
      <c r="K257" s="65" t="str">
        <f>IF(ISBLANK(Games!U257), "",IF(ISTEXT(Games!U257), Games!U257, ""))</f>
      </c>
      <c r="L257" s="57" t="str">
        <f>IF(ISBLANK(Games!D257), "", Games!D257)</f>
      </c>
      <c r="M257" s="65"/>
      <c r="N257" s="75" t="str">
        <f>IF(Games!V257="", "",Games!V257)</f>
      </c>
      <c r="O257" s="75" t="str">
        <f>IF(Games!Z257=0, "",Games!Z257)</f>
      </c>
      <c r="P257" s="67"/>
      <c r="Q257" s="67" t="str">
        <f>IF(ISBLANK(Games!W257), "", Games!W257)</f>
      </c>
      <c r="R257" s="67" t="str">
        <f>IF(ISBLANK(Games!AA257), "", Games!AA257)</f>
      </c>
      <c r="S257" s="67"/>
      <c r="T257" s="68" t="str">
        <f t="shared" si="34"/>
      </c>
      <c r="U257" s="68" t="str">
        <f t="shared" si="35"/>
      </c>
      <c r="V257" s="68" t="str">
        <f t="shared" si="36"/>
      </c>
      <c r="W257" s="68" t="str">
        <f t="shared" si="37"/>
      </c>
      <c r="X257" s="68" t="n">
        <f t="shared" si="39"/>
        <v>0</v>
      </c>
      <c r="Y257" s="68" t="n">
        <f t="shared" si="40"/>
        <v>0</v>
      </c>
      <c r="Z257" s="67" t="str">
        <f>IF(OR('Prediction Log'!L258="", Table12[[#This Row],[Bet]]="", Table12[[#This Row],[Bet]]="Spread"), "",IF('Prediction Log'!L258=Table12[[#This Row],[Side]], "W", IF('Prediction Log'!L258&lt;&gt;Table12[[#This Row],[Side]], "L", "")))</f>
      </c>
      <c r="AA257" s="59" t="str">
        <f t="shared" si="41"/>
      </c>
      <c r="AB257" s="67" t="str">
        <f>IF(OR(Table12[[#This Row],[Bet]]="Side",Table12[[#This Row],[Bet]]="", 'Prediction Log'!L258=""), "",IF('Prediction Log'!U258="Y", "W", IF('Prediction Log'!U258="N", "L", "")))</f>
      </c>
      <c r="AC257" s="59" t="str">
        <f t="shared" si="33"/>
      </c>
      <c r="AD257" s="67"/>
      <c r="AE257" s="65" t="str">
        <f t="shared" si="38"/>
      </c>
      <c r="AF2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8">
      <c r="A258" s="65" t="str">
        <f>IF(ISBLANK(Games!A258), "", Games!A258)</f>
      </c>
      <c r="B258" s="65" t="str">
        <f>IF('Prediction Log'!B259=0, "",'Prediction Log'!B259)</f>
      </c>
      <c r="C258" s="65" t="str">
        <f>IF('Prediction Log'!C259=0, "",'Prediction Log'!C259)</f>
      </c>
      <c r="D258" s="65" t="str">
        <f>IF('Prediction Log'!D259=0, "",'Prediction Log'!D259)</f>
      </c>
      <c r="E258" s="58" t="str">
        <f>IF('Prediction Log'!E259=0, "",'Prediction Log'!E259)</f>
      </c>
      <c r="F258" s="65" t="str">
        <f>IF('Prediction Log'!H259=0, "",'Prediction Log'!H259)</f>
      </c>
      <c r="G258" s="64" t="str">
        <f>IF(ISBLANK(Games!B258), "",'Prediction Log'!$I259)</f>
      </c>
      <c r="H258" s="66" t="n">
        <f>'Prediction Log'!$J259</f>
        <v>0</v>
      </c>
      <c r="I258" s="65" t="str">
        <f>IF(ISBLANK(Games!T258), "",IF(AND(Games!T258="",Games!U258=""),"",IF(ISTEXT(Games!U258), "Side",Games!T258)))</f>
      </c>
      <c r="J258" s="65" t="str">
        <f>IF(ISBLANK(Games!T258), "",IF(Table12[[#This Row],[Bet]]="Spread", Games!X258, ""))</f>
      </c>
      <c r="K258" s="65" t="str">
        <f>IF(ISBLANK(Games!U258), "",IF(ISTEXT(Games!U258), Games!U258, ""))</f>
      </c>
      <c r="L258" s="57" t="str">
        <f>IF(ISBLANK(Games!D258), "", Games!D258)</f>
      </c>
      <c r="M258" s="65"/>
      <c r="N258" s="75" t="str">
        <f>IF(Games!V258="", "",Games!V258)</f>
      </c>
      <c r="O258" s="75" t="str">
        <f>IF(Games!Z258=0, "",Games!Z258)</f>
      </c>
      <c r="P258" s="67"/>
      <c r="Q258" s="67" t="str">
        <f>IF(ISBLANK(Games!W258), "", Games!W258)</f>
      </c>
      <c r="R258" s="67" t="str">
        <f>IF(ISBLANK(Games!AA258), "", Games!AA258)</f>
      </c>
      <c r="S258" s="67"/>
      <c r="T258" s="68" t="str">
        <f t="shared" si="34"/>
      </c>
      <c r="U258" s="68" t="str">
        <f t="shared" si="35"/>
      </c>
      <c r="V258" s="68" t="str">
        <f t="shared" si="36"/>
      </c>
      <c r="W258" s="68" t="str">
        <f t="shared" si="37"/>
      </c>
      <c r="X258" s="68" t="n">
        <f t="shared" si="39"/>
        <v>0</v>
      </c>
      <c r="Y258" s="68" t="n">
        <f t="shared" si="40"/>
        <v>0</v>
      </c>
      <c r="Z258" s="67" t="str">
        <f>IF(OR('Prediction Log'!L259="", Table12[[#This Row],[Bet]]="", Table12[[#This Row],[Bet]]="Spread"), "",IF('Prediction Log'!L259=Table12[[#This Row],[Side]], "W", IF('Prediction Log'!L259&lt;&gt;Table12[[#This Row],[Side]], "L", "")))</f>
      </c>
      <c r="AA258" s="59" t="str">
        <f t="shared" si="41"/>
      </c>
      <c r="AB258" s="67" t="str">
        <f>IF(OR(Table12[[#This Row],[Bet]]="Side",Table12[[#This Row],[Bet]]="", 'Prediction Log'!L259=""), "",IF('Prediction Log'!U259="Y", "W", IF('Prediction Log'!U259="N", "L", "")))</f>
      </c>
      <c r="AC258" s="59" t="str">
        <f t="shared" ref="AC258:AC321" si="42">IF(AB258="W", W258, IF(AB258="L",-O258, ""))</f>
      </c>
      <c r="AD258" s="67"/>
      <c r="AE258" s="65" t="str">
        <f t="shared" si="38"/>
      </c>
      <c r="AF2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9">
      <c r="A259" s="65" t="str">
        <f>IF(ISBLANK(Games!A259), "", Games!A259)</f>
      </c>
      <c r="B259" s="65" t="str">
        <f>IF('Prediction Log'!B260=0, "",'Prediction Log'!B260)</f>
      </c>
      <c r="C259" s="65" t="str">
        <f>IF('Prediction Log'!C260=0, "",'Prediction Log'!C260)</f>
      </c>
      <c r="D259" s="65" t="str">
        <f>IF('Prediction Log'!D260=0, "",'Prediction Log'!D260)</f>
      </c>
      <c r="E259" s="58" t="str">
        <f>IF('Prediction Log'!E260=0, "",'Prediction Log'!E260)</f>
      </c>
      <c r="F259" s="65" t="str">
        <f>IF('Prediction Log'!H260=0, "",'Prediction Log'!H260)</f>
      </c>
      <c r="G259" s="64" t="str">
        <f>IF(ISBLANK(Games!B259), "",'Prediction Log'!$I260)</f>
      </c>
      <c r="H259" s="66" t="n">
        <f>'Prediction Log'!$J260</f>
        <v>0</v>
      </c>
      <c r="I259" s="65" t="str">
        <f>IF(ISBLANK(Games!T259), "",IF(AND(Games!T259="",Games!U259=""),"",IF(ISTEXT(Games!U259), "Side",Games!T259)))</f>
      </c>
      <c r="J259" s="65" t="str">
        <f>IF(ISBLANK(Games!T259), "",IF(Table12[[#This Row],[Bet]]="Spread", Games!X259, ""))</f>
      </c>
      <c r="K259" s="65" t="str">
        <f>IF(ISBLANK(Games!U259), "",IF(ISTEXT(Games!U259), Games!U259, ""))</f>
      </c>
      <c r="L259" s="57" t="str">
        <f>IF(ISBLANK(Games!D259), "", Games!D259)</f>
      </c>
      <c r="M259" s="65"/>
      <c r="N259" s="75" t="str">
        <f>IF(Games!V259="", "",Games!V259)</f>
      </c>
      <c r="O259" s="75" t="str">
        <f>IF(Games!Z259=0, "",Games!Z259)</f>
      </c>
      <c r="P259" s="67"/>
      <c r="Q259" s="67" t="str">
        <f>IF(ISBLANK(Games!W259), "", Games!W259)</f>
      </c>
      <c r="R259" s="67" t="str">
        <f>IF(ISBLANK(Games!AA259), "", Games!AA259)</f>
      </c>
      <c r="S259" s="67"/>
      <c r="T259" s="68" t="str">
        <f t="shared" ref="T259:T322" si="43">IFERROR(N259+IF(Q259&lt;0, (N259/(Q259/-100)), N259*(Q259/100)), "")</f>
      </c>
      <c r="U259" s="68" t="str">
        <f t="shared" ref="U259:U322" si="44">IFERROR(T259-N259, "")</f>
      </c>
      <c r="V259" s="68" t="str">
        <f t="shared" ref="V259:V322" si="45">IFERROR(O259+IF(R259&lt;0, (O259/(R259/-100)), O259*(R259/100)), "")</f>
      </c>
      <c r="W259" s="68" t="str">
        <f t="shared" ref="W259:W322" si="46">IFERROR(V259-O259, "")</f>
      </c>
      <c r="X259" s="68" t="n">
        <f t="shared" si="39"/>
        <v>0</v>
      </c>
      <c r="Y259" s="68" t="n">
        <f t="shared" si="40"/>
        <v>0</v>
      </c>
      <c r="Z259" s="67" t="str">
        <f>IF(OR('Prediction Log'!L260="", Table12[[#This Row],[Bet]]="", Table12[[#This Row],[Bet]]="Spread"), "",IF('Prediction Log'!L260=Table12[[#This Row],[Side]], "W", IF('Prediction Log'!L260&lt;&gt;Table12[[#This Row],[Side]], "L", "")))</f>
      </c>
      <c r="AA259" s="59" t="str">
        <f t="shared" si="41"/>
      </c>
      <c r="AB259" s="67" t="str">
        <f>IF(OR(Table12[[#This Row],[Bet]]="Side",Table12[[#This Row],[Bet]]="", 'Prediction Log'!L260=""), "",IF('Prediction Log'!U260="Y", "W", IF('Prediction Log'!U260="N", "L", "")))</f>
      </c>
      <c r="AC259" s="59" t="str">
        <f t="shared" si="42"/>
      </c>
      <c r="AD259" s="67"/>
      <c r="AE259" s="65" t="str">
        <f t="shared" ref="AE259:AE322" si="47">IF(AD259="W", Y259, IF(AD259="L",-R259, ""))</f>
      </c>
      <c r="AF2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0">
      <c r="A260" s="65" t="str">
        <f>IF(ISBLANK(Games!A260), "", Games!A260)</f>
      </c>
      <c r="B260" s="65" t="str">
        <f>IF('Prediction Log'!B261=0, "",'Prediction Log'!B261)</f>
      </c>
      <c r="C260" s="65" t="str">
        <f>IF('Prediction Log'!C261=0, "",'Prediction Log'!C261)</f>
      </c>
      <c r="D260" s="65" t="str">
        <f>IF('Prediction Log'!D261=0, "",'Prediction Log'!D261)</f>
      </c>
      <c r="E260" s="58" t="str">
        <f>IF('Prediction Log'!E261=0, "",'Prediction Log'!E261)</f>
      </c>
      <c r="F260" s="65" t="str">
        <f>IF('Prediction Log'!H261=0, "",'Prediction Log'!H261)</f>
      </c>
      <c r="G260" s="64" t="str">
        <f>IF(ISBLANK(Games!B260), "",'Prediction Log'!$I261)</f>
      </c>
      <c r="H260" s="66" t="n">
        <f>'Prediction Log'!$J261</f>
        <v>0</v>
      </c>
      <c r="I260" s="65" t="str">
        <f>IF(ISBLANK(Games!T260), "",IF(AND(Games!T260="",Games!U260=""),"",IF(ISTEXT(Games!U260), "Side",Games!T260)))</f>
      </c>
      <c r="J260" s="65" t="str">
        <f>IF(ISBLANK(Games!T260), "",IF(Table12[[#This Row],[Bet]]="Spread", Games!X260, ""))</f>
      </c>
      <c r="K260" s="65" t="str">
        <f>IF(ISBLANK(Games!U260), "",IF(ISTEXT(Games!U260), Games!U260, ""))</f>
      </c>
      <c r="L260" s="57" t="str">
        <f>IF(ISBLANK(Games!D260), "", Games!D260)</f>
      </c>
      <c r="M260" s="65"/>
      <c r="N260" s="75" t="str">
        <f>IF(Games!V260="", "",Games!V260)</f>
      </c>
      <c r="O260" s="75" t="str">
        <f>IF(Games!Z260=0, "",Games!Z260)</f>
      </c>
      <c r="P260" s="67"/>
      <c r="Q260" s="67" t="str">
        <f>IF(ISBLANK(Games!W260), "", Games!W260)</f>
      </c>
      <c r="R260" s="67" t="str">
        <f>IF(ISBLANK(Games!AA260), "", Games!AA260)</f>
      </c>
      <c r="S260" s="67"/>
      <c r="T260" s="68" t="str">
        <f t="shared" si="43"/>
      </c>
      <c r="U260" s="68" t="str">
        <f t="shared" si="44"/>
      </c>
      <c r="V260" s="68" t="str">
        <f t="shared" si="45"/>
      </c>
      <c r="W260" s="68" t="str">
        <f t="shared" si="46"/>
      </c>
      <c r="X260" s="68" t="n">
        <f t="shared" si="39"/>
        <v>0</v>
      </c>
      <c r="Y260" s="68" t="n">
        <f t="shared" si="40"/>
        <v>0</v>
      </c>
      <c r="Z260" s="67" t="str">
        <f>IF(OR('Prediction Log'!L261="", Table12[[#This Row],[Bet]]="", Table12[[#This Row],[Bet]]="Spread"), "",IF('Prediction Log'!L261=Table12[[#This Row],[Side]], "W", IF('Prediction Log'!L261&lt;&gt;Table12[[#This Row],[Side]], "L", "")))</f>
      </c>
      <c r="AA260" s="59" t="str">
        <f t="shared" si="41"/>
      </c>
      <c r="AB260" s="67" t="str">
        <f>IF(OR(Table12[[#This Row],[Bet]]="Side",Table12[[#This Row],[Bet]]="", 'Prediction Log'!L261=""), "",IF('Prediction Log'!U261="Y", "W", IF('Prediction Log'!U261="N", "L", "")))</f>
      </c>
      <c r="AC260" s="59" t="str">
        <f t="shared" si="42"/>
      </c>
      <c r="AD260" s="67"/>
      <c r="AE260" s="65" t="str">
        <f t="shared" si="47"/>
      </c>
      <c r="AF2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1">
      <c r="A261" s="65" t="str">
        <f>IF(ISBLANK(Games!A261), "", Games!A261)</f>
      </c>
      <c r="B261" s="65" t="str">
        <f>IF('Prediction Log'!B262=0, "",'Prediction Log'!B262)</f>
      </c>
      <c r="C261" s="65" t="str">
        <f>IF('Prediction Log'!C262=0, "",'Prediction Log'!C262)</f>
      </c>
      <c r="D261" s="65" t="str">
        <f>IF('Prediction Log'!D262=0, "",'Prediction Log'!D262)</f>
      </c>
      <c r="E261" s="58" t="str">
        <f>IF('Prediction Log'!E262=0, "",'Prediction Log'!E262)</f>
      </c>
      <c r="F261" s="65" t="str">
        <f>IF('Prediction Log'!H262=0, "",'Prediction Log'!H262)</f>
      </c>
      <c r="G261" s="64" t="str">
        <f>IF(ISBLANK(Games!B261), "",'Prediction Log'!$I262)</f>
      </c>
      <c r="H261" s="66" t="n">
        <f>'Prediction Log'!$J262</f>
        <v>0</v>
      </c>
      <c r="I261" s="65" t="str">
        <f>IF(ISBLANK(Games!T261), "",IF(AND(Games!T261="",Games!U261=""),"",IF(ISTEXT(Games!U261), "Side",Games!T261)))</f>
      </c>
      <c r="J261" s="65" t="str">
        <f>IF(ISBLANK(Games!T261), "",IF(Table12[[#This Row],[Bet]]="Spread", Games!X261, ""))</f>
      </c>
      <c r="K261" s="65" t="str">
        <f>IF(ISBLANK(Games!U261), "",IF(ISTEXT(Games!U261), Games!U261, ""))</f>
      </c>
      <c r="L261" s="57" t="str">
        <f>IF(ISBLANK(Games!D261), "", Games!D261)</f>
      </c>
      <c r="M261" s="65"/>
      <c r="N261" s="75" t="str">
        <f>IF(Games!V261="", "",Games!V261)</f>
      </c>
      <c r="O261" s="75" t="str">
        <f>IF(Games!Z261=0, "",Games!Z261)</f>
      </c>
      <c r="P261" s="67"/>
      <c r="Q261" s="67" t="str">
        <f>IF(ISBLANK(Games!W261), "", Games!W261)</f>
      </c>
      <c r="R261" s="67" t="str">
        <f>IF(ISBLANK(Games!AA261), "", Games!AA261)</f>
      </c>
      <c r="S261" s="67"/>
      <c r="T261" s="68" t="str">
        <f t="shared" si="43"/>
      </c>
      <c r="U261" s="68" t="str">
        <f t="shared" si="44"/>
      </c>
      <c r="V261" s="68" t="str">
        <f t="shared" si="45"/>
      </c>
      <c r="W261" s="68" t="str">
        <f t="shared" si="46"/>
      </c>
      <c r="X261" s="68" t="n">
        <f t="shared" si="39"/>
        <v>0</v>
      </c>
      <c r="Y261" s="68" t="n">
        <f t="shared" si="40"/>
        <v>0</v>
      </c>
      <c r="Z261" s="67" t="str">
        <f>IF(OR('Prediction Log'!L262="", Table12[[#This Row],[Bet]]="", Table12[[#This Row],[Bet]]="Spread"), "",IF('Prediction Log'!L262=Table12[[#This Row],[Side]], "W", IF('Prediction Log'!L262&lt;&gt;Table12[[#This Row],[Side]], "L", "")))</f>
      </c>
      <c r="AA261" s="59" t="str">
        <f t="shared" si="41"/>
      </c>
      <c r="AB261" s="67" t="str">
        <f>IF(OR(Table12[[#This Row],[Bet]]="Side",Table12[[#This Row],[Bet]]="", 'Prediction Log'!L262=""), "",IF('Prediction Log'!U262="Y", "W", IF('Prediction Log'!U262="N", "L", "")))</f>
      </c>
      <c r="AC261" s="59" t="str">
        <f t="shared" si="42"/>
      </c>
      <c r="AD261" s="67"/>
      <c r="AE261" s="65" t="str">
        <f t="shared" si="47"/>
      </c>
      <c r="AF2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2">
      <c r="A262" s="65" t="str">
        <f>IF(ISBLANK(Games!A262), "", Games!A262)</f>
      </c>
      <c r="B262" s="65" t="str">
        <f>IF('Prediction Log'!B263=0, "",'Prediction Log'!B263)</f>
      </c>
      <c r="C262" s="65" t="str">
        <f>IF('Prediction Log'!C263=0, "",'Prediction Log'!C263)</f>
      </c>
      <c r="D262" s="65" t="str">
        <f>IF('Prediction Log'!D263=0, "",'Prediction Log'!D263)</f>
      </c>
      <c r="E262" s="58" t="str">
        <f>IF('Prediction Log'!E263=0, "",'Prediction Log'!E263)</f>
      </c>
      <c r="F262" s="65" t="str">
        <f>IF('Prediction Log'!H263=0, "",'Prediction Log'!H263)</f>
      </c>
      <c r="G262" s="64" t="str">
        <f>IF(ISBLANK(Games!B262), "",'Prediction Log'!$I263)</f>
      </c>
      <c r="H262" s="66" t="n">
        <f>'Prediction Log'!$J263</f>
        <v>0</v>
      </c>
      <c r="I262" s="65" t="str">
        <f>IF(ISBLANK(Games!T262), "",IF(AND(Games!T262="",Games!U262=""),"",IF(ISTEXT(Games!U262), "Side",Games!T262)))</f>
      </c>
      <c r="J262" s="65" t="str">
        <f>IF(ISBLANK(Games!T262), "",IF(Table12[[#This Row],[Bet]]="Spread", Games!X262, ""))</f>
      </c>
      <c r="K262" s="65" t="str">
        <f>IF(ISBLANK(Games!U262), "",IF(ISTEXT(Games!U262), Games!U262, ""))</f>
      </c>
      <c r="L262" s="57" t="str">
        <f>IF(ISBLANK(Games!D262), "", Games!D262)</f>
      </c>
      <c r="M262" s="65"/>
      <c r="N262" s="75" t="str">
        <f>IF(Games!V262="", "",Games!V262)</f>
      </c>
      <c r="O262" s="75" t="str">
        <f>IF(Games!Z262=0, "",Games!Z262)</f>
      </c>
      <c r="P262" s="67"/>
      <c r="Q262" s="67" t="str">
        <f>IF(ISBLANK(Games!W262), "", Games!W262)</f>
      </c>
      <c r="R262" s="67" t="str">
        <f>IF(ISBLANK(Games!AA262), "", Games!AA262)</f>
      </c>
      <c r="S262" s="67"/>
      <c r="T262" s="68" t="str">
        <f t="shared" si="43"/>
      </c>
      <c r="U262" s="68" t="str">
        <f t="shared" si="44"/>
      </c>
      <c r="V262" s="68" t="str">
        <f t="shared" si="45"/>
      </c>
      <c r="W262" s="68" t="str">
        <f t="shared" si="46"/>
      </c>
      <c r="X262" s="68" t="n">
        <f t="shared" si="39"/>
        <v>0</v>
      </c>
      <c r="Y262" s="68" t="n">
        <f t="shared" si="40"/>
        <v>0</v>
      </c>
      <c r="Z262" s="67" t="str">
        <f>IF(OR('Prediction Log'!L263="", Table12[[#This Row],[Bet]]="", Table12[[#This Row],[Bet]]="Spread"), "",IF('Prediction Log'!L263=Table12[[#This Row],[Side]], "W", IF('Prediction Log'!L263&lt;&gt;Table12[[#This Row],[Side]], "L", "")))</f>
      </c>
      <c r="AA262" s="59" t="str">
        <f t="shared" si="41"/>
      </c>
      <c r="AB262" s="67" t="str">
        <f>IF(OR(Table12[[#This Row],[Bet]]="Side",Table12[[#This Row],[Bet]]="", 'Prediction Log'!L263=""), "",IF('Prediction Log'!U263="Y", "W", IF('Prediction Log'!U263="N", "L", "")))</f>
      </c>
      <c r="AC262" s="59" t="str">
        <f t="shared" si="42"/>
      </c>
      <c r="AD262" s="67"/>
      <c r="AE262" s="65" t="str">
        <f t="shared" si="47"/>
      </c>
      <c r="AF2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3">
      <c r="A263" s="65" t="str">
        <f>IF(ISBLANK(Games!A263), "", Games!A263)</f>
      </c>
      <c r="B263" s="65" t="str">
        <f>IF('Prediction Log'!B264=0, "",'Prediction Log'!B264)</f>
      </c>
      <c r="C263" s="65" t="str">
        <f>IF('Prediction Log'!C264=0, "",'Prediction Log'!C264)</f>
      </c>
      <c r="D263" s="65" t="str">
        <f>IF('Prediction Log'!D264=0, "",'Prediction Log'!D264)</f>
      </c>
      <c r="E263" s="58" t="str">
        <f>IF('Prediction Log'!E264=0, "",'Prediction Log'!E264)</f>
      </c>
      <c r="F263" s="65" t="str">
        <f>IF('Prediction Log'!H264=0, "",'Prediction Log'!H264)</f>
      </c>
      <c r="G263" s="64" t="str">
        <f>IF(ISBLANK(Games!B263), "",'Prediction Log'!$I264)</f>
      </c>
      <c r="H263" s="66" t="n">
        <f>'Prediction Log'!$J264</f>
        <v>0</v>
      </c>
      <c r="I263" s="65" t="str">
        <f>IF(ISBLANK(Games!T263), "",IF(AND(Games!T263="",Games!U263=""),"",IF(ISTEXT(Games!U263), "Side",Games!T263)))</f>
      </c>
      <c r="J263" s="65" t="str">
        <f>IF(ISBLANK(Games!T263), "",IF(Table12[[#This Row],[Bet]]="Spread", Games!X263, ""))</f>
      </c>
      <c r="K263" s="65" t="str">
        <f>IF(ISBLANK(Games!U263), "",IF(ISTEXT(Games!U263), Games!U263, ""))</f>
      </c>
      <c r="L263" s="57" t="str">
        <f>IF(ISBLANK(Games!D263), "", Games!D263)</f>
      </c>
      <c r="M263" s="65"/>
      <c r="N263" s="75" t="str">
        <f>IF(Games!V263="", "",Games!V263)</f>
      </c>
      <c r="O263" s="75" t="str">
        <f>IF(Games!Z263=0, "",Games!Z263)</f>
      </c>
      <c r="P263" s="67"/>
      <c r="Q263" s="67" t="str">
        <f>IF(ISBLANK(Games!W263), "", Games!W263)</f>
      </c>
      <c r="R263" s="67" t="str">
        <f>IF(ISBLANK(Games!AA263), "", Games!AA263)</f>
      </c>
      <c r="S263" s="67"/>
      <c r="T263" s="68" t="str">
        <f t="shared" si="43"/>
      </c>
      <c r="U263" s="68" t="str">
        <f t="shared" si="44"/>
      </c>
      <c r="V263" s="68" t="str">
        <f t="shared" si="45"/>
      </c>
      <c r="W263" s="68" t="str">
        <f t="shared" si="46"/>
      </c>
      <c r="X263" s="68" t="n">
        <f t="shared" si="39"/>
        <v>0</v>
      </c>
      <c r="Y263" s="68" t="n">
        <f t="shared" si="40"/>
        <v>0</v>
      </c>
      <c r="Z263" s="67" t="str">
        <f>IF(OR('Prediction Log'!L264="", Table12[[#This Row],[Bet]]="", Table12[[#This Row],[Bet]]="Spread"), "",IF('Prediction Log'!L264=Table12[[#This Row],[Side]], "W", IF('Prediction Log'!L264&lt;&gt;Table12[[#This Row],[Side]], "L", "")))</f>
      </c>
      <c r="AA263" s="59" t="str">
        <f t="shared" si="41"/>
      </c>
      <c r="AB263" s="67" t="str">
        <f>IF(OR(Table12[[#This Row],[Bet]]="Side",Table12[[#This Row],[Bet]]="", 'Prediction Log'!L264=""), "",IF('Prediction Log'!U264="Y", "W", IF('Prediction Log'!U264="N", "L", "")))</f>
      </c>
      <c r="AC263" s="59" t="str">
        <f t="shared" si="42"/>
      </c>
      <c r="AD263" s="67"/>
      <c r="AE263" s="65" t="str">
        <f t="shared" si="47"/>
      </c>
      <c r="AF2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4">
      <c r="A264" s="65" t="str">
        <f>IF(ISBLANK(Games!A264), "", Games!A264)</f>
      </c>
      <c r="B264" s="65" t="str">
        <f>IF('Prediction Log'!B265=0, "",'Prediction Log'!B265)</f>
      </c>
      <c r="C264" s="65" t="str">
        <f>IF('Prediction Log'!C265=0, "",'Prediction Log'!C265)</f>
      </c>
      <c r="D264" s="65" t="str">
        <f>IF('Prediction Log'!D265=0, "",'Prediction Log'!D265)</f>
      </c>
      <c r="E264" s="58" t="str">
        <f>IF('Prediction Log'!E265=0, "",'Prediction Log'!E265)</f>
      </c>
      <c r="F264" s="65" t="str">
        <f>IF('Prediction Log'!H265=0, "",'Prediction Log'!H265)</f>
      </c>
      <c r="G264" s="64" t="str">
        <f>IF(ISBLANK(Games!B264), "",'Prediction Log'!$I265)</f>
      </c>
      <c r="H264" s="66" t="n">
        <f>'Prediction Log'!$J265</f>
        <v>0</v>
      </c>
      <c r="I264" s="65" t="str">
        <f>IF(ISBLANK(Games!T264), "",IF(AND(Games!T264="",Games!U264=""),"",IF(ISTEXT(Games!U264), "Side",Games!T264)))</f>
      </c>
      <c r="J264" s="65" t="str">
        <f>IF(ISBLANK(Games!T264), "",IF(Table12[[#This Row],[Bet]]="Spread", Games!X264, ""))</f>
      </c>
      <c r="K264" s="65" t="str">
        <f>IF(ISBLANK(Games!U264), "",IF(ISTEXT(Games!U264), Games!U264, ""))</f>
      </c>
      <c r="L264" s="57" t="str">
        <f>IF(ISBLANK(Games!D264), "", Games!D264)</f>
      </c>
      <c r="M264" s="65"/>
      <c r="N264" s="75" t="str">
        <f>IF(Games!V264="", "",Games!V264)</f>
      </c>
      <c r="O264" s="75" t="str">
        <f>IF(Games!Z264=0, "",Games!Z264)</f>
      </c>
      <c r="P264" s="67"/>
      <c r="Q264" s="67" t="str">
        <f>IF(ISBLANK(Games!W264), "", Games!W264)</f>
      </c>
      <c r="R264" s="67" t="str">
        <f>IF(ISBLANK(Games!AA264), "", Games!AA264)</f>
      </c>
      <c r="S264" s="67"/>
      <c r="T264" s="68" t="str">
        <f t="shared" si="43"/>
      </c>
      <c r="U264" s="68" t="str">
        <f t="shared" si="44"/>
      </c>
      <c r="V264" s="68" t="str">
        <f t="shared" si="45"/>
      </c>
      <c r="W264" s="68" t="str">
        <f t="shared" si="46"/>
      </c>
      <c r="X264" s="68" t="n">
        <f t="shared" si="39"/>
        <v>0</v>
      </c>
      <c r="Y264" s="68" t="n">
        <f t="shared" si="40"/>
        <v>0</v>
      </c>
      <c r="Z264" s="67" t="str">
        <f>IF(OR('Prediction Log'!L265="", Table12[[#This Row],[Bet]]="", Table12[[#This Row],[Bet]]="Spread"), "",IF('Prediction Log'!L265=Table12[[#This Row],[Side]], "W", IF('Prediction Log'!L265&lt;&gt;Table12[[#This Row],[Side]], "L", "")))</f>
      </c>
      <c r="AA264" s="59" t="str">
        <f t="shared" si="41"/>
      </c>
      <c r="AB264" s="67" t="str">
        <f>IF(OR(Table12[[#This Row],[Bet]]="Side",Table12[[#This Row],[Bet]]="", 'Prediction Log'!L265=""), "",IF('Prediction Log'!U265="Y", "W", IF('Prediction Log'!U265="N", "L", "")))</f>
      </c>
      <c r="AC264" s="59" t="str">
        <f t="shared" si="42"/>
      </c>
      <c r="AD264" s="67"/>
      <c r="AE264" s="65" t="str">
        <f t="shared" si="47"/>
      </c>
      <c r="AF2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5">
      <c r="A265" s="65" t="str">
        <f>IF(ISBLANK(Games!A265), "", Games!A265)</f>
      </c>
      <c r="B265" s="65" t="str">
        <f>IF('Prediction Log'!B266=0, "",'Prediction Log'!B266)</f>
      </c>
      <c r="C265" s="65" t="str">
        <f>IF('Prediction Log'!C266=0, "",'Prediction Log'!C266)</f>
      </c>
      <c r="D265" s="65" t="str">
        <f>IF('Prediction Log'!D266=0, "",'Prediction Log'!D266)</f>
      </c>
      <c r="E265" s="58" t="str">
        <f>IF('Prediction Log'!E266=0, "",'Prediction Log'!E266)</f>
      </c>
      <c r="F265" s="65" t="str">
        <f>IF('Prediction Log'!H266=0, "",'Prediction Log'!H266)</f>
      </c>
      <c r="G265" s="64" t="str">
        <f>IF(ISBLANK(Games!B265), "",'Prediction Log'!$I266)</f>
      </c>
      <c r="H265" s="66" t="n">
        <f>'Prediction Log'!$J266</f>
        <v>0</v>
      </c>
      <c r="I265" s="65" t="str">
        <f>IF(ISBLANK(Games!T265), "",IF(AND(Games!T265="",Games!U265=""),"",IF(ISTEXT(Games!U265), "Side",Games!T265)))</f>
      </c>
      <c r="J265" s="65" t="str">
        <f>IF(ISBLANK(Games!T265), "",IF(Table12[[#This Row],[Bet]]="Spread", Games!X265, ""))</f>
      </c>
      <c r="K265" s="65" t="str">
        <f>IF(ISBLANK(Games!U265), "",IF(ISTEXT(Games!U265), Games!U265, ""))</f>
      </c>
      <c r="L265" s="57" t="str">
        <f>IF(ISBLANK(Games!D265), "", Games!D265)</f>
      </c>
      <c r="M265" s="65"/>
      <c r="N265" s="75" t="str">
        <f>IF(Games!V265="", "",Games!V265)</f>
      </c>
      <c r="O265" s="75" t="str">
        <f>IF(Games!Z265=0, "",Games!Z265)</f>
      </c>
      <c r="P265" s="67"/>
      <c r="Q265" s="67" t="str">
        <f>IF(ISBLANK(Games!W265), "", Games!W265)</f>
      </c>
      <c r="R265" s="67" t="str">
        <f>IF(ISBLANK(Games!AA265), "", Games!AA265)</f>
      </c>
      <c r="S265" s="67"/>
      <c r="T265" s="68" t="str">
        <f t="shared" si="43"/>
      </c>
      <c r="U265" s="68" t="str">
        <f t="shared" si="44"/>
      </c>
      <c r="V265" s="68" t="str">
        <f t="shared" si="45"/>
      </c>
      <c r="W265" s="68" t="str">
        <f t="shared" si="46"/>
      </c>
      <c r="X265" s="68" t="n">
        <f t="shared" si="39"/>
        <v>0</v>
      </c>
      <c r="Y265" s="68" t="n">
        <f t="shared" si="40"/>
        <v>0</v>
      </c>
      <c r="Z265" s="67" t="str">
        <f>IF(OR('Prediction Log'!L266="", Table12[[#This Row],[Bet]]="", Table12[[#This Row],[Bet]]="Spread"), "",IF('Prediction Log'!L266=Table12[[#This Row],[Side]], "W", IF('Prediction Log'!L266&lt;&gt;Table12[[#This Row],[Side]], "L", "")))</f>
      </c>
      <c r="AA265" s="59" t="str">
        <f t="shared" si="41"/>
      </c>
      <c r="AB265" s="67" t="str">
        <f>IF(OR(Table12[[#This Row],[Bet]]="Side",Table12[[#This Row],[Bet]]="", 'Prediction Log'!L266=""), "",IF('Prediction Log'!U266="Y", "W", IF('Prediction Log'!U266="N", "L", "")))</f>
      </c>
      <c r="AC265" s="59" t="str">
        <f t="shared" si="42"/>
      </c>
      <c r="AD265" s="67"/>
      <c r="AE265" s="65" t="str">
        <f t="shared" si="47"/>
      </c>
      <c r="AF2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6">
      <c r="A266" s="65" t="str">
        <f>IF(ISBLANK(Games!A266), "", Games!A266)</f>
      </c>
      <c r="B266" s="65" t="str">
        <f>IF('Prediction Log'!B267=0, "",'Prediction Log'!B267)</f>
      </c>
      <c r="C266" s="65" t="str">
        <f>IF('Prediction Log'!C267=0, "",'Prediction Log'!C267)</f>
      </c>
      <c r="D266" s="65" t="str">
        <f>IF('Prediction Log'!D267=0, "",'Prediction Log'!D267)</f>
      </c>
      <c r="E266" s="58" t="str">
        <f>IF('Prediction Log'!E267=0, "",'Prediction Log'!E267)</f>
      </c>
      <c r="F266" s="65" t="str">
        <f>IF('Prediction Log'!H267=0, "",'Prediction Log'!H267)</f>
      </c>
      <c r="G266" s="64" t="str">
        <f>IF(ISBLANK(Games!B266), "",'Prediction Log'!$I267)</f>
      </c>
      <c r="H266" s="66" t="n">
        <f>'Prediction Log'!$J267</f>
        <v>0</v>
      </c>
      <c r="I266" s="65" t="str">
        <f>IF(ISBLANK(Games!T266), "",IF(AND(Games!T266="",Games!U266=""),"",IF(ISTEXT(Games!U266), "Side",Games!T266)))</f>
      </c>
      <c r="J266" s="65" t="str">
        <f>IF(ISBLANK(Games!T266), "",IF(Table12[[#This Row],[Bet]]="Spread", Games!X266, ""))</f>
      </c>
      <c r="K266" s="65" t="str">
        <f>IF(ISBLANK(Games!U266), "",IF(ISTEXT(Games!U266), Games!U266, ""))</f>
      </c>
      <c r="L266" s="57" t="str">
        <f>IF(ISBLANK(Games!D266), "", Games!D266)</f>
      </c>
      <c r="M266" s="65"/>
      <c r="N266" s="75" t="str">
        <f>IF(Games!V266="", "",Games!V266)</f>
      </c>
      <c r="O266" s="75" t="str">
        <f>IF(Games!Z266=0, "",Games!Z266)</f>
      </c>
      <c r="P266" s="67"/>
      <c r="Q266" s="67" t="str">
        <f>IF(ISBLANK(Games!W266), "", Games!W266)</f>
      </c>
      <c r="R266" s="67" t="str">
        <f>IF(ISBLANK(Games!AA266), "", Games!AA266)</f>
      </c>
      <c r="S266" s="67"/>
      <c r="T266" s="68" t="str">
        <f t="shared" si="43"/>
      </c>
      <c r="U266" s="68" t="str">
        <f t="shared" si="44"/>
      </c>
      <c r="V266" s="68" t="str">
        <f t="shared" si="45"/>
      </c>
      <c r="W266" s="68" t="str">
        <f t="shared" si="46"/>
      </c>
      <c r="X266" s="68" t="n">
        <f t="shared" si="39"/>
        <v>0</v>
      </c>
      <c r="Y266" s="68" t="n">
        <f t="shared" si="40"/>
        <v>0</v>
      </c>
      <c r="Z266" s="67" t="str">
        <f>IF(OR('Prediction Log'!L267="", Table12[[#This Row],[Bet]]="", Table12[[#This Row],[Bet]]="Spread"), "",IF('Prediction Log'!L267=Table12[[#This Row],[Side]], "W", IF('Prediction Log'!L267&lt;&gt;Table12[[#This Row],[Side]], "L", "")))</f>
      </c>
      <c r="AA266" s="59" t="str">
        <f t="shared" si="41"/>
      </c>
      <c r="AB266" s="67" t="str">
        <f>IF(OR(Table12[[#This Row],[Bet]]="Side",Table12[[#This Row],[Bet]]="", 'Prediction Log'!L267=""), "",IF('Prediction Log'!U267="Y", "W", IF('Prediction Log'!U267="N", "L", "")))</f>
      </c>
      <c r="AC266" s="59" t="str">
        <f t="shared" si="42"/>
      </c>
      <c r="AD266" s="67"/>
      <c r="AE266" s="65" t="str">
        <f t="shared" si="47"/>
      </c>
      <c r="AF2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7">
      <c r="A267" s="65" t="str">
        <f>IF(ISBLANK(Games!A267), "", Games!A267)</f>
      </c>
      <c r="B267" s="65" t="str">
        <f>IF('Prediction Log'!B268=0, "",'Prediction Log'!B268)</f>
      </c>
      <c r="C267" s="65" t="str">
        <f>IF('Prediction Log'!C268=0, "",'Prediction Log'!C268)</f>
      </c>
      <c r="D267" s="65" t="str">
        <f>IF('Prediction Log'!D268=0, "",'Prediction Log'!D268)</f>
      </c>
      <c r="E267" s="58" t="str">
        <f>IF('Prediction Log'!E268=0, "",'Prediction Log'!E268)</f>
      </c>
      <c r="F267" s="65" t="str">
        <f>IF('Prediction Log'!H268=0, "",'Prediction Log'!H268)</f>
      </c>
      <c r="G267" s="64" t="str">
        <f>IF(ISBLANK(Games!B267), "",'Prediction Log'!$I268)</f>
      </c>
      <c r="H267" s="66" t="n">
        <f>'Prediction Log'!$J268</f>
        <v>0</v>
      </c>
      <c r="I267" s="65" t="str">
        <f>IF(ISBLANK(Games!T267), "",IF(AND(Games!T267="",Games!U267=""),"",IF(ISTEXT(Games!U267), "Side",Games!T267)))</f>
      </c>
      <c r="J267" s="65" t="str">
        <f>IF(ISBLANK(Games!T267), "",IF(Table12[[#This Row],[Bet]]="Spread", Games!X267, ""))</f>
      </c>
      <c r="K267" s="65" t="str">
        <f>IF(ISBLANK(Games!U267), "",IF(ISTEXT(Games!U267), Games!U267, ""))</f>
      </c>
      <c r="L267" s="57" t="str">
        <f>IF(ISBLANK(Games!D267), "", Games!D267)</f>
      </c>
      <c r="M267" s="65"/>
      <c r="N267" s="75" t="str">
        <f>IF(Games!V267="", "",Games!V267)</f>
      </c>
      <c r="O267" s="75" t="str">
        <f>IF(Games!Z267=0, "",Games!Z267)</f>
      </c>
      <c r="P267" s="67"/>
      <c r="Q267" s="67" t="str">
        <f>IF(ISBLANK(Games!W267), "", Games!W267)</f>
      </c>
      <c r="R267" s="67" t="str">
        <f>IF(ISBLANK(Games!AA267), "", Games!AA267)</f>
      </c>
      <c r="S267" s="67"/>
      <c r="T267" s="68" t="str">
        <f t="shared" si="43"/>
      </c>
      <c r="U267" s="68" t="str">
        <f t="shared" si="44"/>
      </c>
      <c r="V267" s="68" t="str">
        <f t="shared" si="45"/>
      </c>
      <c r="W267" s="68" t="str">
        <f t="shared" si="46"/>
      </c>
      <c r="X267" s="68" t="n">
        <f t="shared" si="39"/>
        <v>0</v>
      </c>
      <c r="Y267" s="68" t="n">
        <f t="shared" si="40"/>
        <v>0</v>
      </c>
      <c r="Z267" s="67" t="str">
        <f>IF(OR('Prediction Log'!L268="", Table12[[#This Row],[Bet]]="", Table12[[#This Row],[Bet]]="Spread"), "",IF('Prediction Log'!L268=Table12[[#This Row],[Side]], "W", IF('Prediction Log'!L268&lt;&gt;Table12[[#This Row],[Side]], "L", "")))</f>
      </c>
      <c r="AA267" s="59" t="str">
        <f t="shared" si="41"/>
      </c>
      <c r="AB267" s="67" t="str">
        <f>IF(OR(Table12[[#This Row],[Bet]]="Side",Table12[[#This Row],[Bet]]="", 'Prediction Log'!L268=""), "",IF('Prediction Log'!U268="Y", "W", IF('Prediction Log'!U268="N", "L", "")))</f>
      </c>
      <c r="AC267" s="59" t="str">
        <f t="shared" si="42"/>
      </c>
      <c r="AD267" s="67"/>
      <c r="AE267" s="65" t="str">
        <f t="shared" si="47"/>
      </c>
      <c r="AF2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8">
      <c r="A268" s="65" t="str">
        <f>IF(ISBLANK(Games!A268), "", Games!A268)</f>
      </c>
      <c r="B268" s="65" t="str">
        <f>IF('Prediction Log'!B269=0, "",'Prediction Log'!B269)</f>
      </c>
      <c r="C268" s="65" t="str">
        <f>IF('Prediction Log'!C269=0, "",'Prediction Log'!C269)</f>
      </c>
      <c r="D268" s="65" t="str">
        <f>IF('Prediction Log'!D269=0, "",'Prediction Log'!D269)</f>
      </c>
      <c r="E268" s="58" t="str">
        <f>IF('Prediction Log'!E269=0, "",'Prediction Log'!E269)</f>
      </c>
      <c r="F268" s="65" t="str">
        <f>IF('Prediction Log'!H269=0, "",'Prediction Log'!H269)</f>
      </c>
      <c r="G268" s="64" t="str">
        <f>IF(ISBLANK(Games!B268), "",'Prediction Log'!$I269)</f>
      </c>
      <c r="H268" s="66" t="n">
        <f>'Prediction Log'!$J269</f>
        <v>0</v>
      </c>
      <c r="I268" s="65" t="str">
        <f>IF(ISBLANK(Games!T268), "",IF(AND(Games!T268="",Games!U268=""),"",IF(ISTEXT(Games!U268), "Side",Games!T268)))</f>
      </c>
      <c r="J268" s="65" t="str">
        <f>IF(ISBLANK(Games!T268), "",IF(Table12[[#This Row],[Bet]]="Spread", Games!X268, ""))</f>
      </c>
      <c r="K268" s="65" t="str">
        <f>IF(ISBLANK(Games!U268), "",IF(ISTEXT(Games!U268), Games!U268, ""))</f>
      </c>
      <c r="L268" s="57" t="str">
        <f>IF(ISBLANK(Games!D268), "", Games!D268)</f>
      </c>
      <c r="M268" s="65"/>
      <c r="N268" s="75" t="str">
        <f>IF(Games!V268="", "",Games!V268)</f>
      </c>
      <c r="O268" s="75" t="str">
        <f>IF(Games!Z268=0, "",Games!Z268)</f>
      </c>
      <c r="P268" s="67"/>
      <c r="Q268" s="67" t="str">
        <f>IF(ISBLANK(Games!W268), "", Games!W268)</f>
      </c>
      <c r="R268" s="67" t="str">
        <f>IF(ISBLANK(Games!AA268), "", Games!AA268)</f>
      </c>
      <c r="S268" s="67"/>
      <c r="T268" s="68" t="str">
        <f t="shared" si="43"/>
      </c>
      <c r="U268" s="68" t="str">
        <f t="shared" si="44"/>
      </c>
      <c r="V268" s="68" t="str">
        <f t="shared" si="45"/>
      </c>
      <c r="W268" s="68" t="str">
        <f t="shared" si="46"/>
      </c>
      <c r="X268" s="68" t="n">
        <f t="shared" si="39"/>
        <v>0</v>
      </c>
      <c r="Y268" s="68" t="n">
        <f t="shared" si="40"/>
        <v>0</v>
      </c>
      <c r="Z268" s="67" t="str">
        <f>IF(OR('Prediction Log'!L269="", Table12[[#This Row],[Bet]]="", Table12[[#This Row],[Bet]]="Spread"), "",IF('Prediction Log'!L269=Table12[[#This Row],[Side]], "W", IF('Prediction Log'!L269&lt;&gt;Table12[[#This Row],[Side]], "L", "")))</f>
      </c>
      <c r="AA268" s="59" t="str">
        <f t="shared" si="41"/>
      </c>
      <c r="AB268" s="67" t="str">
        <f>IF(OR(Table12[[#This Row],[Bet]]="Side",Table12[[#This Row],[Bet]]="", 'Prediction Log'!L269=""), "",IF('Prediction Log'!U269="Y", "W", IF('Prediction Log'!U269="N", "L", "")))</f>
      </c>
      <c r="AC268" s="59" t="str">
        <f t="shared" si="42"/>
      </c>
      <c r="AD268" s="67"/>
      <c r="AE268" s="65" t="str">
        <f t="shared" si="47"/>
      </c>
      <c r="AF2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9">
      <c r="A269" s="65" t="str">
        <f>IF(ISBLANK(Games!A269), "", Games!A269)</f>
      </c>
      <c r="B269" s="65" t="str">
        <f>IF('Prediction Log'!B270=0, "",'Prediction Log'!B270)</f>
      </c>
      <c r="C269" s="65" t="str">
        <f>IF('Prediction Log'!C270=0, "",'Prediction Log'!C270)</f>
      </c>
      <c r="D269" s="65" t="str">
        <f>IF('Prediction Log'!D270=0, "",'Prediction Log'!D270)</f>
      </c>
      <c r="E269" s="58" t="str">
        <f>IF('Prediction Log'!E270=0, "",'Prediction Log'!E270)</f>
      </c>
      <c r="F269" s="65" t="str">
        <f>IF('Prediction Log'!H270=0, "",'Prediction Log'!H270)</f>
      </c>
      <c r="G269" s="64" t="str">
        <f>IF(ISBLANK(Games!B269), "",'Prediction Log'!$I270)</f>
      </c>
      <c r="H269" s="66" t="n">
        <f>'Prediction Log'!$J270</f>
        <v>0</v>
      </c>
      <c r="I269" s="65" t="str">
        <f>IF(ISBLANK(Games!T269), "",IF(AND(Games!T269="",Games!U269=""),"",IF(ISTEXT(Games!U269), "Side",Games!T269)))</f>
      </c>
      <c r="J269" s="65" t="str">
        <f>IF(ISBLANK(Games!T269), "",IF(Table12[[#This Row],[Bet]]="Spread", Games!X269, ""))</f>
      </c>
      <c r="K269" s="65" t="str">
        <f>IF(ISBLANK(Games!U269), "",IF(ISTEXT(Games!U269), Games!U269, ""))</f>
      </c>
      <c r="L269" s="57" t="str">
        <f>IF(ISBLANK(Games!D269), "", Games!D269)</f>
      </c>
      <c r="M269" s="65"/>
      <c r="N269" s="75" t="str">
        <f>IF(Games!V269="", "",Games!V269)</f>
      </c>
      <c r="O269" s="75" t="str">
        <f>IF(Games!Z269=0, "",Games!Z269)</f>
      </c>
      <c r="P269" s="67"/>
      <c r="Q269" s="67" t="str">
        <f>IF(ISBLANK(Games!W269), "", Games!W269)</f>
      </c>
      <c r="R269" s="67" t="str">
        <f>IF(ISBLANK(Games!AA269), "", Games!AA269)</f>
      </c>
      <c r="S269" s="67"/>
      <c r="T269" s="68" t="str">
        <f t="shared" si="43"/>
      </c>
      <c r="U269" s="68" t="str">
        <f t="shared" si="44"/>
      </c>
      <c r="V269" s="68" t="str">
        <f t="shared" si="45"/>
      </c>
      <c r="W269" s="68" t="str">
        <f t="shared" si="46"/>
      </c>
      <c r="X269" s="68" t="n">
        <f t="shared" si="39"/>
        <v>0</v>
      </c>
      <c r="Y269" s="68" t="n">
        <f t="shared" si="40"/>
        <v>0</v>
      </c>
      <c r="Z269" s="67" t="str">
        <f>IF(OR('Prediction Log'!L270="", Table12[[#This Row],[Bet]]="", Table12[[#This Row],[Bet]]="Spread"), "",IF('Prediction Log'!L270=Table12[[#This Row],[Side]], "W", IF('Prediction Log'!L270&lt;&gt;Table12[[#This Row],[Side]], "L", "")))</f>
      </c>
      <c r="AA269" s="59" t="str">
        <f t="shared" si="41"/>
      </c>
      <c r="AB269" s="67" t="str">
        <f>IF(OR(Table12[[#This Row],[Bet]]="Side",Table12[[#This Row],[Bet]]="", 'Prediction Log'!L270=""), "",IF('Prediction Log'!U270="Y", "W", IF('Prediction Log'!U270="N", "L", "")))</f>
      </c>
      <c r="AC269" s="59" t="str">
        <f t="shared" si="42"/>
      </c>
      <c r="AD269" s="67"/>
      <c r="AE269" s="65" t="str">
        <f t="shared" si="47"/>
      </c>
      <c r="AF2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0">
      <c r="A270" s="65" t="str">
        <f>IF(ISBLANK(Games!A270), "", Games!A270)</f>
      </c>
      <c r="B270" s="65" t="str">
        <f>IF('Prediction Log'!B271=0, "",'Prediction Log'!B271)</f>
      </c>
      <c r="C270" s="65" t="str">
        <f>IF('Prediction Log'!C271=0, "",'Prediction Log'!C271)</f>
      </c>
      <c r="D270" s="65" t="str">
        <f>IF('Prediction Log'!D271=0, "",'Prediction Log'!D271)</f>
      </c>
      <c r="E270" s="58" t="str">
        <f>IF('Prediction Log'!E271=0, "",'Prediction Log'!E271)</f>
      </c>
      <c r="F270" s="65" t="str">
        <f>IF('Prediction Log'!H271=0, "",'Prediction Log'!H271)</f>
      </c>
      <c r="G270" s="64" t="str">
        <f>IF(ISBLANK(Games!B270), "",'Prediction Log'!$I271)</f>
      </c>
      <c r="H270" s="66" t="n">
        <f>'Prediction Log'!$J271</f>
        <v>0</v>
      </c>
      <c r="I270" s="65" t="str">
        <f>IF(ISBLANK(Games!T270), "",IF(AND(Games!T270="",Games!U270=""),"",IF(ISTEXT(Games!U270), "Side",Games!T270)))</f>
      </c>
      <c r="J270" s="65" t="str">
        <f>IF(ISBLANK(Games!T270), "",IF(Table12[[#This Row],[Bet]]="Spread", Games!X270, ""))</f>
      </c>
      <c r="K270" s="65" t="str">
        <f>IF(ISBLANK(Games!U270), "",IF(ISTEXT(Games!U270), Games!U270, ""))</f>
      </c>
      <c r="L270" s="57" t="str">
        <f>IF(ISBLANK(Games!D270), "", Games!D270)</f>
      </c>
      <c r="M270" s="65"/>
      <c r="N270" s="75" t="str">
        <f>IF(Games!V270="", "",Games!V270)</f>
      </c>
      <c r="O270" s="75" t="str">
        <f>IF(Games!Z270=0, "",Games!Z270)</f>
      </c>
      <c r="P270" s="67"/>
      <c r="Q270" s="67" t="str">
        <f>IF(ISBLANK(Games!W270), "", Games!W270)</f>
      </c>
      <c r="R270" s="67" t="str">
        <f>IF(ISBLANK(Games!AA270), "", Games!AA270)</f>
      </c>
      <c r="S270" s="67"/>
      <c r="T270" s="68" t="str">
        <f t="shared" si="43"/>
      </c>
      <c r="U270" s="68" t="str">
        <f t="shared" si="44"/>
      </c>
      <c r="V270" s="68" t="str">
        <f t="shared" si="45"/>
      </c>
      <c r="W270" s="68" t="str">
        <f t="shared" si="46"/>
      </c>
      <c r="X270" s="68" t="n">
        <f t="shared" si="39"/>
        <v>0</v>
      </c>
      <c r="Y270" s="68" t="n">
        <f t="shared" si="40"/>
        <v>0</v>
      </c>
      <c r="Z270" s="67" t="str">
        <f>IF(OR('Prediction Log'!L271="", Table12[[#This Row],[Bet]]="", Table12[[#This Row],[Bet]]="Spread"), "",IF('Prediction Log'!L271=Table12[[#This Row],[Side]], "W", IF('Prediction Log'!L271&lt;&gt;Table12[[#This Row],[Side]], "L", "")))</f>
      </c>
      <c r="AA270" s="59" t="str">
        <f t="shared" si="41"/>
      </c>
      <c r="AB270" s="67" t="str">
        <f>IF(OR(Table12[[#This Row],[Bet]]="Side",Table12[[#This Row],[Bet]]="", 'Prediction Log'!L271=""), "",IF('Prediction Log'!U271="Y", "W", IF('Prediction Log'!U271="N", "L", "")))</f>
      </c>
      <c r="AC270" s="59" t="str">
        <f t="shared" si="42"/>
      </c>
      <c r="AD270" s="67"/>
      <c r="AE270" s="65" t="str">
        <f t="shared" si="47"/>
      </c>
      <c r="AF2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1">
      <c r="A271" s="65" t="str">
        <f>IF(ISBLANK(Games!A271), "", Games!A271)</f>
      </c>
      <c r="B271" s="65" t="str">
        <f>IF('Prediction Log'!B272=0, "",'Prediction Log'!B272)</f>
      </c>
      <c r="C271" s="65" t="str">
        <f>IF('Prediction Log'!C272=0, "",'Prediction Log'!C272)</f>
      </c>
      <c r="D271" s="65" t="str">
        <f>IF('Prediction Log'!D272=0, "",'Prediction Log'!D272)</f>
      </c>
      <c r="E271" s="58" t="str">
        <f>IF('Prediction Log'!E272=0, "",'Prediction Log'!E272)</f>
      </c>
      <c r="F271" s="65" t="str">
        <f>IF('Prediction Log'!H272=0, "",'Prediction Log'!H272)</f>
      </c>
      <c r="G271" s="64" t="str">
        <f>IF(ISBLANK(Games!B271), "",'Prediction Log'!$I272)</f>
      </c>
      <c r="H271" s="66" t="n">
        <f>'Prediction Log'!$J272</f>
        <v>0</v>
      </c>
      <c r="I271" s="65" t="str">
        <f>IF(ISBLANK(Games!T271), "",IF(AND(Games!T271="",Games!U271=""),"",IF(ISTEXT(Games!U271), "Side",Games!T271)))</f>
      </c>
      <c r="J271" s="65" t="str">
        <f>IF(ISBLANK(Games!T271), "",IF(Table12[[#This Row],[Bet]]="Spread", Games!X271, ""))</f>
      </c>
      <c r="K271" s="65" t="str">
        <f>IF(ISBLANK(Games!U271), "",IF(ISTEXT(Games!U271), Games!U271, ""))</f>
      </c>
      <c r="L271" s="57" t="str">
        <f>IF(ISBLANK(Games!D271), "", Games!D271)</f>
      </c>
      <c r="M271" s="65"/>
      <c r="N271" s="75" t="str">
        <f>IF(Games!V271="", "",Games!V271)</f>
      </c>
      <c r="O271" s="75" t="str">
        <f>IF(Games!Z271=0, "",Games!Z271)</f>
      </c>
      <c r="P271" s="67"/>
      <c r="Q271" s="67" t="str">
        <f>IF(ISBLANK(Games!W271), "", Games!W271)</f>
      </c>
      <c r="R271" s="67" t="str">
        <f>IF(ISBLANK(Games!AA271), "", Games!AA271)</f>
      </c>
      <c r="S271" s="67"/>
      <c r="T271" s="68" t="str">
        <f t="shared" si="43"/>
      </c>
      <c r="U271" s="68" t="str">
        <f t="shared" si="44"/>
      </c>
      <c r="V271" s="68" t="str">
        <f t="shared" si="45"/>
      </c>
      <c r="W271" s="68" t="str">
        <f t="shared" si="46"/>
      </c>
      <c r="X271" s="68" t="n">
        <f t="shared" si="39"/>
        <v>0</v>
      </c>
      <c r="Y271" s="68" t="n">
        <f t="shared" si="40"/>
        <v>0</v>
      </c>
      <c r="Z271" s="67" t="str">
        <f>IF(OR('Prediction Log'!L272="", Table12[[#This Row],[Bet]]="", Table12[[#This Row],[Bet]]="Spread"), "",IF('Prediction Log'!L272=Table12[[#This Row],[Side]], "W", IF('Prediction Log'!L272&lt;&gt;Table12[[#This Row],[Side]], "L", "")))</f>
      </c>
      <c r="AA271" s="59" t="str">
        <f t="shared" si="41"/>
      </c>
      <c r="AB271" s="67" t="str">
        <f>IF(OR(Table12[[#This Row],[Bet]]="Side",Table12[[#This Row],[Bet]]="", 'Prediction Log'!L272=""), "",IF('Prediction Log'!U272="Y", "W", IF('Prediction Log'!U272="N", "L", "")))</f>
      </c>
      <c r="AC271" s="59" t="str">
        <f t="shared" si="42"/>
      </c>
      <c r="AD271" s="67"/>
      <c r="AE271" s="65" t="str">
        <f t="shared" si="47"/>
      </c>
      <c r="AF2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2">
      <c r="A272" s="65" t="str">
        <f>IF(ISBLANK(Games!A272), "", Games!A272)</f>
      </c>
      <c r="B272" s="65" t="str">
        <f>IF('Prediction Log'!B273=0, "",'Prediction Log'!B273)</f>
      </c>
      <c r="C272" s="65" t="str">
        <f>IF('Prediction Log'!C273=0, "",'Prediction Log'!C273)</f>
      </c>
      <c r="D272" s="65" t="str">
        <f>IF('Prediction Log'!D273=0, "",'Prediction Log'!D273)</f>
      </c>
      <c r="E272" s="58" t="str">
        <f>IF('Prediction Log'!E273=0, "",'Prediction Log'!E273)</f>
      </c>
      <c r="F272" s="65" t="str">
        <f>IF('Prediction Log'!H273=0, "",'Prediction Log'!H273)</f>
      </c>
      <c r="G272" s="64" t="str">
        <f>IF(ISBLANK(Games!B272), "",'Prediction Log'!$I273)</f>
      </c>
      <c r="H272" s="66" t="n">
        <f>'Prediction Log'!$J273</f>
        <v>0</v>
      </c>
      <c r="I272" s="65" t="str">
        <f>IF(ISBLANK(Games!T272), "",IF(AND(Games!T272="",Games!U272=""),"",IF(ISTEXT(Games!U272), "Side",Games!T272)))</f>
      </c>
      <c r="J272" s="65" t="str">
        <f>IF(ISBLANK(Games!T272), "",IF(Table12[[#This Row],[Bet]]="Spread", Games!X272, ""))</f>
      </c>
      <c r="K272" s="65" t="str">
        <f>IF(ISBLANK(Games!U272), "",IF(ISTEXT(Games!U272), Games!U272, ""))</f>
      </c>
      <c r="L272" s="57" t="str">
        <f>IF(ISBLANK(Games!D272), "", Games!D272)</f>
      </c>
      <c r="M272" s="65"/>
      <c r="N272" s="75" t="str">
        <f>IF(Games!V272="", "",Games!V272)</f>
      </c>
      <c r="O272" s="75" t="str">
        <f>IF(Games!Z272=0, "",Games!Z272)</f>
      </c>
      <c r="P272" s="67"/>
      <c r="Q272" s="67" t="str">
        <f>IF(ISBLANK(Games!W272), "", Games!W272)</f>
      </c>
      <c r="R272" s="67" t="str">
        <f>IF(ISBLANK(Games!AA272), "", Games!AA272)</f>
      </c>
      <c r="S272" s="67"/>
      <c r="T272" s="68" t="str">
        <f t="shared" si="43"/>
      </c>
      <c r="U272" s="68" t="str">
        <f t="shared" si="44"/>
      </c>
      <c r="V272" s="68" t="str">
        <f t="shared" si="45"/>
      </c>
      <c r="W272" s="68" t="str">
        <f t="shared" si="46"/>
      </c>
      <c r="X272" s="68" t="n">
        <f t="shared" si="39"/>
        <v>0</v>
      </c>
      <c r="Y272" s="68" t="n">
        <f t="shared" si="40"/>
        <v>0</v>
      </c>
      <c r="Z272" s="67" t="str">
        <f>IF(OR('Prediction Log'!L273="", Table12[[#This Row],[Bet]]="", Table12[[#This Row],[Bet]]="Spread"), "",IF('Prediction Log'!L273=Table12[[#This Row],[Side]], "W", IF('Prediction Log'!L273&lt;&gt;Table12[[#This Row],[Side]], "L", "")))</f>
      </c>
      <c r="AA272" s="59" t="str">
        <f t="shared" si="41"/>
      </c>
      <c r="AB272" s="67" t="str">
        <f>IF(OR(Table12[[#This Row],[Bet]]="Side",Table12[[#This Row],[Bet]]="", 'Prediction Log'!L273=""), "",IF('Prediction Log'!U273="Y", "W", IF('Prediction Log'!U273="N", "L", "")))</f>
      </c>
      <c r="AC272" s="59" t="str">
        <f t="shared" si="42"/>
      </c>
      <c r="AD272" s="67"/>
      <c r="AE272" s="65" t="str">
        <f t="shared" si="47"/>
      </c>
      <c r="AF2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3">
      <c r="A273" s="65" t="str">
        <f>IF(ISBLANK(Games!A273), "", Games!A273)</f>
      </c>
      <c r="B273" s="65" t="str">
        <f>IF('Prediction Log'!B274=0, "",'Prediction Log'!B274)</f>
      </c>
      <c r="C273" s="65" t="str">
        <f>IF('Prediction Log'!C274=0, "",'Prediction Log'!C274)</f>
      </c>
      <c r="D273" s="65" t="str">
        <f>IF('Prediction Log'!D274=0, "",'Prediction Log'!D274)</f>
      </c>
      <c r="E273" s="58" t="str">
        <f>IF('Prediction Log'!E274=0, "",'Prediction Log'!E274)</f>
      </c>
      <c r="F273" s="65" t="str">
        <f>IF('Prediction Log'!H274=0, "",'Prediction Log'!H274)</f>
      </c>
      <c r="G273" s="64" t="str">
        <f>IF(ISBLANK(Games!B273), "",'Prediction Log'!$I274)</f>
      </c>
      <c r="H273" s="66" t="n">
        <f>'Prediction Log'!$J274</f>
        <v>0</v>
      </c>
      <c r="I273" s="65" t="str">
        <f>IF(ISBLANK(Games!T273), "",IF(AND(Games!T273="",Games!U273=""),"",IF(ISTEXT(Games!U273), "Side",Games!T273)))</f>
      </c>
      <c r="J273" s="65" t="str">
        <f>IF(ISBLANK(Games!T273), "",IF(Table12[[#This Row],[Bet]]="Spread", Games!X273, ""))</f>
      </c>
      <c r="K273" s="65" t="str">
        <f>IF(ISBLANK(Games!U273), "",IF(ISTEXT(Games!U273), Games!U273, ""))</f>
      </c>
      <c r="L273" s="57" t="str">
        <f>IF(ISBLANK(Games!D273), "", Games!D273)</f>
      </c>
      <c r="M273" s="65"/>
      <c r="N273" s="75" t="str">
        <f>IF(Games!V273="", "",Games!V273)</f>
      </c>
      <c r="O273" s="75" t="str">
        <f>IF(Games!Z273=0, "",Games!Z273)</f>
      </c>
      <c r="P273" s="67"/>
      <c r="Q273" s="67" t="str">
        <f>IF(ISBLANK(Games!W273), "", Games!W273)</f>
      </c>
      <c r="R273" s="67" t="str">
        <f>IF(ISBLANK(Games!AA273), "", Games!AA273)</f>
      </c>
      <c r="S273" s="67"/>
      <c r="T273" s="68" t="str">
        <f t="shared" si="43"/>
      </c>
      <c r="U273" s="68" t="str">
        <f t="shared" si="44"/>
      </c>
      <c r="V273" s="68" t="str">
        <f t="shared" si="45"/>
      </c>
      <c r="W273" s="68" t="str">
        <f t="shared" si="46"/>
      </c>
      <c r="X273" s="68" t="n">
        <f t="shared" si="39"/>
        <v>0</v>
      </c>
      <c r="Y273" s="68" t="n">
        <f t="shared" si="40"/>
        <v>0</v>
      </c>
      <c r="Z273" s="67" t="str">
        <f>IF(OR('Prediction Log'!L274="", Table12[[#This Row],[Bet]]="", Table12[[#This Row],[Bet]]="Spread"), "",IF('Prediction Log'!L274=Table12[[#This Row],[Side]], "W", IF('Prediction Log'!L274&lt;&gt;Table12[[#This Row],[Side]], "L", "")))</f>
      </c>
      <c r="AA273" s="59" t="str">
        <f t="shared" si="41"/>
      </c>
      <c r="AB273" s="67" t="str">
        <f>IF(OR(Table12[[#This Row],[Bet]]="Side",Table12[[#This Row],[Bet]]="", 'Prediction Log'!L274=""), "",IF('Prediction Log'!U274="Y", "W", IF('Prediction Log'!U274="N", "L", "")))</f>
      </c>
      <c r="AC273" s="59" t="str">
        <f t="shared" si="42"/>
      </c>
      <c r="AD273" s="67"/>
      <c r="AE273" s="65" t="str">
        <f t="shared" si="47"/>
      </c>
      <c r="AF2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4">
      <c r="A274" s="65" t="str">
        <f>IF(ISBLANK(Games!A274), "", Games!A274)</f>
      </c>
      <c r="B274" s="65" t="str">
        <f>IF('Prediction Log'!B275=0, "",'Prediction Log'!B275)</f>
      </c>
      <c r="C274" s="65" t="str">
        <f>IF('Prediction Log'!C275=0, "",'Prediction Log'!C275)</f>
      </c>
      <c r="D274" s="65" t="str">
        <f>IF('Prediction Log'!D275=0, "",'Prediction Log'!D275)</f>
      </c>
      <c r="E274" s="58" t="str">
        <f>IF('Prediction Log'!E275=0, "",'Prediction Log'!E275)</f>
      </c>
      <c r="F274" s="65" t="str">
        <f>IF('Prediction Log'!H275=0, "",'Prediction Log'!H275)</f>
      </c>
      <c r="G274" s="64" t="str">
        <f>IF(ISBLANK(Games!B274), "",'Prediction Log'!$I275)</f>
      </c>
      <c r="H274" s="66" t="n">
        <f>'Prediction Log'!$J275</f>
        <v>0</v>
      </c>
      <c r="I274" s="65" t="str">
        <f>IF(ISBLANK(Games!T274), "",IF(AND(Games!T274="",Games!U274=""),"",IF(ISTEXT(Games!U274), "Side",Games!T274)))</f>
      </c>
      <c r="J274" s="65" t="str">
        <f>IF(ISBLANK(Games!T274), "",IF(Table12[[#This Row],[Bet]]="Spread", Games!X274, ""))</f>
      </c>
      <c r="K274" s="65" t="str">
        <f>IF(ISBLANK(Games!U274), "",IF(ISTEXT(Games!U274), Games!U274, ""))</f>
      </c>
      <c r="L274" s="57" t="str">
        <f>IF(ISBLANK(Games!D274), "", Games!D274)</f>
      </c>
      <c r="M274" s="65"/>
      <c r="N274" s="75" t="str">
        <f>IF(Games!V274="", "",Games!V274)</f>
      </c>
      <c r="O274" s="75" t="str">
        <f>IF(Games!Z274=0, "",Games!Z274)</f>
      </c>
      <c r="P274" s="67"/>
      <c r="Q274" s="67" t="str">
        <f>IF(ISBLANK(Games!W274), "", Games!W274)</f>
      </c>
      <c r="R274" s="67" t="str">
        <f>IF(ISBLANK(Games!AA274), "", Games!AA274)</f>
      </c>
      <c r="S274" s="67"/>
      <c r="T274" s="68" t="str">
        <f t="shared" si="43"/>
      </c>
      <c r="U274" s="68" t="str">
        <f t="shared" si="44"/>
      </c>
      <c r="V274" s="68" t="str">
        <f t="shared" si="45"/>
      </c>
      <c r="W274" s="68" t="str">
        <f t="shared" si="46"/>
      </c>
      <c r="X274" s="68" t="n">
        <f t="shared" si="39"/>
        <v>0</v>
      </c>
      <c r="Y274" s="68" t="n">
        <f t="shared" si="40"/>
        <v>0</v>
      </c>
      <c r="Z274" s="67" t="str">
        <f>IF(OR('Prediction Log'!L275="", Table12[[#This Row],[Bet]]="", Table12[[#This Row],[Bet]]="Spread"), "",IF('Prediction Log'!L275=Table12[[#This Row],[Side]], "W", IF('Prediction Log'!L275&lt;&gt;Table12[[#This Row],[Side]], "L", "")))</f>
      </c>
      <c r="AA274" s="59" t="str">
        <f t="shared" si="41"/>
      </c>
      <c r="AB274" s="67" t="str">
        <f>IF(OR(Table12[[#This Row],[Bet]]="Side",Table12[[#This Row],[Bet]]="", 'Prediction Log'!L275=""), "",IF('Prediction Log'!U275="Y", "W", IF('Prediction Log'!U275="N", "L", "")))</f>
      </c>
      <c r="AC274" s="59" t="str">
        <f t="shared" si="42"/>
      </c>
      <c r="AD274" s="67"/>
      <c r="AE274" s="65" t="str">
        <f t="shared" si="47"/>
      </c>
      <c r="AF2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5">
      <c r="A275" s="65" t="str">
        <f>IF(ISBLANK(Games!A275), "", Games!A275)</f>
      </c>
      <c r="B275" s="65" t="str">
        <f>IF('Prediction Log'!B276=0, "",'Prediction Log'!B276)</f>
      </c>
      <c r="C275" s="65" t="str">
        <f>IF('Prediction Log'!C276=0, "",'Prediction Log'!C276)</f>
      </c>
      <c r="D275" s="65" t="str">
        <f>IF('Prediction Log'!D276=0, "",'Prediction Log'!D276)</f>
      </c>
      <c r="E275" s="58" t="str">
        <f>IF('Prediction Log'!E276=0, "",'Prediction Log'!E276)</f>
      </c>
      <c r="F275" s="65" t="str">
        <f>IF('Prediction Log'!H276=0, "",'Prediction Log'!H276)</f>
      </c>
      <c r="G275" s="64" t="str">
        <f>IF(ISBLANK(Games!B275), "",'Prediction Log'!$I276)</f>
      </c>
      <c r="H275" s="66" t="n">
        <f>'Prediction Log'!$J276</f>
        <v>0</v>
      </c>
      <c r="I275" s="65" t="str">
        <f>IF(ISBLANK(Games!T275), "",IF(AND(Games!T275="",Games!U275=""),"",IF(ISTEXT(Games!U275), "Side",Games!T275)))</f>
      </c>
      <c r="J275" s="65" t="str">
        <f>IF(ISBLANK(Games!T275), "",IF(Table12[[#This Row],[Bet]]="Spread", Games!X275, ""))</f>
      </c>
      <c r="K275" s="65" t="str">
        <f>IF(ISBLANK(Games!U275), "",IF(ISTEXT(Games!U275), Games!U275, ""))</f>
      </c>
      <c r="L275" s="57" t="str">
        <f>IF(ISBLANK(Games!D275), "", Games!D275)</f>
      </c>
      <c r="M275" s="65"/>
      <c r="N275" s="75" t="str">
        <f>IF(Games!V275="", "",Games!V275)</f>
      </c>
      <c r="O275" s="75" t="str">
        <f>IF(Games!Z275=0, "",Games!Z275)</f>
      </c>
      <c r="P275" s="67"/>
      <c r="Q275" s="67" t="str">
        <f>IF(ISBLANK(Games!W275), "", Games!W275)</f>
      </c>
      <c r="R275" s="67" t="str">
        <f>IF(ISBLANK(Games!AA275), "", Games!AA275)</f>
      </c>
      <c r="S275" s="67"/>
      <c r="T275" s="68" t="str">
        <f t="shared" si="43"/>
      </c>
      <c r="U275" s="68" t="str">
        <f t="shared" si="44"/>
      </c>
      <c r="V275" s="68" t="str">
        <f t="shared" si="45"/>
      </c>
      <c r="W275" s="68" t="str">
        <f t="shared" si="46"/>
      </c>
      <c r="X275" s="68" t="n">
        <f t="shared" si="39"/>
        <v>0</v>
      </c>
      <c r="Y275" s="68" t="n">
        <f t="shared" si="40"/>
        <v>0</v>
      </c>
      <c r="Z275" s="67" t="str">
        <f>IF(OR('Prediction Log'!L276="", Table12[[#This Row],[Bet]]="", Table12[[#This Row],[Bet]]="Spread"), "",IF('Prediction Log'!L276=Table12[[#This Row],[Side]], "W", IF('Prediction Log'!L276&lt;&gt;Table12[[#This Row],[Side]], "L", "")))</f>
      </c>
      <c r="AA275" s="59" t="str">
        <f t="shared" si="41"/>
      </c>
      <c r="AB275" s="67" t="str">
        <f>IF(OR(Table12[[#This Row],[Bet]]="Side",Table12[[#This Row],[Bet]]="", 'Prediction Log'!L276=""), "",IF('Prediction Log'!U276="Y", "W", IF('Prediction Log'!U276="N", "L", "")))</f>
      </c>
      <c r="AC275" s="59" t="str">
        <f t="shared" si="42"/>
      </c>
      <c r="AD275" s="67"/>
      <c r="AE275" s="65" t="str">
        <f t="shared" si="47"/>
      </c>
      <c r="AF2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6">
      <c r="A276" s="65" t="str">
        <f>IF(ISBLANK(Games!A276), "", Games!A276)</f>
      </c>
      <c r="B276" s="65" t="str">
        <f>IF('Prediction Log'!B277=0, "",'Prediction Log'!B277)</f>
      </c>
      <c r="C276" s="65" t="str">
        <f>IF('Prediction Log'!C277=0, "",'Prediction Log'!C277)</f>
      </c>
      <c r="D276" s="65" t="str">
        <f>IF('Prediction Log'!D277=0, "",'Prediction Log'!D277)</f>
      </c>
      <c r="E276" s="58" t="str">
        <f>IF('Prediction Log'!E277=0, "",'Prediction Log'!E277)</f>
      </c>
      <c r="F276" s="65" t="str">
        <f>IF('Prediction Log'!H277=0, "",'Prediction Log'!H277)</f>
      </c>
      <c r="G276" s="64" t="str">
        <f>IF(ISBLANK(Games!B276), "",'Prediction Log'!$I277)</f>
      </c>
      <c r="H276" s="66" t="n">
        <f>'Prediction Log'!$J277</f>
        <v>0</v>
      </c>
      <c r="I276" s="65" t="str">
        <f>IF(ISBLANK(Games!T276), "",IF(AND(Games!T276="",Games!U276=""),"",IF(ISTEXT(Games!U276), "Side",Games!T276)))</f>
      </c>
      <c r="J276" s="65" t="str">
        <f>IF(ISBLANK(Games!T276), "",IF(Table12[[#This Row],[Bet]]="Spread", Games!X276, ""))</f>
      </c>
      <c r="K276" s="65" t="str">
        <f>IF(ISBLANK(Games!U276), "",IF(ISTEXT(Games!U276), Games!U276, ""))</f>
      </c>
      <c r="L276" s="57" t="str">
        <f>IF(ISBLANK(Games!D276), "", Games!D276)</f>
      </c>
      <c r="M276" s="65"/>
      <c r="N276" s="75" t="str">
        <f>IF(Games!V276="", "",Games!V276)</f>
      </c>
      <c r="O276" s="75" t="str">
        <f>IF(Games!Z276=0, "",Games!Z276)</f>
      </c>
      <c r="P276" s="67"/>
      <c r="Q276" s="67" t="str">
        <f>IF(ISBLANK(Games!W276), "", Games!W276)</f>
      </c>
      <c r="R276" s="67" t="str">
        <f>IF(ISBLANK(Games!AA276), "", Games!AA276)</f>
      </c>
      <c r="S276" s="67"/>
      <c r="T276" s="68" t="str">
        <f t="shared" si="43"/>
      </c>
      <c r="U276" s="68" t="str">
        <f t="shared" si="44"/>
      </c>
      <c r="V276" s="68" t="str">
        <f t="shared" si="45"/>
      </c>
      <c r="W276" s="68" t="str">
        <f t="shared" si="46"/>
      </c>
      <c r="X276" s="68" t="n">
        <f t="shared" si="39"/>
        <v>0</v>
      </c>
      <c r="Y276" s="68" t="n">
        <f t="shared" si="40"/>
        <v>0</v>
      </c>
      <c r="Z276" s="67" t="str">
        <f>IF(OR('Prediction Log'!L277="", Table12[[#This Row],[Bet]]="", Table12[[#This Row],[Bet]]="Spread"), "",IF('Prediction Log'!L277=Table12[[#This Row],[Side]], "W", IF('Prediction Log'!L277&lt;&gt;Table12[[#This Row],[Side]], "L", "")))</f>
      </c>
      <c r="AA276" s="59" t="str">
        <f t="shared" si="41"/>
      </c>
      <c r="AB276" s="67" t="str">
        <f>IF(OR(Table12[[#This Row],[Bet]]="Side",Table12[[#This Row],[Bet]]="", 'Prediction Log'!L277=""), "",IF('Prediction Log'!U277="Y", "W", IF('Prediction Log'!U277="N", "L", "")))</f>
      </c>
      <c r="AC276" s="59" t="str">
        <f t="shared" si="42"/>
      </c>
      <c r="AD276" s="67"/>
      <c r="AE276" s="65" t="str">
        <f t="shared" si="47"/>
      </c>
      <c r="AF2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7">
      <c r="A277" s="65" t="str">
        <f>IF(ISBLANK(Games!A277), "", Games!A277)</f>
      </c>
      <c r="B277" s="65" t="str">
        <f>IF('Prediction Log'!B278=0, "",'Prediction Log'!B278)</f>
      </c>
      <c r="C277" s="65" t="str">
        <f>IF('Prediction Log'!C278=0, "",'Prediction Log'!C278)</f>
      </c>
      <c r="D277" s="65" t="str">
        <f>IF('Prediction Log'!D278=0, "",'Prediction Log'!D278)</f>
      </c>
      <c r="E277" s="58" t="str">
        <f>IF('Prediction Log'!E278=0, "",'Prediction Log'!E278)</f>
      </c>
      <c r="F277" s="65" t="str">
        <f>IF('Prediction Log'!H278=0, "",'Prediction Log'!H278)</f>
      </c>
      <c r="G277" s="64" t="str">
        <f>IF(ISBLANK(Games!B277), "",'Prediction Log'!$I278)</f>
      </c>
      <c r="H277" s="66" t="n">
        <f>'Prediction Log'!$J278</f>
        <v>0</v>
      </c>
      <c r="I277" s="65" t="str">
        <f>IF(ISBLANK(Games!T277), "",IF(AND(Games!T277="",Games!U277=""),"",IF(ISTEXT(Games!U277), "Side",Games!T277)))</f>
      </c>
      <c r="J277" s="65" t="str">
        <f>IF(ISBLANK(Games!T277), "",IF(Table12[[#This Row],[Bet]]="Spread", Games!X277, ""))</f>
      </c>
      <c r="K277" s="65" t="str">
        <f>IF(ISBLANK(Games!U277), "",IF(ISTEXT(Games!U277), Games!U277, ""))</f>
      </c>
      <c r="L277" s="57" t="str">
        <f>IF(ISBLANK(Games!D277), "", Games!D277)</f>
      </c>
      <c r="M277" s="65"/>
      <c r="N277" s="75" t="str">
        <f>IF(Games!V277="", "",Games!V277)</f>
      </c>
      <c r="O277" s="75" t="str">
        <f>IF(Games!Z277=0, "",Games!Z277)</f>
      </c>
      <c r="P277" s="67"/>
      <c r="Q277" s="67" t="str">
        <f>IF(ISBLANK(Games!W277), "", Games!W277)</f>
      </c>
      <c r="R277" s="67" t="str">
        <f>IF(ISBLANK(Games!AA277), "", Games!AA277)</f>
      </c>
      <c r="S277" s="67"/>
      <c r="T277" s="68" t="str">
        <f t="shared" si="43"/>
      </c>
      <c r="U277" s="68" t="str">
        <f t="shared" si="44"/>
      </c>
      <c r="V277" s="68" t="str">
        <f t="shared" si="45"/>
      </c>
      <c r="W277" s="68" t="str">
        <f t="shared" si="46"/>
      </c>
      <c r="X277" s="68" t="n">
        <f t="shared" si="39"/>
        <v>0</v>
      </c>
      <c r="Y277" s="68" t="n">
        <f t="shared" si="40"/>
        <v>0</v>
      </c>
      <c r="Z277" s="67" t="str">
        <f>IF(OR('Prediction Log'!L278="", Table12[[#This Row],[Bet]]="", Table12[[#This Row],[Bet]]="Spread"), "",IF('Prediction Log'!L278=Table12[[#This Row],[Side]], "W", IF('Prediction Log'!L278&lt;&gt;Table12[[#This Row],[Side]], "L", "")))</f>
      </c>
      <c r="AA277" s="59" t="str">
        <f t="shared" si="41"/>
      </c>
      <c r="AB277" s="67" t="str">
        <f>IF(OR(Table12[[#This Row],[Bet]]="Side",Table12[[#This Row],[Bet]]="", 'Prediction Log'!L278=""), "",IF('Prediction Log'!U278="Y", "W", IF('Prediction Log'!U278="N", "L", "")))</f>
      </c>
      <c r="AC277" s="59" t="str">
        <f t="shared" si="42"/>
      </c>
      <c r="AD277" s="67"/>
      <c r="AE277" s="65" t="str">
        <f t="shared" si="47"/>
      </c>
      <c r="AF2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8">
      <c r="A278" s="65" t="str">
        <f>IF(ISBLANK(Games!A278), "", Games!A278)</f>
      </c>
      <c r="B278" s="65" t="str">
        <f>IF('Prediction Log'!B279=0, "",'Prediction Log'!B279)</f>
      </c>
      <c r="C278" s="65" t="str">
        <f>IF('Prediction Log'!C279=0, "",'Prediction Log'!C279)</f>
      </c>
      <c r="D278" s="65" t="str">
        <f>IF('Prediction Log'!D279=0, "",'Prediction Log'!D279)</f>
      </c>
      <c r="E278" s="58" t="str">
        <f>IF('Prediction Log'!E279=0, "",'Prediction Log'!E279)</f>
      </c>
      <c r="F278" s="65" t="str">
        <f>IF('Prediction Log'!H279=0, "",'Prediction Log'!H279)</f>
      </c>
      <c r="G278" s="64" t="str">
        <f>IF(ISBLANK(Games!B278), "",'Prediction Log'!$I279)</f>
      </c>
      <c r="H278" s="66" t="n">
        <f>'Prediction Log'!$J279</f>
        <v>0</v>
      </c>
      <c r="I278" s="65" t="str">
        <f>IF(ISBLANK(Games!T278), "",IF(AND(Games!T278="",Games!U278=""),"",IF(ISTEXT(Games!U278), "Side",Games!T278)))</f>
      </c>
      <c r="J278" s="65" t="str">
        <f>IF(ISBLANK(Games!T278), "",IF(Table12[[#This Row],[Bet]]="Spread", Games!X278, ""))</f>
      </c>
      <c r="K278" s="65" t="str">
        <f>IF(ISBLANK(Games!U278), "",IF(ISTEXT(Games!U278), Games!U278, ""))</f>
      </c>
      <c r="L278" s="57" t="str">
        <f>IF(ISBLANK(Games!D278), "", Games!D278)</f>
      </c>
      <c r="M278" s="65"/>
      <c r="N278" s="75" t="str">
        <f>IF(Games!V278="", "",Games!V278)</f>
      </c>
      <c r="O278" s="75" t="str">
        <f>IF(Games!Z278=0, "",Games!Z278)</f>
      </c>
      <c r="P278" s="67"/>
      <c r="Q278" s="67" t="str">
        <f>IF(ISBLANK(Games!W278), "", Games!W278)</f>
      </c>
      <c r="R278" s="67" t="str">
        <f>IF(ISBLANK(Games!AA278), "", Games!AA278)</f>
      </c>
      <c r="S278" s="67"/>
      <c r="T278" s="68" t="str">
        <f t="shared" si="43"/>
      </c>
      <c r="U278" s="68" t="str">
        <f t="shared" si="44"/>
      </c>
      <c r="V278" s="68" t="str">
        <f t="shared" si="45"/>
      </c>
      <c r="W278" s="68" t="str">
        <f t="shared" si="46"/>
      </c>
      <c r="X278" s="68" t="n">
        <f t="shared" si="39"/>
        <v>0</v>
      </c>
      <c r="Y278" s="68" t="n">
        <f t="shared" si="40"/>
        <v>0</v>
      </c>
      <c r="Z278" s="67" t="str">
        <f>IF(OR('Prediction Log'!L279="", Table12[[#This Row],[Bet]]="", Table12[[#This Row],[Bet]]="Spread"), "",IF('Prediction Log'!L279=Table12[[#This Row],[Side]], "W", IF('Prediction Log'!L279&lt;&gt;Table12[[#This Row],[Side]], "L", "")))</f>
      </c>
      <c r="AA278" s="59" t="str">
        <f t="shared" si="41"/>
      </c>
      <c r="AB278" s="67" t="str">
        <f>IF(OR(Table12[[#This Row],[Bet]]="Side",Table12[[#This Row],[Bet]]="", 'Prediction Log'!L279=""), "",IF('Prediction Log'!U279="Y", "W", IF('Prediction Log'!U279="N", "L", "")))</f>
      </c>
      <c r="AC278" s="59" t="str">
        <f t="shared" si="42"/>
      </c>
      <c r="AD278" s="67"/>
      <c r="AE278" s="65" t="str">
        <f t="shared" si="47"/>
      </c>
      <c r="AF2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9">
      <c r="A279" s="65" t="str">
        <f>IF(ISBLANK(Games!A279), "", Games!A279)</f>
      </c>
      <c r="B279" s="65" t="str">
        <f>IF('Prediction Log'!B280=0, "",'Prediction Log'!B280)</f>
      </c>
      <c r="C279" s="65" t="str">
        <f>IF('Prediction Log'!C280=0, "",'Prediction Log'!C280)</f>
      </c>
      <c r="D279" s="65" t="str">
        <f>IF('Prediction Log'!D280=0, "",'Prediction Log'!D280)</f>
      </c>
      <c r="E279" s="58" t="str">
        <f>IF('Prediction Log'!E280=0, "",'Prediction Log'!E280)</f>
      </c>
      <c r="F279" s="65" t="str">
        <f>IF('Prediction Log'!H280=0, "",'Prediction Log'!H280)</f>
      </c>
      <c r="G279" s="64" t="str">
        <f>IF(ISBLANK(Games!B279), "",'Prediction Log'!$I280)</f>
      </c>
      <c r="H279" s="66" t="n">
        <f>'Prediction Log'!$J280</f>
        <v>0</v>
      </c>
      <c r="I279" s="65" t="str">
        <f>IF(ISBLANK(Games!T279), "",IF(AND(Games!T279="",Games!U279=""),"",IF(ISTEXT(Games!U279), "Side",Games!T279)))</f>
      </c>
      <c r="J279" s="65" t="str">
        <f>IF(ISBLANK(Games!T279), "",IF(Table12[[#This Row],[Bet]]="Spread", Games!X279, ""))</f>
      </c>
      <c r="K279" s="65" t="str">
        <f>IF(ISBLANK(Games!U279), "",IF(ISTEXT(Games!U279), Games!U279, ""))</f>
      </c>
      <c r="L279" s="57" t="str">
        <f>IF(ISBLANK(Games!D279), "", Games!D279)</f>
      </c>
      <c r="M279" s="65"/>
      <c r="N279" s="75" t="str">
        <f>IF(Games!V279="", "",Games!V279)</f>
      </c>
      <c r="O279" s="75" t="str">
        <f>IF(Games!Z279=0, "",Games!Z279)</f>
      </c>
      <c r="P279" s="67"/>
      <c r="Q279" s="67" t="str">
        <f>IF(ISBLANK(Games!W279), "", Games!W279)</f>
      </c>
      <c r="R279" s="67" t="str">
        <f>IF(ISBLANK(Games!AA279), "", Games!AA279)</f>
      </c>
      <c r="S279" s="67"/>
      <c r="T279" s="68" t="str">
        <f t="shared" si="43"/>
      </c>
      <c r="U279" s="68" t="str">
        <f t="shared" si="44"/>
      </c>
      <c r="V279" s="68" t="str">
        <f t="shared" si="45"/>
      </c>
      <c r="W279" s="68" t="str">
        <f t="shared" si="46"/>
      </c>
      <c r="X279" s="68" t="n">
        <f t="shared" si="39"/>
        <v>0</v>
      </c>
      <c r="Y279" s="68" t="n">
        <f t="shared" si="40"/>
        <v>0</v>
      </c>
      <c r="Z279" s="67" t="str">
        <f>IF(OR('Prediction Log'!L280="", Table12[[#This Row],[Bet]]="", Table12[[#This Row],[Bet]]="Spread"), "",IF('Prediction Log'!L280=Table12[[#This Row],[Side]], "W", IF('Prediction Log'!L280&lt;&gt;Table12[[#This Row],[Side]], "L", "")))</f>
      </c>
      <c r="AA279" s="59" t="str">
        <f t="shared" si="41"/>
      </c>
      <c r="AB279" s="67" t="str">
        <f>IF(OR(Table12[[#This Row],[Bet]]="Side",Table12[[#This Row],[Bet]]="", 'Prediction Log'!L280=""), "",IF('Prediction Log'!U280="Y", "W", IF('Prediction Log'!U280="N", "L", "")))</f>
      </c>
      <c r="AC279" s="59" t="str">
        <f t="shared" si="42"/>
      </c>
      <c r="AD279" s="67"/>
      <c r="AE279" s="65" t="str">
        <f t="shared" si="47"/>
      </c>
      <c r="AF2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0">
      <c r="A280" s="65" t="str">
        <f>IF(ISBLANK(Games!A280), "", Games!A280)</f>
      </c>
      <c r="B280" s="65" t="str">
        <f>IF('Prediction Log'!B281=0, "",'Prediction Log'!B281)</f>
      </c>
      <c r="C280" s="65" t="str">
        <f>IF('Prediction Log'!C281=0, "",'Prediction Log'!C281)</f>
      </c>
      <c r="D280" s="65" t="str">
        <f>IF('Prediction Log'!D281=0, "",'Prediction Log'!D281)</f>
      </c>
      <c r="E280" s="58" t="str">
        <f>IF('Prediction Log'!E281=0, "",'Prediction Log'!E281)</f>
      </c>
      <c r="F280" s="65" t="str">
        <f>IF('Prediction Log'!H281=0, "",'Prediction Log'!H281)</f>
      </c>
      <c r="G280" s="64" t="str">
        <f>IF(ISBLANK(Games!B280), "",'Prediction Log'!$I281)</f>
      </c>
      <c r="H280" s="66" t="n">
        <f>'Prediction Log'!$J281</f>
        <v>0</v>
      </c>
      <c r="I280" s="65" t="str">
        <f>IF(ISBLANK(Games!T280), "",IF(AND(Games!T280="",Games!U280=""),"",IF(ISTEXT(Games!U280), "Side",Games!T280)))</f>
      </c>
      <c r="J280" s="65" t="str">
        <f>IF(ISBLANK(Games!T280), "",IF(Table12[[#This Row],[Bet]]="Spread", Games!X280, ""))</f>
      </c>
      <c r="K280" s="65" t="str">
        <f>IF(ISBLANK(Games!U280), "",IF(ISTEXT(Games!U280), Games!U280, ""))</f>
      </c>
      <c r="L280" s="57" t="str">
        <f>IF(ISBLANK(Games!D280), "", Games!D280)</f>
      </c>
      <c r="M280" s="65"/>
      <c r="N280" s="75" t="str">
        <f>IF(Games!V280="", "",Games!V280)</f>
      </c>
      <c r="O280" s="75" t="str">
        <f>IF(Games!Z280=0, "",Games!Z280)</f>
      </c>
      <c r="P280" s="67"/>
      <c r="Q280" s="67" t="str">
        <f>IF(ISBLANK(Games!W280), "", Games!W280)</f>
      </c>
      <c r="R280" s="67" t="str">
        <f>IF(ISBLANK(Games!AA280), "", Games!AA280)</f>
      </c>
      <c r="S280" s="67"/>
      <c r="T280" s="68" t="str">
        <f t="shared" si="43"/>
      </c>
      <c r="U280" s="68" t="str">
        <f t="shared" si="44"/>
      </c>
      <c r="V280" s="68" t="str">
        <f t="shared" si="45"/>
      </c>
      <c r="W280" s="68" t="str">
        <f t="shared" si="46"/>
      </c>
      <c r="X280" s="68" t="n">
        <f t="shared" si="39"/>
        <v>0</v>
      </c>
      <c r="Y280" s="68" t="n">
        <f t="shared" si="40"/>
        <v>0</v>
      </c>
      <c r="Z280" s="67" t="str">
        <f>IF(OR('Prediction Log'!L281="", Table12[[#This Row],[Bet]]="", Table12[[#This Row],[Bet]]="Spread"), "",IF('Prediction Log'!L281=Table12[[#This Row],[Side]], "W", IF('Prediction Log'!L281&lt;&gt;Table12[[#This Row],[Side]], "L", "")))</f>
      </c>
      <c r="AA280" s="59" t="str">
        <f t="shared" si="41"/>
      </c>
      <c r="AB280" s="67" t="str">
        <f>IF(OR(Table12[[#This Row],[Bet]]="Side",Table12[[#This Row],[Bet]]="", 'Prediction Log'!L281=""), "",IF('Prediction Log'!U281="Y", "W", IF('Prediction Log'!U281="N", "L", "")))</f>
      </c>
      <c r="AC280" s="59" t="str">
        <f t="shared" si="42"/>
      </c>
      <c r="AD280" s="67"/>
      <c r="AE280" s="65" t="str">
        <f t="shared" si="47"/>
      </c>
      <c r="AF2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1">
      <c r="A281" s="65" t="str">
        <f>IF(ISBLANK(Games!A281), "", Games!A281)</f>
      </c>
      <c r="B281" s="65" t="str">
        <f>IF('Prediction Log'!B282=0, "",'Prediction Log'!B282)</f>
      </c>
      <c r="C281" s="65" t="str">
        <f>IF('Prediction Log'!C282=0, "",'Prediction Log'!C282)</f>
      </c>
      <c r="D281" s="65" t="str">
        <f>IF('Prediction Log'!D282=0, "",'Prediction Log'!D282)</f>
      </c>
      <c r="E281" s="58" t="str">
        <f>IF('Prediction Log'!E282=0, "",'Prediction Log'!E282)</f>
      </c>
      <c r="F281" s="65" t="str">
        <f>IF('Prediction Log'!H282=0, "",'Prediction Log'!H282)</f>
      </c>
      <c r="G281" s="64" t="str">
        <f>IF(ISBLANK(Games!B281), "",'Prediction Log'!$I282)</f>
      </c>
      <c r="H281" s="66" t="n">
        <f>'Prediction Log'!$J282</f>
        <v>0</v>
      </c>
      <c r="I281" s="65" t="str">
        <f>IF(ISBLANK(Games!T281), "",IF(AND(Games!T281="",Games!U281=""),"",IF(ISTEXT(Games!U281), "Side",Games!T281)))</f>
      </c>
      <c r="J281" s="65" t="str">
        <f>IF(ISBLANK(Games!T281), "",IF(Table12[[#This Row],[Bet]]="Spread", Games!X281, ""))</f>
      </c>
      <c r="K281" s="65" t="str">
        <f>IF(ISBLANK(Games!U281), "",IF(ISTEXT(Games!U281), Games!U281, ""))</f>
      </c>
      <c r="L281" s="57" t="str">
        <f>IF(ISBLANK(Games!D281), "", Games!D281)</f>
      </c>
      <c r="M281" s="65"/>
      <c r="N281" s="75" t="str">
        <f>IF(Games!V281="", "",Games!V281)</f>
      </c>
      <c r="O281" s="75" t="str">
        <f>IF(Games!Z281=0, "",Games!Z281)</f>
      </c>
      <c r="P281" s="67"/>
      <c r="Q281" s="67" t="str">
        <f>IF(ISBLANK(Games!W281), "", Games!W281)</f>
      </c>
      <c r="R281" s="67" t="str">
        <f>IF(ISBLANK(Games!AA281), "", Games!AA281)</f>
      </c>
      <c r="S281" s="67"/>
      <c r="T281" s="68" t="str">
        <f t="shared" si="43"/>
      </c>
      <c r="U281" s="68" t="str">
        <f t="shared" si="44"/>
      </c>
      <c r="V281" s="68" t="str">
        <f t="shared" si="45"/>
      </c>
      <c r="W281" s="68" t="str">
        <f t="shared" si="46"/>
      </c>
      <c r="X281" s="68" t="n">
        <f t="shared" si="39"/>
        <v>0</v>
      </c>
      <c r="Y281" s="68" t="n">
        <f t="shared" si="40"/>
        <v>0</v>
      </c>
      <c r="Z281" s="67" t="str">
        <f>IF(OR('Prediction Log'!L282="", Table12[[#This Row],[Bet]]="", Table12[[#This Row],[Bet]]="Spread"), "",IF('Prediction Log'!L282=Table12[[#This Row],[Side]], "W", IF('Prediction Log'!L282&lt;&gt;Table12[[#This Row],[Side]], "L", "")))</f>
      </c>
      <c r="AA281" s="59" t="str">
        <f t="shared" si="41"/>
      </c>
      <c r="AB281" s="67" t="str">
        <f>IF(OR(Table12[[#This Row],[Bet]]="Side",Table12[[#This Row],[Bet]]="", 'Prediction Log'!L282=""), "",IF('Prediction Log'!U282="Y", "W", IF('Prediction Log'!U282="N", "L", "")))</f>
      </c>
      <c r="AC281" s="59" t="str">
        <f t="shared" si="42"/>
      </c>
      <c r="AD281" s="67"/>
      <c r="AE281" s="65" t="str">
        <f t="shared" si="47"/>
      </c>
      <c r="AF2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2">
      <c r="A282" s="65" t="str">
        <f>IF(ISBLANK(Games!A282), "", Games!A282)</f>
      </c>
      <c r="B282" s="65" t="str">
        <f>IF('Prediction Log'!B283=0, "",'Prediction Log'!B283)</f>
      </c>
      <c r="C282" s="65" t="str">
        <f>IF('Prediction Log'!C283=0, "",'Prediction Log'!C283)</f>
      </c>
      <c r="D282" s="65" t="str">
        <f>IF('Prediction Log'!D283=0, "",'Prediction Log'!D283)</f>
      </c>
      <c r="E282" s="58" t="str">
        <f>IF('Prediction Log'!E283=0, "",'Prediction Log'!E283)</f>
      </c>
      <c r="F282" s="65" t="str">
        <f>IF('Prediction Log'!H283=0, "",'Prediction Log'!H283)</f>
      </c>
      <c r="G282" s="64" t="str">
        <f>IF(ISBLANK(Games!B282), "",'Prediction Log'!$I283)</f>
      </c>
      <c r="H282" s="66" t="n">
        <f>'Prediction Log'!$J283</f>
        <v>0</v>
      </c>
      <c r="I282" s="65" t="str">
        <f>IF(ISBLANK(Games!T282), "",IF(AND(Games!T282="",Games!U282=""),"",IF(ISTEXT(Games!U282), "Side",Games!T282)))</f>
      </c>
      <c r="J282" s="65" t="str">
        <f>IF(ISBLANK(Games!T282), "",IF(Table12[[#This Row],[Bet]]="Spread", Games!X282, ""))</f>
      </c>
      <c r="K282" s="65" t="str">
        <f>IF(ISBLANK(Games!U282), "",IF(ISTEXT(Games!U282), Games!U282, ""))</f>
      </c>
      <c r="L282" s="57" t="str">
        <f>IF(ISBLANK(Games!D282), "", Games!D282)</f>
      </c>
      <c r="M282" s="65"/>
      <c r="N282" s="75" t="str">
        <f>IF(Games!V282="", "",Games!V282)</f>
      </c>
      <c r="O282" s="75" t="str">
        <f>IF(Games!Z282=0, "",Games!Z282)</f>
      </c>
      <c r="P282" s="67"/>
      <c r="Q282" s="67" t="str">
        <f>IF(ISBLANK(Games!W282), "", Games!W282)</f>
      </c>
      <c r="R282" s="67" t="str">
        <f>IF(ISBLANK(Games!AA282), "", Games!AA282)</f>
      </c>
      <c r="S282" s="67"/>
      <c r="T282" s="68" t="str">
        <f t="shared" si="43"/>
      </c>
      <c r="U282" s="68" t="str">
        <f t="shared" si="44"/>
      </c>
      <c r="V282" s="68" t="str">
        <f t="shared" si="45"/>
      </c>
      <c r="W282" s="68" t="str">
        <f t="shared" si="46"/>
      </c>
      <c r="X282" s="68" t="n">
        <f t="shared" si="39"/>
        <v>0</v>
      </c>
      <c r="Y282" s="68" t="n">
        <f t="shared" si="40"/>
        <v>0</v>
      </c>
      <c r="Z282" s="67" t="str">
        <f>IF(OR('Prediction Log'!L283="", Table12[[#This Row],[Bet]]="", Table12[[#This Row],[Bet]]="Spread"), "",IF('Prediction Log'!L283=Table12[[#This Row],[Side]], "W", IF('Prediction Log'!L283&lt;&gt;Table12[[#This Row],[Side]], "L", "")))</f>
      </c>
      <c r="AA282" s="59" t="str">
        <f t="shared" si="41"/>
      </c>
      <c r="AB282" s="67" t="str">
        <f>IF(OR(Table12[[#This Row],[Bet]]="Side",Table12[[#This Row],[Bet]]="", 'Prediction Log'!L283=""), "",IF('Prediction Log'!U283="Y", "W", IF('Prediction Log'!U283="N", "L", "")))</f>
      </c>
      <c r="AC282" s="59" t="str">
        <f t="shared" si="42"/>
      </c>
      <c r="AD282" s="67"/>
      <c r="AE282" s="65" t="str">
        <f t="shared" si="47"/>
      </c>
      <c r="AF2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3">
      <c r="A283" s="65" t="str">
        <f>IF(ISBLANK(Games!A283), "", Games!A283)</f>
      </c>
      <c r="B283" s="65" t="str">
        <f>IF('Prediction Log'!B284=0, "",'Prediction Log'!B284)</f>
      </c>
      <c r="C283" s="65" t="str">
        <f>IF('Prediction Log'!C284=0, "",'Prediction Log'!C284)</f>
      </c>
      <c r="D283" s="65" t="str">
        <f>IF('Prediction Log'!D284=0, "",'Prediction Log'!D284)</f>
      </c>
      <c r="E283" s="58" t="str">
        <f>IF('Prediction Log'!E284=0, "",'Prediction Log'!E284)</f>
      </c>
      <c r="F283" s="65" t="str">
        <f>IF('Prediction Log'!H284=0, "",'Prediction Log'!H284)</f>
      </c>
      <c r="G283" s="64" t="str">
        <f>IF(ISBLANK(Games!B283), "",'Prediction Log'!$I284)</f>
      </c>
      <c r="H283" s="66" t="n">
        <f>'Prediction Log'!$J284</f>
        <v>0</v>
      </c>
      <c r="I283" s="65" t="str">
        <f>IF(ISBLANK(Games!T283), "",IF(AND(Games!T283="",Games!U283=""),"",IF(ISTEXT(Games!U283), "Side",Games!T283)))</f>
      </c>
      <c r="J283" s="65" t="str">
        <f>IF(ISBLANK(Games!T283), "",IF(Table12[[#This Row],[Bet]]="Spread", Games!X283, ""))</f>
      </c>
      <c r="K283" s="65" t="str">
        <f>IF(ISBLANK(Games!U283), "",IF(ISTEXT(Games!U283), Games!U283, ""))</f>
      </c>
      <c r="L283" s="57" t="str">
        <f>IF(ISBLANK(Games!D283), "", Games!D283)</f>
      </c>
      <c r="M283" s="65"/>
      <c r="N283" s="75" t="str">
        <f>IF(Games!V283="", "",Games!V283)</f>
      </c>
      <c r="O283" s="75" t="str">
        <f>IF(Games!Z283=0, "",Games!Z283)</f>
      </c>
      <c r="P283" s="67"/>
      <c r="Q283" s="67" t="str">
        <f>IF(ISBLANK(Games!W283), "", Games!W283)</f>
      </c>
      <c r="R283" s="67" t="str">
        <f>IF(ISBLANK(Games!AA283), "", Games!AA283)</f>
      </c>
      <c r="S283" s="67"/>
      <c r="T283" s="68" t="str">
        <f t="shared" si="43"/>
      </c>
      <c r="U283" s="68" t="str">
        <f t="shared" si="44"/>
      </c>
      <c r="V283" s="68" t="str">
        <f t="shared" si="45"/>
      </c>
      <c r="W283" s="68" t="str">
        <f t="shared" si="46"/>
      </c>
      <c r="X283" s="68" t="n">
        <f t="shared" si="39"/>
        <v>0</v>
      </c>
      <c r="Y283" s="68" t="n">
        <f t="shared" si="40"/>
        <v>0</v>
      </c>
      <c r="Z283" s="67" t="str">
        <f>IF(OR('Prediction Log'!L284="", Table12[[#This Row],[Bet]]="", Table12[[#This Row],[Bet]]="Spread"), "",IF('Prediction Log'!L284=Table12[[#This Row],[Side]], "W", IF('Prediction Log'!L284&lt;&gt;Table12[[#This Row],[Side]], "L", "")))</f>
      </c>
      <c r="AA283" s="59" t="str">
        <f t="shared" si="41"/>
      </c>
      <c r="AB283" s="67" t="str">
        <f>IF(OR(Table12[[#This Row],[Bet]]="Side",Table12[[#This Row],[Bet]]="", 'Prediction Log'!L284=""), "",IF('Prediction Log'!U284="Y", "W", IF('Prediction Log'!U284="N", "L", "")))</f>
      </c>
      <c r="AC283" s="59" t="str">
        <f t="shared" si="42"/>
      </c>
      <c r="AD283" s="67"/>
      <c r="AE283" s="65" t="str">
        <f t="shared" si="47"/>
      </c>
      <c r="AF2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4">
      <c r="A284" s="65" t="str">
        <f>IF(ISBLANK(Games!A284), "", Games!A284)</f>
      </c>
      <c r="B284" s="65" t="str">
        <f>IF('Prediction Log'!B285=0, "",'Prediction Log'!B285)</f>
      </c>
      <c r="C284" s="65" t="str">
        <f>IF('Prediction Log'!C285=0, "",'Prediction Log'!C285)</f>
      </c>
      <c r="D284" s="65" t="str">
        <f>IF('Prediction Log'!D285=0, "",'Prediction Log'!D285)</f>
      </c>
      <c r="E284" s="58" t="str">
        <f>IF('Prediction Log'!E285=0, "",'Prediction Log'!E285)</f>
      </c>
      <c r="F284" s="65" t="str">
        <f>IF('Prediction Log'!H285=0, "",'Prediction Log'!H285)</f>
      </c>
      <c r="G284" s="64" t="str">
        <f>IF(ISBLANK(Games!B284), "",'Prediction Log'!$I285)</f>
      </c>
      <c r="H284" s="66" t="n">
        <f>'Prediction Log'!$J285</f>
        <v>0</v>
      </c>
      <c r="I284" s="65" t="str">
        <f>IF(ISBLANK(Games!T284), "",IF(AND(Games!T284="",Games!U284=""),"",IF(ISTEXT(Games!U284), "Side",Games!T284)))</f>
      </c>
      <c r="J284" s="65" t="str">
        <f>IF(ISBLANK(Games!T284), "",IF(Table12[[#This Row],[Bet]]="Spread", Games!X284, ""))</f>
      </c>
      <c r="K284" s="65" t="str">
        <f>IF(ISBLANK(Games!U284), "",IF(ISTEXT(Games!U284), Games!U284, ""))</f>
      </c>
      <c r="L284" s="57" t="str">
        <f>IF(ISBLANK(Games!D284), "", Games!D284)</f>
      </c>
      <c r="M284" s="65"/>
      <c r="N284" s="75" t="str">
        <f>IF(Games!V284="", "",Games!V284)</f>
      </c>
      <c r="O284" s="75" t="str">
        <f>IF(Games!Z284=0, "",Games!Z284)</f>
      </c>
      <c r="P284" s="67"/>
      <c r="Q284" s="67" t="str">
        <f>IF(ISBLANK(Games!W284), "", Games!W284)</f>
      </c>
      <c r="R284" s="67" t="str">
        <f>IF(ISBLANK(Games!AA284), "", Games!AA284)</f>
      </c>
      <c r="S284" s="67"/>
      <c r="T284" s="68" t="str">
        <f t="shared" si="43"/>
      </c>
      <c r="U284" s="68" t="str">
        <f t="shared" si="44"/>
      </c>
      <c r="V284" s="68" t="str">
        <f t="shared" si="45"/>
      </c>
      <c r="W284" s="68" t="str">
        <f t="shared" si="46"/>
      </c>
      <c r="X284" s="68" t="n">
        <f t="shared" si="39"/>
        <v>0</v>
      </c>
      <c r="Y284" s="68" t="n">
        <f t="shared" si="40"/>
        <v>0</v>
      </c>
      <c r="Z284" s="67" t="str">
        <f>IF(OR('Prediction Log'!L285="", Table12[[#This Row],[Bet]]="", Table12[[#This Row],[Bet]]="Spread"), "",IF('Prediction Log'!L285=Table12[[#This Row],[Side]], "W", IF('Prediction Log'!L285&lt;&gt;Table12[[#This Row],[Side]], "L", "")))</f>
      </c>
      <c r="AA284" s="59" t="str">
        <f t="shared" si="41"/>
      </c>
      <c r="AB284" s="67" t="str">
        <f>IF(OR(Table12[[#This Row],[Bet]]="Side",Table12[[#This Row],[Bet]]="", 'Prediction Log'!L285=""), "",IF('Prediction Log'!U285="Y", "W", IF('Prediction Log'!U285="N", "L", "")))</f>
      </c>
      <c r="AC284" s="59" t="str">
        <f t="shared" si="42"/>
      </c>
      <c r="AD284" s="67"/>
      <c r="AE284" s="65" t="str">
        <f t="shared" si="47"/>
      </c>
      <c r="AF2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5">
      <c r="A285" s="65" t="str">
        <f>IF(ISBLANK(Games!A285), "", Games!A285)</f>
      </c>
      <c r="B285" s="65" t="str">
        <f>IF('Prediction Log'!B286=0, "",'Prediction Log'!B286)</f>
      </c>
      <c r="C285" s="65" t="str">
        <f>IF('Prediction Log'!C286=0, "",'Prediction Log'!C286)</f>
      </c>
      <c r="D285" s="65" t="str">
        <f>IF('Prediction Log'!D286=0, "",'Prediction Log'!D286)</f>
      </c>
      <c r="E285" s="58" t="str">
        <f>IF('Prediction Log'!E286=0, "",'Prediction Log'!E286)</f>
      </c>
      <c r="F285" s="65" t="str">
        <f>IF('Prediction Log'!H286=0, "",'Prediction Log'!H286)</f>
      </c>
      <c r="G285" s="64" t="str">
        <f>IF(ISBLANK(Games!B285), "",'Prediction Log'!$I286)</f>
      </c>
      <c r="H285" s="66" t="n">
        <f>'Prediction Log'!$J286</f>
        <v>0</v>
      </c>
      <c r="I285" s="65" t="str">
        <f>IF(ISBLANK(Games!T285), "",IF(AND(Games!T285="",Games!U285=""),"",IF(ISTEXT(Games!U285), "Side",Games!T285)))</f>
      </c>
      <c r="J285" s="65" t="str">
        <f>IF(ISBLANK(Games!T285), "",IF(Table12[[#This Row],[Bet]]="Spread", Games!X285, ""))</f>
      </c>
      <c r="K285" s="65" t="str">
        <f>IF(ISBLANK(Games!U285), "",IF(ISTEXT(Games!U285), Games!U285, ""))</f>
      </c>
      <c r="L285" s="57" t="str">
        <f>IF(ISBLANK(Games!D285), "", Games!D285)</f>
      </c>
      <c r="M285" s="65"/>
      <c r="N285" s="75" t="str">
        <f>IF(Games!V285="", "",Games!V285)</f>
      </c>
      <c r="O285" s="75" t="str">
        <f>IF(Games!Z285=0, "",Games!Z285)</f>
      </c>
      <c r="P285" s="67"/>
      <c r="Q285" s="67" t="str">
        <f>IF(ISBLANK(Games!W285), "", Games!W285)</f>
      </c>
      <c r="R285" s="67" t="str">
        <f>IF(ISBLANK(Games!AA285), "", Games!AA285)</f>
      </c>
      <c r="S285" s="67"/>
      <c r="T285" s="68" t="str">
        <f t="shared" si="43"/>
      </c>
      <c r="U285" s="68" t="str">
        <f t="shared" si="44"/>
      </c>
      <c r="V285" s="68" t="str">
        <f t="shared" si="45"/>
      </c>
      <c r="W285" s="68" t="str">
        <f t="shared" si="46"/>
      </c>
      <c r="X285" s="68" t="n">
        <f t="shared" si="39"/>
        <v>0</v>
      </c>
      <c r="Y285" s="68" t="n">
        <f t="shared" si="40"/>
        <v>0</v>
      </c>
      <c r="Z285" s="67" t="str">
        <f>IF(OR('Prediction Log'!L286="", Table12[[#This Row],[Bet]]="", Table12[[#This Row],[Bet]]="Spread"), "",IF('Prediction Log'!L286=Table12[[#This Row],[Side]], "W", IF('Prediction Log'!L286&lt;&gt;Table12[[#This Row],[Side]], "L", "")))</f>
      </c>
      <c r="AA285" s="59" t="str">
        <f t="shared" si="41"/>
      </c>
      <c r="AB285" s="67" t="str">
        <f>IF(OR(Table12[[#This Row],[Bet]]="Side",Table12[[#This Row],[Bet]]="", 'Prediction Log'!L286=""), "",IF('Prediction Log'!U286="Y", "W", IF('Prediction Log'!U286="N", "L", "")))</f>
      </c>
      <c r="AC285" s="59" t="str">
        <f t="shared" si="42"/>
      </c>
      <c r="AD285" s="67"/>
      <c r="AE285" s="65" t="str">
        <f t="shared" si="47"/>
      </c>
      <c r="AF2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6">
      <c r="A286" s="65" t="str">
        <f>IF(ISBLANK(Games!A286), "", Games!A286)</f>
      </c>
      <c r="B286" s="65" t="str">
        <f>IF('Prediction Log'!B287=0, "",'Prediction Log'!B287)</f>
      </c>
      <c r="C286" s="65" t="str">
        <f>IF('Prediction Log'!C287=0, "",'Prediction Log'!C287)</f>
      </c>
      <c r="D286" s="65" t="str">
        <f>IF('Prediction Log'!D287=0, "",'Prediction Log'!D287)</f>
      </c>
      <c r="E286" s="58" t="str">
        <f>IF('Prediction Log'!E287=0, "",'Prediction Log'!E287)</f>
      </c>
      <c r="F286" s="65" t="str">
        <f>IF('Prediction Log'!H287=0, "",'Prediction Log'!H287)</f>
      </c>
      <c r="G286" s="64" t="str">
        <f>IF(ISBLANK(Games!B286), "",'Prediction Log'!$I287)</f>
      </c>
      <c r="H286" s="66" t="n">
        <f>'Prediction Log'!$J287</f>
        <v>0</v>
      </c>
      <c r="I286" s="65" t="str">
        <f>IF(ISBLANK(Games!T286), "",IF(AND(Games!T286="",Games!U286=""),"",IF(ISTEXT(Games!U286), "Side",Games!T286)))</f>
      </c>
      <c r="J286" s="65" t="str">
        <f>IF(ISBLANK(Games!T286), "",IF(Table12[[#This Row],[Bet]]="Spread", Games!X286, ""))</f>
      </c>
      <c r="K286" s="65" t="str">
        <f>IF(ISBLANK(Games!U286), "",IF(ISTEXT(Games!U286), Games!U286, ""))</f>
      </c>
      <c r="L286" s="57" t="str">
        <f>IF(ISBLANK(Games!D286), "", Games!D286)</f>
      </c>
      <c r="M286" s="65"/>
      <c r="N286" s="75" t="str">
        <f>IF(Games!V286="", "",Games!V286)</f>
      </c>
      <c r="O286" s="75" t="str">
        <f>IF(Games!Z286=0, "",Games!Z286)</f>
      </c>
      <c r="P286" s="67"/>
      <c r="Q286" s="67" t="str">
        <f>IF(ISBLANK(Games!W286), "", Games!W286)</f>
      </c>
      <c r="R286" s="67" t="str">
        <f>IF(ISBLANK(Games!AA286), "", Games!AA286)</f>
      </c>
      <c r="S286" s="67"/>
      <c r="T286" s="68" t="str">
        <f t="shared" si="43"/>
      </c>
      <c r="U286" s="68" t="str">
        <f t="shared" si="44"/>
      </c>
      <c r="V286" s="68" t="str">
        <f t="shared" si="45"/>
      </c>
      <c r="W286" s="68" t="str">
        <f t="shared" si="46"/>
      </c>
      <c r="X286" s="68" t="n">
        <f t="shared" si="39"/>
        <v>0</v>
      </c>
      <c r="Y286" s="68" t="n">
        <f t="shared" si="40"/>
        <v>0</v>
      </c>
      <c r="Z286" s="67" t="str">
        <f>IF(OR('Prediction Log'!L287="", Table12[[#This Row],[Bet]]="", Table12[[#This Row],[Bet]]="Spread"), "",IF('Prediction Log'!L287=Table12[[#This Row],[Side]], "W", IF('Prediction Log'!L287&lt;&gt;Table12[[#This Row],[Side]], "L", "")))</f>
      </c>
      <c r="AA286" s="59" t="str">
        <f t="shared" si="41"/>
      </c>
      <c r="AB286" s="67" t="str">
        <f>IF(OR(Table12[[#This Row],[Bet]]="Side",Table12[[#This Row],[Bet]]="", 'Prediction Log'!L287=""), "",IF('Prediction Log'!U287="Y", "W", IF('Prediction Log'!U287="N", "L", "")))</f>
      </c>
      <c r="AC286" s="59" t="str">
        <f t="shared" si="42"/>
      </c>
      <c r="AD286" s="67"/>
      <c r="AE286" s="65" t="str">
        <f t="shared" si="47"/>
      </c>
      <c r="AF2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7">
      <c r="A287" s="65" t="str">
        <f>IF(ISBLANK(Games!A287), "", Games!A287)</f>
      </c>
      <c r="B287" s="65" t="str">
        <f>IF('Prediction Log'!B288=0, "",'Prediction Log'!B288)</f>
      </c>
      <c r="C287" s="65" t="str">
        <f>IF('Prediction Log'!C288=0, "",'Prediction Log'!C288)</f>
      </c>
      <c r="D287" s="65" t="str">
        <f>IF('Prediction Log'!D288=0, "",'Prediction Log'!D288)</f>
      </c>
      <c r="E287" s="58" t="str">
        <f>IF('Prediction Log'!E288=0, "",'Prediction Log'!E288)</f>
      </c>
      <c r="F287" s="65" t="str">
        <f>IF('Prediction Log'!H288=0, "",'Prediction Log'!H288)</f>
      </c>
      <c r="G287" s="64" t="str">
        <f>IF(ISBLANK(Games!B287), "",'Prediction Log'!$I288)</f>
      </c>
      <c r="H287" s="66" t="n">
        <f>'Prediction Log'!$J288</f>
        <v>0</v>
      </c>
      <c r="I287" s="65" t="str">
        <f>IF(ISBLANK(Games!T287), "",IF(AND(Games!T287="",Games!U287=""),"",IF(ISTEXT(Games!U287), "Side",Games!T287)))</f>
      </c>
      <c r="J287" s="65" t="str">
        <f>IF(ISBLANK(Games!T287), "",IF(Table12[[#This Row],[Bet]]="Spread", Games!X287, ""))</f>
      </c>
      <c r="K287" s="65" t="str">
        <f>IF(ISBLANK(Games!U287), "",IF(ISTEXT(Games!U287), Games!U287, ""))</f>
      </c>
      <c r="L287" s="57" t="str">
        <f>IF(ISBLANK(Games!D287), "", Games!D287)</f>
      </c>
      <c r="M287" s="65"/>
      <c r="N287" s="75" t="str">
        <f>IF(Games!V287="", "",Games!V287)</f>
      </c>
      <c r="O287" s="75" t="str">
        <f>IF(Games!Z287=0, "",Games!Z287)</f>
      </c>
      <c r="P287" s="67"/>
      <c r="Q287" s="67" t="str">
        <f>IF(ISBLANK(Games!W287), "", Games!W287)</f>
      </c>
      <c r="R287" s="67" t="str">
        <f>IF(ISBLANK(Games!AA287), "", Games!AA287)</f>
      </c>
      <c r="S287" s="67"/>
      <c r="T287" s="68" t="str">
        <f t="shared" si="43"/>
      </c>
      <c r="U287" s="68" t="str">
        <f t="shared" si="44"/>
      </c>
      <c r="V287" s="68" t="str">
        <f t="shared" si="45"/>
      </c>
      <c r="W287" s="68" t="str">
        <f t="shared" si="46"/>
      </c>
      <c r="X287" s="68" t="n">
        <f t="shared" si="39"/>
        <v>0</v>
      </c>
      <c r="Y287" s="68" t="n">
        <f t="shared" si="40"/>
        <v>0</v>
      </c>
      <c r="Z287" s="67" t="str">
        <f>IF(OR('Prediction Log'!L288="", Table12[[#This Row],[Bet]]="", Table12[[#This Row],[Bet]]="Spread"), "",IF('Prediction Log'!L288=Table12[[#This Row],[Side]], "W", IF('Prediction Log'!L288&lt;&gt;Table12[[#This Row],[Side]], "L", "")))</f>
      </c>
      <c r="AA287" s="59" t="str">
        <f t="shared" si="41"/>
      </c>
      <c r="AB287" s="67" t="str">
        <f>IF(OR(Table12[[#This Row],[Bet]]="Side",Table12[[#This Row],[Bet]]="", 'Prediction Log'!L288=""), "",IF('Prediction Log'!U288="Y", "W", IF('Prediction Log'!U288="N", "L", "")))</f>
      </c>
      <c r="AC287" s="59" t="str">
        <f t="shared" si="42"/>
      </c>
      <c r="AD287" s="67"/>
      <c r="AE287" s="65" t="str">
        <f t="shared" si="47"/>
      </c>
      <c r="AF2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8">
      <c r="A288" s="65" t="str">
        <f>IF(ISBLANK(Games!A288), "", Games!A288)</f>
      </c>
      <c r="B288" s="65" t="str">
        <f>IF('Prediction Log'!B289=0, "",'Prediction Log'!B289)</f>
      </c>
      <c r="C288" s="65" t="str">
        <f>IF('Prediction Log'!C289=0, "",'Prediction Log'!C289)</f>
      </c>
      <c r="D288" s="65" t="str">
        <f>IF('Prediction Log'!D289=0, "",'Prediction Log'!D289)</f>
      </c>
      <c r="E288" s="58" t="str">
        <f>IF('Prediction Log'!E289=0, "",'Prediction Log'!E289)</f>
      </c>
      <c r="F288" s="65" t="str">
        <f>IF('Prediction Log'!H289=0, "",'Prediction Log'!H289)</f>
      </c>
      <c r="G288" s="64" t="str">
        <f>IF(ISBLANK(Games!B288), "",'Prediction Log'!$I289)</f>
      </c>
      <c r="H288" s="66" t="n">
        <f>'Prediction Log'!$J289</f>
        <v>0</v>
      </c>
      <c r="I288" s="65" t="str">
        <f>IF(ISBLANK(Games!T288), "",IF(AND(Games!T288="",Games!U288=""),"",IF(ISTEXT(Games!U288), "Side",Games!T288)))</f>
      </c>
      <c r="J288" s="65" t="str">
        <f>IF(ISBLANK(Games!T288), "",IF(Table12[[#This Row],[Bet]]="Spread", Games!X288, ""))</f>
      </c>
      <c r="K288" s="65" t="str">
        <f>IF(ISBLANK(Games!U288), "",IF(ISTEXT(Games!U288), Games!U288, ""))</f>
      </c>
      <c r="L288" s="57" t="str">
        <f>IF(ISBLANK(Games!D288), "", Games!D288)</f>
      </c>
      <c r="M288" s="65"/>
      <c r="N288" s="75" t="str">
        <f>IF(Games!V288="", "",Games!V288)</f>
      </c>
      <c r="O288" s="75" t="str">
        <f>IF(Games!Z288=0, "",Games!Z288)</f>
      </c>
      <c r="P288" s="67"/>
      <c r="Q288" s="67" t="str">
        <f>IF(ISBLANK(Games!W288), "", Games!W288)</f>
      </c>
      <c r="R288" s="67" t="str">
        <f>IF(ISBLANK(Games!AA288), "", Games!AA288)</f>
      </c>
      <c r="S288" s="67"/>
      <c r="T288" s="68" t="str">
        <f t="shared" si="43"/>
      </c>
      <c r="U288" s="68" t="str">
        <f t="shared" si="44"/>
      </c>
      <c r="V288" s="68" t="str">
        <f t="shared" si="45"/>
      </c>
      <c r="W288" s="68" t="str">
        <f t="shared" si="46"/>
      </c>
      <c r="X288" s="68" t="n">
        <f t="shared" si="39"/>
        <v>0</v>
      </c>
      <c r="Y288" s="68" t="n">
        <f t="shared" si="40"/>
        <v>0</v>
      </c>
      <c r="Z288" s="67" t="str">
        <f>IF(OR('Prediction Log'!L289="", Table12[[#This Row],[Bet]]="", Table12[[#This Row],[Bet]]="Spread"), "",IF('Prediction Log'!L289=Table12[[#This Row],[Side]], "W", IF('Prediction Log'!L289&lt;&gt;Table12[[#This Row],[Side]], "L", "")))</f>
      </c>
      <c r="AA288" s="59" t="str">
        <f t="shared" si="41"/>
      </c>
      <c r="AB288" s="67" t="str">
        <f>IF(OR(Table12[[#This Row],[Bet]]="Side",Table12[[#This Row],[Bet]]="", 'Prediction Log'!L289=""), "",IF('Prediction Log'!U289="Y", "W", IF('Prediction Log'!U289="N", "L", "")))</f>
      </c>
      <c r="AC288" s="59" t="str">
        <f t="shared" si="42"/>
      </c>
      <c r="AD288" s="67"/>
      <c r="AE288" s="65" t="str">
        <f t="shared" si="47"/>
      </c>
      <c r="AF2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9">
      <c r="A289" s="65" t="str">
        <f>IF(ISBLANK(Games!A289), "", Games!A289)</f>
      </c>
      <c r="B289" s="65" t="str">
        <f>IF('Prediction Log'!B290=0, "",'Prediction Log'!B290)</f>
      </c>
      <c r="C289" s="65" t="str">
        <f>IF('Prediction Log'!C290=0, "",'Prediction Log'!C290)</f>
      </c>
      <c r="D289" s="65" t="str">
        <f>IF('Prediction Log'!D290=0, "",'Prediction Log'!D290)</f>
      </c>
      <c r="E289" s="58" t="str">
        <f>IF('Prediction Log'!E290=0, "",'Prediction Log'!E290)</f>
      </c>
      <c r="F289" s="65" t="str">
        <f>IF('Prediction Log'!H290=0, "",'Prediction Log'!H290)</f>
      </c>
      <c r="G289" s="64" t="str">
        <f>IF(ISBLANK(Games!B289), "",'Prediction Log'!$I290)</f>
      </c>
      <c r="H289" s="66" t="n">
        <f>'Prediction Log'!$J290</f>
        <v>0</v>
      </c>
      <c r="I289" s="65" t="str">
        <f>IF(ISBLANK(Games!T289), "",IF(AND(Games!T289="",Games!U289=""),"",IF(ISTEXT(Games!U289), "Side",Games!T289)))</f>
      </c>
      <c r="J289" s="65" t="str">
        <f>IF(ISBLANK(Games!T289), "",IF(Table12[[#This Row],[Bet]]="Spread", Games!X289, ""))</f>
      </c>
      <c r="K289" s="65" t="str">
        <f>IF(ISBLANK(Games!U289), "",IF(ISTEXT(Games!U289), Games!U289, ""))</f>
      </c>
      <c r="L289" s="57" t="str">
        <f>IF(ISBLANK(Games!D289), "", Games!D289)</f>
      </c>
      <c r="M289" s="65"/>
      <c r="N289" s="75" t="str">
        <f>IF(Games!V289="", "",Games!V289)</f>
      </c>
      <c r="O289" s="75" t="str">
        <f>IF(Games!Z289=0, "",Games!Z289)</f>
      </c>
      <c r="P289" s="67"/>
      <c r="Q289" s="67" t="str">
        <f>IF(ISBLANK(Games!W289), "", Games!W289)</f>
      </c>
      <c r="R289" s="67" t="str">
        <f>IF(ISBLANK(Games!AA289), "", Games!AA289)</f>
      </c>
      <c r="S289" s="67"/>
      <c r="T289" s="68" t="str">
        <f t="shared" si="43"/>
      </c>
      <c r="U289" s="68" t="str">
        <f t="shared" si="44"/>
      </c>
      <c r="V289" s="68" t="str">
        <f t="shared" si="45"/>
      </c>
      <c r="W289" s="68" t="str">
        <f t="shared" si="46"/>
      </c>
      <c r="X289" s="68" t="n">
        <f t="shared" si="39"/>
        <v>0</v>
      </c>
      <c r="Y289" s="68" t="n">
        <f t="shared" si="40"/>
        <v>0</v>
      </c>
      <c r="Z289" s="67" t="str">
        <f>IF(OR('Prediction Log'!L290="", Table12[[#This Row],[Bet]]="", Table12[[#This Row],[Bet]]="Spread"), "",IF('Prediction Log'!L290=Table12[[#This Row],[Side]], "W", IF('Prediction Log'!L290&lt;&gt;Table12[[#This Row],[Side]], "L", "")))</f>
      </c>
      <c r="AA289" s="59" t="str">
        <f t="shared" si="41"/>
      </c>
      <c r="AB289" s="67" t="str">
        <f>IF(OR(Table12[[#This Row],[Bet]]="Side",Table12[[#This Row],[Bet]]="", 'Prediction Log'!L290=""), "",IF('Prediction Log'!U290="Y", "W", IF('Prediction Log'!U290="N", "L", "")))</f>
      </c>
      <c r="AC289" s="59" t="str">
        <f t="shared" si="42"/>
      </c>
      <c r="AD289" s="67"/>
      <c r="AE289" s="65" t="str">
        <f t="shared" si="47"/>
      </c>
      <c r="AF2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0">
      <c r="A290" s="65" t="str">
        <f>IF(ISBLANK(Games!A290), "", Games!A290)</f>
      </c>
      <c r="B290" s="65" t="str">
        <f>IF('Prediction Log'!B291=0, "",'Prediction Log'!B291)</f>
      </c>
      <c r="C290" s="65" t="str">
        <f>IF('Prediction Log'!C291=0, "",'Prediction Log'!C291)</f>
      </c>
      <c r="D290" s="65" t="str">
        <f>IF('Prediction Log'!D291=0, "",'Prediction Log'!D291)</f>
      </c>
      <c r="E290" s="58" t="str">
        <f>IF('Prediction Log'!E291=0, "",'Prediction Log'!E291)</f>
      </c>
      <c r="F290" s="65" t="str">
        <f>IF('Prediction Log'!H291=0, "",'Prediction Log'!H291)</f>
      </c>
      <c r="G290" s="64" t="str">
        <f>IF(ISBLANK(Games!B290), "",'Prediction Log'!$I291)</f>
      </c>
      <c r="H290" s="66" t="n">
        <f>'Prediction Log'!$J291</f>
        <v>0</v>
      </c>
      <c r="I290" s="65" t="str">
        <f>IF(ISBLANK(Games!T290), "",IF(AND(Games!T290="",Games!U290=""),"",IF(ISTEXT(Games!U290), "Side",Games!T290)))</f>
      </c>
      <c r="J290" s="65" t="str">
        <f>IF(ISBLANK(Games!T290), "",IF(Table12[[#This Row],[Bet]]="Spread", Games!X290, ""))</f>
      </c>
      <c r="K290" s="65" t="str">
        <f>IF(ISBLANK(Games!U290), "",IF(ISTEXT(Games!U290), Games!U290, ""))</f>
      </c>
      <c r="L290" s="57" t="str">
        <f>IF(ISBLANK(Games!D290), "", Games!D290)</f>
      </c>
      <c r="M290" s="65"/>
      <c r="N290" s="75" t="str">
        <f>IF(Games!V290="", "",Games!V290)</f>
      </c>
      <c r="O290" s="75" t="str">
        <f>IF(Games!Z290=0, "",Games!Z290)</f>
      </c>
      <c r="P290" s="67"/>
      <c r="Q290" s="67" t="str">
        <f>IF(ISBLANK(Games!W290), "", Games!W290)</f>
      </c>
      <c r="R290" s="67" t="str">
        <f>IF(ISBLANK(Games!AA290), "", Games!AA290)</f>
      </c>
      <c r="S290" s="67"/>
      <c r="T290" s="68" t="str">
        <f t="shared" si="43"/>
      </c>
      <c r="U290" s="68" t="str">
        <f t="shared" si="44"/>
      </c>
      <c r="V290" s="68" t="str">
        <f t="shared" si="45"/>
      </c>
      <c r="W290" s="68" t="str">
        <f t="shared" si="46"/>
      </c>
      <c r="X290" s="68" t="n">
        <f t="shared" si="39"/>
        <v>0</v>
      </c>
      <c r="Y290" s="68" t="n">
        <f t="shared" si="40"/>
        <v>0</v>
      </c>
      <c r="Z290" s="67" t="str">
        <f>IF(OR('Prediction Log'!L291="", Table12[[#This Row],[Bet]]="", Table12[[#This Row],[Bet]]="Spread"), "",IF('Prediction Log'!L291=Table12[[#This Row],[Side]], "W", IF('Prediction Log'!L291&lt;&gt;Table12[[#This Row],[Side]], "L", "")))</f>
      </c>
      <c r="AA290" s="59" t="str">
        <f t="shared" si="41"/>
      </c>
      <c r="AB290" s="67" t="str">
        <f>IF(OR(Table12[[#This Row],[Bet]]="Side",Table12[[#This Row],[Bet]]="", 'Prediction Log'!L291=""), "",IF('Prediction Log'!U291="Y", "W", IF('Prediction Log'!U291="N", "L", "")))</f>
      </c>
      <c r="AC290" s="59" t="str">
        <f t="shared" si="42"/>
      </c>
      <c r="AD290" s="67"/>
      <c r="AE290" s="65" t="str">
        <f t="shared" si="47"/>
      </c>
      <c r="AF2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1">
      <c r="A291" s="65" t="str">
        <f>IF(ISBLANK(Games!A291), "", Games!A291)</f>
      </c>
      <c r="B291" s="65" t="str">
        <f>IF('Prediction Log'!B292=0, "",'Prediction Log'!B292)</f>
      </c>
      <c r="C291" s="65" t="str">
        <f>IF('Prediction Log'!C292=0, "",'Prediction Log'!C292)</f>
      </c>
      <c r="D291" s="65" t="str">
        <f>IF('Prediction Log'!D292=0, "",'Prediction Log'!D292)</f>
      </c>
      <c r="E291" s="58" t="str">
        <f>IF('Prediction Log'!E292=0, "",'Prediction Log'!E292)</f>
      </c>
      <c r="F291" s="65" t="str">
        <f>IF('Prediction Log'!H292=0, "",'Prediction Log'!H292)</f>
      </c>
      <c r="G291" s="64" t="str">
        <f>IF(ISBLANK(Games!B291), "",'Prediction Log'!$I292)</f>
      </c>
      <c r="H291" s="66" t="n">
        <f>'Prediction Log'!$J292</f>
        <v>0</v>
      </c>
      <c r="I291" s="65" t="str">
        <f>IF(ISBLANK(Games!T291), "",IF(AND(Games!T291="",Games!U291=""),"",IF(ISTEXT(Games!U291), "Side",Games!T291)))</f>
      </c>
      <c r="J291" s="65" t="str">
        <f>IF(ISBLANK(Games!T291), "",IF(Table12[[#This Row],[Bet]]="Spread", Games!X291, ""))</f>
      </c>
      <c r="K291" s="65" t="str">
        <f>IF(ISBLANK(Games!U291), "",IF(ISTEXT(Games!U291), Games!U291, ""))</f>
      </c>
      <c r="L291" s="57" t="str">
        <f>IF(ISBLANK(Games!D291), "", Games!D291)</f>
      </c>
      <c r="M291" s="65"/>
      <c r="N291" s="75" t="str">
        <f>IF(Games!V291="", "",Games!V291)</f>
      </c>
      <c r="O291" s="75" t="str">
        <f>IF(Games!Z291=0, "",Games!Z291)</f>
      </c>
      <c r="P291" s="67"/>
      <c r="Q291" s="67" t="str">
        <f>IF(ISBLANK(Games!W291), "", Games!W291)</f>
      </c>
      <c r="R291" s="67" t="str">
        <f>IF(ISBLANK(Games!AA291), "", Games!AA291)</f>
      </c>
      <c r="S291" s="67"/>
      <c r="T291" s="68" t="str">
        <f t="shared" si="43"/>
      </c>
      <c r="U291" s="68" t="str">
        <f t="shared" si="44"/>
      </c>
      <c r="V291" s="68" t="str">
        <f t="shared" si="45"/>
      </c>
      <c r="W291" s="68" t="str">
        <f t="shared" si="46"/>
      </c>
      <c r="X291" s="68" t="n">
        <f t="shared" si="39"/>
        <v>0</v>
      </c>
      <c r="Y291" s="68" t="n">
        <f t="shared" si="40"/>
        <v>0</v>
      </c>
      <c r="Z291" s="67" t="str">
        <f>IF(OR('Prediction Log'!L292="", Table12[[#This Row],[Bet]]="", Table12[[#This Row],[Bet]]="Spread"), "",IF('Prediction Log'!L292=Table12[[#This Row],[Side]], "W", IF('Prediction Log'!L292&lt;&gt;Table12[[#This Row],[Side]], "L", "")))</f>
      </c>
      <c r="AA291" s="59" t="str">
        <f t="shared" si="41"/>
      </c>
      <c r="AB291" s="67" t="str">
        <f>IF(OR(Table12[[#This Row],[Bet]]="Side",Table12[[#This Row],[Bet]]="", 'Prediction Log'!L292=""), "",IF('Prediction Log'!U292="Y", "W", IF('Prediction Log'!U292="N", "L", "")))</f>
      </c>
      <c r="AC291" s="59" t="str">
        <f t="shared" si="42"/>
      </c>
      <c r="AD291" s="67"/>
      <c r="AE291" s="65" t="str">
        <f t="shared" si="47"/>
      </c>
      <c r="AF2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2">
      <c r="A292" s="65" t="str">
        <f>IF(ISBLANK(Games!A292), "", Games!A292)</f>
      </c>
      <c r="B292" s="65" t="str">
        <f>IF('Prediction Log'!B293=0, "",'Prediction Log'!B293)</f>
      </c>
      <c r="C292" s="65" t="str">
        <f>IF('Prediction Log'!C293=0, "",'Prediction Log'!C293)</f>
      </c>
      <c r="D292" s="65" t="str">
        <f>IF('Prediction Log'!D293=0, "",'Prediction Log'!D293)</f>
      </c>
      <c r="E292" s="58" t="str">
        <f>IF('Prediction Log'!E293=0, "",'Prediction Log'!E293)</f>
      </c>
      <c r="F292" s="65" t="str">
        <f>IF('Prediction Log'!H293=0, "",'Prediction Log'!H293)</f>
      </c>
      <c r="G292" s="64" t="str">
        <f>IF(ISBLANK(Games!B292), "",'Prediction Log'!$I293)</f>
      </c>
      <c r="H292" s="66" t="n">
        <f>'Prediction Log'!$J293</f>
        <v>0</v>
      </c>
      <c r="I292" s="65" t="str">
        <f>IF(ISBLANK(Games!T292), "",IF(AND(Games!T292="",Games!U292=""),"",IF(ISTEXT(Games!U292), "Side",Games!T292)))</f>
      </c>
      <c r="J292" s="65" t="str">
        <f>IF(ISBLANK(Games!T292), "",IF(Table12[[#This Row],[Bet]]="Spread", Games!X292, ""))</f>
      </c>
      <c r="K292" s="65" t="str">
        <f>IF(ISBLANK(Games!U292), "",IF(ISTEXT(Games!U292), Games!U292, ""))</f>
      </c>
      <c r="L292" s="57" t="str">
        <f>IF(ISBLANK(Games!D292), "", Games!D292)</f>
      </c>
      <c r="M292" s="65"/>
      <c r="N292" s="75" t="str">
        <f>IF(Games!V292="", "",Games!V292)</f>
      </c>
      <c r="O292" s="75" t="str">
        <f>IF(Games!Z292=0, "",Games!Z292)</f>
      </c>
      <c r="P292" s="67"/>
      <c r="Q292" s="67" t="str">
        <f>IF(ISBLANK(Games!W292), "", Games!W292)</f>
      </c>
      <c r="R292" s="67" t="str">
        <f>IF(ISBLANK(Games!AA292), "", Games!AA292)</f>
      </c>
      <c r="S292" s="67"/>
      <c r="T292" s="68" t="str">
        <f t="shared" si="43"/>
      </c>
      <c r="U292" s="68" t="str">
        <f t="shared" si="44"/>
      </c>
      <c r="V292" s="68" t="str">
        <f t="shared" si="45"/>
      </c>
      <c r="W292" s="68" t="str">
        <f t="shared" si="46"/>
      </c>
      <c r="X292" s="68" t="n">
        <f t="shared" si="39"/>
        <v>0</v>
      </c>
      <c r="Y292" s="68" t="n">
        <f t="shared" si="40"/>
        <v>0</v>
      </c>
      <c r="Z292" s="67" t="str">
        <f>IF(OR('Prediction Log'!L293="", Table12[[#This Row],[Bet]]="", Table12[[#This Row],[Bet]]="Spread"), "",IF('Prediction Log'!L293=Table12[[#This Row],[Side]], "W", IF('Prediction Log'!L293&lt;&gt;Table12[[#This Row],[Side]], "L", "")))</f>
      </c>
      <c r="AA292" s="59" t="str">
        <f t="shared" si="41"/>
      </c>
      <c r="AB292" s="67" t="str">
        <f>IF(OR(Table12[[#This Row],[Bet]]="Side",Table12[[#This Row],[Bet]]="", 'Prediction Log'!L293=""), "",IF('Prediction Log'!U293="Y", "W", IF('Prediction Log'!U293="N", "L", "")))</f>
      </c>
      <c r="AC292" s="59" t="str">
        <f t="shared" si="42"/>
      </c>
      <c r="AD292" s="67"/>
      <c r="AE292" s="65" t="str">
        <f t="shared" si="47"/>
      </c>
      <c r="AF2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3">
      <c r="A293" s="65" t="str">
        <f>IF(ISBLANK(Games!A293), "", Games!A293)</f>
      </c>
      <c r="B293" s="65" t="str">
        <f>IF('Prediction Log'!B294=0, "",'Prediction Log'!B294)</f>
      </c>
      <c r="C293" s="65" t="str">
        <f>IF('Prediction Log'!C294=0, "",'Prediction Log'!C294)</f>
      </c>
      <c r="D293" s="65" t="str">
        <f>IF('Prediction Log'!D294=0, "",'Prediction Log'!D294)</f>
      </c>
      <c r="E293" s="58" t="str">
        <f>IF('Prediction Log'!E294=0, "",'Prediction Log'!E294)</f>
      </c>
      <c r="F293" s="65" t="str">
        <f>IF('Prediction Log'!H294=0, "",'Prediction Log'!H294)</f>
      </c>
      <c r="G293" s="64" t="str">
        <f>IF(ISBLANK(Games!B293), "",'Prediction Log'!$I294)</f>
      </c>
      <c r="H293" s="66" t="n">
        <f>'Prediction Log'!$J294</f>
        <v>0</v>
      </c>
      <c r="I293" s="65" t="str">
        <f>IF(ISBLANK(Games!T293), "",IF(AND(Games!T293="",Games!U293=""),"",IF(ISTEXT(Games!U293), "Side",Games!T293)))</f>
      </c>
      <c r="J293" s="65" t="str">
        <f>IF(ISBLANK(Games!T293), "",IF(Table12[[#This Row],[Bet]]="Spread", Games!X293, ""))</f>
      </c>
      <c r="K293" s="65" t="str">
        <f>IF(ISBLANK(Games!U293), "",IF(ISTEXT(Games!U293), Games!U293, ""))</f>
      </c>
      <c r="L293" s="57" t="str">
        <f>IF(ISBLANK(Games!D293), "", Games!D293)</f>
      </c>
      <c r="M293" s="65"/>
      <c r="N293" s="75" t="str">
        <f>IF(Games!V293="", "",Games!V293)</f>
      </c>
      <c r="O293" s="75" t="str">
        <f>IF(Games!Z293=0, "",Games!Z293)</f>
      </c>
      <c r="P293" s="67"/>
      <c r="Q293" s="67" t="str">
        <f>IF(ISBLANK(Games!W293), "", Games!W293)</f>
      </c>
      <c r="R293" s="67" t="str">
        <f>IF(ISBLANK(Games!AA293), "", Games!AA293)</f>
      </c>
      <c r="S293" s="67"/>
      <c r="T293" s="68" t="str">
        <f t="shared" si="43"/>
      </c>
      <c r="U293" s="68" t="str">
        <f t="shared" si="44"/>
      </c>
      <c r="V293" s="68" t="str">
        <f t="shared" si="45"/>
      </c>
      <c r="W293" s="68" t="str">
        <f t="shared" si="46"/>
      </c>
      <c r="X293" s="68" t="n">
        <f t="shared" si="39"/>
        <v>0</v>
      </c>
      <c r="Y293" s="68" t="n">
        <f t="shared" si="40"/>
        <v>0</v>
      </c>
      <c r="Z293" s="67" t="str">
        <f>IF(OR('Prediction Log'!L294="", Table12[[#This Row],[Bet]]="", Table12[[#This Row],[Bet]]="Spread"), "",IF('Prediction Log'!L294=Table12[[#This Row],[Side]], "W", IF('Prediction Log'!L294&lt;&gt;Table12[[#This Row],[Side]], "L", "")))</f>
      </c>
      <c r="AA293" s="59" t="str">
        <f t="shared" si="41"/>
      </c>
      <c r="AB293" s="67" t="str">
        <f>IF(OR(Table12[[#This Row],[Bet]]="Side",Table12[[#This Row],[Bet]]="", 'Prediction Log'!L294=""), "",IF('Prediction Log'!U294="Y", "W", IF('Prediction Log'!U294="N", "L", "")))</f>
      </c>
      <c r="AC293" s="59" t="str">
        <f t="shared" si="42"/>
      </c>
      <c r="AD293" s="67"/>
      <c r="AE293" s="65" t="str">
        <f t="shared" si="47"/>
      </c>
      <c r="AF2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4">
      <c r="A294" s="65" t="str">
        <f>IF(ISBLANK(Games!A294), "", Games!A294)</f>
      </c>
      <c r="B294" s="65" t="str">
        <f>IF('Prediction Log'!B295=0, "",'Prediction Log'!B295)</f>
      </c>
      <c r="C294" s="65" t="str">
        <f>IF('Prediction Log'!C295=0, "",'Prediction Log'!C295)</f>
      </c>
      <c r="D294" s="65" t="str">
        <f>IF('Prediction Log'!D295=0, "",'Prediction Log'!D295)</f>
      </c>
      <c r="E294" s="58" t="str">
        <f>IF('Prediction Log'!E295=0, "",'Prediction Log'!E295)</f>
      </c>
      <c r="F294" s="65" t="str">
        <f>IF('Prediction Log'!H295=0, "",'Prediction Log'!H295)</f>
      </c>
      <c r="G294" s="64" t="str">
        <f>IF(ISBLANK(Games!B294), "",'Prediction Log'!$I295)</f>
      </c>
      <c r="H294" s="66" t="n">
        <f>'Prediction Log'!$J295</f>
        <v>0</v>
      </c>
      <c r="I294" s="65" t="str">
        <f>IF(ISBLANK(Games!T294), "",IF(AND(Games!T294="",Games!U294=""),"",IF(ISTEXT(Games!U294), "Side",Games!T294)))</f>
      </c>
      <c r="J294" s="65" t="str">
        <f>IF(ISBLANK(Games!T294), "",IF(Table12[[#This Row],[Bet]]="Spread", Games!X294, ""))</f>
      </c>
      <c r="K294" s="65" t="str">
        <f>IF(ISBLANK(Games!U294), "",IF(ISTEXT(Games!U294), Games!U294, ""))</f>
      </c>
      <c r="L294" s="57" t="str">
        <f>IF(ISBLANK(Games!D294), "", Games!D294)</f>
      </c>
      <c r="M294" s="65"/>
      <c r="N294" s="75" t="str">
        <f>IF(Games!V294="", "",Games!V294)</f>
      </c>
      <c r="O294" s="75" t="str">
        <f>IF(Games!Z294=0, "",Games!Z294)</f>
      </c>
      <c r="P294" s="67"/>
      <c r="Q294" s="67" t="str">
        <f>IF(ISBLANK(Games!W294), "", Games!W294)</f>
      </c>
      <c r="R294" s="67" t="str">
        <f>IF(ISBLANK(Games!AA294), "", Games!AA294)</f>
      </c>
      <c r="S294" s="67"/>
      <c r="T294" s="68" t="str">
        <f t="shared" si="43"/>
      </c>
      <c r="U294" s="68" t="str">
        <f t="shared" si="44"/>
      </c>
      <c r="V294" s="68" t="str">
        <f t="shared" si="45"/>
      </c>
      <c r="W294" s="68" t="str">
        <f t="shared" si="46"/>
      </c>
      <c r="X294" s="68" t="n">
        <f t="shared" ref="X294:X357" si="48">P294+IF(S294&lt;0, (P294/(S294/-100)), P294*(S294/100))</f>
        <v>0</v>
      </c>
      <c r="Y294" s="68" t="n">
        <f t="shared" ref="Y294:Y357" si="49">S294-P294</f>
        <v>0</v>
      </c>
      <c r="Z294" s="67" t="str">
        <f>IF(OR('Prediction Log'!L295="", Table12[[#This Row],[Bet]]="", Table12[[#This Row],[Bet]]="Spread"), "",IF('Prediction Log'!L295=Table12[[#This Row],[Side]], "W", IF('Prediction Log'!L295&lt;&gt;Table12[[#This Row],[Side]], "L", "")))</f>
      </c>
      <c r="AA294" s="59" t="str">
        <f t="shared" ref="AA294:AA357" si="50">IF(Z294="W", U294, IF(Z294="L",-N294, ""))</f>
      </c>
      <c r="AB294" s="67" t="str">
        <f>IF(OR(Table12[[#This Row],[Bet]]="Side",Table12[[#This Row],[Bet]]="", 'Prediction Log'!L295=""), "",IF('Prediction Log'!U295="Y", "W", IF('Prediction Log'!U295="N", "L", "")))</f>
      </c>
      <c r="AC294" s="59" t="str">
        <f t="shared" si="42"/>
      </c>
      <c r="AD294" s="67"/>
      <c r="AE294" s="65" t="str">
        <f t="shared" si="47"/>
      </c>
      <c r="AF2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5">
      <c r="A295" s="65" t="str">
        <f>IF(ISBLANK(Games!A295), "", Games!A295)</f>
      </c>
      <c r="B295" s="65" t="str">
        <f>IF('Prediction Log'!B296=0, "",'Prediction Log'!B296)</f>
      </c>
      <c r="C295" s="65" t="str">
        <f>IF('Prediction Log'!C296=0, "",'Prediction Log'!C296)</f>
      </c>
      <c r="D295" s="65" t="str">
        <f>IF('Prediction Log'!D296=0, "",'Prediction Log'!D296)</f>
      </c>
      <c r="E295" s="58" t="str">
        <f>IF('Prediction Log'!E296=0, "",'Prediction Log'!E296)</f>
      </c>
      <c r="F295" s="65" t="str">
        <f>IF('Prediction Log'!H296=0, "",'Prediction Log'!H296)</f>
      </c>
      <c r="G295" s="64" t="str">
        <f>IF(ISBLANK(Games!B295), "",'Prediction Log'!$I296)</f>
      </c>
      <c r="H295" s="66" t="n">
        <f>'Prediction Log'!$J296</f>
        <v>0</v>
      </c>
      <c r="I295" s="65" t="str">
        <f>IF(ISBLANK(Games!T295), "",IF(AND(Games!T295="",Games!U295=""),"",IF(ISTEXT(Games!U295), "Side",Games!T295)))</f>
      </c>
      <c r="J295" s="65" t="str">
        <f>IF(ISBLANK(Games!T295), "",IF(Table12[[#This Row],[Bet]]="Spread", Games!X295, ""))</f>
      </c>
      <c r="K295" s="65" t="str">
        <f>IF(ISBLANK(Games!U295), "",IF(ISTEXT(Games!U295), Games!U295, ""))</f>
      </c>
      <c r="L295" s="57" t="str">
        <f>IF(ISBLANK(Games!D295), "", Games!D295)</f>
      </c>
      <c r="M295" s="65"/>
      <c r="N295" s="75" t="str">
        <f>IF(Games!V295="", "",Games!V295)</f>
      </c>
      <c r="O295" s="75" t="str">
        <f>IF(Games!Z295=0, "",Games!Z295)</f>
      </c>
      <c r="P295" s="67"/>
      <c r="Q295" s="67" t="str">
        <f>IF(ISBLANK(Games!W295), "", Games!W295)</f>
      </c>
      <c r="R295" s="67" t="str">
        <f>IF(ISBLANK(Games!AA295), "", Games!AA295)</f>
      </c>
      <c r="S295" s="67"/>
      <c r="T295" s="68" t="str">
        <f t="shared" si="43"/>
      </c>
      <c r="U295" s="68" t="str">
        <f t="shared" si="44"/>
      </c>
      <c r="V295" s="68" t="str">
        <f t="shared" si="45"/>
      </c>
      <c r="W295" s="68" t="str">
        <f t="shared" si="46"/>
      </c>
      <c r="X295" s="68" t="n">
        <f t="shared" si="48"/>
        <v>0</v>
      </c>
      <c r="Y295" s="68" t="n">
        <f t="shared" si="49"/>
        <v>0</v>
      </c>
      <c r="Z295" s="67" t="str">
        <f>IF(OR('Prediction Log'!L296="", Table12[[#This Row],[Bet]]="", Table12[[#This Row],[Bet]]="Spread"), "",IF('Prediction Log'!L296=Table12[[#This Row],[Side]], "W", IF('Prediction Log'!L296&lt;&gt;Table12[[#This Row],[Side]], "L", "")))</f>
      </c>
      <c r="AA295" s="59" t="str">
        <f t="shared" si="50"/>
      </c>
      <c r="AB295" s="67" t="str">
        <f>IF(OR(Table12[[#This Row],[Bet]]="Side",Table12[[#This Row],[Bet]]="", 'Prediction Log'!L296=""), "",IF('Prediction Log'!U296="Y", "W", IF('Prediction Log'!U296="N", "L", "")))</f>
      </c>
      <c r="AC295" s="59" t="str">
        <f t="shared" si="42"/>
      </c>
      <c r="AD295" s="67"/>
      <c r="AE295" s="65" t="str">
        <f t="shared" si="47"/>
      </c>
      <c r="AF2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6">
      <c r="A296" s="65" t="str">
        <f>IF(ISBLANK(Games!A296), "", Games!A296)</f>
      </c>
      <c r="B296" s="65" t="str">
        <f>IF('Prediction Log'!B297=0, "",'Prediction Log'!B297)</f>
      </c>
      <c r="C296" s="65" t="str">
        <f>IF('Prediction Log'!C297=0, "",'Prediction Log'!C297)</f>
      </c>
      <c r="D296" s="65" t="str">
        <f>IF('Prediction Log'!D297=0, "",'Prediction Log'!D297)</f>
      </c>
      <c r="E296" s="58" t="str">
        <f>IF('Prediction Log'!E297=0, "",'Prediction Log'!E297)</f>
      </c>
      <c r="F296" s="65" t="str">
        <f>IF('Prediction Log'!H297=0, "",'Prediction Log'!H297)</f>
      </c>
      <c r="G296" s="64" t="str">
        <f>IF(ISBLANK(Games!B296), "",'Prediction Log'!$I297)</f>
      </c>
      <c r="H296" s="66" t="n">
        <f>'Prediction Log'!$J297</f>
        <v>0</v>
      </c>
      <c r="I296" s="65" t="str">
        <f>IF(ISBLANK(Games!T296), "",IF(AND(Games!T296="",Games!U296=""),"",IF(ISTEXT(Games!U296), "Side",Games!T296)))</f>
      </c>
      <c r="J296" s="65" t="str">
        <f>IF(ISBLANK(Games!T296), "",IF(Table12[[#This Row],[Bet]]="Spread", Games!X296, ""))</f>
      </c>
      <c r="K296" s="65" t="str">
        <f>IF(ISBLANK(Games!U296), "",IF(ISTEXT(Games!U296), Games!U296, ""))</f>
      </c>
      <c r="L296" s="57" t="str">
        <f>IF(ISBLANK(Games!D296), "", Games!D296)</f>
      </c>
      <c r="M296" s="65"/>
      <c r="N296" s="75" t="str">
        <f>IF(Games!V296="", "",Games!V296)</f>
      </c>
      <c r="O296" s="75" t="str">
        <f>IF(Games!Z296=0, "",Games!Z296)</f>
      </c>
      <c r="P296" s="67"/>
      <c r="Q296" s="67" t="str">
        <f>IF(ISBLANK(Games!W296), "", Games!W296)</f>
      </c>
      <c r="R296" s="67" t="str">
        <f>IF(ISBLANK(Games!AA296), "", Games!AA296)</f>
      </c>
      <c r="S296" s="67"/>
      <c r="T296" s="68" t="str">
        <f t="shared" si="43"/>
      </c>
      <c r="U296" s="68" t="str">
        <f t="shared" si="44"/>
      </c>
      <c r="V296" s="68" t="str">
        <f t="shared" si="45"/>
      </c>
      <c r="W296" s="68" t="str">
        <f t="shared" si="46"/>
      </c>
      <c r="X296" s="68" t="n">
        <f t="shared" si="48"/>
        <v>0</v>
      </c>
      <c r="Y296" s="68" t="n">
        <f t="shared" si="49"/>
        <v>0</v>
      </c>
      <c r="Z296" s="67" t="str">
        <f>IF(OR('Prediction Log'!L297="", Table12[[#This Row],[Bet]]="", Table12[[#This Row],[Bet]]="Spread"), "",IF('Prediction Log'!L297=Table12[[#This Row],[Side]], "W", IF('Prediction Log'!L297&lt;&gt;Table12[[#This Row],[Side]], "L", "")))</f>
      </c>
      <c r="AA296" s="59" t="str">
        <f t="shared" si="50"/>
      </c>
      <c r="AB296" s="67" t="str">
        <f>IF(OR(Table12[[#This Row],[Bet]]="Side",Table12[[#This Row],[Bet]]="", 'Prediction Log'!L297=""), "",IF('Prediction Log'!U297="Y", "W", IF('Prediction Log'!U297="N", "L", "")))</f>
      </c>
      <c r="AC296" s="59" t="str">
        <f t="shared" si="42"/>
      </c>
      <c r="AD296" s="67"/>
      <c r="AE296" s="65" t="str">
        <f t="shared" si="47"/>
      </c>
      <c r="AF2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7">
      <c r="A297" s="65" t="str">
        <f>IF(ISBLANK(Games!A297), "", Games!A297)</f>
      </c>
      <c r="B297" s="65" t="str">
        <f>IF('Prediction Log'!B298=0, "",'Prediction Log'!B298)</f>
      </c>
      <c r="C297" s="65" t="str">
        <f>IF('Prediction Log'!C298=0, "",'Prediction Log'!C298)</f>
      </c>
      <c r="D297" s="65" t="str">
        <f>IF('Prediction Log'!D298=0, "",'Prediction Log'!D298)</f>
      </c>
      <c r="E297" s="58" t="str">
        <f>IF('Prediction Log'!E298=0, "",'Prediction Log'!E298)</f>
      </c>
      <c r="F297" s="65" t="str">
        <f>IF('Prediction Log'!H298=0, "",'Prediction Log'!H298)</f>
      </c>
      <c r="G297" s="64" t="str">
        <f>IF(ISBLANK(Games!B297), "",'Prediction Log'!$I298)</f>
      </c>
      <c r="H297" s="66" t="n">
        <f>'Prediction Log'!$J298</f>
        <v>0</v>
      </c>
      <c r="I297" s="65" t="str">
        <f>IF(ISBLANK(Games!T297), "",IF(AND(Games!T297="",Games!U297=""),"",IF(ISTEXT(Games!U297), "Side",Games!T297)))</f>
      </c>
      <c r="J297" s="65" t="str">
        <f>IF(ISBLANK(Games!T297), "",IF(Table12[[#This Row],[Bet]]="Spread", Games!X297, ""))</f>
      </c>
      <c r="K297" s="65" t="str">
        <f>IF(ISBLANK(Games!U297), "",IF(ISTEXT(Games!U297), Games!U297, ""))</f>
      </c>
      <c r="L297" s="57" t="str">
        <f>IF(ISBLANK(Games!D297), "", Games!D297)</f>
      </c>
      <c r="M297" s="65"/>
      <c r="N297" s="75" t="str">
        <f>IF(Games!V297="", "",Games!V297)</f>
      </c>
      <c r="O297" s="75" t="str">
        <f>IF(Games!Z297=0, "",Games!Z297)</f>
      </c>
      <c r="P297" s="67"/>
      <c r="Q297" s="67" t="str">
        <f>IF(ISBLANK(Games!W297), "", Games!W297)</f>
      </c>
      <c r="R297" s="67" t="str">
        <f>IF(ISBLANK(Games!AA297), "", Games!AA297)</f>
      </c>
      <c r="S297" s="67"/>
      <c r="T297" s="68" t="str">
        <f t="shared" si="43"/>
      </c>
      <c r="U297" s="68" t="str">
        <f t="shared" si="44"/>
      </c>
      <c r="V297" s="68" t="str">
        <f t="shared" si="45"/>
      </c>
      <c r="W297" s="68" t="str">
        <f t="shared" si="46"/>
      </c>
      <c r="X297" s="68" t="n">
        <f t="shared" si="48"/>
        <v>0</v>
      </c>
      <c r="Y297" s="68" t="n">
        <f t="shared" si="49"/>
        <v>0</v>
      </c>
      <c r="Z297" s="67" t="str">
        <f>IF(OR('Prediction Log'!L298="", Table12[[#This Row],[Bet]]="", Table12[[#This Row],[Bet]]="Spread"), "",IF('Prediction Log'!L298=Table12[[#This Row],[Side]], "W", IF('Prediction Log'!L298&lt;&gt;Table12[[#This Row],[Side]], "L", "")))</f>
      </c>
      <c r="AA297" s="59" t="str">
        <f t="shared" si="50"/>
      </c>
      <c r="AB297" s="67" t="str">
        <f>IF(OR(Table12[[#This Row],[Bet]]="Side",Table12[[#This Row],[Bet]]="", 'Prediction Log'!L298=""), "",IF('Prediction Log'!U298="Y", "W", IF('Prediction Log'!U298="N", "L", "")))</f>
      </c>
      <c r="AC297" s="59" t="str">
        <f t="shared" si="42"/>
      </c>
      <c r="AD297" s="67"/>
      <c r="AE297" s="65" t="str">
        <f t="shared" si="47"/>
      </c>
      <c r="AF2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8">
      <c r="A298" s="65" t="str">
        <f>IF(ISBLANK(Games!A298), "", Games!A298)</f>
      </c>
      <c r="B298" s="65" t="str">
        <f>IF('Prediction Log'!B299=0, "",'Prediction Log'!B299)</f>
      </c>
      <c r="C298" s="65" t="str">
        <f>IF('Prediction Log'!C299=0, "",'Prediction Log'!C299)</f>
      </c>
      <c r="D298" s="65" t="str">
        <f>IF('Prediction Log'!D299=0, "",'Prediction Log'!D299)</f>
      </c>
      <c r="E298" s="58" t="str">
        <f>IF('Prediction Log'!E299=0, "",'Prediction Log'!E299)</f>
      </c>
      <c r="F298" s="65" t="str">
        <f>IF('Prediction Log'!H299=0, "",'Prediction Log'!H299)</f>
      </c>
      <c r="G298" s="64" t="str">
        <f>IF(ISBLANK(Games!B298), "",'Prediction Log'!$I299)</f>
      </c>
      <c r="H298" s="66" t="n">
        <f>'Prediction Log'!$J299</f>
        <v>0</v>
      </c>
      <c r="I298" s="65" t="str">
        <f>IF(ISBLANK(Games!T298), "",IF(AND(Games!T298="",Games!U298=""),"",IF(ISTEXT(Games!U298), "Side",Games!T298)))</f>
      </c>
      <c r="J298" s="65" t="str">
        <f>IF(ISBLANK(Games!T298), "",IF(Table12[[#This Row],[Bet]]="Spread", Games!X298, ""))</f>
      </c>
      <c r="K298" s="65" t="str">
        <f>IF(ISBLANK(Games!U298), "",IF(ISTEXT(Games!U298), Games!U298, ""))</f>
      </c>
      <c r="L298" s="57" t="str">
        <f>IF(ISBLANK(Games!D298), "", Games!D298)</f>
      </c>
      <c r="M298" s="65"/>
      <c r="N298" s="75" t="str">
        <f>IF(Games!V298="", "",Games!V298)</f>
      </c>
      <c r="O298" s="75" t="str">
        <f>IF(Games!Z298=0, "",Games!Z298)</f>
      </c>
      <c r="P298" s="67"/>
      <c r="Q298" s="67" t="str">
        <f>IF(ISBLANK(Games!W298), "", Games!W298)</f>
      </c>
      <c r="R298" s="67" t="str">
        <f>IF(ISBLANK(Games!AA298), "", Games!AA298)</f>
      </c>
      <c r="S298" s="67"/>
      <c r="T298" s="68" t="str">
        <f t="shared" si="43"/>
      </c>
      <c r="U298" s="68" t="str">
        <f t="shared" si="44"/>
      </c>
      <c r="V298" s="68" t="str">
        <f t="shared" si="45"/>
      </c>
      <c r="W298" s="68" t="str">
        <f t="shared" si="46"/>
      </c>
      <c r="X298" s="68" t="n">
        <f t="shared" si="48"/>
        <v>0</v>
      </c>
      <c r="Y298" s="68" t="n">
        <f t="shared" si="49"/>
        <v>0</v>
      </c>
      <c r="Z298" s="67" t="str">
        <f>IF(OR('Prediction Log'!L299="", Table12[[#This Row],[Bet]]="", Table12[[#This Row],[Bet]]="Spread"), "",IF('Prediction Log'!L299=Table12[[#This Row],[Side]], "W", IF('Prediction Log'!L299&lt;&gt;Table12[[#This Row],[Side]], "L", "")))</f>
      </c>
      <c r="AA298" s="59" t="str">
        <f t="shared" si="50"/>
      </c>
      <c r="AB298" s="67" t="str">
        <f>IF(OR(Table12[[#This Row],[Bet]]="Side",Table12[[#This Row],[Bet]]="", 'Prediction Log'!L299=""), "",IF('Prediction Log'!U299="Y", "W", IF('Prediction Log'!U299="N", "L", "")))</f>
      </c>
      <c r="AC298" s="59" t="str">
        <f t="shared" si="42"/>
      </c>
      <c r="AD298" s="67"/>
      <c r="AE298" s="65" t="str">
        <f t="shared" si="47"/>
      </c>
      <c r="AF2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9">
      <c r="A299" s="65" t="str">
        <f>IF(ISBLANK(Games!A299), "", Games!A299)</f>
      </c>
      <c r="B299" s="65" t="str">
        <f>IF('Prediction Log'!B300=0, "",'Prediction Log'!B300)</f>
      </c>
      <c r="C299" s="65" t="str">
        <f>IF('Prediction Log'!C300=0, "",'Prediction Log'!C300)</f>
      </c>
      <c r="D299" s="65" t="str">
        <f>IF('Prediction Log'!D300=0, "",'Prediction Log'!D300)</f>
      </c>
      <c r="E299" s="58" t="str">
        <f>IF('Prediction Log'!E300=0, "",'Prediction Log'!E300)</f>
      </c>
      <c r="F299" s="65" t="str">
        <f>IF('Prediction Log'!H300=0, "",'Prediction Log'!H300)</f>
      </c>
      <c r="G299" s="64" t="str">
        <f>IF(ISBLANK(Games!B299), "",'Prediction Log'!$I300)</f>
      </c>
      <c r="H299" s="66" t="n">
        <f>'Prediction Log'!$J300</f>
        <v>0</v>
      </c>
      <c r="I299" s="65" t="str">
        <f>IF(ISBLANK(Games!T299), "",IF(AND(Games!T299="",Games!U299=""),"",IF(ISTEXT(Games!U299), "Side",Games!T299)))</f>
      </c>
      <c r="J299" s="65" t="str">
        <f>IF(ISBLANK(Games!T299), "",IF(Table12[[#This Row],[Bet]]="Spread", Games!X299, ""))</f>
      </c>
      <c r="K299" s="65" t="str">
        <f>IF(ISBLANK(Games!U299), "",IF(ISTEXT(Games!U299), Games!U299, ""))</f>
      </c>
      <c r="L299" s="57" t="str">
        <f>IF(ISBLANK(Games!D299), "", Games!D299)</f>
      </c>
      <c r="M299" s="65"/>
      <c r="N299" s="75" t="str">
        <f>IF(Games!V299="", "",Games!V299)</f>
      </c>
      <c r="O299" s="75" t="str">
        <f>IF(Games!Z299=0, "",Games!Z299)</f>
      </c>
      <c r="P299" s="67"/>
      <c r="Q299" s="67" t="str">
        <f>IF(ISBLANK(Games!W299), "", Games!W299)</f>
      </c>
      <c r="R299" s="67" t="str">
        <f>IF(ISBLANK(Games!AA299), "", Games!AA299)</f>
      </c>
      <c r="S299" s="67"/>
      <c r="T299" s="68" t="str">
        <f t="shared" si="43"/>
      </c>
      <c r="U299" s="68" t="str">
        <f t="shared" si="44"/>
      </c>
      <c r="V299" s="68" t="str">
        <f t="shared" si="45"/>
      </c>
      <c r="W299" s="68" t="str">
        <f t="shared" si="46"/>
      </c>
      <c r="X299" s="68" t="n">
        <f t="shared" si="48"/>
        <v>0</v>
      </c>
      <c r="Y299" s="68" t="n">
        <f t="shared" si="49"/>
        <v>0</v>
      </c>
      <c r="Z299" s="67" t="str">
        <f>IF(OR('Prediction Log'!L300="", Table12[[#This Row],[Bet]]="", Table12[[#This Row],[Bet]]="Spread"), "",IF('Prediction Log'!L300=Table12[[#This Row],[Side]], "W", IF('Prediction Log'!L300&lt;&gt;Table12[[#This Row],[Side]], "L", "")))</f>
      </c>
      <c r="AA299" s="59" t="str">
        <f t="shared" si="50"/>
      </c>
      <c r="AB299" s="67" t="str">
        <f>IF(OR(Table12[[#This Row],[Bet]]="Side",Table12[[#This Row],[Bet]]="", 'Prediction Log'!L300=""), "",IF('Prediction Log'!U300="Y", "W", IF('Prediction Log'!U300="N", "L", "")))</f>
      </c>
      <c r="AC299" s="59" t="str">
        <f t="shared" si="42"/>
      </c>
      <c r="AD299" s="67"/>
      <c r="AE299" s="65" t="str">
        <f t="shared" si="47"/>
      </c>
      <c r="AF2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0">
      <c r="A300" s="65" t="str">
        <f>IF(ISBLANK(Games!A300), "", Games!A300)</f>
      </c>
      <c r="B300" s="65" t="str">
        <f>IF('Prediction Log'!B301=0, "",'Prediction Log'!B301)</f>
      </c>
      <c r="C300" s="65" t="str">
        <f>IF('Prediction Log'!C301=0, "",'Prediction Log'!C301)</f>
      </c>
      <c r="D300" s="65" t="str">
        <f>IF('Prediction Log'!D301=0, "",'Prediction Log'!D301)</f>
      </c>
      <c r="E300" s="58" t="str">
        <f>IF('Prediction Log'!E301=0, "",'Prediction Log'!E301)</f>
      </c>
      <c r="F300" s="65" t="str">
        <f>IF('Prediction Log'!H301=0, "",'Prediction Log'!H301)</f>
      </c>
      <c r="G300" s="64" t="str">
        <f>IF(ISBLANK(Games!B300), "",'Prediction Log'!$I301)</f>
      </c>
      <c r="H300" s="66" t="n">
        <f>'Prediction Log'!$J301</f>
        <v>0</v>
      </c>
      <c r="I300" s="65" t="str">
        <f>IF(ISBLANK(Games!T300), "",IF(AND(Games!T300="",Games!U300=""),"",IF(ISTEXT(Games!U300), "Side",Games!T300)))</f>
      </c>
      <c r="J300" s="65" t="str">
        <f>IF(ISBLANK(Games!T300), "",IF(Table12[[#This Row],[Bet]]="Spread", Games!X300, ""))</f>
      </c>
      <c r="K300" s="65" t="str">
        <f>IF(ISBLANK(Games!U300), "",IF(ISTEXT(Games!U300), Games!U300, ""))</f>
      </c>
      <c r="L300" s="57" t="str">
        <f>IF(ISBLANK(Games!D300), "", Games!D300)</f>
      </c>
      <c r="M300" s="65"/>
      <c r="N300" s="75" t="str">
        <f>IF(Games!V300="", "",Games!V300)</f>
      </c>
      <c r="O300" s="75" t="str">
        <f>IF(Games!Z300=0, "",Games!Z300)</f>
      </c>
      <c r="P300" s="67"/>
      <c r="Q300" s="67" t="str">
        <f>IF(ISBLANK(Games!W300), "", Games!W300)</f>
      </c>
      <c r="R300" s="67" t="str">
        <f>IF(ISBLANK(Games!AA300), "", Games!AA300)</f>
      </c>
      <c r="S300" s="67"/>
      <c r="T300" s="68" t="str">
        <f t="shared" si="43"/>
      </c>
      <c r="U300" s="68" t="str">
        <f t="shared" si="44"/>
      </c>
      <c r="V300" s="68" t="str">
        <f t="shared" si="45"/>
      </c>
      <c r="W300" s="68" t="str">
        <f t="shared" si="46"/>
      </c>
      <c r="X300" s="68" t="n">
        <f t="shared" si="48"/>
        <v>0</v>
      </c>
      <c r="Y300" s="68" t="n">
        <f t="shared" si="49"/>
        <v>0</v>
      </c>
      <c r="Z300" s="67" t="str">
        <f>IF(OR('Prediction Log'!L301="", Table12[[#This Row],[Bet]]="", Table12[[#This Row],[Bet]]="Spread"), "",IF('Prediction Log'!L301=Table12[[#This Row],[Side]], "W", IF('Prediction Log'!L301&lt;&gt;Table12[[#This Row],[Side]], "L", "")))</f>
      </c>
      <c r="AA300" s="59" t="str">
        <f t="shared" si="50"/>
      </c>
      <c r="AB300" s="67" t="str">
        <f>IF(OR(Table12[[#This Row],[Bet]]="Side",Table12[[#This Row],[Bet]]="", 'Prediction Log'!L301=""), "",IF('Prediction Log'!U301="Y", "W", IF('Prediction Log'!U301="N", "L", "")))</f>
      </c>
      <c r="AC300" s="59" t="str">
        <f t="shared" si="42"/>
      </c>
      <c r="AD300" s="67"/>
      <c r="AE300" s="65" t="str">
        <f t="shared" si="47"/>
      </c>
      <c r="AF3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1">
      <c r="A301" s="65" t="str">
        <f>IF(ISBLANK(Games!A301), "", Games!A301)</f>
      </c>
      <c r="B301" s="65" t="str">
        <f>IF('Prediction Log'!B302=0, "",'Prediction Log'!B302)</f>
      </c>
      <c r="C301" s="65" t="str">
        <f>IF('Prediction Log'!C302=0, "",'Prediction Log'!C302)</f>
      </c>
      <c r="D301" s="65" t="str">
        <f>IF('Prediction Log'!D302=0, "",'Prediction Log'!D302)</f>
      </c>
      <c r="E301" s="58" t="str">
        <f>IF('Prediction Log'!E302=0, "",'Prediction Log'!E302)</f>
      </c>
      <c r="F301" s="65" t="str">
        <f>IF('Prediction Log'!H302=0, "",'Prediction Log'!H302)</f>
      </c>
      <c r="G301" s="64" t="str">
        <f>IF(ISBLANK(Games!B301), "",'Prediction Log'!$I302)</f>
      </c>
      <c r="H301" s="66" t="n">
        <f>'Prediction Log'!$J302</f>
        <v>0</v>
      </c>
      <c r="I301" s="65" t="str">
        <f>IF(ISBLANK(Games!T301), "",IF(AND(Games!T301="",Games!U301=""),"",IF(ISTEXT(Games!U301), "Side",Games!T301)))</f>
      </c>
      <c r="J301" s="65" t="str">
        <f>IF(ISBLANK(Games!T301), "",IF(Table12[[#This Row],[Bet]]="Spread", Games!X301, ""))</f>
      </c>
      <c r="K301" s="65" t="str">
        <f>IF(ISBLANK(Games!U301), "",IF(ISTEXT(Games!U301), Games!U301, ""))</f>
      </c>
      <c r="L301" s="57" t="str">
        <f>IF(ISBLANK(Games!D301), "", Games!D301)</f>
      </c>
      <c r="M301" s="65"/>
      <c r="N301" s="75" t="str">
        <f>IF(Games!V301="", "",Games!V301)</f>
      </c>
      <c r="O301" s="75" t="str">
        <f>IF(Games!Z301=0, "",Games!Z301)</f>
      </c>
      <c r="P301" s="67"/>
      <c r="Q301" s="67" t="str">
        <f>IF(ISBLANK(Games!W301), "", Games!W301)</f>
      </c>
      <c r="R301" s="67" t="str">
        <f>IF(ISBLANK(Games!AA301), "", Games!AA301)</f>
      </c>
      <c r="S301" s="67"/>
      <c r="T301" s="68" t="str">
        <f t="shared" si="43"/>
      </c>
      <c r="U301" s="68" t="str">
        <f t="shared" si="44"/>
      </c>
      <c r="V301" s="68" t="str">
        <f t="shared" si="45"/>
      </c>
      <c r="W301" s="68" t="str">
        <f t="shared" si="46"/>
      </c>
      <c r="X301" s="68" t="n">
        <f t="shared" si="48"/>
        <v>0</v>
      </c>
      <c r="Y301" s="68" t="n">
        <f t="shared" si="49"/>
        <v>0</v>
      </c>
      <c r="Z301" s="67" t="str">
        <f>IF(OR('Prediction Log'!L302="", Table12[[#This Row],[Bet]]="", Table12[[#This Row],[Bet]]="Spread"), "",IF('Prediction Log'!L302=Table12[[#This Row],[Side]], "W", IF('Prediction Log'!L302&lt;&gt;Table12[[#This Row],[Side]], "L", "")))</f>
      </c>
      <c r="AA301" s="59" t="str">
        <f t="shared" si="50"/>
      </c>
      <c r="AB301" s="67" t="str">
        <f>IF(OR(Table12[[#This Row],[Bet]]="Side",Table12[[#This Row],[Bet]]="", 'Prediction Log'!L302=""), "",IF('Prediction Log'!U302="Y", "W", IF('Prediction Log'!U302="N", "L", "")))</f>
      </c>
      <c r="AC301" s="59" t="str">
        <f t="shared" si="42"/>
      </c>
      <c r="AD301" s="67"/>
      <c r="AE301" s="65" t="str">
        <f t="shared" si="47"/>
      </c>
      <c r="AF3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2">
      <c r="A302" s="65" t="str">
        <f>IF(ISBLANK(Games!A302), "", Games!A302)</f>
      </c>
      <c r="B302" s="65" t="str">
        <f>IF('Prediction Log'!B303=0, "",'Prediction Log'!B303)</f>
      </c>
      <c r="C302" s="65" t="str">
        <f>IF('Prediction Log'!C303=0, "",'Prediction Log'!C303)</f>
      </c>
      <c r="D302" s="65" t="str">
        <f>IF('Prediction Log'!D303=0, "",'Prediction Log'!D303)</f>
      </c>
      <c r="E302" s="58" t="str">
        <f>IF('Prediction Log'!E303=0, "",'Prediction Log'!E303)</f>
      </c>
      <c r="F302" s="65" t="str">
        <f>IF('Prediction Log'!H303=0, "",'Prediction Log'!H303)</f>
      </c>
      <c r="G302" s="64" t="str">
        <f>IF(ISBLANK(Games!B302), "",'Prediction Log'!$I303)</f>
      </c>
      <c r="H302" s="66" t="n">
        <f>'Prediction Log'!$J303</f>
        <v>0</v>
      </c>
      <c r="I302" s="65" t="str">
        <f>IF(ISBLANK(Games!T302), "",IF(AND(Games!T302="",Games!U302=""),"",IF(ISTEXT(Games!U302), "Side",Games!T302)))</f>
      </c>
      <c r="J302" s="65" t="str">
        <f>IF(ISBLANK(Games!T302), "",IF(Table12[[#This Row],[Bet]]="Spread", Games!X302, ""))</f>
      </c>
      <c r="K302" s="65" t="str">
        <f>IF(ISBLANK(Games!U302), "",IF(ISTEXT(Games!U302), Games!U302, ""))</f>
      </c>
      <c r="L302" s="57" t="str">
        <f>IF(ISBLANK(Games!D302), "", Games!D302)</f>
      </c>
      <c r="M302" s="65"/>
      <c r="N302" s="75" t="str">
        <f>IF(Games!V302="", "",Games!V302)</f>
      </c>
      <c r="O302" s="75" t="str">
        <f>IF(Games!Z302=0, "",Games!Z302)</f>
      </c>
      <c r="P302" s="67"/>
      <c r="Q302" s="67" t="str">
        <f>IF(ISBLANK(Games!W302), "", Games!W302)</f>
      </c>
      <c r="R302" s="67" t="str">
        <f>IF(ISBLANK(Games!AA302), "", Games!AA302)</f>
      </c>
      <c r="S302" s="67"/>
      <c r="T302" s="68" t="str">
        <f t="shared" si="43"/>
      </c>
      <c r="U302" s="68" t="str">
        <f t="shared" si="44"/>
      </c>
      <c r="V302" s="68" t="str">
        <f t="shared" si="45"/>
      </c>
      <c r="W302" s="68" t="str">
        <f t="shared" si="46"/>
      </c>
      <c r="X302" s="68" t="n">
        <f t="shared" si="48"/>
        <v>0</v>
      </c>
      <c r="Y302" s="68" t="n">
        <f t="shared" si="49"/>
        <v>0</v>
      </c>
      <c r="Z302" s="67" t="str">
        <f>IF(OR('Prediction Log'!L303="", Table12[[#This Row],[Bet]]="", Table12[[#This Row],[Bet]]="Spread"), "",IF('Prediction Log'!L303=Table12[[#This Row],[Side]], "W", IF('Prediction Log'!L303&lt;&gt;Table12[[#This Row],[Side]], "L", "")))</f>
      </c>
      <c r="AA302" s="59" t="str">
        <f t="shared" si="50"/>
      </c>
      <c r="AB302" s="67" t="str">
        <f>IF(OR(Table12[[#This Row],[Bet]]="Side",Table12[[#This Row],[Bet]]="", 'Prediction Log'!L303=""), "",IF('Prediction Log'!U303="Y", "W", IF('Prediction Log'!U303="N", "L", "")))</f>
      </c>
      <c r="AC302" s="59" t="str">
        <f t="shared" si="42"/>
      </c>
      <c r="AD302" s="67"/>
      <c r="AE302" s="65" t="str">
        <f t="shared" si="47"/>
      </c>
      <c r="AF3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3">
      <c r="A303" s="65" t="str">
        <f>IF(ISBLANK(Games!A303), "", Games!A303)</f>
      </c>
      <c r="B303" s="65" t="str">
        <f>IF('Prediction Log'!B304=0, "",'Prediction Log'!B304)</f>
      </c>
      <c r="C303" s="65" t="str">
        <f>IF('Prediction Log'!C304=0, "",'Prediction Log'!C304)</f>
      </c>
      <c r="D303" s="65" t="str">
        <f>IF('Prediction Log'!D304=0, "",'Prediction Log'!D304)</f>
      </c>
      <c r="E303" s="58" t="str">
        <f>IF('Prediction Log'!E304=0, "",'Prediction Log'!E304)</f>
      </c>
      <c r="F303" s="65" t="str">
        <f>IF('Prediction Log'!H304=0, "",'Prediction Log'!H304)</f>
      </c>
      <c r="G303" s="64" t="str">
        <f>IF(ISBLANK(Games!B303), "",'Prediction Log'!$I304)</f>
      </c>
      <c r="H303" s="66" t="n">
        <f>'Prediction Log'!$J304</f>
        <v>0</v>
      </c>
      <c r="I303" s="65" t="str">
        <f>IF(ISBLANK(Games!T303), "",IF(AND(Games!T303="",Games!U303=""),"",IF(ISTEXT(Games!U303), "Side",Games!T303)))</f>
      </c>
      <c r="J303" s="65" t="str">
        <f>IF(ISBLANK(Games!T303), "",IF(Table12[[#This Row],[Bet]]="Spread", Games!X303, ""))</f>
      </c>
      <c r="K303" s="65" t="str">
        <f>IF(ISBLANK(Games!U303), "",IF(ISTEXT(Games!U303), Games!U303, ""))</f>
      </c>
      <c r="L303" s="57" t="str">
        <f>IF(ISBLANK(Games!D303), "", Games!D303)</f>
      </c>
      <c r="M303" s="65"/>
      <c r="N303" s="75" t="str">
        <f>IF(Games!V303="", "",Games!V303)</f>
      </c>
      <c r="O303" s="75" t="str">
        <f>IF(Games!Z303=0, "",Games!Z303)</f>
      </c>
      <c r="P303" s="67"/>
      <c r="Q303" s="67" t="str">
        <f>IF(ISBLANK(Games!W303), "", Games!W303)</f>
      </c>
      <c r="R303" s="67" t="str">
        <f>IF(ISBLANK(Games!AA303), "", Games!AA303)</f>
      </c>
      <c r="S303" s="67"/>
      <c r="T303" s="68" t="str">
        <f t="shared" si="43"/>
      </c>
      <c r="U303" s="68" t="str">
        <f t="shared" si="44"/>
      </c>
      <c r="V303" s="68" t="str">
        <f t="shared" si="45"/>
      </c>
      <c r="W303" s="68" t="str">
        <f t="shared" si="46"/>
      </c>
      <c r="X303" s="68" t="n">
        <f t="shared" si="48"/>
        <v>0</v>
      </c>
      <c r="Y303" s="68" t="n">
        <f t="shared" si="49"/>
        <v>0</v>
      </c>
      <c r="Z303" s="67" t="str">
        <f>IF(OR('Prediction Log'!L304="", Table12[[#This Row],[Bet]]="", Table12[[#This Row],[Bet]]="Spread"), "",IF('Prediction Log'!L304=Table12[[#This Row],[Side]], "W", IF('Prediction Log'!L304&lt;&gt;Table12[[#This Row],[Side]], "L", "")))</f>
      </c>
      <c r="AA303" s="59" t="str">
        <f t="shared" si="50"/>
      </c>
      <c r="AB303" s="67" t="str">
        <f>IF(OR(Table12[[#This Row],[Bet]]="Side",Table12[[#This Row],[Bet]]="", 'Prediction Log'!L304=""), "",IF('Prediction Log'!U304="Y", "W", IF('Prediction Log'!U304="N", "L", "")))</f>
      </c>
      <c r="AC303" s="59" t="str">
        <f t="shared" si="42"/>
      </c>
      <c r="AD303" s="67"/>
      <c r="AE303" s="65" t="str">
        <f t="shared" si="47"/>
      </c>
      <c r="AF3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4">
      <c r="A304" s="65" t="str">
        <f>IF(ISBLANK(Games!A304), "", Games!A304)</f>
      </c>
      <c r="B304" s="65" t="str">
        <f>IF('Prediction Log'!B305=0, "",'Prediction Log'!B305)</f>
      </c>
      <c r="C304" s="65" t="str">
        <f>IF('Prediction Log'!C305=0, "",'Prediction Log'!C305)</f>
      </c>
      <c r="D304" s="65" t="str">
        <f>IF('Prediction Log'!D305=0, "",'Prediction Log'!D305)</f>
      </c>
      <c r="E304" s="58" t="str">
        <f>IF('Prediction Log'!E305=0, "",'Prediction Log'!E305)</f>
      </c>
      <c r="F304" s="65" t="str">
        <f>IF('Prediction Log'!H305=0, "",'Prediction Log'!H305)</f>
      </c>
      <c r="G304" s="64" t="str">
        <f>IF(ISBLANK(Games!B304), "",'Prediction Log'!$I305)</f>
      </c>
      <c r="H304" s="66" t="n">
        <f>'Prediction Log'!$J305</f>
        <v>0</v>
      </c>
      <c r="I304" s="65" t="str">
        <f>IF(ISBLANK(Games!T304), "",IF(AND(Games!T304="",Games!U304=""),"",IF(ISTEXT(Games!U304), "Side",Games!T304)))</f>
      </c>
      <c r="J304" s="65" t="str">
        <f>IF(ISBLANK(Games!T304), "",IF(Table12[[#This Row],[Bet]]="Spread", Games!X304, ""))</f>
      </c>
      <c r="K304" s="65" t="str">
        <f>IF(ISBLANK(Games!U304), "",IF(ISTEXT(Games!U304), Games!U304, ""))</f>
      </c>
      <c r="L304" s="57" t="str">
        <f>IF(ISBLANK(Games!D304), "", Games!D304)</f>
      </c>
      <c r="M304" s="65"/>
      <c r="N304" s="75" t="str">
        <f>IF(Games!V304="", "",Games!V304)</f>
      </c>
      <c r="O304" s="75" t="str">
        <f>IF(Games!Z304=0, "",Games!Z304)</f>
      </c>
      <c r="P304" s="67"/>
      <c r="Q304" s="67" t="str">
        <f>IF(ISBLANK(Games!W304), "", Games!W304)</f>
      </c>
      <c r="R304" s="67" t="str">
        <f>IF(ISBLANK(Games!AA304), "", Games!AA304)</f>
      </c>
      <c r="S304" s="67"/>
      <c r="T304" s="68" t="str">
        <f t="shared" si="43"/>
      </c>
      <c r="U304" s="68" t="str">
        <f t="shared" si="44"/>
      </c>
      <c r="V304" s="68" t="str">
        <f t="shared" si="45"/>
      </c>
      <c r="W304" s="68" t="str">
        <f t="shared" si="46"/>
      </c>
      <c r="X304" s="68" t="n">
        <f t="shared" si="48"/>
        <v>0</v>
      </c>
      <c r="Y304" s="68" t="n">
        <f t="shared" si="49"/>
        <v>0</v>
      </c>
      <c r="Z304" s="67" t="str">
        <f>IF(OR('Prediction Log'!L305="", Table12[[#This Row],[Bet]]="", Table12[[#This Row],[Bet]]="Spread"), "",IF('Prediction Log'!L305=Table12[[#This Row],[Side]], "W", IF('Prediction Log'!L305&lt;&gt;Table12[[#This Row],[Side]], "L", "")))</f>
      </c>
      <c r="AA304" s="59" t="str">
        <f t="shared" si="50"/>
      </c>
      <c r="AB304" s="67" t="str">
        <f>IF(OR(Table12[[#This Row],[Bet]]="Side",Table12[[#This Row],[Bet]]="", 'Prediction Log'!L305=""), "",IF('Prediction Log'!U305="Y", "W", IF('Prediction Log'!U305="N", "L", "")))</f>
      </c>
      <c r="AC304" s="59" t="str">
        <f t="shared" si="42"/>
      </c>
      <c r="AD304" s="67"/>
      <c r="AE304" s="65" t="str">
        <f t="shared" si="47"/>
      </c>
      <c r="AF3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5">
      <c r="A305" s="65" t="str">
        <f>IF(ISBLANK(Games!A305), "", Games!A305)</f>
      </c>
      <c r="B305" s="65" t="str">
        <f>IF('Prediction Log'!B306=0, "",'Prediction Log'!B306)</f>
      </c>
      <c r="C305" s="65" t="str">
        <f>IF('Prediction Log'!C306=0, "",'Prediction Log'!C306)</f>
      </c>
      <c r="D305" s="65" t="str">
        <f>IF('Prediction Log'!D306=0, "",'Prediction Log'!D306)</f>
      </c>
      <c r="E305" s="58" t="str">
        <f>IF('Prediction Log'!E306=0, "",'Prediction Log'!E306)</f>
      </c>
      <c r="F305" s="65" t="str">
        <f>IF('Prediction Log'!H306=0, "",'Prediction Log'!H306)</f>
      </c>
      <c r="G305" s="64" t="str">
        <f>IF(ISBLANK(Games!B305), "",'Prediction Log'!$I306)</f>
      </c>
      <c r="H305" s="66" t="n">
        <f>'Prediction Log'!$J306</f>
        <v>0</v>
      </c>
      <c r="I305" s="65" t="str">
        <f>IF(ISBLANK(Games!T305), "",IF(AND(Games!T305="",Games!U305=""),"",IF(ISTEXT(Games!U305), "Side",Games!T305)))</f>
      </c>
      <c r="J305" s="65" t="str">
        <f>IF(ISBLANK(Games!T305), "",IF(Table12[[#This Row],[Bet]]="Spread", Games!X305, ""))</f>
      </c>
      <c r="K305" s="65" t="str">
        <f>IF(ISBLANK(Games!U305), "",IF(ISTEXT(Games!U305), Games!U305, ""))</f>
      </c>
      <c r="L305" s="57" t="str">
        <f>IF(ISBLANK(Games!D305), "", Games!D305)</f>
      </c>
      <c r="M305" s="65"/>
      <c r="N305" s="75" t="str">
        <f>IF(Games!V305="", "",Games!V305)</f>
      </c>
      <c r="O305" s="75" t="str">
        <f>IF(Games!Z305=0, "",Games!Z305)</f>
      </c>
      <c r="P305" s="67"/>
      <c r="Q305" s="67" t="str">
        <f>IF(ISBLANK(Games!W305), "", Games!W305)</f>
      </c>
      <c r="R305" s="67" t="str">
        <f>IF(ISBLANK(Games!AA305), "", Games!AA305)</f>
      </c>
      <c r="S305" s="67"/>
      <c r="T305" s="68" t="str">
        <f t="shared" si="43"/>
      </c>
      <c r="U305" s="68" t="str">
        <f t="shared" si="44"/>
      </c>
      <c r="V305" s="68" t="str">
        <f t="shared" si="45"/>
      </c>
      <c r="W305" s="68" t="str">
        <f t="shared" si="46"/>
      </c>
      <c r="X305" s="68" t="n">
        <f t="shared" si="48"/>
        <v>0</v>
      </c>
      <c r="Y305" s="68" t="n">
        <f t="shared" si="49"/>
        <v>0</v>
      </c>
      <c r="Z305" s="67" t="str">
        <f>IF(OR('Prediction Log'!L306="", Table12[[#This Row],[Bet]]="", Table12[[#This Row],[Bet]]="Spread"), "",IF('Prediction Log'!L306=Table12[[#This Row],[Side]], "W", IF('Prediction Log'!L306&lt;&gt;Table12[[#This Row],[Side]], "L", "")))</f>
      </c>
      <c r="AA305" s="59" t="str">
        <f t="shared" si="50"/>
      </c>
      <c r="AB305" s="67" t="str">
        <f>IF(OR(Table12[[#This Row],[Bet]]="Side",Table12[[#This Row],[Bet]]="", 'Prediction Log'!L306=""), "",IF('Prediction Log'!U306="Y", "W", IF('Prediction Log'!U306="N", "L", "")))</f>
      </c>
      <c r="AC305" s="59" t="str">
        <f t="shared" si="42"/>
      </c>
      <c r="AD305" s="67"/>
      <c r="AE305" s="65" t="str">
        <f t="shared" si="47"/>
      </c>
      <c r="AF3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6">
      <c r="A306" s="65" t="str">
        <f>IF(ISBLANK(Games!A306), "", Games!A306)</f>
      </c>
      <c r="B306" s="65" t="str">
        <f>IF('Prediction Log'!B307=0, "",'Prediction Log'!B307)</f>
      </c>
      <c r="C306" s="65" t="str">
        <f>IF('Prediction Log'!C307=0, "",'Prediction Log'!C307)</f>
      </c>
      <c r="D306" s="65" t="str">
        <f>IF('Prediction Log'!D307=0, "",'Prediction Log'!D307)</f>
      </c>
      <c r="E306" s="58" t="str">
        <f>IF('Prediction Log'!E307=0, "",'Prediction Log'!E307)</f>
      </c>
      <c r="F306" s="65" t="str">
        <f>IF('Prediction Log'!H307=0, "",'Prediction Log'!H307)</f>
      </c>
      <c r="G306" s="64" t="str">
        <f>IF(ISBLANK(Games!B306), "",'Prediction Log'!$I307)</f>
      </c>
      <c r="H306" s="66" t="n">
        <f>'Prediction Log'!$J307</f>
        <v>0</v>
      </c>
      <c r="I306" s="65" t="str">
        <f>IF(ISBLANK(Games!T306), "",IF(AND(Games!T306="",Games!U306=""),"",IF(ISTEXT(Games!U306), "Side",Games!T306)))</f>
      </c>
      <c r="J306" s="65" t="str">
        <f>IF(ISBLANK(Games!T306), "",IF(Table12[[#This Row],[Bet]]="Spread", Games!X306, ""))</f>
      </c>
      <c r="K306" s="65" t="str">
        <f>IF(ISBLANK(Games!U306), "",IF(ISTEXT(Games!U306), Games!U306, ""))</f>
      </c>
      <c r="L306" s="57" t="str">
        <f>IF(ISBLANK(Games!D306), "", Games!D306)</f>
      </c>
      <c r="M306" s="65"/>
      <c r="N306" s="75" t="str">
        <f>IF(Games!V306="", "",Games!V306)</f>
      </c>
      <c r="O306" s="75" t="str">
        <f>IF(Games!Z306=0, "",Games!Z306)</f>
      </c>
      <c r="P306" s="67"/>
      <c r="Q306" s="67" t="str">
        <f>IF(ISBLANK(Games!W306), "", Games!W306)</f>
      </c>
      <c r="R306" s="67" t="str">
        <f>IF(ISBLANK(Games!AA306), "", Games!AA306)</f>
      </c>
      <c r="S306" s="67"/>
      <c r="T306" s="68" t="str">
        <f t="shared" si="43"/>
      </c>
      <c r="U306" s="68" t="str">
        <f t="shared" si="44"/>
      </c>
      <c r="V306" s="68" t="str">
        <f t="shared" si="45"/>
      </c>
      <c r="W306" s="68" t="str">
        <f t="shared" si="46"/>
      </c>
      <c r="X306" s="68" t="n">
        <f t="shared" si="48"/>
        <v>0</v>
      </c>
      <c r="Y306" s="68" t="n">
        <f t="shared" si="49"/>
        <v>0</v>
      </c>
      <c r="Z306" s="67" t="str">
        <f>IF(OR('Prediction Log'!L307="", Table12[[#This Row],[Bet]]="", Table12[[#This Row],[Bet]]="Spread"), "",IF('Prediction Log'!L307=Table12[[#This Row],[Side]], "W", IF('Prediction Log'!L307&lt;&gt;Table12[[#This Row],[Side]], "L", "")))</f>
      </c>
      <c r="AA306" s="59" t="str">
        <f t="shared" si="50"/>
      </c>
      <c r="AB306" s="67" t="str">
        <f>IF(OR(Table12[[#This Row],[Bet]]="Side",Table12[[#This Row],[Bet]]="", 'Prediction Log'!L307=""), "",IF('Prediction Log'!U307="Y", "W", IF('Prediction Log'!U307="N", "L", "")))</f>
      </c>
      <c r="AC306" s="59" t="str">
        <f t="shared" si="42"/>
      </c>
      <c r="AD306" s="67"/>
      <c r="AE306" s="65" t="str">
        <f t="shared" si="47"/>
      </c>
      <c r="AF3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7">
      <c r="A307" s="65" t="str">
        <f>IF(ISBLANK(Games!A307), "", Games!A307)</f>
      </c>
      <c r="B307" s="65" t="str">
        <f>IF('Prediction Log'!B308=0, "",'Prediction Log'!B308)</f>
      </c>
      <c r="C307" s="65" t="str">
        <f>IF('Prediction Log'!C308=0, "",'Prediction Log'!C308)</f>
      </c>
      <c r="D307" s="65" t="str">
        <f>IF('Prediction Log'!D308=0, "",'Prediction Log'!D308)</f>
      </c>
      <c r="E307" s="58" t="str">
        <f>IF('Prediction Log'!E308=0, "",'Prediction Log'!E308)</f>
      </c>
      <c r="F307" s="65" t="str">
        <f>IF('Prediction Log'!H308=0, "",'Prediction Log'!H308)</f>
      </c>
      <c r="G307" s="64" t="str">
        <f>IF(ISBLANK(Games!B307), "",'Prediction Log'!$I308)</f>
      </c>
      <c r="H307" s="66" t="n">
        <f>'Prediction Log'!$J308</f>
        <v>0</v>
      </c>
      <c r="I307" s="65" t="str">
        <f>IF(ISBLANK(Games!T307), "",IF(AND(Games!T307="",Games!U307=""),"",IF(ISTEXT(Games!U307), "Side",Games!T307)))</f>
      </c>
      <c r="J307" s="65" t="str">
        <f>IF(ISBLANK(Games!T307), "",IF(Table12[[#This Row],[Bet]]="Spread", Games!X307, ""))</f>
      </c>
      <c r="K307" s="65" t="str">
        <f>IF(ISBLANK(Games!U307), "",IF(ISTEXT(Games!U307), Games!U307, ""))</f>
      </c>
      <c r="L307" s="57" t="str">
        <f>IF(ISBLANK(Games!D307), "", Games!D307)</f>
      </c>
      <c r="M307" s="65"/>
      <c r="N307" s="75" t="str">
        <f>IF(Games!V307="", "",Games!V307)</f>
      </c>
      <c r="O307" s="75" t="str">
        <f>IF(Games!Z307=0, "",Games!Z307)</f>
      </c>
      <c r="P307" s="67"/>
      <c r="Q307" s="67" t="str">
        <f>IF(ISBLANK(Games!W307), "", Games!W307)</f>
      </c>
      <c r="R307" s="67" t="str">
        <f>IF(ISBLANK(Games!AA307), "", Games!AA307)</f>
      </c>
      <c r="S307" s="67"/>
      <c r="T307" s="68" t="str">
        <f t="shared" si="43"/>
      </c>
      <c r="U307" s="68" t="str">
        <f t="shared" si="44"/>
      </c>
      <c r="V307" s="68" t="str">
        <f t="shared" si="45"/>
      </c>
      <c r="W307" s="68" t="str">
        <f t="shared" si="46"/>
      </c>
      <c r="X307" s="68" t="n">
        <f t="shared" si="48"/>
        <v>0</v>
      </c>
      <c r="Y307" s="68" t="n">
        <f t="shared" si="49"/>
        <v>0</v>
      </c>
      <c r="Z307" s="67" t="str">
        <f>IF(OR('Prediction Log'!L308="", Table12[[#This Row],[Bet]]="", Table12[[#This Row],[Bet]]="Spread"), "",IF('Prediction Log'!L308=Table12[[#This Row],[Side]], "W", IF('Prediction Log'!L308&lt;&gt;Table12[[#This Row],[Side]], "L", "")))</f>
      </c>
      <c r="AA307" s="59" t="str">
        <f t="shared" si="50"/>
      </c>
      <c r="AB307" s="67" t="str">
        <f>IF(OR(Table12[[#This Row],[Bet]]="Side",Table12[[#This Row],[Bet]]="", 'Prediction Log'!L308=""), "",IF('Prediction Log'!U308="Y", "W", IF('Prediction Log'!U308="N", "L", "")))</f>
      </c>
      <c r="AC307" s="59" t="str">
        <f t="shared" si="42"/>
      </c>
      <c r="AD307" s="67"/>
      <c r="AE307" s="65" t="str">
        <f t="shared" si="47"/>
      </c>
      <c r="AF3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8">
      <c r="A308" s="65" t="str">
        <f>IF(ISBLANK(Games!A308), "", Games!A308)</f>
      </c>
      <c r="B308" s="65" t="str">
        <f>IF('Prediction Log'!B309=0, "",'Prediction Log'!B309)</f>
      </c>
      <c r="C308" s="65" t="str">
        <f>IF('Prediction Log'!C309=0, "",'Prediction Log'!C309)</f>
      </c>
      <c r="D308" s="65" t="str">
        <f>IF('Prediction Log'!D309=0, "",'Prediction Log'!D309)</f>
      </c>
      <c r="E308" s="58" t="str">
        <f>IF('Prediction Log'!E309=0, "",'Prediction Log'!E309)</f>
      </c>
      <c r="F308" s="65" t="str">
        <f>IF('Prediction Log'!H309=0, "",'Prediction Log'!H309)</f>
      </c>
      <c r="G308" s="64" t="str">
        <f>IF(ISBLANK(Games!B308), "",'Prediction Log'!$I309)</f>
      </c>
      <c r="H308" s="66" t="n">
        <f>'Prediction Log'!$J309</f>
        <v>0</v>
      </c>
      <c r="I308" s="65" t="str">
        <f>IF(ISBLANK(Games!T308), "",IF(AND(Games!T308="",Games!U308=""),"",IF(ISTEXT(Games!U308), "Side",Games!T308)))</f>
      </c>
      <c r="J308" s="65" t="str">
        <f>IF(ISBLANK(Games!T308), "",IF(Table12[[#This Row],[Bet]]="Spread", Games!X308, ""))</f>
      </c>
      <c r="K308" s="65" t="str">
        <f>IF(ISBLANK(Games!U308), "",IF(ISTEXT(Games!U308), Games!U308, ""))</f>
      </c>
      <c r="L308" s="57" t="str">
        <f>IF(ISBLANK(Games!D308), "", Games!D308)</f>
      </c>
      <c r="M308" s="65"/>
      <c r="N308" s="75" t="str">
        <f>IF(Games!V308="", "",Games!V308)</f>
      </c>
      <c r="O308" s="75" t="str">
        <f>IF(Games!Z308=0, "",Games!Z308)</f>
      </c>
      <c r="P308" s="67"/>
      <c r="Q308" s="67" t="str">
        <f>IF(ISBLANK(Games!W308), "", Games!W308)</f>
      </c>
      <c r="R308" s="67" t="str">
        <f>IF(ISBLANK(Games!AA308), "", Games!AA308)</f>
      </c>
      <c r="S308" s="67"/>
      <c r="T308" s="68" t="str">
        <f t="shared" si="43"/>
      </c>
      <c r="U308" s="68" t="str">
        <f t="shared" si="44"/>
      </c>
      <c r="V308" s="68" t="str">
        <f t="shared" si="45"/>
      </c>
      <c r="W308" s="68" t="str">
        <f t="shared" si="46"/>
      </c>
      <c r="X308" s="68" t="n">
        <f t="shared" si="48"/>
        <v>0</v>
      </c>
      <c r="Y308" s="68" t="n">
        <f t="shared" si="49"/>
        <v>0</v>
      </c>
      <c r="Z308" s="67" t="str">
        <f>IF(OR('Prediction Log'!L309="", Table12[[#This Row],[Bet]]="", Table12[[#This Row],[Bet]]="Spread"), "",IF('Prediction Log'!L309=Table12[[#This Row],[Side]], "W", IF('Prediction Log'!L309&lt;&gt;Table12[[#This Row],[Side]], "L", "")))</f>
      </c>
      <c r="AA308" s="59" t="str">
        <f t="shared" si="50"/>
      </c>
      <c r="AB308" s="67" t="str">
        <f>IF(OR(Table12[[#This Row],[Bet]]="Side",Table12[[#This Row],[Bet]]="", 'Prediction Log'!L309=""), "",IF('Prediction Log'!U309="Y", "W", IF('Prediction Log'!U309="N", "L", "")))</f>
      </c>
      <c r="AC308" s="59" t="str">
        <f t="shared" si="42"/>
      </c>
      <c r="AD308" s="67"/>
      <c r="AE308" s="65" t="str">
        <f t="shared" si="47"/>
      </c>
      <c r="AF3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9">
      <c r="A309" s="65" t="str">
        <f>IF(ISBLANK(Games!A309), "", Games!A309)</f>
      </c>
      <c r="B309" s="65" t="str">
        <f>IF('Prediction Log'!B310=0, "",'Prediction Log'!B310)</f>
      </c>
      <c r="C309" s="65" t="str">
        <f>IF('Prediction Log'!C310=0, "",'Prediction Log'!C310)</f>
      </c>
      <c r="D309" s="65" t="str">
        <f>IF('Prediction Log'!D310=0, "",'Prediction Log'!D310)</f>
      </c>
      <c r="E309" s="58" t="str">
        <f>IF('Prediction Log'!E310=0, "",'Prediction Log'!E310)</f>
      </c>
      <c r="F309" s="65" t="str">
        <f>IF('Prediction Log'!H310=0, "",'Prediction Log'!H310)</f>
      </c>
      <c r="G309" s="64" t="str">
        <f>IF(ISBLANK(Games!B309), "",'Prediction Log'!$I310)</f>
      </c>
      <c r="H309" s="66" t="n">
        <f>'Prediction Log'!$J310</f>
        <v>0</v>
      </c>
      <c r="I309" s="65" t="str">
        <f>IF(ISBLANK(Games!T309), "",IF(AND(Games!T309="",Games!U309=""),"",IF(ISTEXT(Games!U309), "Side",Games!T309)))</f>
      </c>
      <c r="J309" s="65" t="str">
        <f>IF(ISBLANK(Games!T309), "",IF(Table12[[#This Row],[Bet]]="Spread", Games!X309, ""))</f>
      </c>
      <c r="K309" s="65" t="str">
        <f>IF(ISBLANK(Games!U309), "",IF(ISTEXT(Games!U309), Games!U309, ""))</f>
      </c>
      <c r="L309" s="57" t="str">
        <f>IF(ISBLANK(Games!D309), "", Games!D309)</f>
      </c>
      <c r="M309" s="65"/>
      <c r="N309" s="75" t="str">
        <f>IF(Games!V309="", "",Games!V309)</f>
      </c>
      <c r="O309" s="75" t="str">
        <f>IF(Games!Z309=0, "",Games!Z309)</f>
      </c>
      <c r="P309" s="67"/>
      <c r="Q309" s="67" t="str">
        <f>IF(ISBLANK(Games!W309), "", Games!W309)</f>
      </c>
      <c r="R309" s="67" t="str">
        <f>IF(ISBLANK(Games!AA309), "", Games!AA309)</f>
      </c>
      <c r="S309" s="67"/>
      <c r="T309" s="68" t="str">
        <f t="shared" si="43"/>
      </c>
      <c r="U309" s="68" t="str">
        <f t="shared" si="44"/>
      </c>
      <c r="V309" s="68" t="str">
        <f t="shared" si="45"/>
      </c>
      <c r="W309" s="68" t="str">
        <f t="shared" si="46"/>
      </c>
      <c r="X309" s="68" t="n">
        <f t="shared" si="48"/>
        <v>0</v>
      </c>
      <c r="Y309" s="68" t="n">
        <f t="shared" si="49"/>
        <v>0</v>
      </c>
      <c r="Z309" s="67" t="str">
        <f>IF(OR('Prediction Log'!L310="", Table12[[#This Row],[Bet]]="", Table12[[#This Row],[Bet]]="Spread"), "",IF('Prediction Log'!L310=Table12[[#This Row],[Side]], "W", IF('Prediction Log'!L310&lt;&gt;Table12[[#This Row],[Side]], "L", "")))</f>
      </c>
      <c r="AA309" s="59" t="str">
        <f t="shared" si="50"/>
      </c>
      <c r="AB309" s="67" t="str">
        <f>IF(OR(Table12[[#This Row],[Bet]]="Side",Table12[[#This Row],[Bet]]="", 'Prediction Log'!L310=""), "",IF('Prediction Log'!U310="Y", "W", IF('Prediction Log'!U310="N", "L", "")))</f>
      </c>
      <c r="AC309" s="59" t="str">
        <f t="shared" si="42"/>
      </c>
      <c r="AD309" s="67"/>
      <c r="AE309" s="65" t="str">
        <f t="shared" si="47"/>
      </c>
      <c r="AF3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0">
      <c r="A310" s="65" t="str">
        <f>IF(ISBLANK(Games!A310), "", Games!A310)</f>
      </c>
      <c r="B310" s="65" t="str">
        <f>IF('Prediction Log'!B311=0, "",'Prediction Log'!B311)</f>
      </c>
      <c r="C310" s="65" t="str">
        <f>IF('Prediction Log'!C311=0, "",'Prediction Log'!C311)</f>
      </c>
      <c r="D310" s="65" t="str">
        <f>IF('Prediction Log'!D311=0, "",'Prediction Log'!D311)</f>
      </c>
      <c r="E310" s="58" t="str">
        <f>IF('Prediction Log'!E311=0, "",'Prediction Log'!E311)</f>
      </c>
      <c r="F310" s="65" t="str">
        <f>IF('Prediction Log'!H311=0, "",'Prediction Log'!H311)</f>
      </c>
      <c r="G310" s="64" t="str">
        <f>IF(ISBLANK(Games!B310), "",'Prediction Log'!$I311)</f>
      </c>
      <c r="H310" s="66" t="n">
        <f>'Prediction Log'!$J311</f>
        <v>0</v>
      </c>
      <c r="I310" s="65" t="str">
        <f>IF(ISBLANK(Games!T310), "",IF(AND(Games!T310="",Games!U310=""),"",IF(ISTEXT(Games!U310), "Side",Games!T310)))</f>
      </c>
      <c r="J310" s="65" t="str">
        <f>IF(ISBLANK(Games!T310), "",IF(Table12[[#This Row],[Bet]]="Spread", Games!X310, ""))</f>
      </c>
      <c r="K310" s="65" t="str">
        <f>IF(ISBLANK(Games!U310), "",IF(ISTEXT(Games!U310), Games!U310, ""))</f>
      </c>
      <c r="L310" s="57" t="str">
        <f>IF(ISBLANK(Games!D310), "", Games!D310)</f>
      </c>
      <c r="M310" s="65"/>
      <c r="N310" s="75" t="str">
        <f>IF(Games!V310="", "",Games!V310)</f>
      </c>
      <c r="O310" s="75" t="str">
        <f>IF(Games!Z310=0, "",Games!Z310)</f>
      </c>
      <c r="P310" s="67"/>
      <c r="Q310" s="67" t="str">
        <f>IF(ISBLANK(Games!W310), "", Games!W310)</f>
      </c>
      <c r="R310" s="67" t="str">
        <f>IF(ISBLANK(Games!AA310), "", Games!AA310)</f>
      </c>
      <c r="S310" s="67"/>
      <c r="T310" s="68" t="str">
        <f t="shared" si="43"/>
      </c>
      <c r="U310" s="68" t="str">
        <f t="shared" si="44"/>
      </c>
      <c r="V310" s="68" t="str">
        <f t="shared" si="45"/>
      </c>
      <c r="W310" s="68" t="str">
        <f t="shared" si="46"/>
      </c>
      <c r="X310" s="68" t="n">
        <f t="shared" si="48"/>
        <v>0</v>
      </c>
      <c r="Y310" s="68" t="n">
        <f t="shared" si="49"/>
        <v>0</v>
      </c>
      <c r="Z310" s="67" t="str">
        <f>IF(OR('Prediction Log'!L311="", Table12[[#This Row],[Bet]]="", Table12[[#This Row],[Bet]]="Spread"), "",IF('Prediction Log'!L311=Table12[[#This Row],[Side]], "W", IF('Prediction Log'!L311&lt;&gt;Table12[[#This Row],[Side]], "L", "")))</f>
      </c>
      <c r="AA310" s="59" t="str">
        <f t="shared" si="50"/>
      </c>
      <c r="AB310" s="67" t="str">
        <f>IF(OR(Table12[[#This Row],[Bet]]="Side",Table12[[#This Row],[Bet]]="", 'Prediction Log'!L311=""), "",IF('Prediction Log'!U311="Y", "W", IF('Prediction Log'!U311="N", "L", "")))</f>
      </c>
      <c r="AC310" s="59" t="str">
        <f t="shared" si="42"/>
      </c>
      <c r="AD310" s="67"/>
      <c r="AE310" s="65" t="str">
        <f t="shared" si="47"/>
      </c>
      <c r="AF3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1">
      <c r="A311" s="65" t="str">
        <f>IF(ISBLANK(Games!A311), "", Games!A311)</f>
      </c>
      <c r="B311" s="65" t="str">
        <f>IF('Prediction Log'!B312=0, "",'Prediction Log'!B312)</f>
      </c>
      <c r="C311" s="65" t="str">
        <f>IF('Prediction Log'!C312=0, "",'Prediction Log'!C312)</f>
      </c>
      <c r="D311" s="65" t="str">
        <f>IF('Prediction Log'!D312=0, "",'Prediction Log'!D312)</f>
      </c>
      <c r="E311" s="58" t="str">
        <f>IF('Prediction Log'!E312=0, "",'Prediction Log'!E312)</f>
      </c>
      <c r="F311" s="65" t="str">
        <f>IF('Prediction Log'!H312=0, "",'Prediction Log'!H312)</f>
      </c>
      <c r="G311" s="64" t="str">
        <f>IF(ISBLANK(Games!B311), "",'Prediction Log'!$I312)</f>
      </c>
      <c r="H311" s="66" t="n">
        <f>'Prediction Log'!$J312</f>
        <v>0</v>
      </c>
      <c r="I311" s="65" t="str">
        <f>IF(ISBLANK(Games!T311), "",IF(AND(Games!T311="",Games!U311=""),"",IF(ISTEXT(Games!U311), "Side",Games!T311)))</f>
      </c>
      <c r="J311" s="65" t="str">
        <f>IF(ISBLANK(Games!T311), "",IF(Table12[[#This Row],[Bet]]="Spread", Games!X311, ""))</f>
      </c>
      <c r="K311" s="65" t="str">
        <f>IF(ISBLANK(Games!U311), "",IF(ISTEXT(Games!U311), Games!U311, ""))</f>
      </c>
      <c r="L311" s="57" t="str">
        <f>IF(ISBLANK(Games!D311), "", Games!D311)</f>
      </c>
      <c r="M311" s="65"/>
      <c r="N311" s="75" t="str">
        <f>IF(Games!V311="", "",Games!V311)</f>
      </c>
      <c r="O311" s="75" t="str">
        <f>IF(Games!Z311=0, "",Games!Z311)</f>
      </c>
      <c r="P311" s="67"/>
      <c r="Q311" s="67" t="str">
        <f>IF(ISBLANK(Games!W311), "", Games!W311)</f>
      </c>
      <c r="R311" s="67" t="str">
        <f>IF(ISBLANK(Games!AA311), "", Games!AA311)</f>
      </c>
      <c r="S311" s="67"/>
      <c r="T311" s="68" t="str">
        <f t="shared" si="43"/>
      </c>
      <c r="U311" s="68" t="str">
        <f t="shared" si="44"/>
      </c>
      <c r="V311" s="68" t="str">
        <f t="shared" si="45"/>
      </c>
      <c r="W311" s="68" t="str">
        <f t="shared" si="46"/>
      </c>
      <c r="X311" s="68" t="n">
        <f t="shared" si="48"/>
        <v>0</v>
      </c>
      <c r="Y311" s="68" t="n">
        <f t="shared" si="49"/>
        <v>0</v>
      </c>
      <c r="Z311" s="67" t="str">
        <f>IF(OR('Prediction Log'!L312="", Table12[[#This Row],[Bet]]="", Table12[[#This Row],[Bet]]="Spread"), "",IF('Prediction Log'!L312=Table12[[#This Row],[Side]], "W", IF('Prediction Log'!L312&lt;&gt;Table12[[#This Row],[Side]], "L", "")))</f>
      </c>
      <c r="AA311" s="59" t="str">
        <f t="shared" si="50"/>
      </c>
      <c r="AB311" s="67" t="str">
        <f>IF(OR(Table12[[#This Row],[Bet]]="Side",Table12[[#This Row],[Bet]]="", 'Prediction Log'!L312=""), "",IF('Prediction Log'!U312="Y", "W", IF('Prediction Log'!U312="N", "L", "")))</f>
      </c>
      <c r="AC311" s="59" t="str">
        <f t="shared" si="42"/>
      </c>
      <c r="AD311" s="67"/>
      <c r="AE311" s="65" t="str">
        <f t="shared" si="47"/>
      </c>
      <c r="AF3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2">
      <c r="A312" s="65" t="str">
        <f>IF(ISBLANK(Games!A312), "", Games!A312)</f>
      </c>
      <c r="B312" s="65" t="str">
        <f>IF('Prediction Log'!B313=0, "",'Prediction Log'!B313)</f>
      </c>
      <c r="C312" s="65" t="str">
        <f>IF('Prediction Log'!C313=0, "",'Prediction Log'!C313)</f>
      </c>
      <c r="D312" s="65" t="str">
        <f>IF('Prediction Log'!D313=0, "",'Prediction Log'!D313)</f>
      </c>
      <c r="E312" s="58" t="str">
        <f>IF('Prediction Log'!E313=0, "",'Prediction Log'!E313)</f>
      </c>
      <c r="F312" s="65" t="str">
        <f>IF('Prediction Log'!H313=0, "",'Prediction Log'!H313)</f>
      </c>
      <c r="G312" s="64" t="str">
        <f>IF(ISBLANK(Games!B312), "",'Prediction Log'!$I313)</f>
      </c>
      <c r="H312" s="66" t="n">
        <f>'Prediction Log'!$J313</f>
        <v>0</v>
      </c>
      <c r="I312" s="65" t="str">
        <f>IF(ISBLANK(Games!T312), "",IF(AND(Games!T312="",Games!U312=""),"",IF(ISTEXT(Games!U312), "Side",Games!T312)))</f>
      </c>
      <c r="J312" s="65" t="str">
        <f>IF(ISBLANK(Games!T312), "",IF(Table12[[#This Row],[Bet]]="Spread", Games!X312, ""))</f>
      </c>
      <c r="K312" s="65" t="str">
        <f>IF(ISBLANK(Games!U312), "",IF(ISTEXT(Games!U312), Games!U312, ""))</f>
      </c>
      <c r="L312" s="57" t="str">
        <f>IF(ISBLANK(Games!D312), "", Games!D312)</f>
      </c>
      <c r="M312" s="65"/>
      <c r="N312" s="75" t="str">
        <f>IF(Games!V312="", "",Games!V312)</f>
      </c>
      <c r="O312" s="75" t="str">
        <f>IF(Games!Z312=0, "",Games!Z312)</f>
      </c>
      <c r="P312" s="67"/>
      <c r="Q312" s="67" t="str">
        <f>IF(ISBLANK(Games!W312), "", Games!W312)</f>
      </c>
      <c r="R312" s="67" t="str">
        <f>IF(ISBLANK(Games!AA312), "", Games!AA312)</f>
      </c>
      <c r="S312" s="67"/>
      <c r="T312" s="68" t="str">
        <f t="shared" si="43"/>
      </c>
      <c r="U312" s="68" t="str">
        <f t="shared" si="44"/>
      </c>
      <c r="V312" s="68" t="str">
        <f t="shared" si="45"/>
      </c>
      <c r="W312" s="68" t="str">
        <f t="shared" si="46"/>
      </c>
      <c r="X312" s="68" t="n">
        <f t="shared" si="48"/>
        <v>0</v>
      </c>
      <c r="Y312" s="68" t="n">
        <f t="shared" si="49"/>
        <v>0</v>
      </c>
      <c r="Z312" s="67" t="str">
        <f>IF(OR('Prediction Log'!L313="", Table12[[#This Row],[Bet]]="", Table12[[#This Row],[Bet]]="Spread"), "",IF('Prediction Log'!L313=Table12[[#This Row],[Side]], "W", IF('Prediction Log'!L313&lt;&gt;Table12[[#This Row],[Side]], "L", "")))</f>
      </c>
      <c r="AA312" s="59" t="str">
        <f t="shared" si="50"/>
      </c>
      <c r="AB312" s="67" t="str">
        <f>IF(OR(Table12[[#This Row],[Bet]]="Side",Table12[[#This Row],[Bet]]="", 'Prediction Log'!L313=""), "",IF('Prediction Log'!U313="Y", "W", IF('Prediction Log'!U313="N", "L", "")))</f>
      </c>
      <c r="AC312" s="59" t="str">
        <f t="shared" si="42"/>
      </c>
      <c r="AD312" s="67"/>
      <c r="AE312" s="65" t="str">
        <f t="shared" si="47"/>
      </c>
      <c r="AF3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3">
      <c r="A313" s="65" t="str">
        <f>IF(ISBLANK(Games!A313), "", Games!A313)</f>
      </c>
      <c r="B313" s="65" t="str">
        <f>IF('Prediction Log'!B314=0, "",'Prediction Log'!B314)</f>
      </c>
      <c r="C313" s="65" t="str">
        <f>IF('Prediction Log'!C314=0, "",'Prediction Log'!C314)</f>
      </c>
      <c r="D313" s="65" t="str">
        <f>IF('Prediction Log'!D314=0, "",'Prediction Log'!D314)</f>
      </c>
      <c r="E313" s="58" t="str">
        <f>IF('Prediction Log'!E314=0, "",'Prediction Log'!E314)</f>
      </c>
      <c r="F313" s="65" t="str">
        <f>IF('Prediction Log'!H314=0, "",'Prediction Log'!H314)</f>
      </c>
      <c r="G313" s="64" t="str">
        <f>IF(ISBLANK(Games!B313), "",'Prediction Log'!$I314)</f>
      </c>
      <c r="H313" s="66" t="n">
        <f>'Prediction Log'!$J314</f>
        <v>0</v>
      </c>
      <c r="I313" s="65" t="str">
        <f>IF(ISBLANK(Games!T313), "",IF(AND(Games!T313="",Games!U313=""),"",IF(ISTEXT(Games!U313), "Side",Games!T313)))</f>
      </c>
      <c r="J313" s="65" t="str">
        <f>IF(ISBLANK(Games!T313), "",IF(Table12[[#This Row],[Bet]]="Spread", Games!X313, ""))</f>
      </c>
      <c r="K313" s="65" t="str">
        <f>IF(ISBLANK(Games!U313), "",IF(ISTEXT(Games!U313), Games!U313, ""))</f>
      </c>
      <c r="L313" s="57" t="str">
        <f>IF(ISBLANK(Games!D313), "", Games!D313)</f>
      </c>
      <c r="M313" s="65"/>
      <c r="N313" s="75" t="str">
        <f>IF(Games!V313="", "",Games!V313)</f>
      </c>
      <c r="O313" s="75" t="str">
        <f>IF(Games!Z313=0, "",Games!Z313)</f>
      </c>
      <c r="P313" s="67"/>
      <c r="Q313" s="67" t="str">
        <f>IF(ISBLANK(Games!W313), "", Games!W313)</f>
      </c>
      <c r="R313" s="67" t="str">
        <f>IF(ISBLANK(Games!AA313), "", Games!AA313)</f>
      </c>
      <c r="S313" s="67"/>
      <c r="T313" s="68" t="str">
        <f t="shared" si="43"/>
      </c>
      <c r="U313" s="68" t="str">
        <f t="shared" si="44"/>
      </c>
      <c r="V313" s="68" t="str">
        <f t="shared" si="45"/>
      </c>
      <c r="W313" s="68" t="str">
        <f t="shared" si="46"/>
      </c>
      <c r="X313" s="68" t="n">
        <f t="shared" si="48"/>
        <v>0</v>
      </c>
      <c r="Y313" s="68" t="n">
        <f t="shared" si="49"/>
        <v>0</v>
      </c>
      <c r="Z313" s="67" t="str">
        <f>IF(OR('Prediction Log'!L314="", Table12[[#This Row],[Bet]]="", Table12[[#This Row],[Bet]]="Spread"), "",IF('Prediction Log'!L314=Table12[[#This Row],[Side]], "W", IF('Prediction Log'!L314&lt;&gt;Table12[[#This Row],[Side]], "L", "")))</f>
      </c>
      <c r="AA313" s="59" t="str">
        <f t="shared" si="50"/>
      </c>
      <c r="AB313" s="67" t="str">
        <f>IF(OR(Table12[[#This Row],[Bet]]="Side",Table12[[#This Row],[Bet]]="", 'Prediction Log'!L314=""), "",IF('Prediction Log'!U314="Y", "W", IF('Prediction Log'!U314="N", "L", "")))</f>
      </c>
      <c r="AC313" s="59" t="str">
        <f t="shared" si="42"/>
      </c>
      <c r="AD313" s="67"/>
      <c r="AE313" s="65" t="str">
        <f t="shared" si="47"/>
      </c>
      <c r="AF3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4">
      <c r="A314" s="65" t="str">
        <f>IF(ISBLANK(Games!A314), "", Games!A314)</f>
      </c>
      <c r="B314" s="65" t="str">
        <f>IF('Prediction Log'!B315=0, "",'Prediction Log'!B315)</f>
      </c>
      <c r="C314" s="65" t="str">
        <f>IF('Prediction Log'!C315=0, "",'Prediction Log'!C315)</f>
      </c>
      <c r="D314" s="65" t="str">
        <f>IF('Prediction Log'!D315=0, "",'Prediction Log'!D315)</f>
      </c>
      <c r="E314" s="58" t="str">
        <f>IF('Prediction Log'!E315=0, "",'Prediction Log'!E315)</f>
      </c>
      <c r="F314" s="65" t="str">
        <f>IF('Prediction Log'!H315=0, "",'Prediction Log'!H315)</f>
      </c>
      <c r="G314" s="64" t="str">
        <f>IF(ISBLANK(Games!B314), "",'Prediction Log'!$I315)</f>
      </c>
      <c r="H314" s="66" t="n">
        <f>'Prediction Log'!$J315</f>
        <v>0</v>
      </c>
      <c r="I314" s="65" t="str">
        <f>IF(ISBLANK(Games!T314), "",IF(AND(Games!T314="",Games!U314=""),"",IF(ISTEXT(Games!U314), "Side",Games!T314)))</f>
      </c>
      <c r="J314" s="65" t="str">
        <f>IF(ISBLANK(Games!T314), "",IF(Table12[[#This Row],[Bet]]="Spread", Games!X314, ""))</f>
      </c>
      <c r="K314" s="65" t="str">
        <f>IF(ISBLANK(Games!U314), "",IF(ISTEXT(Games!U314), Games!U314, ""))</f>
      </c>
      <c r="L314" s="57" t="str">
        <f>IF(ISBLANK(Games!D314), "", Games!D314)</f>
      </c>
      <c r="M314" s="65"/>
      <c r="N314" s="75" t="str">
        <f>IF(Games!V314="", "",Games!V314)</f>
      </c>
      <c r="O314" s="75" t="str">
        <f>IF(Games!Z314=0, "",Games!Z314)</f>
      </c>
      <c r="P314" s="67"/>
      <c r="Q314" s="67" t="str">
        <f>IF(ISBLANK(Games!W314), "", Games!W314)</f>
      </c>
      <c r="R314" s="67" t="str">
        <f>IF(ISBLANK(Games!AA314), "", Games!AA314)</f>
      </c>
      <c r="S314" s="67"/>
      <c r="T314" s="68" t="str">
        <f t="shared" si="43"/>
      </c>
      <c r="U314" s="68" t="str">
        <f t="shared" si="44"/>
      </c>
      <c r="V314" s="68" t="str">
        <f t="shared" si="45"/>
      </c>
      <c r="W314" s="68" t="str">
        <f t="shared" si="46"/>
      </c>
      <c r="X314" s="68" t="n">
        <f t="shared" si="48"/>
        <v>0</v>
      </c>
      <c r="Y314" s="68" t="n">
        <f t="shared" si="49"/>
        <v>0</v>
      </c>
      <c r="Z314" s="67" t="str">
        <f>IF(OR('Prediction Log'!L315="", Table12[[#This Row],[Bet]]="", Table12[[#This Row],[Bet]]="Spread"), "",IF('Prediction Log'!L315=Table12[[#This Row],[Side]], "W", IF('Prediction Log'!L315&lt;&gt;Table12[[#This Row],[Side]], "L", "")))</f>
      </c>
      <c r="AA314" s="59" t="str">
        <f t="shared" si="50"/>
      </c>
      <c r="AB314" s="67" t="str">
        <f>IF(OR(Table12[[#This Row],[Bet]]="Side",Table12[[#This Row],[Bet]]="", 'Prediction Log'!L315=""), "",IF('Prediction Log'!U315="Y", "W", IF('Prediction Log'!U315="N", "L", "")))</f>
      </c>
      <c r="AC314" s="59" t="str">
        <f t="shared" si="42"/>
      </c>
      <c r="AD314" s="67"/>
      <c r="AE314" s="65" t="str">
        <f t="shared" si="47"/>
      </c>
      <c r="AF3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5">
      <c r="A315" s="65" t="str">
        <f>IF(ISBLANK(Games!A315), "", Games!A315)</f>
      </c>
      <c r="B315" s="65" t="str">
        <f>IF('Prediction Log'!B316=0, "",'Prediction Log'!B316)</f>
      </c>
      <c r="C315" s="65" t="str">
        <f>IF('Prediction Log'!C316=0, "",'Prediction Log'!C316)</f>
      </c>
      <c r="D315" s="65" t="str">
        <f>IF('Prediction Log'!D316=0, "",'Prediction Log'!D316)</f>
      </c>
      <c r="E315" s="58" t="str">
        <f>IF('Prediction Log'!E316=0, "",'Prediction Log'!E316)</f>
      </c>
      <c r="F315" s="65" t="str">
        <f>IF('Prediction Log'!H316=0, "",'Prediction Log'!H316)</f>
      </c>
      <c r="G315" s="64" t="str">
        <f>IF(ISBLANK(Games!B315), "",'Prediction Log'!$I316)</f>
      </c>
      <c r="H315" s="66" t="n">
        <f>'Prediction Log'!$J316</f>
        <v>0</v>
      </c>
      <c r="I315" s="65" t="str">
        <f>IF(ISBLANK(Games!T315), "",IF(AND(Games!T315="",Games!U315=""),"",IF(ISTEXT(Games!U315), "Side",Games!T315)))</f>
      </c>
      <c r="J315" s="65" t="str">
        <f>IF(ISBLANK(Games!T315), "",IF(Table12[[#This Row],[Bet]]="Spread", Games!X315, ""))</f>
      </c>
      <c r="K315" s="65" t="str">
        <f>IF(ISBLANK(Games!U315), "",IF(ISTEXT(Games!U315), Games!U315, ""))</f>
      </c>
      <c r="L315" s="57" t="str">
        <f>IF(ISBLANK(Games!D315), "", Games!D315)</f>
      </c>
      <c r="M315" s="65"/>
      <c r="N315" s="75" t="str">
        <f>IF(Games!V315="", "",Games!V315)</f>
      </c>
      <c r="O315" s="75" t="str">
        <f>IF(Games!Z315=0, "",Games!Z315)</f>
      </c>
      <c r="P315" s="67"/>
      <c r="Q315" s="67" t="str">
        <f>IF(ISBLANK(Games!W315), "", Games!W315)</f>
      </c>
      <c r="R315" s="67" t="str">
        <f>IF(ISBLANK(Games!AA315), "", Games!AA315)</f>
      </c>
      <c r="S315" s="67"/>
      <c r="T315" s="68" t="str">
        <f t="shared" si="43"/>
      </c>
      <c r="U315" s="68" t="str">
        <f t="shared" si="44"/>
      </c>
      <c r="V315" s="68" t="str">
        <f t="shared" si="45"/>
      </c>
      <c r="W315" s="68" t="str">
        <f t="shared" si="46"/>
      </c>
      <c r="X315" s="68" t="n">
        <f t="shared" si="48"/>
        <v>0</v>
      </c>
      <c r="Y315" s="68" t="n">
        <f t="shared" si="49"/>
        <v>0</v>
      </c>
      <c r="Z315" s="67" t="str">
        <f>IF(OR('Prediction Log'!L316="", Table12[[#This Row],[Bet]]="", Table12[[#This Row],[Bet]]="Spread"), "",IF('Prediction Log'!L316=Table12[[#This Row],[Side]], "W", IF('Prediction Log'!L316&lt;&gt;Table12[[#This Row],[Side]], "L", "")))</f>
      </c>
      <c r="AA315" s="59" t="str">
        <f t="shared" si="50"/>
      </c>
      <c r="AB315" s="67" t="str">
        <f>IF(OR(Table12[[#This Row],[Bet]]="Side",Table12[[#This Row],[Bet]]="", 'Prediction Log'!L316=""), "",IF('Prediction Log'!U316="Y", "W", IF('Prediction Log'!U316="N", "L", "")))</f>
      </c>
      <c r="AC315" s="59" t="str">
        <f t="shared" si="42"/>
      </c>
      <c r="AD315" s="67"/>
      <c r="AE315" s="65" t="str">
        <f t="shared" si="47"/>
      </c>
      <c r="AF3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6">
      <c r="A316" s="65" t="str">
        <f>IF(ISBLANK(Games!A316), "", Games!A316)</f>
      </c>
      <c r="B316" s="65" t="str">
        <f>IF('Prediction Log'!B317=0, "",'Prediction Log'!B317)</f>
      </c>
      <c r="C316" s="65" t="str">
        <f>IF('Prediction Log'!C317=0, "",'Prediction Log'!C317)</f>
      </c>
      <c r="D316" s="65" t="str">
        <f>IF('Prediction Log'!D317=0, "",'Prediction Log'!D317)</f>
      </c>
      <c r="E316" s="58" t="str">
        <f>IF('Prediction Log'!E317=0, "",'Prediction Log'!E317)</f>
      </c>
      <c r="F316" s="65" t="str">
        <f>IF('Prediction Log'!H317=0, "",'Prediction Log'!H317)</f>
      </c>
      <c r="G316" s="64" t="str">
        <f>IF(ISBLANK(Games!B316), "",'Prediction Log'!$I317)</f>
      </c>
      <c r="H316" s="66" t="n">
        <f>'Prediction Log'!$J317</f>
        <v>0</v>
      </c>
      <c r="I316" s="65" t="str">
        <f>IF(ISBLANK(Games!T316), "",IF(AND(Games!T316="",Games!U316=""),"",IF(ISTEXT(Games!U316), "Side",Games!T316)))</f>
      </c>
      <c r="J316" s="65" t="str">
        <f>IF(ISBLANK(Games!T316), "",IF(Table12[[#This Row],[Bet]]="Spread", Games!X316, ""))</f>
      </c>
      <c r="K316" s="65" t="str">
        <f>IF(ISBLANK(Games!U316), "",IF(ISTEXT(Games!U316), Games!U316, ""))</f>
      </c>
      <c r="L316" s="57" t="str">
        <f>IF(ISBLANK(Games!D316), "", Games!D316)</f>
      </c>
      <c r="M316" s="65"/>
      <c r="N316" s="75" t="str">
        <f>IF(Games!V316="", "",Games!V316)</f>
      </c>
      <c r="O316" s="75" t="str">
        <f>IF(Games!Z316=0, "",Games!Z316)</f>
      </c>
      <c r="P316" s="67"/>
      <c r="Q316" s="67" t="str">
        <f>IF(ISBLANK(Games!W316), "", Games!W316)</f>
      </c>
      <c r="R316" s="67" t="str">
        <f>IF(ISBLANK(Games!AA316), "", Games!AA316)</f>
      </c>
      <c r="S316" s="67"/>
      <c r="T316" s="68" t="str">
        <f t="shared" si="43"/>
      </c>
      <c r="U316" s="68" t="str">
        <f t="shared" si="44"/>
      </c>
      <c r="V316" s="68" t="str">
        <f t="shared" si="45"/>
      </c>
      <c r="W316" s="68" t="str">
        <f t="shared" si="46"/>
      </c>
      <c r="X316" s="68" t="n">
        <f t="shared" si="48"/>
        <v>0</v>
      </c>
      <c r="Y316" s="68" t="n">
        <f t="shared" si="49"/>
        <v>0</v>
      </c>
      <c r="Z316" s="67" t="str">
        <f>IF(OR('Prediction Log'!L317="", Table12[[#This Row],[Bet]]="", Table12[[#This Row],[Bet]]="Spread"), "",IF('Prediction Log'!L317=Table12[[#This Row],[Side]], "W", IF('Prediction Log'!L317&lt;&gt;Table12[[#This Row],[Side]], "L", "")))</f>
      </c>
      <c r="AA316" s="59" t="str">
        <f t="shared" si="50"/>
      </c>
      <c r="AB316" s="67" t="str">
        <f>IF(OR(Table12[[#This Row],[Bet]]="Side",Table12[[#This Row],[Bet]]="", 'Prediction Log'!L317=""), "",IF('Prediction Log'!U317="Y", "W", IF('Prediction Log'!U317="N", "L", "")))</f>
      </c>
      <c r="AC316" s="59" t="str">
        <f t="shared" si="42"/>
      </c>
      <c r="AD316" s="67"/>
      <c r="AE316" s="65" t="str">
        <f t="shared" si="47"/>
      </c>
      <c r="AF3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7">
      <c r="A317" s="65" t="str">
        <f>IF(ISBLANK(Games!A317), "", Games!A317)</f>
      </c>
      <c r="B317" s="65" t="str">
        <f>IF('Prediction Log'!B318=0, "",'Prediction Log'!B318)</f>
      </c>
      <c r="C317" s="65" t="str">
        <f>IF('Prediction Log'!C318=0, "",'Prediction Log'!C318)</f>
      </c>
      <c r="D317" s="65" t="str">
        <f>IF('Prediction Log'!D318=0, "",'Prediction Log'!D318)</f>
      </c>
      <c r="E317" s="58" t="str">
        <f>IF('Prediction Log'!E318=0, "",'Prediction Log'!E318)</f>
      </c>
      <c r="F317" s="65" t="str">
        <f>IF('Prediction Log'!H318=0, "",'Prediction Log'!H318)</f>
      </c>
      <c r="G317" s="64" t="str">
        <f>IF(ISBLANK(Games!B317), "",'Prediction Log'!$I318)</f>
      </c>
      <c r="H317" s="66" t="n">
        <f>'Prediction Log'!$J318</f>
        <v>0</v>
      </c>
      <c r="I317" s="65" t="str">
        <f>IF(ISBLANK(Games!T317), "",IF(AND(Games!T317="",Games!U317=""),"",IF(ISTEXT(Games!U317), "Side",Games!T317)))</f>
      </c>
      <c r="J317" s="65" t="str">
        <f>IF(ISBLANK(Games!T317), "",IF(Table12[[#This Row],[Bet]]="Spread", Games!X317, ""))</f>
      </c>
      <c r="K317" s="65" t="str">
        <f>IF(ISBLANK(Games!U317), "",IF(ISTEXT(Games!U317), Games!U317, ""))</f>
      </c>
      <c r="L317" s="57" t="str">
        <f>IF(ISBLANK(Games!D317), "", Games!D317)</f>
      </c>
      <c r="M317" s="65"/>
      <c r="N317" s="75" t="str">
        <f>IF(Games!V317="", "",Games!V317)</f>
      </c>
      <c r="O317" s="75" t="str">
        <f>IF(Games!Z317=0, "",Games!Z317)</f>
      </c>
      <c r="P317" s="67"/>
      <c r="Q317" s="67" t="str">
        <f>IF(ISBLANK(Games!W317), "", Games!W317)</f>
      </c>
      <c r="R317" s="67" t="str">
        <f>IF(ISBLANK(Games!AA317), "", Games!AA317)</f>
      </c>
      <c r="S317" s="67"/>
      <c r="T317" s="68" t="str">
        <f t="shared" si="43"/>
      </c>
      <c r="U317" s="68" t="str">
        <f t="shared" si="44"/>
      </c>
      <c r="V317" s="68" t="str">
        <f t="shared" si="45"/>
      </c>
      <c r="W317" s="68" t="str">
        <f t="shared" si="46"/>
      </c>
      <c r="X317" s="68" t="n">
        <f t="shared" si="48"/>
        <v>0</v>
      </c>
      <c r="Y317" s="68" t="n">
        <f t="shared" si="49"/>
        <v>0</v>
      </c>
      <c r="Z317" s="67" t="str">
        <f>IF(OR('Prediction Log'!L318="", Table12[[#This Row],[Bet]]="", Table12[[#This Row],[Bet]]="Spread"), "",IF('Prediction Log'!L318=Table12[[#This Row],[Side]], "W", IF('Prediction Log'!L318&lt;&gt;Table12[[#This Row],[Side]], "L", "")))</f>
      </c>
      <c r="AA317" s="59" t="str">
        <f t="shared" si="50"/>
      </c>
      <c r="AB317" s="67" t="str">
        <f>IF(OR(Table12[[#This Row],[Bet]]="Side",Table12[[#This Row],[Bet]]="", 'Prediction Log'!L318=""), "",IF('Prediction Log'!U318="Y", "W", IF('Prediction Log'!U318="N", "L", "")))</f>
      </c>
      <c r="AC317" s="59" t="str">
        <f t="shared" si="42"/>
      </c>
      <c r="AD317" s="67"/>
      <c r="AE317" s="65" t="str">
        <f t="shared" si="47"/>
      </c>
      <c r="AF3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8">
      <c r="A318" s="65" t="str">
        <f>IF(ISBLANK(Games!A318), "", Games!A318)</f>
      </c>
      <c r="B318" s="65" t="str">
        <f>IF('Prediction Log'!B319=0, "",'Prediction Log'!B319)</f>
      </c>
      <c r="C318" s="65" t="str">
        <f>IF('Prediction Log'!C319=0, "",'Prediction Log'!C319)</f>
      </c>
      <c r="D318" s="65" t="str">
        <f>IF('Prediction Log'!D319=0, "",'Prediction Log'!D319)</f>
      </c>
      <c r="E318" s="58" t="str">
        <f>IF('Prediction Log'!E319=0, "",'Prediction Log'!E319)</f>
      </c>
      <c r="F318" s="65" t="str">
        <f>IF('Prediction Log'!H319=0, "",'Prediction Log'!H319)</f>
      </c>
      <c r="G318" s="64" t="str">
        <f>IF(ISBLANK(Games!B318), "",'Prediction Log'!$I319)</f>
      </c>
      <c r="H318" s="66" t="n">
        <f>'Prediction Log'!$J319</f>
        <v>0</v>
      </c>
      <c r="I318" s="65" t="str">
        <f>IF(ISBLANK(Games!T318), "",IF(AND(Games!T318="",Games!U318=""),"",IF(ISTEXT(Games!U318), "Side",Games!T318)))</f>
      </c>
      <c r="J318" s="65" t="str">
        <f>IF(ISBLANK(Games!T318), "",IF(Table12[[#This Row],[Bet]]="Spread", Games!X318, ""))</f>
      </c>
      <c r="K318" s="65" t="str">
        <f>IF(ISBLANK(Games!U318), "",IF(ISTEXT(Games!U318), Games!U318, ""))</f>
      </c>
      <c r="L318" s="57" t="str">
        <f>IF(ISBLANK(Games!D318), "", Games!D318)</f>
      </c>
      <c r="M318" s="65"/>
      <c r="N318" s="75" t="str">
        <f>IF(Games!V318="", "",Games!V318)</f>
      </c>
      <c r="O318" s="75" t="str">
        <f>IF(Games!Z318=0, "",Games!Z318)</f>
      </c>
      <c r="P318" s="67"/>
      <c r="Q318" s="67" t="str">
        <f>IF(ISBLANK(Games!W318), "", Games!W318)</f>
      </c>
      <c r="R318" s="67" t="str">
        <f>IF(ISBLANK(Games!AA318), "", Games!AA318)</f>
      </c>
      <c r="S318" s="67"/>
      <c r="T318" s="68" t="str">
        <f t="shared" si="43"/>
      </c>
      <c r="U318" s="68" t="str">
        <f t="shared" si="44"/>
      </c>
      <c r="V318" s="68" t="str">
        <f t="shared" si="45"/>
      </c>
      <c r="W318" s="68" t="str">
        <f t="shared" si="46"/>
      </c>
      <c r="X318" s="68" t="n">
        <f t="shared" si="48"/>
        <v>0</v>
      </c>
      <c r="Y318" s="68" t="n">
        <f t="shared" si="49"/>
        <v>0</v>
      </c>
      <c r="Z318" s="67" t="str">
        <f>IF(OR('Prediction Log'!L319="", Table12[[#This Row],[Bet]]="", Table12[[#This Row],[Bet]]="Spread"), "",IF('Prediction Log'!L319=Table12[[#This Row],[Side]], "W", IF('Prediction Log'!L319&lt;&gt;Table12[[#This Row],[Side]], "L", "")))</f>
      </c>
      <c r="AA318" s="59" t="str">
        <f t="shared" si="50"/>
      </c>
      <c r="AB318" s="67" t="str">
        <f>IF(OR(Table12[[#This Row],[Bet]]="Side",Table12[[#This Row],[Bet]]="", 'Prediction Log'!L319=""), "",IF('Prediction Log'!U319="Y", "W", IF('Prediction Log'!U319="N", "L", "")))</f>
      </c>
      <c r="AC318" s="59" t="str">
        <f t="shared" si="42"/>
      </c>
      <c r="AD318" s="67"/>
      <c r="AE318" s="65" t="str">
        <f t="shared" si="47"/>
      </c>
      <c r="AF3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9">
      <c r="A319" s="65" t="str">
        <f>IF(ISBLANK(Games!A319), "", Games!A319)</f>
      </c>
      <c r="B319" s="65" t="str">
        <f>IF('Prediction Log'!B320=0, "",'Prediction Log'!B320)</f>
      </c>
      <c r="C319" s="65" t="str">
        <f>IF('Prediction Log'!C320=0, "",'Prediction Log'!C320)</f>
      </c>
      <c r="D319" s="65" t="str">
        <f>IF('Prediction Log'!D320=0, "",'Prediction Log'!D320)</f>
      </c>
      <c r="E319" s="58" t="str">
        <f>IF('Prediction Log'!E320=0, "",'Prediction Log'!E320)</f>
      </c>
      <c r="F319" s="65" t="str">
        <f>IF('Prediction Log'!H320=0, "",'Prediction Log'!H320)</f>
      </c>
      <c r="G319" s="64" t="str">
        <f>IF(ISBLANK(Games!B319), "",'Prediction Log'!$I320)</f>
      </c>
      <c r="H319" s="66" t="n">
        <f>'Prediction Log'!$J320</f>
        <v>0</v>
      </c>
      <c r="I319" s="65" t="str">
        <f>IF(ISBLANK(Games!T319), "",IF(AND(Games!T319="",Games!U319=""),"",IF(ISTEXT(Games!U319), "Side",Games!T319)))</f>
      </c>
      <c r="J319" s="65" t="str">
        <f>IF(ISBLANK(Games!T319), "",IF(Table12[[#This Row],[Bet]]="Spread", Games!X319, ""))</f>
      </c>
      <c r="K319" s="65" t="str">
        <f>IF(ISBLANK(Games!U319), "",IF(ISTEXT(Games!U319), Games!U319, ""))</f>
      </c>
      <c r="L319" s="57" t="str">
        <f>IF(ISBLANK(Games!D319), "", Games!D319)</f>
      </c>
      <c r="M319" s="65"/>
      <c r="N319" s="75" t="str">
        <f>IF(Games!V319="", "",Games!V319)</f>
      </c>
      <c r="O319" s="75" t="str">
        <f>IF(Games!Z319=0, "",Games!Z319)</f>
      </c>
      <c r="P319" s="67"/>
      <c r="Q319" s="67" t="str">
        <f>IF(ISBLANK(Games!W319), "", Games!W319)</f>
      </c>
      <c r="R319" s="67" t="str">
        <f>IF(ISBLANK(Games!AA319), "", Games!AA319)</f>
      </c>
      <c r="S319" s="67"/>
      <c r="T319" s="68" t="str">
        <f t="shared" si="43"/>
      </c>
      <c r="U319" s="68" t="str">
        <f t="shared" si="44"/>
      </c>
      <c r="V319" s="68" t="str">
        <f t="shared" si="45"/>
      </c>
      <c r="W319" s="68" t="str">
        <f t="shared" si="46"/>
      </c>
      <c r="X319" s="68" t="n">
        <f t="shared" si="48"/>
        <v>0</v>
      </c>
      <c r="Y319" s="68" t="n">
        <f t="shared" si="49"/>
        <v>0</v>
      </c>
      <c r="Z319" s="67" t="str">
        <f>IF(OR('Prediction Log'!L320="", Table12[[#This Row],[Bet]]="", Table12[[#This Row],[Bet]]="Spread"), "",IF('Prediction Log'!L320=Table12[[#This Row],[Side]], "W", IF('Prediction Log'!L320&lt;&gt;Table12[[#This Row],[Side]], "L", "")))</f>
      </c>
      <c r="AA319" s="59" t="str">
        <f t="shared" si="50"/>
      </c>
      <c r="AB319" s="67" t="str">
        <f>IF(OR(Table12[[#This Row],[Bet]]="Side",Table12[[#This Row],[Bet]]="", 'Prediction Log'!L320=""), "",IF('Prediction Log'!U320="Y", "W", IF('Prediction Log'!U320="N", "L", "")))</f>
      </c>
      <c r="AC319" s="59" t="str">
        <f t="shared" si="42"/>
      </c>
      <c r="AD319" s="67"/>
      <c r="AE319" s="65" t="str">
        <f t="shared" si="47"/>
      </c>
      <c r="AF3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0">
      <c r="A320" s="65" t="str">
        <f>IF(ISBLANK(Games!A320), "", Games!A320)</f>
      </c>
      <c r="B320" s="65" t="str">
        <f>IF('Prediction Log'!B321=0, "",'Prediction Log'!B321)</f>
      </c>
      <c r="C320" s="65" t="str">
        <f>IF('Prediction Log'!C321=0, "",'Prediction Log'!C321)</f>
      </c>
      <c r="D320" s="65" t="str">
        <f>IF('Prediction Log'!D321=0, "",'Prediction Log'!D321)</f>
      </c>
      <c r="E320" s="58" t="str">
        <f>IF('Prediction Log'!E321=0, "",'Prediction Log'!E321)</f>
      </c>
      <c r="F320" s="65" t="str">
        <f>IF('Prediction Log'!H321=0, "",'Prediction Log'!H321)</f>
      </c>
      <c r="G320" s="64" t="str">
        <f>IF(ISBLANK(Games!B320), "",'Prediction Log'!$I321)</f>
      </c>
      <c r="H320" s="66" t="n">
        <f>'Prediction Log'!$J321</f>
        <v>0</v>
      </c>
      <c r="I320" s="65" t="str">
        <f>IF(ISBLANK(Games!T320), "",IF(AND(Games!T320="",Games!U320=""),"",IF(ISTEXT(Games!U320), "Side",Games!T320)))</f>
      </c>
      <c r="J320" s="65" t="str">
        <f>IF(ISBLANK(Games!T320), "",IF(Table12[[#This Row],[Bet]]="Spread", Games!X320, ""))</f>
      </c>
      <c r="K320" s="65" t="str">
        <f>IF(ISBLANK(Games!U320), "",IF(ISTEXT(Games!U320), Games!U320, ""))</f>
      </c>
      <c r="L320" s="57" t="str">
        <f>IF(ISBLANK(Games!D320), "", Games!D320)</f>
      </c>
      <c r="M320" s="65"/>
      <c r="N320" s="75" t="str">
        <f>IF(Games!V320="", "",Games!V320)</f>
      </c>
      <c r="O320" s="75" t="str">
        <f>IF(Games!Z320=0, "",Games!Z320)</f>
      </c>
      <c r="P320" s="67"/>
      <c r="Q320" s="67" t="str">
        <f>IF(ISBLANK(Games!W320), "", Games!W320)</f>
      </c>
      <c r="R320" s="67" t="str">
        <f>IF(ISBLANK(Games!AA320), "", Games!AA320)</f>
      </c>
      <c r="S320" s="67"/>
      <c r="T320" s="68" t="str">
        <f t="shared" si="43"/>
      </c>
      <c r="U320" s="68" t="str">
        <f t="shared" si="44"/>
      </c>
      <c r="V320" s="68" t="str">
        <f t="shared" si="45"/>
      </c>
      <c r="W320" s="68" t="str">
        <f t="shared" si="46"/>
      </c>
      <c r="X320" s="68" t="n">
        <f t="shared" si="48"/>
        <v>0</v>
      </c>
      <c r="Y320" s="68" t="n">
        <f t="shared" si="49"/>
        <v>0</v>
      </c>
      <c r="Z320" s="67" t="str">
        <f>IF(OR('Prediction Log'!L321="", Table12[[#This Row],[Bet]]="", Table12[[#This Row],[Bet]]="Spread"), "",IF('Prediction Log'!L321=Table12[[#This Row],[Side]], "W", IF('Prediction Log'!L321&lt;&gt;Table12[[#This Row],[Side]], "L", "")))</f>
      </c>
      <c r="AA320" s="59" t="str">
        <f t="shared" si="50"/>
      </c>
      <c r="AB320" s="67" t="str">
        <f>IF(OR(Table12[[#This Row],[Bet]]="Side",Table12[[#This Row],[Bet]]="", 'Prediction Log'!L321=""), "",IF('Prediction Log'!U321="Y", "W", IF('Prediction Log'!U321="N", "L", "")))</f>
      </c>
      <c r="AC320" s="59" t="str">
        <f t="shared" si="42"/>
      </c>
      <c r="AD320" s="67"/>
      <c r="AE320" s="65" t="str">
        <f t="shared" si="47"/>
      </c>
      <c r="AF3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1">
      <c r="A321" s="65" t="str">
        <f>IF(ISBLANK(Games!A321), "", Games!A321)</f>
      </c>
      <c r="B321" s="65" t="str">
        <f>IF('Prediction Log'!B322=0, "",'Prediction Log'!B322)</f>
      </c>
      <c r="C321" s="65" t="str">
        <f>IF('Prediction Log'!C322=0, "",'Prediction Log'!C322)</f>
      </c>
      <c r="D321" s="65" t="str">
        <f>IF('Prediction Log'!D322=0, "",'Prediction Log'!D322)</f>
      </c>
      <c r="E321" s="58" t="str">
        <f>IF('Prediction Log'!E322=0, "",'Prediction Log'!E322)</f>
      </c>
      <c r="F321" s="65" t="str">
        <f>IF('Prediction Log'!H322=0, "",'Prediction Log'!H322)</f>
      </c>
      <c r="G321" s="64" t="str">
        <f>IF(ISBLANK(Games!B321), "",'Prediction Log'!$I322)</f>
      </c>
      <c r="H321" s="66" t="n">
        <f>'Prediction Log'!$J322</f>
        <v>0</v>
      </c>
      <c r="I321" s="65" t="str">
        <f>IF(ISBLANK(Games!T321), "",IF(AND(Games!T321="",Games!U321=""),"",IF(ISTEXT(Games!U321), "Side",Games!T321)))</f>
      </c>
      <c r="J321" s="65" t="str">
        <f>IF(ISBLANK(Games!T321), "",IF(Table12[[#This Row],[Bet]]="Spread", Games!X321, ""))</f>
      </c>
      <c r="K321" s="65" t="str">
        <f>IF(ISBLANK(Games!U321), "",IF(ISTEXT(Games!U321), Games!U321, ""))</f>
      </c>
      <c r="L321" s="57" t="str">
        <f>IF(ISBLANK(Games!D321), "", Games!D321)</f>
      </c>
      <c r="M321" s="65"/>
      <c r="N321" s="75" t="str">
        <f>IF(Games!V321="", "",Games!V321)</f>
      </c>
      <c r="O321" s="75" t="str">
        <f>IF(Games!Z321=0, "",Games!Z321)</f>
      </c>
      <c r="P321" s="67"/>
      <c r="Q321" s="67" t="str">
        <f>IF(ISBLANK(Games!W321), "", Games!W321)</f>
      </c>
      <c r="R321" s="67" t="str">
        <f>IF(ISBLANK(Games!AA321), "", Games!AA321)</f>
      </c>
      <c r="S321" s="67"/>
      <c r="T321" s="68" t="str">
        <f t="shared" si="43"/>
      </c>
      <c r="U321" s="68" t="str">
        <f t="shared" si="44"/>
      </c>
      <c r="V321" s="68" t="str">
        <f t="shared" si="45"/>
      </c>
      <c r="W321" s="68" t="str">
        <f t="shared" si="46"/>
      </c>
      <c r="X321" s="68" t="n">
        <f t="shared" si="48"/>
        <v>0</v>
      </c>
      <c r="Y321" s="68" t="n">
        <f t="shared" si="49"/>
        <v>0</v>
      </c>
      <c r="Z321" s="67" t="str">
        <f>IF(OR('Prediction Log'!L322="", Table12[[#This Row],[Bet]]="", Table12[[#This Row],[Bet]]="Spread"), "",IF('Prediction Log'!L322=Table12[[#This Row],[Side]], "W", IF('Prediction Log'!L322&lt;&gt;Table12[[#This Row],[Side]], "L", "")))</f>
      </c>
      <c r="AA321" s="59" t="str">
        <f t="shared" si="50"/>
      </c>
      <c r="AB321" s="67" t="str">
        <f>IF(OR(Table12[[#This Row],[Bet]]="Side",Table12[[#This Row],[Bet]]="", 'Prediction Log'!L322=""), "",IF('Prediction Log'!U322="Y", "W", IF('Prediction Log'!U322="N", "L", "")))</f>
      </c>
      <c r="AC321" s="59" t="str">
        <f t="shared" si="42"/>
      </c>
      <c r="AD321" s="67"/>
      <c r="AE321" s="65" t="str">
        <f t="shared" si="47"/>
      </c>
      <c r="AF3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2">
      <c r="A322" s="65" t="str">
        <f>IF(ISBLANK(Games!A322), "", Games!A322)</f>
      </c>
      <c r="B322" s="65" t="str">
        <f>IF('Prediction Log'!B323=0, "",'Prediction Log'!B323)</f>
      </c>
      <c r="C322" s="65" t="str">
        <f>IF('Prediction Log'!C323=0, "",'Prediction Log'!C323)</f>
      </c>
      <c r="D322" s="65" t="str">
        <f>IF('Prediction Log'!D323=0, "",'Prediction Log'!D323)</f>
      </c>
      <c r="E322" s="58" t="str">
        <f>IF('Prediction Log'!E323=0, "",'Prediction Log'!E323)</f>
      </c>
      <c r="F322" s="65" t="str">
        <f>IF('Prediction Log'!H323=0, "",'Prediction Log'!H323)</f>
      </c>
      <c r="G322" s="64" t="str">
        <f>IF(ISBLANK(Games!B322), "",'Prediction Log'!$I323)</f>
      </c>
      <c r="H322" s="66" t="n">
        <f>'Prediction Log'!$J323</f>
        <v>0</v>
      </c>
      <c r="I322" s="65" t="str">
        <f>IF(ISBLANK(Games!T322), "",IF(AND(Games!T322="",Games!U322=""),"",IF(ISTEXT(Games!U322), "Side",Games!T322)))</f>
      </c>
      <c r="J322" s="65" t="str">
        <f>IF(ISBLANK(Games!T322), "",IF(Table12[[#This Row],[Bet]]="Spread", Games!X322, ""))</f>
      </c>
      <c r="K322" s="65" t="str">
        <f>IF(ISBLANK(Games!U322), "",IF(ISTEXT(Games!U322), Games!U322, ""))</f>
      </c>
      <c r="L322" s="57" t="str">
        <f>IF(ISBLANK(Games!D322), "", Games!D322)</f>
      </c>
      <c r="M322" s="65"/>
      <c r="N322" s="75" t="str">
        <f>IF(Games!V322="", "",Games!V322)</f>
      </c>
      <c r="O322" s="75" t="str">
        <f>IF(Games!Z322=0, "",Games!Z322)</f>
      </c>
      <c r="P322" s="67"/>
      <c r="Q322" s="67" t="str">
        <f>IF(ISBLANK(Games!W322), "", Games!W322)</f>
      </c>
      <c r="R322" s="67" t="str">
        <f>IF(ISBLANK(Games!AA322), "", Games!AA322)</f>
      </c>
      <c r="S322" s="67"/>
      <c r="T322" s="68" t="str">
        <f t="shared" si="43"/>
      </c>
      <c r="U322" s="68" t="str">
        <f t="shared" si="44"/>
      </c>
      <c r="V322" s="68" t="str">
        <f t="shared" si="45"/>
      </c>
      <c r="W322" s="68" t="str">
        <f t="shared" si="46"/>
      </c>
      <c r="X322" s="68" t="n">
        <f t="shared" si="48"/>
        <v>0</v>
      </c>
      <c r="Y322" s="68" t="n">
        <f t="shared" si="49"/>
        <v>0</v>
      </c>
      <c r="Z322" s="67" t="str">
        <f>IF(OR('Prediction Log'!L323="", Table12[[#This Row],[Bet]]="", Table12[[#This Row],[Bet]]="Spread"), "",IF('Prediction Log'!L323=Table12[[#This Row],[Side]], "W", IF('Prediction Log'!L323&lt;&gt;Table12[[#This Row],[Side]], "L", "")))</f>
      </c>
      <c r="AA322" s="59" t="str">
        <f t="shared" si="50"/>
      </c>
      <c r="AB322" s="67" t="str">
        <f>IF(OR(Table12[[#This Row],[Bet]]="Side",Table12[[#This Row],[Bet]]="", 'Prediction Log'!L323=""), "",IF('Prediction Log'!U323="Y", "W", IF('Prediction Log'!U323="N", "L", "")))</f>
      </c>
      <c r="AC322" s="59" t="str">
        <f t="shared" ref="AC322:AC385" si="51">IF(AB322="W", W322, IF(AB322="L",-O322, ""))</f>
      </c>
      <c r="AD322" s="67"/>
      <c r="AE322" s="65" t="str">
        <f t="shared" si="47"/>
      </c>
      <c r="AF3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3">
      <c r="A323" s="65" t="str">
        <f>IF(ISBLANK(Games!A323), "", Games!A323)</f>
      </c>
      <c r="B323" s="65" t="str">
        <f>IF('Prediction Log'!B324=0, "",'Prediction Log'!B324)</f>
      </c>
      <c r="C323" s="65" t="str">
        <f>IF('Prediction Log'!C324=0, "",'Prediction Log'!C324)</f>
      </c>
      <c r="D323" s="65" t="str">
        <f>IF('Prediction Log'!D324=0, "",'Prediction Log'!D324)</f>
      </c>
      <c r="E323" s="58" t="str">
        <f>IF('Prediction Log'!E324=0, "",'Prediction Log'!E324)</f>
      </c>
      <c r="F323" s="65" t="str">
        <f>IF('Prediction Log'!H324=0, "",'Prediction Log'!H324)</f>
      </c>
      <c r="G323" s="64" t="str">
        <f>IF(ISBLANK(Games!B323), "",'Prediction Log'!$I324)</f>
      </c>
      <c r="H323" s="66" t="n">
        <f>'Prediction Log'!$J324</f>
        <v>0</v>
      </c>
      <c r="I323" s="65" t="str">
        <f>IF(ISBLANK(Games!T323), "",IF(AND(Games!T323="",Games!U323=""),"",IF(ISTEXT(Games!U323), "Side",Games!T323)))</f>
      </c>
      <c r="J323" s="65" t="str">
        <f>IF(ISBLANK(Games!T323), "",IF(Table12[[#This Row],[Bet]]="Spread", Games!X323, ""))</f>
      </c>
      <c r="K323" s="65" t="str">
        <f>IF(ISBLANK(Games!U323), "",IF(ISTEXT(Games!U323), Games!U323, ""))</f>
      </c>
      <c r="L323" s="57" t="str">
        <f>IF(ISBLANK(Games!D323), "", Games!D323)</f>
      </c>
      <c r="M323" s="65"/>
      <c r="N323" s="75" t="str">
        <f>IF(Games!V323="", "",Games!V323)</f>
      </c>
      <c r="O323" s="75" t="str">
        <f>IF(Games!Z323=0, "",Games!Z323)</f>
      </c>
      <c r="P323" s="67"/>
      <c r="Q323" s="67" t="str">
        <f>IF(ISBLANK(Games!W323), "", Games!W323)</f>
      </c>
      <c r="R323" s="67" t="str">
        <f>IF(ISBLANK(Games!AA323), "", Games!AA323)</f>
      </c>
      <c r="S323" s="67"/>
      <c r="T323" s="68" t="str">
        <f t="shared" ref="T323:T386" si="52">IFERROR(N323+IF(Q323&lt;0, (N323/(Q323/-100)), N323*(Q323/100)), "")</f>
      </c>
      <c r="U323" s="68" t="str">
        <f t="shared" ref="U323:U386" si="53">IFERROR(T323-N323, "")</f>
      </c>
      <c r="V323" s="68" t="str">
        <f t="shared" ref="V323:V386" si="54">IFERROR(O323+IF(R323&lt;0, (O323/(R323/-100)), O323*(R323/100)), "")</f>
      </c>
      <c r="W323" s="68" t="str">
        <f t="shared" ref="W323:W386" si="55">IFERROR(V323-O323, "")</f>
      </c>
      <c r="X323" s="68" t="n">
        <f t="shared" si="48"/>
        <v>0</v>
      </c>
      <c r="Y323" s="68" t="n">
        <f t="shared" si="49"/>
        <v>0</v>
      </c>
      <c r="Z323" s="67" t="str">
        <f>IF(OR('Prediction Log'!L324="", Table12[[#This Row],[Bet]]="", Table12[[#This Row],[Bet]]="Spread"), "",IF('Prediction Log'!L324=Table12[[#This Row],[Side]], "W", IF('Prediction Log'!L324&lt;&gt;Table12[[#This Row],[Side]], "L", "")))</f>
      </c>
      <c r="AA323" s="59" t="str">
        <f t="shared" si="50"/>
      </c>
      <c r="AB323" s="67" t="str">
        <f>IF(OR(Table12[[#This Row],[Bet]]="Side",Table12[[#This Row],[Bet]]="", 'Prediction Log'!L324=""), "",IF('Prediction Log'!U324="Y", "W", IF('Prediction Log'!U324="N", "L", "")))</f>
      </c>
      <c r="AC323" s="59" t="str">
        <f t="shared" si="51"/>
      </c>
      <c r="AD323" s="67"/>
      <c r="AE323" s="65" t="str">
        <f t="shared" ref="AE323:AE386" si="56">IF(AD323="W", Y323, IF(AD323="L",-R323, ""))</f>
      </c>
      <c r="AF3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4">
      <c r="A324" s="65" t="str">
        <f>IF(ISBLANK(Games!A324), "", Games!A324)</f>
      </c>
      <c r="B324" s="65" t="str">
        <f>IF('Prediction Log'!B325=0, "",'Prediction Log'!B325)</f>
      </c>
      <c r="C324" s="65" t="str">
        <f>IF('Prediction Log'!C325=0, "",'Prediction Log'!C325)</f>
      </c>
      <c r="D324" s="65" t="str">
        <f>IF('Prediction Log'!D325=0, "",'Prediction Log'!D325)</f>
      </c>
      <c r="E324" s="58" t="str">
        <f>IF('Prediction Log'!E325=0, "",'Prediction Log'!E325)</f>
      </c>
      <c r="F324" s="65" t="str">
        <f>IF('Prediction Log'!H325=0, "",'Prediction Log'!H325)</f>
      </c>
      <c r="G324" s="64" t="str">
        <f>IF(ISBLANK(Games!B324), "",'Prediction Log'!$I325)</f>
      </c>
      <c r="H324" s="66" t="n">
        <f>'Prediction Log'!$J325</f>
        <v>0</v>
      </c>
      <c r="I324" s="65" t="str">
        <f>IF(ISBLANK(Games!T324), "",IF(AND(Games!T324="",Games!U324=""),"",IF(ISTEXT(Games!U324), "Side",Games!T324)))</f>
      </c>
      <c r="J324" s="65" t="str">
        <f>IF(ISBLANK(Games!T324), "",IF(Table12[[#This Row],[Bet]]="Spread", Games!X324, ""))</f>
      </c>
      <c r="K324" s="65" t="str">
        <f>IF(ISBLANK(Games!U324), "",IF(ISTEXT(Games!U324), Games!U324, ""))</f>
      </c>
      <c r="L324" s="57" t="str">
        <f>IF(ISBLANK(Games!D324), "", Games!D324)</f>
      </c>
      <c r="M324" s="65"/>
      <c r="N324" s="75" t="str">
        <f>IF(Games!V324="", "",Games!V324)</f>
      </c>
      <c r="O324" s="75" t="str">
        <f>IF(Games!Z324=0, "",Games!Z324)</f>
      </c>
      <c r="P324" s="67"/>
      <c r="Q324" s="67" t="str">
        <f>IF(ISBLANK(Games!W324), "", Games!W324)</f>
      </c>
      <c r="R324" s="67" t="str">
        <f>IF(ISBLANK(Games!AA324), "", Games!AA324)</f>
      </c>
      <c r="S324" s="67"/>
      <c r="T324" s="68" t="str">
        <f t="shared" si="52"/>
      </c>
      <c r="U324" s="68" t="str">
        <f t="shared" si="53"/>
      </c>
      <c r="V324" s="68" t="str">
        <f t="shared" si="54"/>
      </c>
      <c r="W324" s="68" t="str">
        <f t="shared" si="55"/>
      </c>
      <c r="X324" s="68" t="n">
        <f t="shared" si="48"/>
        <v>0</v>
      </c>
      <c r="Y324" s="68" t="n">
        <f t="shared" si="49"/>
        <v>0</v>
      </c>
      <c r="Z324" s="67" t="str">
        <f>IF(OR('Prediction Log'!L325="", Table12[[#This Row],[Bet]]="", Table12[[#This Row],[Bet]]="Spread"), "",IF('Prediction Log'!L325=Table12[[#This Row],[Side]], "W", IF('Prediction Log'!L325&lt;&gt;Table12[[#This Row],[Side]], "L", "")))</f>
      </c>
      <c r="AA324" s="59" t="str">
        <f t="shared" si="50"/>
      </c>
      <c r="AB324" s="67" t="str">
        <f>IF(OR(Table12[[#This Row],[Bet]]="Side",Table12[[#This Row],[Bet]]="", 'Prediction Log'!L325=""), "",IF('Prediction Log'!U325="Y", "W", IF('Prediction Log'!U325="N", "L", "")))</f>
      </c>
      <c r="AC324" s="59" t="str">
        <f t="shared" si="51"/>
      </c>
      <c r="AD324" s="67"/>
      <c r="AE324" s="65" t="str">
        <f t="shared" si="56"/>
      </c>
      <c r="AF3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5">
      <c r="A325" s="65" t="str">
        <f>IF(ISBLANK(Games!A325), "", Games!A325)</f>
      </c>
      <c r="B325" s="65" t="str">
        <f>IF('Prediction Log'!B326=0, "",'Prediction Log'!B326)</f>
      </c>
      <c r="C325" s="65" t="str">
        <f>IF('Prediction Log'!C326=0, "",'Prediction Log'!C326)</f>
      </c>
      <c r="D325" s="65" t="str">
        <f>IF('Prediction Log'!D326=0, "",'Prediction Log'!D326)</f>
      </c>
      <c r="E325" s="58" t="str">
        <f>IF('Prediction Log'!E326=0, "",'Prediction Log'!E326)</f>
      </c>
      <c r="F325" s="65" t="str">
        <f>IF('Prediction Log'!H326=0, "",'Prediction Log'!H326)</f>
      </c>
      <c r="G325" s="64" t="str">
        <f>IF(ISBLANK(Games!B325), "",'Prediction Log'!$I326)</f>
      </c>
      <c r="H325" s="66" t="n">
        <f>'Prediction Log'!$J326</f>
        <v>0</v>
      </c>
      <c r="I325" s="65" t="str">
        <f>IF(ISBLANK(Games!T325), "",IF(AND(Games!T325="",Games!U325=""),"",IF(ISTEXT(Games!U325), "Side",Games!T325)))</f>
      </c>
      <c r="J325" s="65" t="str">
        <f>IF(ISBLANK(Games!T325), "",IF(Table12[[#This Row],[Bet]]="Spread", Games!X325, ""))</f>
      </c>
      <c r="K325" s="65" t="str">
        <f>IF(ISBLANK(Games!U325), "",IF(ISTEXT(Games!U325), Games!U325, ""))</f>
      </c>
      <c r="L325" s="57" t="str">
        <f>IF(ISBLANK(Games!D325), "", Games!D325)</f>
      </c>
      <c r="M325" s="65"/>
      <c r="N325" s="75" t="str">
        <f>IF(Games!V325="", "",Games!V325)</f>
      </c>
      <c r="O325" s="75" t="str">
        <f>IF(Games!Z325=0, "",Games!Z325)</f>
      </c>
      <c r="P325" s="67"/>
      <c r="Q325" s="67" t="str">
        <f>IF(ISBLANK(Games!W325), "", Games!W325)</f>
      </c>
      <c r="R325" s="67" t="str">
        <f>IF(ISBLANK(Games!AA325), "", Games!AA325)</f>
      </c>
      <c r="S325" s="67"/>
      <c r="T325" s="68" t="str">
        <f t="shared" si="52"/>
      </c>
      <c r="U325" s="68" t="str">
        <f t="shared" si="53"/>
      </c>
      <c r="V325" s="68" t="str">
        <f t="shared" si="54"/>
      </c>
      <c r="W325" s="68" t="str">
        <f t="shared" si="55"/>
      </c>
      <c r="X325" s="68" t="n">
        <f t="shared" si="48"/>
        <v>0</v>
      </c>
      <c r="Y325" s="68" t="n">
        <f t="shared" si="49"/>
        <v>0</v>
      </c>
      <c r="Z325" s="67" t="str">
        <f>IF(OR('Prediction Log'!L326="", Table12[[#This Row],[Bet]]="", Table12[[#This Row],[Bet]]="Spread"), "",IF('Prediction Log'!L326=Table12[[#This Row],[Side]], "W", IF('Prediction Log'!L326&lt;&gt;Table12[[#This Row],[Side]], "L", "")))</f>
      </c>
      <c r="AA325" s="59" t="str">
        <f t="shared" si="50"/>
      </c>
      <c r="AB325" s="67" t="str">
        <f>IF(OR(Table12[[#This Row],[Bet]]="Side",Table12[[#This Row],[Bet]]="", 'Prediction Log'!L326=""), "",IF('Prediction Log'!U326="Y", "W", IF('Prediction Log'!U326="N", "L", "")))</f>
      </c>
      <c r="AC325" s="59" t="str">
        <f t="shared" si="51"/>
      </c>
      <c r="AD325" s="67"/>
      <c r="AE325" s="65" t="str">
        <f t="shared" si="56"/>
      </c>
      <c r="AF3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6">
      <c r="A326" s="65" t="str">
        <f>IF(ISBLANK(Games!A326), "", Games!A326)</f>
      </c>
      <c r="B326" s="65" t="str">
        <f>IF('Prediction Log'!B327=0, "",'Prediction Log'!B327)</f>
      </c>
      <c r="C326" s="65" t="str">
        <f>IF('Prediction Log'!C327=0, "",'Prediction Log'!C327)</f>
      </c>
      <c r="D326" s="65" t="str">
        <f>IF('Prediction Log'!D327=0, "",'Prediction Log'!D327)</f>
      </c>
      <c r="E326" s="58" t="str">
        <f>IF('Prediction Log'!E327=0, "",'Prediction Log'!E327)</f>
      </c>
      <c r="F326" s="65" t="str">
        <f>IF('Prediction Log'!H327=0, "",'Prediction Log'!H327)</f>
      </c>
      <c r="G326" s="64" t="str">
        <f>IF(ISBLANK(Games!B326), "",'Prediction Log'!$I327)</f>
      </c>
      <c r="H326" s="66" t="n">
        <f>'Prediction Log'!$J327</f>
        <v>0</v>
      </c>
      <c r="I326" s="65" t="str">
        <f>IF(ISBLANK(Games!T326), "",IF(AND(Games!T326="",Games!U326=""),"",IF(ISTEXT(Games!U326), "Side",Games!T326)))</f>
      </c>
      <c r="J326" s="65" t="str">
        <f>IF(ISBLANK(Games!T326), "",IF(Table12[[#This Row],[Bet]]="Spread", Games!X326, ""))</f>
      </c>
      <c r="K326" s="65" t="str">
        <f>IF(ISBLANK(Games!U326), "",IF(ISTEXT(Games!U326), Games!U326, ""))</f>
      </c>
      <c r="L326" s="57" t="str">
        <f>IF(ISBLANK(Games!D326), "", Games!D326)</f>
      </c>
      <c r="M326" s="65"/>
      <c r="N326" s="75" t="str">
        <f>IF(Games!V326="", "",Games!V326)</f>
      </c>
      <c r="O326" s="75" t="str">
        <f>IF(Games!Z326=0, "",Games!Z326)</f>
      </c>
      <c r="P326" s="67"/>
      <c r="Q326" s="67" t="str">
        <f>IF(ISBLANK(Games!W326), "", Games!W326)</f>
      </c>
      <c r="R326" s="67" t="str">
        <f>IF(ISBLANK(Games!AA326), "", Games!AA326)</f>
      </c>
      <c r="S326" s="67"/>
      <c r="T326" s="68" t="str">
        <f t="shared" si="52"/>
      </c>
      <c r="U326" s="68" t="str">
        <f t="shared" si="53"/>
      </c>
      <c r="V326" s="68" t="str">
        <f t="shared" si="54"/>
      </c>
      <c r="W326" s="68" t="str">
        <f t="shared" si="55"/>
      </c>
      <c r="X326" s="68" t="n">
        <f t="shared" si="48"/>
        <v>0</v>
      </c>
      <c r="Y326" s="68" t="n">
        <f t="shared" si="49"/>
        <v>0</v>
      </c>
      <c r="Z326" s="67" t="str">
        <f>IF(OR('Prediction Log'!L327="", Table12[[#This Row],[Bet]]="", Table12[[#This Row],[Bet]]="Spread"), "",IF('Prediction Log'!L327=Table12[[#This Row],[Side]], "W", IF('Prediction Log'!L327&lt;&gt;Table12[[#This Row],[Side]], "L", "")))</f>
      </c>
      <c r="AA326" s="59" t="str">
        <f t="shared" si="50"/>
      </c>
      <c r="AB326" s="67" t="str">
        <f>IF(OR(Table12[[#This Row],[Bet]]="Side",Table12[[#This Row],[Bet]]="", 'Prediction Log'!L327=""), "",IF('Prediction Log'!U327="Y", "W", IF('Prediction Log'!U327="N", "L", "")))</f>
      </c>
      <c r="AC326" s="59" t="str">
        <f t="shared" si="51"/>
      </c>
      <c r="AD326" s="67"/>
      <c r="AE326" s="65" t="str">
        <f t="shared" si="56"/>
      </c>
      <c r="AF3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7">
      <c r="A327" s="65" t="str">
        <f>IF(ISBLANK(Games!A327), "", Games!A327)</f>
      </c>
      <c r="B327" s="65" t="str">
        <f>IF('Prediction Log'!B328=0, "",'Prediction Log'!B328)</f>
      </c>
      <c r="C327" s="65" t="str">
        <f>IF('Prediction Log'!C328=0, "",'Prediction Log'!C328)</f>
      </c>
      <c r="D327" s="65" t="str">
        <f>IF('Prediction Log'!D328=0, "",'Prediction Log'!D328)</f>
      </c>
      <c r="E327" s="58" t="str">
        <f>IF('Prediction Log'!E328=0, "",'Prediction Log'!E328)</f>
      </c>
      <c r="F327" s="65" t="str">
        <f>IF('Prediction Log'!H328=0, "",'Prediction Log'!H328)</f>
      </c>
      <c r="G327" s="64" t="str">
        <f>IF(ISBLANK(Games!B327), "",'Prediction Log'!$I328)</f>
      </c>
      <c r="H327" s="66" t="n">
        <f>'Prediction Log'!$J328</f>
        <v>0</v>
      </c>
      <c r="I327" s="65" t="str">
        <f>IF(ISBLANK(Games!T327), "",IF(AND(Games!T327="",Games!U327=""),"",IF(ISTEXT(Games!U327), "Side",Games!T327)))</f>
      </c>
      <c r="J327" s="65" t="str">
        <f>IF(ISBLANK(Games!T327), "",IF(Table12[[#This Row],[Bet]]="Spread", Games!X327, ""))</f>
      </c>
      <c r="K327" s="65" t="str">
        <f>IF(ISBLANK(Games!U327), "",IF(ISTEXT(Games!U327), Games!U327, ""))</f>
      </c>
      <c r="L327" s="57" t="str">
        <f>IF(ISBLANK(Games!D327), "", Games!D327)</f>
      </c>
      <c r="M327" s="65"/>
      <c r="N327" s="75" t="str">
        <f>IF(Games!V327="", "",Games!V327)</f>
      </c>
      <c r="O327" s="75" t="str">
        <f>IF(Games!Z327=0, "",Games!Z327)</f>
      </c>
      <c r="P327" s="67"/>
      <c r="Q327" s="67" t="str">
        <f>IF(ISBLANK(Games!W327), "", Games!W327)</f>
      </c>
      <c r="R327" s="67" t="str">
        <f>IF(ISBLANK(Games!AA327), "", Games!AA327)</f>
      </c>
      <c r="S327" s="67"/>
      <c r="T327" s="68" t="str">
        <f t="shared" si="52"/>
      </c>
      <c r="U327" s="68" t="str">
        <f t="shared" si="53"/>
      </c>
      <c r="V327" s="68" t="str">
        <f t="shared" si="54"/>
      </c>
      <c r="W327" s="68" t="str">
        <f t="shared" si="55"/>
      </c>
      <c r="X327" s="68" t="n">
        <f t="shared" si="48"/>
        <v>0</v>
      </c>
      <c r="Y327" s="68" t="n">
        <f t="shared" si="49"/>
        <v>0</v>
      </c>
      <c r="Z327" s="67" t="str">
        <f>IF(OR('Prediction Log'!L328="", Table12[[#This Row],[Bet]]="", Table12[[#This Row],[Bet]]="Spread"), "",IF('Prediction Log'!L328=Table12[[#This Row],[Side]], "W", IF('Prediction Log'!L328&lt;&gt;Table12[[#This Row],[Side]], "L", "")))</f>
      </c>
      <c r="AA327" s="59" t="str">
        <f t="shared" si="50"/>
      </c>
      <c r="AB327" s="67" t="str">
        <f>IF(OR(Table12[[#This Row],[Bet]]="Side",Table12[[#This Row],[Bet]]="", 'Prediction Log'!L328=""), "",IF('Prediction Log'!U328="Y", "W", IF('Prediction Log'!U328="N", "L", "")))</f>
      </c>
      <c r="AC327" s="59" t="str">
        <f t="shared" si="51"/>
      </c>
      <c r="AD327" s="67"/>
      <c r="AE327" s="65" t="str">
        <f t="shared" si="56"/>
      </c>
      <c r="AF3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8">
      <c r="A328" s="65" t="str">
        <f>IF(ISBLANK(Games!A328), "", Games!A328)</f>
      </c>
      <c r="B328" s="65" t="str">
        <f>IF('Prediction Log'!B329=0, "",'Prediction Log'!B329)</f>
      </c>
      <c r="C328" s="65" t="str">
        <f>IF('Prediction Log'!C329=0, "",'Prediction Log'!C329)</f>
      </c>
      <c r="D328" s="65" t="str">
        <f>IF('Prediction Log'!D329=0, "",'Prediction Log'!D329)</f>
      </c>
      <c r="E328" s="58" t="str">
        <f>IF('Prediction Log'!E329=0, "",'Prediction Log'!E329)</f>
      </c>
      <c r="F328" s="65" t="str">
        <f>IF('Prediction Log'!H329=0, "",'Prediction Log'!H329)</f>
      </c>
      <c r="G328" s="64" t="str">
        <f>IF(ISBLANK(Games!B328), "",'Prediction Log'!$I329)</f>
      </c>
      <c r="H328" s="66" t="n">
        <f>'Prediction Log'!$J329</f>
        <v>0</v>
      </c>
      <c r="I328" s="65" t="str">
        <f>IF(ISBLANK(Games!T328), "",IF(AND(Games!T328="",Games!U328=""),"",IF(ISTEXT(Games!U328), "Side",Games!T328)))</f>
      </c>
      <c r="J328" s="65" t="str">
        <f>IF(ISBLANK(Games!T328), "",IF(Table12[[#This Row],[Bet]]="Spread", Games!X328, ""))</f>
      </c>
      <c r="K328" s="65" t="str">
        <f>IF(ISBLANK(Games!U328), "",IF(ISTEXT(Games!U328), Games!U328, ""))</f>
      </c>
      <c r="L328" s="57" t="str">
        <f>IF(ISBLANK(Games!D328), "", Games!D328)</f>
      </c>
      <c r="M328" s="65"/>
      <c r="N328" s="75" t="str">
        <f>IF(Games!V328="", "",Games!V328)</f>
      </c>
      <c r="O328" s="75" t="str">
        <f>IF(Games!Z328=0, "",Games!Z328)</f>
      </c>
      <c r="P328" s="67"/>
      <c r="Q328" s="67" t="str">
        <f>IF(ISBLANK(Games!W328), "", Games!W328)</f>
      </c>
      <c r="R328" s="67" t="str">
        <f>IF(ISBLANK(Games!AA328), "", Games!AA328)</f>
      </c>
      <c r="S328" s="67"/>
      <c r="T328" s="68" t="str">
        <f t="shared" si="52"/>
      </c>
      <c r="U328" s="68" t="str">
        <f t="shared" si="53"/>
      </c>
      <c r="V328" s="68" t="str">
        <f t="shared" si="54"/>
      </c>
      <c r="W328" s="68" t="str">
        <f t="shared" si="55"/>
      </c>
      <c r="X328" s="68" t="n">
        <f t="shared" si="48"/>
        <v>0</v>
      </c>
      <c r="Y328" s="68" t="n">
        <f t="shared" si="49"/>
        <v>0</v>
      </c>
      <c r="Z328" s="67" t="str">
        <f>IF(OR('Prediction Log'!L329="", Table12[[#This Row],[Bet]]="", Table12[[#This Row],[Bet]]="Spread"), "",IF('Prediction Log'!L329=Table12[[#This Row],[Side]], "W", IF('Prediction Log'!L329&lt;&gt;Table12[[#This Row],[Side]], "L", "")))</f>
      </c>
      <c r="AA328" s="59" t="str">
        <f t="shared" si="50"/>
      </c>
      <c r="AB328" s="67" t="str">
        <f>IF(OR(Table12[[#This Row],[Bet]]="Side",Table12[[#This Row],[Bet]]="", 'Prediction Log'!L329=""), "",IF('Prediction Log'!U329="Y", "W", IF('Prediction Log'!U329="N", "L", "")))</f>
      </c>
      <c r="AC328" s="59" t="str">
        <f t="shared" si="51"/>
      </c>
      <c r="AD328" s="67"/>
      <c r="AE328" s="65" t="str">
        <f t="shared" si="56"/>
      </c>
      <c r="AF3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9">
      <c r="A329" s="65" t="str">
        <f>IF(ISBLANK(Games!A329), "", Games!A329)</f>
      </c>
      <c r="B329" s="65" t="str">
        <f>IF('Prediction Log'!B330=0, "",'Prediction Log'!B330)</f>
      </c>
      <c r="C329" s="65" t="str">
        <f>IF('Prediction Log'!C330=0, "",'Prediction Log'!C330)</f>
      </c>
      <c r="D329" s="65" t="str">
        <f>IF('Prediction Log'!D330=0, "",'Prediction Log'!D330)</f>
      </c>
      <c r="E329" s="58" t="str">
        <f>IF('Prediction Log'!E330=0, "",'Prediction Log'!E330)</f>
      </c>
      <c r="F329" s="65" t="str">
        <f>IF('Prediction Log'!H330=0, "",'Prediction Log'!H330)</f>
      </c>
      <c r="G329" s="64" t="str">
        <f>IF(ISBLANK(Games!B329), "",'Prediction Log'!$I330)</f>
      </c>
      <c r="H329" s="66" t="n">
        <f>'Prediction Log'!$J330</f>
        <v>0</v>
      </c>
      <c r="I329" s="65" t="str">
        <f>IF(ISBLANK(Games!T329), "",IF(AND(Games!T329="",Games!U329=""),"",IF(ISTEXT(Games!U329), "Side",Games!T329)))</f>
      </c>
      <c r="J329" s="65" t="str">
        <f>IF(ISBLANK(Games!T329), "",IF(Table12[[#This Row],[Bet]]="Spread", Games!X329, ""))</f>
      </c>
      <c r="K329" s="65" t="str">
        <f>IF(ISBLANK(Games!U329), "",IF(ISTEXT(Games!U329), Games!U329, ""))</f>
      </c>
      <c r="L329" s="57" t="str">
        <f>IF(ISBLANK(Games!D329), "", Games!D329)</f>
      </c>
      <c r="M329" s="65"/>
      <c r="N329" s="75" t="str">
        <f>IF(Games!V329="", "",Games!V329)</f>
      </c>
      <c r="O329" s="75" t="str">
        <f>IF(Games!Z329=0, "",Games!Z329)</f>
      </c>
      <c r="P329" s="67"/>
      <c r="Q329" s="67" t="str">
        <f>IF(ISBLANK(Games!W329), "", Games!W329)</f>
      </c>
      <c r="R329" s="67" t="str">
        <f>IF(ISBLANK(Games!AA329), "", Games!AA329)</f>
      </c>
      <c r="S329" s="67"/>
      <c r="T329" s="68" t="str">
        <f t="shared" si="52"/>
      </c>
      <c r="U329" s="68" t="str">
        <f t="shared" si="53"/>
      </c>
      <c r="V329" s="68" t="str">
        <f t="shared" si="54"/>
      </c>
      <c r="W329" s="68" t="str">
        <f t="shared" si="55"/>
      </c>
      <c r="X329" s="68" t="n">
        <f t="shared" si="48"/>
        <v>0</v>
      </c>
      <c r="Y329" s="68" t="n">
        <f t="shared" si="49"/>
        <v>0</v>
      </c>
      <c r="Z329" s="67" t="str">
        <f>IF(OR('Prediction Log'!L330="", Table12[[#This Row],[Bet]]="", Table12[[#This Row],[Bet]]="Spread"), "",IF('Prediction Log'!L330=Table12[[#This Row],[Side]], "W", IF('Prediction Log'!L330&lt;&gt;Table12[[#This Row],[Side]], "L", "")))</f>
      </c>
      <c r="AA329" s="59" t="str">
        <f t="shared" si="50"/>
      </c>
      <c r="AB329" s="67" t="str">
        <f>IF(OR(Table12[[#This Row],[Bet]]="Side",Table12[[#This Row],[Bet]]="", 'Prediction Log'!L330=""), "",IF('Prediction Log'!U330="Y", "W", IF('Prediction Log'!U330="N", "L", "")))</f>
      </c>
      <c r="AC329" s="59" t="str">
        <f t="shared" si="51"/>
      </c>
      <c r="AD329" s="67"/>
      <c r="AE329" s="65" t="str">
        <f t="shared" si="56"/>
      </c>
      <c r="AF3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0">
      <c r="A330" s="65" t="str">
        <f>IF(ISBLANK(Games!A330), "", Games!A330)</f>
      </c>
      <c r="B330" s="65" t="str">
        <f>IF('Prediction Log'!B331=0, "",'Prediction Log'!B331)</f>
      </c>
      <c r="C330" s="65" t="str">
        <f>IF('Prediction Log'!C331=0, "",'Prediction Log'!C331)</f>
      </c>
      <c r="D330" s="65" t="str">
        <f>IF('Prediction Log'!D331=0, "",'Prediction Log'!D331)</f>
      </c>
      <c r="E330" s="58" t="str">
        <f>IF('Prediction Log'!E331=0, "",'Prediction Log'!E331)</f>
      </c>
      <c r="F330" s="65" t="str">
        <f>IF('Prediction Log'!H331=0, "",'Prediction Log'!H331)</f>
      </c>
      <c r="G330" s="64" t="str">
        <f>IF(ISBLANK(Games!B330), "",'Prediction Log'!$I331)</f>
      </c>
      <c r="H330" s="66" t="n">
        <f>'Prediction Log'!$J331</f>
        <v>0</v>
      </c>
      <c r="I330" s="65" t="str">
        <f>IF(ISBLANK(Games!T330), "",IF(AND(Games!T330="",Games!U330=""),"",IF(ISTEXT(Games!U330), "Side",Games!T330)))</f>
      </c>
      <c r="J330" s="65" t="str">
        <f>IF(ISBLANK(Games!T330), "",IF(Table12[[#This Row],[Bet]]="Spread", Games!X330, ""))</f>
      </c>
      <c r="K330" s="65" t="str">
        <f>IF(ISBLANK(Games!U330), "",IF(ISTEXT(Games!U330), Games!U330, ""))</f>
      </c>
      <c r="L330" s="57" t="str">
        <f>IF(ISBLANK(Games!D330), "", Games!D330)</f>
      </c>
      <c r="M330" s="65"/>
      <c r="N330" s="75" t="str">
        <f>IF(Games!V330="", "",Games!V330)</f>
      </c>
      <c r="O330" s="75" t="str">
        <f>IF(Games!Z330=0, "",Games!Z330)</f>
      </c>
      <c r="P330" s="67"/>
      <c r="Q330" s="67" t="str">
        <f>IF(ISBLANK(Games!W330), "", Games!W330)</f>
      </c>
      <c r="R330" s="67" t="str">
        <f>IF(ISBLANK(Games!AA330), "", Games!AA330)</f>
      </c>
      <c r="S330" s="67"/>
      <c r="T330" s="68" t="str">
        <f t="shared" si="52"/>
      </c>
      <c r="U330" s="68" t="str">
        <f t="shared" si="53"/>
      </c>
      <c r="V330" s="68" t="str">
        <f t="shared" si="54"/>
      </c>
      <c r="W330" s="68" t="str">
        <f t="shared" si="55"/>
      </c>
      <c r="X330" s="68" t="n">
        <f t="shared" si="48"/>
        <v>0</v>
      </c>
      <c r="Y330" s="68" t="n">
        <f t="shared" si="49"/>
        <v>0</v>
      </c>
      <c r="Z330" s="67" t="str">
        <f>IF(OR('Prediction Log'!L331="", Table12[[#This Row],[Bet]]="", Table12[[#This Row],[Bet]]="Spread"), "",IF('Prediction Log'!L331=Table12[[#This Row],[Side]], "W", IF('Prediction Log'!L331&lt;&gt;Table12[[#This Row],[Side]], "L", "")))</f>
      </c>
      <c r="AA330" s="59" t="str">
        <f t="shared" si="50"/>
      </c>
      <c r="AB330" s="67" t="str">
        <f>IF(OR(Table12[[#This Row],[Bet]]="Side",Table12[[#This Row],[Bet]]="", 'Prediction Log'!L331=""), "",IF('Prediction Log'!U331="Y", "W", IF('Prediction Log'!U331="N", "L", "")))</f>
      </c>
      <c r="AC330" s="59" t="str">
        <f t="shared" si="51"/>
      </c>
      <c r="AD330" s="67"/>
      <c r="AE330" s="65" t="str">
        <f t="shared" si="56"/>
      </c>
      <c r="AF3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1">
      <c r="A331" s="65" t="str">
        <f>IF(ISBLANK(Games!A331), "", Games!A331)</f>
      </c>
      <c r="B331" s="65" t="str">
        <f>IF('Prediction Log'!B332=0, "",'Prediction Log'!B332)</f>
      </c>
      <c r="C331" s="65" t="str">
        <f>IF('Prediction Log'!C332=0, "",'Prediction Log'!C332)</f>
      </c>
      <c r="D331" s="65" t="str">
        <f>IF('Prediction Log'!D332=0, "",'Prediction Log'!D332)</f>
      </c>
      <c r="E331" s="58" t="str">
        <f>IF('Prediction Log'!E332=0, "",'Prediction Log'!E332)</f>
      </c>
      <c r="F331" s="65" t="str">
        <f>IF('Prediction Log'!H332=0, "",'Prediction Log'!H332)</f>
      </c>
      <c r="G331" s="64" t="str">
        <f>IF(ISBLANK(Games!B331), "",'Prediction Log'!$I332)</f>
      </c>
      <c r="H331" s="66" t="n">
        <f>'Prediction Log'!$J332</f>
        <v>0</v>
      </c>
      <c r="I331" s="65" t="str">
        <f>IF(ISBLANK(Games!T331), "",IF(AND(Games!T331="",Games!U331=""),"",IF(ISTEXT(Games!U331), "Side",Games!T331)))</f>
      </c>
      <c r="J331" s="65" t="str">
        <f>IF(ISBLANK(Games!T331), "",IF(Table12[[#This Row],[Bet]]="Spread", Games!X331, ""))</f>
      </c>
      <c r="K331" s="65" t="str">
        <f>IF(ISBLANK(Games!U331), "",IF(ISTEXT(Games!U331), Games!U331, ""))</f>
      </c>
      <c r="L331" s="57" t="str">
        <f>IF(ISBLANK(Games!D331), "", Games!D331)</f>
      </c>
      <c r="M331" s="65"/>
      <c r="N331" s="75" t="str">
        <f>IF(Games!V331="", "",Games!V331)</f>
      </c>
      <c r="O331" s="75" t="str">
        <f>IF(Games!Z331=0, "",Games!Z331)</f>
      </c>
      <c r="P331" s="67"/>
      <c r="Q331" s="67" t="str">
        <f>IF(ISBLANK(Games!W331), "", Games!W331)</f>
      </c>
      <c r="R331" s="67" t="str">
        <f>IF(ISBLANK(Games!AA331), "", Games!AA331)</f>
      </c>
      <c r="S331" s="67"/>
      <c r="T331" s="68" t="str">
        <f t="shared" si="52"/>
      </c>
      <c r="U331" s="68" t="str">
        <f t="shared" si="53"/>
      </c>
      <c r="V331" s="68" t="str">
        <f t="shared" si="54"/>
      </c>
      <c r="W331" s="68" t="str">
        <f t="shared" si="55"/>
      </c>
      <c r="X331" s="68" t="n">
        <f t="shared" si="48"/>
        <v>0</v>
      </c>
      <c r="Y331" s="68" t="n">
        <f t="shared" si="49"/>
        <v>0</v>
      </c>
      <c r="Z331" s="67" t="str">
        <f>IF(OR('Prediction Log'!L332="", Table12[[#This Row],[Bet]]="", Table12[[#This Row],[Bet]]="Spread"), "",IF('Prediction Log'!L332=Table12[[#This Row],[Side]], "W", IF('Prediction Log'!L332&lt;&gt;Table12[[#This Row],[Side]], "L", "")))</f>
      </c>
      <c r="AA331" s="59" t="str">
        <f t="shared" si="50"/>
      </c>
      <c r="AB331" s="67" t="str">
        <f>IF(OR(Table12[[#This Row],[Bet]]="Side",Table12[[#This Row],[Bet]]="", 'Prediction Log'!L332=""), "",IF('Prediction Log'!U332="Y", "W", IF('Prediction Log'!U332="N", "L", "")))</f>
      </c>
      <c r="AC331" s="59" t="str">
        <f t="shared" si="51"/>
      </c>
      <c r="AD331" s="67"/>
      <c r="AE331" s="65" t="str">
        <f t="shared" si="56"/>
      </c>
      <c r="AF3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2">
      <c r="A332" s="65" t="str">
        <f>IF(ISBLANK(Games!A332), "", Games!A332)</f>
      </c>
      <c r="B332" s="65" t="str">
        <f>IF('Prediction Log'!B333=0, "",'Prediction Log'!B333)</f>
      </c>
      <c r="C332" s="65" t="str">
        <f>IF('Prediction Log'!C333=0, "",'Prediction Log'!C333)</f>
      </c>
      <c r="D332" s="65" t="str">
        <f>IF('Prediction Log'!D333=0, "",'Prediction Log'!D333)</f>
      </c>
      <c r="E332" s="58" t="str">
        <f>IF('Prediction Log'!E333=0, "",'Prediction Log'!E333)</f>
      </c>
      <c r="F332" s="65" t="str">
        <f>IF('Prediction Log'!H333=0, "",'Prediction Log'!H333)</f>
      </c>
      <c r="G332" s="64" t="str">
        <f>IF(ISBLANK(Games!B332), "",'Prediction Log'!$I333)</f>
      </c>
      <c r="H332" s="66" t="n">
        <f>'Prediction Log'!$J333</f>
        <v>0</v>
      </c>
      <c r="I332" s="65" t="str">
        <f>IF(ISBLANK(Games!T332), "",IF(AND(Games!T332="",Games!U332=""),"",IF(ISTEXT(Games!U332), "Side",Games!T332)))</f>
      </c>
      <c r="J332" s="65" t="str">
        <f>IF(ISBLANK(Games!T332), "",IF(Table12[[#This Row],[Bet]]="Spread", Games!X332, ""))</f>
      </c>
      <c r="K332" s="65" t="str">
        <f>IF(ISBLANK(Games!U332), "",IF(ISTEXT(Games!U332), Games!U332, ""))</f>
      </c>
      <c r="L332" s="57" t="str">
        <f>IF(ISBLANK(Games!D332), "", Games!D332)</f>
      </c>
      <c r="M332" s="65"/>
      <c r="N332" s="75" t="str">
        <f>IF(Games!V332="", "",Games!V332)</f>
      </c>
      <c r="O332" s="75" t="str">
        <f>IF(Games!Z332=0, "",Games!Z332)</f>
      </c>
      <c r="P332" s="67"/>
      <c r="Q332" s="67" t="str">
        <f>IF(ISBLANK(Games!W332), "", Games!W332)</f>
      </c>
      <c r="R332" s="67" t="str">
        <f>IF(ISBLANK(Games!AA332), "", Games!AA332)</f>
      </c>
      <c r="S332" s="67"/>
      <c r="T332" s="68" t="str">
        <f t="shared" si="52"/>
      </c>
      <c r="U332" s="68" t="str">
        <f t="shared" si="53"/>
      </c>
      <c r="V332" s="68" t="str">
        <f t="shared" si="54"/>
      </c>
      <c r="W332" s="68" t="str">
        <f t="shared" si="55"/>
      </c>
      <c r="X332" s="68" t="n">
        <f t="shared" si="48"/>
        <v>0</v>
      </c>
      <c r="Y332" s="68" t="n">
        <f t="shared" si="49"/>
        <v>0</v>
      </c>
      <c r="Z332" s="67" t="str">
        <f>IF(OR('Prediction Log'!L333="", Table12[[#This Row],[Bet]]="", Table12[[#This Row],[Bet]]="Spread"), "",IF('Prediction Log'!L333=Table12[[#This Row],[Side]], "W", IF('Prediction Log'!L333&lt;&gt;Table12[[#This Row],[Side]], "L", "")))</f>
      </c>
      <c r="AA332" s="59" t="str">
        <f t="shared" si="50"/>
      </c>
      <c r="AB332" s="67" t="str">
        <f>IF(OR(Table12[[#This Row],[Bet]]="Side",Table12[[#This Row],[Bet]]="", 'Prediction Log'!L333=""), "",IF('Prediction Log'!U333="Y", "W", IF('Prediction Log'!U333="N", "L", "")))</f>
      </c>
      <c r="AC332" s="59" t="str">
        <f t="shared" si="51"/>
      </c>
      <c r="AD332" s="67"/>
      <c r="AE332" s="65" t="str">
        <f t="shared" si="56"/>
      </c>
      <c r="AF3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3">
      <c r="A333" s="65" t="str">
        <f>IF(ISBLANK(Games!A333), "", Games!A333)</f>
      </c>
      <c r="B333" s="65" t="str">
        <f>IF('Prediction Log'!B334=0, "",'Prediction Log'!B334)</f>
      </c>
      <c r="C333" s="65" t="str">
        <f>IF('Prediction Log'!C334=0, "",'Prediction Log'!C334)</f>
      </c>
      <c r="D333" s="65" t="str">
        <f>IF('Prediction Log'!D334=0, "",'Prediction Log'!D334)</f>
      </c>
      <c r="E333" s="58" t="str">
        <f>IF('Prediction Log'!E334=0, "",'Prediction Log'!E334)</f>
      </c>
      <c r="F333" s="65" t="str">
        <f>IF('Prediction Log'!H334=0, "",'Prediction Log'!H334)</f>
      </c>
      <c r="G333" s="64" t="str">
        <f>IF(ISBLANK(Games!B333), "",'Prediction Log'!$I334)</f>
      </c>
      <c r="H333" s="66" t="n">
        <f>'Prediction Log'!$J334</f>
        <v>0</v>
      </c>
      <c r="I333" s="65" t="str">
        <f>IF(ISBLANK(Games!T333), "",IF(AND(Games!T333="",Games!U333=""),"",IF(ISTEXT(Games!U333), "Side",Games!T333)))</f>
      </c>
      <c r="J333" s="65" t="str">
        <f>IF(ISBLANK(Games!T333), "",IF(Table12[[#This Row],[Bet]]="Spread", Games!X333, ""))</f>
      </c>
      <c r="K333" s="65" t="str">
        <f>IF(ISBLANK(Games!U333), "",IF(ISTEXT(Games!U333), Games!U333, ""))</f>
      </c>
      <c r="L333" s="57" t="str">
        <f>IF(ISBLANK(Games!D333), "", Games!D333)</f>
      </c>
      <c r="M333" s="65"/>
      <c r="N333" s="75" t="str">
        <f>IF(Games!V333="", "",Games!V333)</f>
      </c>
      <c r="O333" s="75" t="str">
        <f>IF(Games!Z333=0, "",Games!Z333)</f>
      </c>
      <c r="P333" s="67"/>
      <c r="Q333" s="67" t="str">
        <f>IF(ISBLANK(Games!W333), "", Games!W333)</f>
      </c>
      <c r="R333" s="67" t="str">
        <f>IF(ISBLANK(Games!AA333), "", Games!AA333)</f>
      </c>
      <c r="S333" s="67"/>
      <c r="T333" s="68" t="str">
        <f t="shared" si="52"/>
      </c>
      <c r="U333" s="68" t="str">
        <f t="shared" si="53"/>
      </c>
      <c r="V333" s="68" t="str">
        <f t="shared" si="54"/>
      </c>
      <c r="W333" s="68" t="str">
        <f t="shared" si="55"/>
      </c>
      <c r="X333" s="68" t="n">
        <f t="shared" si="48"/>
        <v>0</v>
      </c>
      <c r="Y333" s="68" t="n">
        <f t="shared" si="49"/>
        <v>0</v>
      </c>
      <c r="Z333" s="67" t="str">
        <f>IF(OR('Prediction Log'!L334="", Table12[[#This Row],[Bet]]="", Table12[[#This Row],[Bet]]="Spread"), "",IF('Prediction Log'!L334=Table12[[#This Row],[Side]], "W", IF('Prediction Log'!L334&lt;&gt;Table12[[#This Row],[Side]], "L", "")))</f>
      </c>
      <c r="AA333" s="59" t="str">
        <f t="shared" si="50"/>
      </c>
      <c r="AB333" s="67" t="str">
        <f>IF(OR(Table12[[#This Row],[Bet]]="Side",Table12[[#This Row],[Bet]]="", 'Prediction Log'!L334=""), "",IF('Prediction Log'!U334="Y", "W", IF('Prediction Log'!U334="N", "L", "")))</f>
      </c>
      <c r="AC333" s="59" t="str">
        <f t="shared" si="51"/>
      </c>
      <c r="AD333" s="67"/>
      <c r="AE333" s="65" t="str">
        <f t="shared" si="56"/>
      </c>
      <c r="AF3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4">
      <c r="A334" s="65" t="str">
        <f>IF(ISBLANK(Games!A334), "", Games!A334)</f>
      </c>
      <c r="B334" s="65" t="str">
        <f>IF('Prediction Log'!B335=0, "",'Prediction Log'!B335)</f>
      </c>
      <c r="C334" s="65" t="str">
        <f>IF('Prediction Log'!C335=0, "",'Prediction Log'!C335)</f>
      </c>
      <c r="D334" s="65" t="str">
        <f>IF('Prediction Log'!D335=0, "",'Prediction Log'!D335)</f>
      </c>
      <c r="E334" s="58" t="str">
        <f>IF('Prediction Log'!E335=0, "",'Prediction Log'!E335)</f>
      </c>
      <c r="F334" s="65" t="str">
        <f>IF('Prediction Log'!H335=0, "",'Prediction Log'!H335)</f>
      </c>
      <c r="G334" s="64" t="str">
        <f>IF(ISBLANK(Games!B334), "",'Prediction Log'!$I335)</f>
      </c>
      <c r="H334" s="66" t="n">
        <f>'Prediction Log'!$J335</f>
        <v>0</v>
      </c>
      <c r="I334" s="65" t="str">
        <f>IF(ISBLANK(Games!T334), "",IF(AND(Games!T334="",Games!U334=""),"",IF(ISTEXT(Games!U334), "Side",Games!T334)))</f>
      </c>
      <c r="J334" s="65" t="str">
        <f>IF(ISBLANK(Games!T334), "",IF(Table12[[#This Row],[Bet]]="Spread", Games!X334, ""))</f>
      </c>
      <c r="K334" s="65" t="str">
        <f>IF(ISBLANK(Games!U334), "",IF(ISTEXT(Games!U334), Games!U334, ""))</f>
      </c>
      <c r="L334" s="57" t="str">
        <f>IF(ISBLANK(Games!D334), "", Games!D334)</f>
      </c>
      <c r="M334" s="65"/>
      <c r="N334" s="75" t="str">
        <f>IF(Games!V334="", "",Games!V334)</f>
      </c>
      <c r="O334" s="75" t="str">
        <f>IF(Games!Z334=0, "",Games!Z334)</f>
      </c>
      <c r="P334" s="67"/>
      <c r="Q334" s="67" t="str">
        <f>IF(ISBLANK(Games!W334), "", Games!W334)</f>
      </c>
      <c r="R334" s="67" t="str">
        <f>IF(ISBLANK(Games!AA334), "", Games!AA334)</f>
      </c>
      <c r="S334" s="67"/>
      <c r="T334" s="68" t="str">
        <f t="shared" si="52"/>
      </c>
      <c r="U334" s="68" t="str">
        <f t="shared" si="53"/>
      </c>
      <c r="V334" s="68" t="str">
        <f t="shared" si="54"/>
      </c>
      <c r="W334" s="68" t="str">
        <f t="shared" si="55"/>
      </c>
      <c r="X334" s="68" t="n">
        <f t="shared" si="48"/>
        <v>0</v>
      </c>
      <c r="Y334" s="68" t="n">
        <f t="shared" si="49"/>
        <v>0</v>
      </c>
      <c r="Z334" s="67" t="str">
        <f>IF(OR('Prediction Log'!L335="", Table12[[#This Row],[Bet]]="", Table12[[#This Row],[Bet]]="Spread"), "",IF('Prediction Log'!L335=Table12[[#This Row],[Side]], "W", IF('Prediction Log'!L335&lt;&gt;Table12[[#This Row],[Side]], "L", "")))</f>
      </c>
      <c r="AA334" s="59" t="str">
        <f t="shared" si="50"/>
      </c>
      <c r="AB334" s="67" t="str">
        <f>IF(OR(Table12[[#This Row],[Bet]]="Side",Table12[[#This Row],[Bet]]="", 'Prediction Log'!L335=""), "",IF('Prediction Log'!U335="Y", "W", IF('Prediction Log'!U335="N", "L", "")))</f>
      </c>
      <c r="AC334" s="59" t="str">
        <f t="shared" si="51"/>
      </c>
      <c r="AD334" s="67"/>
      <c r="AE334" s="65" t="str">
        <f t="shared" si="56"/>
      </c>
      <c r="AF3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5">
      <c r="A335" s="65" t="str">
        <f>IF(ISBLANK(Games!A335), "", Games!A335)</f>
      </c>
      <c r="B335" s="65" t="str">
        <f>IF('Prediction Log'!B336=0, "",'Prediction Log'!B336)</f>
      </c>
      <c r="C335" s="65" t="str">
        <f>IF('Prediction Log'!C336=0, "",'Prediction Log'!C336)</f>
      </c>
      <c r="D335" s="65" t="str">
        <f>IF('Prediction Log'!D336=0, "",'Prediction Log'!D336)</f>
      </c>
      <c r="E335" s="58" t="str">
        <f>IF('Prediction Log'!E336=0, "",'Prediction Log'!E336)</f>
      </c>
      <c r="F335" s="65" t="str">
        <f>IF('Prediction Log'!H336=0, "",'Prediction Log'!H336)</f>
      </c>
      <c r="G335" s="64" t="str">
        <f>IF(ISBLANK(Games!B335), "",'Prediction Log'!$I336)</f>
      </c>
      <c r="H335" s="66" t="n">
        <f>'Prediction Log'!$J336</f>
        <v>0</v>
      </c>
      <c r="I335" s="65" t="str">
        <f>IF(ISBLANK(Games!T335), "",IF(AND(Games!T335="",Games!U335=""),"",IF(ISTEXT(Games!U335), "Side",Games!T335)))</f>
      </c>
      <c r="J335" s="65" t="str">
        <f>IF(ISBLANK(Games!T335), "",IF(Table12[[#This Row],[Bet]]="Spread", Games!X335, ""))</f>
      </c>
      <c r="K335" s="65" t="str">
        <f>IF(ISBLANK(Games!U335), "",IF(ISTEXT(Games!U335), Games!U335, ""))</f>
      </c>
      <c r="L335" s="57" t="str">
        <f>IF(ISBLANK(Games!D335), "", Games!D335)</f>
      </c>
      <c r="M335" s="65"/>
      <c r="N335" s="75" t="str">
        <f>IF(Games!V335="", "",Games!V335)</f>
      </c>
      <c r="O335" s="75" t="str">
        <f>IF(Games!Z335=0, "",Games!Z335)</f>
      </c>
      <c r="P335" s="67"/>
      <c r="Q335" s="67" t="str">
        <f>IF(ISBLANK(Games!W335), "", Games!W335)</f>
      </c>
      <c r="R335" s="67" t="str">
        <f>IF(ISBLANK(Games!AA335), "", Games!AA335)</f>
      </c>
      <c r="S335" s="67"/>
      <c r="T335" s="68" t="str">
        <f t="shared" si="52"/>
      </c>
      <c r="U335" s="68" t="str">
        <f t="shared" si="53"/>
      </c>
      <c r="V335" s="68" t="str">
        <f t="shared" si="54"/>
      </c>
      <c r="W335" s="68" t="str">
        <f t="shared" si="55"/>
      </c>
      <c r="X335" s="68" t="n">
        <f t="shared" si="48"/>
        <v>0</v>
      </c>
      <c r="Y335" s="68" t="n">
        <f t="shared" si="49"/>
        <v>0</v>
      </c>
      <c r="Z335" s="67" t="str">
        <f>IF(OR('Prediction Log'!L336="", Table12[[#This Row],[Bet]]="", Table12[[#This Row],[Bet]]="Spread"), "",IF('Prediction Log'!L336=Table12[[#This Row],[Side]], "W", IF('Prediction Log'!L336&lt;&gt;Table12[[#This Row],[Side]], "L", "")))</f>
      </c>
      <c r="AA335" s="59" t="str">
        <f t="shared" si="50"/>
      </c>
      <c r="AB335" s="67" t="str">
        <f>IF(OR(Table12[[#This Row],[Bet]]="Side",Table12[[#This Row],[Bet]]="", 'Prediction Log'!L336=""), "",IF('Prediction Log'!U336="Y", "W", IF('Prediction Log'!U336="N", "L", "")))</f>
      </c>
      <c r="AC335" s="59" t="str">
        <f t="shared" si="51"/>
      </c>
      <c r="AD335" s="67"/>
      <c r="AE335" s="65" t="str">
        <f t="shared" si="56"/>
      </c>
      <c r="AF3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6">
      <c r="A336" s="65" t="str">
        <f>IF(ISBLANK(Games!A336), "", Games!A336)</f>
      </c>
      <c r="B336" s="65" t="str">
        <f>IF('Prediction Log'!B337=0, "",'Prediction Log'!B337)</f>
      </c>
      <c r="C336" s="65" t="str">
        <f>IF('Prediction Log'!C337=0, "",'Prediction Log'!C337)</f>
      </c>
      <c r="D336" s="65" t="str">
        <f>IF('Prediction Log'!D337=0, "",'Prediction Log'!D337)</f>
      </c>
      <c r="E336" s="58" t="str">
        <f>IF('Prediction Log'!E337=0, "",'Prediction Log'!E337)</f>
      </c>
      <c r="F336" s="65" t="str">
        <f>IF('Prediction Log'!H337=0, "",'Prediction Log'!H337)</f>
      </c>
      <c r="G336" s="64" t="str">
        <f>IF(ISBLANK(Games!B336), "",'Prediction Log'!$I337)</f>
      </c>
      <c r="H336" s="66" t="n">
        <f>'Prediction Log'!$J337</f>
        <v>0</v>
      </c>
      <c r="I336" s="65" t="str">
        <f>IF(ISBLANK(Games!T336), "",IF(AND(Games!T336="",Games!U336=""),"",IF(ISTEXT(Games!U336), "Side",Games!T336)))</f>
      </c>
      <c r="J336" s="65" t="str">
        <f>IF(ISBLANK(Games!T336), "",IF(Table12[[#This Row],[Bet]]="Spread", Games!X336, ""))</f>
      </c>
      <c r="K336" s="65" t="str">
        <f>IF(ISBLANK(Games!U336), "",IF(ISTEXT(Games!U336), Games!U336, ""))</f>
      </c>
      <c r="L336" s="57" t="str">
        <f>IF(ISBLANK(Games!D336), "", Games!D336)</f>
      </c>
      <c r="M336" s="65"/>
      <c r="N336" s="75" t="str">
        <f>IF(Games!V336="", "",Games!V336)</f>
      </c>
      <c r="O336" s="75" t="str">
        <f>IF(Games!Z336=0, "",Games!Z336)</f>
      </c>
      <c r="P336" s="67"/>
      <c r="Q336" s="67" t="str">
        <f>IF(ISBLANK(Games!W336), "", Games!W336)</f>
      </c>
      <c r="R336" s="67" t="str">
        <f>IF(ISBLANK(Games!AA336), "", Games!AA336)</f>
      </c>
      <c r="S336" s="67"/>
      <c r="T336" s="68" t="str">
        <f t="shared" si="52"/>
      </c>
      <c r="U336" s="68" t="str">
        <f t="shared" si="53"/>
      </c>
      <c r="V336" s="68" t="str">
        <f t="shared" si="54"/>
      </c>
      <c r="W336" s="68" t="str">
        <f t="shared" si="55"/>
      </c>
      <c r="X336" s="68" t="n">
        <f t="shared" si="48"/>
        <v>0</v>
      </c>
      <c r="Y336" s="68" t="n">
        <f t="shared" si="49"/>
        <v>0</v>
      </c>
      <c r="Z336" s="67" t="str">
        <f>IF(OR('Prediction Log'!L337="", Table12[[#This Row],[Bet]]="", Table12[[#This Row],[Bet]]="Spread"), "",IF('Prediction Log'!L337=Table12[[#This Row],[Side]], "W", IF('Prediction Log'!L337&lt;&gt;Table12[[#This Row],[Side]], "L", "")))</f>
      </c>
      <c r="AA336" s="59" t="str">
        <f t="shared" si="50"/>
      </c>
      <c r="AB336" s="67" t="str">
        <f>IF(OR(Table12[[#This Row],[Bet]]="Side",Table12[[#This Row],[Bet]]="", 'Prediction Log'!L337=""), "",IF('Prediction Log'!U337="Y", "W", IF('Prediction Log'!U337="N", "L", "")))</f>
      </c>
      <c r="AC336" s="59" t="str">
        <f t="shared" si="51"/>
      </c>
      <c r="AD336" s="67"/>
      <c r="AE336" s="65" t="str">
        <f t="shared" si="56"/>
      </c>
      <c r="AF3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7">
      <c r="A337" s="65" t="str">
        <f>IF(ISBLANK(Games!A337), "", Games!A337)</f>
      </c>
      <c r="B337" s="65" t="str">
        <f>IF('Prediction Log'!B338=0, "",'Prediction Log'!B338)</f>
      </c>
      <c r="C337" s="65" t="str">
        <f>IF('Prediction Log'!C338=0, "",'Prediction Log'!C338)</f>
      </c>
      <c r="D337" s="65" t="str">
        <f>IF('Prediction Log'!D338=0, "",'Prediction Log'!D338)</f>
      </c>
      <c r="E337" s="58" t="str">
        <f>IF('Prediction Log'!E338=0, "",'Prediction Log'!E338)</f>
      </c>
      <c r="F337" s="65" t="str">
        <f>IF('Prediction Log'!H338=0, "",'Prediction Log'!H338)</f>
      </c>
      <c r="G337" s="64" t="str">
        <f>IF(ISBLANK(Games!B337), "",'Prediction Log'!$I338)</f>
      </c>
      <c r="H337" s="66" t="n">
        <f>'Prediction Log'!$J338</f>
        <v>0</v>
      </c>
      <c r="I337" s="65" t="str">
        <f>IF(ISBLANK(Games!T337), "",IF(AND(Games!T337="",Games!U337=""),"",IF(ISTEXT(Games!U337), "Side",Games!T337)))</f>
      </c>
      <c r="J337" s="65" t="str">
        <f>IF(ISBLANK(Games!T337), "",IF(Table12[[#This Row],[Bet]]="Spread", Games!X337, ""))</f>
      </c>
      <c r="K337" s="65" t="str">
        <f>IF(ISBLANK(Games!U337), "",IF(ISTEXT(Games!U337), Games!U337, ""))</f>
      </c>
      <c r="L337" s="57" t="str">
        <f>IF(ISBLANK(Games!D337), "", Games!D337)</f>
      </c>
      <c r="M337" s="65"/>
      <c r="N337" s="75" t="str">
        <f>IF(Games!V337="", "",Games!V337)</f>
      </c>
      <c r="O337" s="75" t="str">
        <f>IF(Games!Z337=0, "",Games!Z337)</f>
      </c>
      <c r="P337" s="67"/>
      <c r="Q337" s="67" t="str">
        <f>IF(ISBLANK(Games!W337), "", Games!W337)</f>
      </c>
      <c r="R337" s="67" t="str">
        <f>IF(ISBLANK(Games!AA337), "", Games!AA337)</f>
      </c>
      <c r="S337" s="67"/>
      <c r="T337" s="68" t="str">
        <f t="shared" si="52"/>
      </c>
      <c r="U337" s="68" t="str">
        <f t="shared" si="53"/>
      </c>
      <c r="V337" s="68" t="str">
        <f t="shared" si="54"/>
      </c>
      <c r="W337" s="68" t="str">
        <f t="shared" si="55"/>
      </c>
      <c r="X337" s="68" t="n">
        <f t="shared" si="48"/>
        <v>0</v>
      </c>
      <c r="Y337" s="68" t="n">
        <f t="shared" si="49"/>
        <v>0</v>
      </c>
      <c r="Z337" s="67" t="str">
        <f>IF(OR('Prediction Log'!L338="", Table12[[#This Row],[Bet]]="", Table12[[#This Row],[Bet]]="Spread"), "",IF('Prediction Log'!L338=Table12[[#This Row],[Side]], "W", IF('Prediction Log'!L338&lt;&gt;Table12[[#This Row],[Side]], "L", "")))</f>
      </c>
      <c r="AA337" s="59" t="str">
        <f t="shared" si="50"/>
      </c>
      <c r="AB337" s="67" t="str">
        <f>IF(OR(Table12[[#This Row],[Bet]]="Side",Table12[[#This Row],[Bet]]="", 'Prediction Log'!L338=""), "",IF('Prediction Log'!U338="Y", "W", IF('Prediction Log'!U338="N", "L", "")))</f>
      </c>
      <c r="AC337" s="59" t="str">
        <f t="shared" si="51"/>
      </c>
      <c r="AD337" s="67"/>
      <c r="AE337" s="65" t="str">
        <f t="shared" si="56"/>
      </c>
      <c r="AF3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8">
      <c r="A338" s="65" t="str">
        <f>IF(ISBLANK(Games!A338), "", Games!A338)</f>
      </c>
      <c r="B338" s="65" t="str">
        <f>IF('Prediction Log'!B339=0, "",'Prediction Log'!B339)</f>
      </c>
      <c r="C338" s="65" t="str">
        <f>IF('Prediction Log'!C339=0, "",'Prediction Log'!C339)</f>
      </c>
      <c r="D338" s="65" t="str">
        <f>IF('Prediction Log'!D339=0, "",'Prediction Log'!D339)</f>
      </c>
      <c r="E338" s="58" t="str">
        <f>IF('Prediction Log'!E339=0, "",'Prediction Log'!E339)</f>
      </c>
      <c r="F338" s="65" t="str">
        <f>IF('Prediction Log'!H339=0, "",'Prediction Log'!H339)</f>
      </c>
      <c r="G338" s="64" t="str">
        <f>IF(ISBLANK(Games!B338), "",'Prediction Log'!$I339)</f>
      </c>
      <c r="H338" s="66" t="n">
        <f>'Prediction Log'!$J339</f>
        <v>0</v>
      </c>
      <c r="I338" s="65" t="str">
        <f>IF(ISBLANK(Games!T338), "",IF(AND(Games!T338="",Games!U338=""),"",IF(ISTEXT(Games!U338), "Side",Games!T338)))</f>
      </c>
      <c r="J338" s="65" t="str">
        <f>IF(ISBLANK(Games!T338), "",IF(Table12[[#This Row],[Bet]]="Spread", Games!X338, ""))</f>
      </c>
      <c r="K338" s="65" t="str">
        <f>IF(ISBLANK(Games!U338), "",IF(ISTEXT(Games!U338), Games!U338, ""))</f>
      </c>
      <c r="L338" s="57" t="str">
        <f>IF(ISBLANK(Games!D338), "", Games!D338)</f>
      </c>
      <c r="M338" s="65"/>
      <c r="N338" s="75" t="str">
        <f>IF(Games!V338="", "",Games!V338)</f>
      </c>
      <c r="O338" s="75" t="str">
        <f>IF(Games!Z338=0, "",Games!Z338)</f>
      </c>
      <c r="P338" s="67"/>
      <c r="Q338" s="67" t="str">
        <f>IF(ISBLANK(Games!W338), "", Games!W338)</f>
      </c>
      <c r="R338" s="67" t="str">
        <f>IF(ISBLANK(Games!AA338), "", Games!AA338)</f>
      </c>
      <c r="S338" s="67"/>
      <c r="T338" s="68" t="str">
        <f t="shared" si="52"/>
      </c>
      <c r="U338" s="68" t="str">
        <f t="shared" si="53"/>
      </c>
      <c r="V338" s="68" t="str">
        <f t="shared" si="54"/>
      </c>
      <c r="W338" s="68" t="str">
        <f t="shared" si="55"/>
      </c>
      <c r="X338" s="68" t="n">
        <f t="shared" si="48"/>
        <v>0</v>
      </c>
      <c r="Y338" s="68" t="n">
        <f t="shared" si="49"/>
        <v>0</v>
      </c>
      <c r="Z338" s="67" t="str">
        <f>IF(OR('Prediction Log'!L339="", Table12[[#This Row],[Bet]]="", Table12[[#This Row],[Bet]]="Spread"), "",IF('Prediction Log'!L339=Table12[[#This Row],[Side]], "W", IF('Prediction Log'!L339&lt;&gt;Table12[[#This Row],[Side]], "L", "")))</f>
      </c>
      <c r="AA338" s="59" t="str">
        <f t="shared" si="50"/>
      </c>
      <c r="AB338" s="67" t="str">
        <f>IF(OR(Table12[[#This Row],[Bet]]="Side",Table12[[#This Row],[Bet]]="", 'Prediction Log'!L339=""), "",IF('Prediction Log'!U339="Y", "W", IF('Prediction Log'!U339="N", "L", "")))</f>
      </c>
      <c r="AC338" s="59" t="str">
        <f t="shared" si="51"/>
      </c>
      <c r="AD338" s="67"/>
      <c r="AE338" s="65" t="str">
        <f t="shared" si="56"/>
      </c>
      <c r="AF3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9">
      <c r="A339" s="65" t="str">
        <f>IF(ISBLANK(Games!A339), "", Games!A339)</f>
      </c>
      <c r="B339" s="65" t="str">
        <f>IF('Prediction Log'!B340=0, "",'Prediction Log'!B340)</f>
      </c>
      <c r="C339" s="65" t="str">
        <f>IF('Prediction Log'!C340=0, "",'Prediction Log'!C340)</f>
      </c>
      <c r="D339" s="65" t="str">
        <f>IF('Prediction Log'!D340=0, "",'Prediction Log'!D340)</f>
      </c>
      <c r="E339" s="58" t="str">
        <f>IF('Prediction Log'!E340=0, "",'Prediction Log'!E340)</f>
      </c>
      <c r="F339" s="65" t="str">
        <f>IF('Prediction Log'!H340=0, "",'Prediction Log'!H340)</f>
      </c>
      <c r="G339" s="64" t="str">
        <f>IF(ISBLANK(Games!B339), "",'Prediction Log'!$I340)</f>
      </c>
      <c r="H339" s="66" t="n">
        <f>'Prediction Log'!$J340</f>
        <v>0</v>
      </c>
      <c r="I339" s="65" t="str">
        <f>IF(ISBLANK(Games!T339), "",IF(AND(Games!T339="",Games!U339=""),"",IF(ISTEXT(Games!U339), "Side",Games!T339)))</f>
      </c>
      <c r="J339" s="65" t="str">
        <f>IF(ISBLANK(Games!T339), "",IF(Table12[[#This Row],[Bet]]="Spread", Games!X339, ""))</f>
      </c>
      <c r="K339" s="65" t="str">
        <f>IF(ISBLANK(Games!U339), "",IF(ISTEXT(Games!U339), Games!U339, ""))</f>
      </c>
      <c r="L339" s="57" t="str">
        <f>IF(ISBLANK(Games!D339), "", Games!D339)</f>
      </c>
      <c r="M339" s="65"/>
      <c r="N339" s="75" t="str">
        <f>IF(Games!V339="", "",Games!V339)</f>
      </c>
      <c r="O339" s="75" t="str">
        <f>IF(Games!Z339=0, "",Games!Z339)</f>
      </c>
      <c r="P339" s="67"/>
      <c r="Q339" s="67" t="str">
        <f>IF(ISBLANK(Games!W339), "", Games!W339)</f>
      </c>
      <c r="R339" s="67" t="str">
        <f>IF(ISBLANK(Games!AA339), "", Games!AA339)</f>
      </c>
      <c r="S339" s="67"/>
      <c r="T339" s="68" t="str">
        <f t="shared" si="52"/>
      </c>
      <c r="U339" s="68" t="str">
        <f t="shared" si="53"/>
      </c>
      <c r="V339" s="68" t="str">
        <f t="shared" si="54"/>
      </c>
      <c r="W339" s="68" t="str">
        <f t="shared" si="55"/>
      </c>
      <c r="X339" s="68" t="n">
        <f t="shared" si="48"/>
        <v>0</v>
      </c>
      <c r="Y339" s="68" t="n">
        <f t="shared" si="49"/>
        <v>0</v>
      </c>
      <c r="Z339" s="67" t="str">
        <f>IF(OR('Prediction Log'!L340="", Table12[[#This Row],[Bet]]="", Table12[[#This Row],[Bet]]="Spread"), "",IF('Prediction Log'!L340=Table12[[#This Row],[Side]], "W", IF('Prediction Log'!L340&lt;&gt;Table12[[#This Row],[Side]], "L", "")))</f>
      </c>
      <c r="AA339" s="59" t="str">
        <f t="shared" si="50"/>
      </c>
      <c r="AB339" s="67" t="str">
        <f>IF(OR(Table12[[#This Row],[Bet]]="Side",Table12[[#This Row],[Bet]]="", 'Prediction Log'!L340=""), "",IF('Prediction Log'!U340="Y", "W", IF('Prediction Log'!U340="N", "L", "")))</f>
      </c>
      <c r="AC339" s="59" t="str">
        <f t="shared" si="51"/>
      </c>
      <c r="AD339" s="67"/>
      <c r="AE339" s="65" t="str">
        <f t="shared" si="56"/>
      </c>
      <c r="AF3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0">
      <c r="A340" s="65" t="str">
        <f>IF(ISBLANK(Games!A340), "", Games!A340)</f>
      </c>
      <c r="B340" s="65" t="str">
        <f>IF('Prediction Log'!B341=0, "",'Prediction Log'!B341)</f>
      </c>
      <c r="C340" s="65" t="str">
        <f>IF('Prediction Log'!C341=0, "",'Prediction Log'!C341)</f>
      </c>
      <c r="D340" s="65" t="str">
        <f>IF('Prediction Log'!D341=0, "",'Prediction Log'!D341)</f>
      </c>
      <c r="E340" s="58" t="str">
        <f>IF('Prediction Log'!E341=0, "",'Prediction Log'!E341)</f>
      </c>
      <c r="F340" s="65" t="str">
        <f>IF('Prediction Log'!H341=0, "",'Prediction Log'!H341)</f>
      </c>
      <c r="G340" s="64" t="str">
        <f>IF(ISBLANK(Games!B340), "",'Prediction Log'!$I341)</f>
      </c>
      <c r="H340" s="66" t="n">
        <f>'Prediction Log'!$J341</f>
        <v>0</v>
      </c>
      <c r="I340" s="65" t="str">
        <f>IF(ISBLANK(Games!T340), "",IF(AND(Games!T340="",Games!U340=""),"",IF(ISTEXT(Games!U340), "Side",Games!T340)))</f>
      </c>
      <c r="J340" s="65" t="str">
        <f>IF(ISBLANK(Games!T340), "",IF(Table12[[#This Row],[Bet]]="Spread", Games!X340, ""))</f>
      </c>
      <c r="K340" s="65" t="str">
        <f>IF(ISBLANK(Games!U340), "",IF(ISTEXT(Games!U340), Games!U340, ""))</f>
      </c>
      <c r="L340" s="57" t="str">
        <f>IF(ISBLANK(Games!D340), "", Games!D340)</f>
      </c>
      <c r="M340" s="65"/>
      <c r="N340" s="75" t="str">
        <f>IF(Games!V340="", "",Games!V340)</f>
      </c>
      <c r="O340" s="75" t="str">
        <f>IF(Games!Z340=0, "",Games!Z340)</f>
      </c>
      <c r="P340" s="67"/>
      <c r="Q340" s="67" t="str">
        <f>IF(ISBLANK(Games!W340), "", Games!W340)</f>
      </c>
      <c r="R340" s="67" t="str">
        <f>IF(ISBLANK(Games!AA340), "", Games!AA340)</f>
      </c>
      <c r="S340" s="67"/>
      <c r="T340" s="68" t="str">
        <f t="shared" si="52"/>
      </c>
      <c r="U340" s="68" t="str">
        <f t="shared" si="53"/>
      </c>
      <c r="V340" s="68" t="str">
        <f t="shared" si="54"/>
      </c>
      <c r="W340" s="68" t="str">
        <f t="shared" si="55"/>
      </c>
      <c r="X340" s="68" t="n">
        <f t="shared" si="48"/>
        <v>0</v>
      </c>
      <c r="Y340" s="68" t="n">
        <f t="shared" si="49"/>
        <v>0</v>
      </c>
      <c r="Z340" s="67" t="str">
        <f>IF(OR('Prediction Log'!L341="", Table12[[#This Row],[Bet]]="", Table12[[#This Row],[Bet]]="Spread"), "",IF('Prediction Log'!L341=Table12[[#This Row],[Side]], "W", IF('Prediction Log'!L341&lt;&gt;Table12[[#This Row],[Side]], "L", "")))</f>
      </c>
      <c r="AA340" s="59" t="str">
        <f t="shared" si="50"/>
      </c>
      <c r="AB340" s="67" t="str">
        <f>IF(OR(Table12[[#This Row],[Bet]]="Side",Table12[[#This Row],[Bet]]="", 'Prediction Log'!L341=""), "",IF('Prediction Log'!U341="Y", "W", IF('Prediction Log'!U341="N", "L", "")))</f>
      </c>
      <c r="AC340" s="59" t="str">
        <f t="shared" si="51"/>
      </c>
      <c r="AD340" s="67"/>
      <c r="AE340" s="65" t="str">
        <f t="shared" si="56"/>
      </c>
      <c r="AF3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1">
      <c r="A341" s="65" t="str">
        <f>IF(ISBLANK(Games!A341), "", Games!A341)</f>
      </c>
      <c r="B341" s="65" t="str">
        <f>IF('Prediction Log'!B342=0, "",'Prediction Log'!B342)</f>
      </c>
      <c r="C341" s="65" t="str">
        <f>IF('Prediction Log'!C342=0, "",'Prediction Log'!C342)</f>
      </c>
      <c r="D341" s="65" t="str">
        <f>IF('Prediction Log'!D342=0, "",'Prediction Log'!D342)</f>
      </c>
      <c r="E341" s="58" t="str">
        <f>IF('Prediction Log'!E342=0, "",'Prediction Log'!E342)</f>
      </c>
      <c r="F341" s="65" t="str">
        <f>IF('Prediction Log'!H342=0, "",'Prediction Log'!H342)</f>
      </c>
      <c r="G341" s="64" t="str">
        <f>IF(ISBLANK(Games!B341), "",'Prediction Log'!$I342)</f>
      </c>
      <c r="H341" s="66" t="n">
        <f>'Prediction Log'!$J342</f>
        <v>0</v>
      </c>
      <c r="I341" s="65" t="str">
        <f>IF(ISBLANK(Games!T341), "",IF(AND(Games!T341="",Games!U341=""),"",IF(ISTEXT(Games!U341), "Side",Games!T341)))</f>
      </c>
      <c r="J341" s="65" t="str">
        <f>IF(ISBLANK(Games!T341), "",IF(Table12[[#This Row],[Bet]]="Spread", Games!X341, ""))</f>
      </c>
      <c r="K341" s="65" t="str">
        <f>IF(ISBLANK(Games!U341), "",IF(ISTEXT(Games!U341), Games!U341, ""))</f>
      </c>
      <c r="L341" s="57" t="str">
        <f>IF(ISBLANK(Games!D341), "", Games!D341)</f>
      </c>
      <c r="M341" s="65"/>
      <c r="N341" s="75" t="str">
        <f>IF(Games!V341="", "",Games!V341)</f>
      </c>
      <c r="O341" s="75" t="str">
        <f>IF(Games!Z341=0, "",Games!Z341)</f>
      </c>
      <c r="P341" s="67"/>
      <c r="Q341" s="67" t="str">
        <f>IF(ISBLANK(Games!W341), "", Games!W341)</f>
      </c>
      <c r="R341" s="67" t="str">
        <f>IF(ISBLANK(Games!AA341), "", Games!AA341)</f>
      </c>
      <c r="S341" s="67"/>
      <c r="T341" s="68" t="str">
        <f t="shared" si="52"/>
      </c>
      <c r="U341" s="68" t="str">
        <f t="shared" si="53"/>
      </c>
      <c r="V341" s="68" t="str">
        <f t="shared" si="54"/>
      </c>
      <c r="W341" s="68" t="str">
        <f t="shared" si="55"/>
      </c>
      <c r="X341" s="68" t="n">
        <f t="shared" si="48"/>
        <v>0</v>
      </c>
      <c r="Y341" s="68" t="n">
        <f t="shared" si="49"/>
        <v>0</v>
      </c>
      <c r="Z341" s="67" t="str">
        <f>IF(OR('Prediction Log'!L342="", Table12[[#This Row],[Bet]]="", Table12[[#This Row],[Bet]]="Spread"), "",IF('Prediction Log'!L342=Table12[[#This Row],[Side]], "W", IF('Prediction Log'!L342&lt;&gt;Table12[[#This Row],[Side]], "L", "")))</f>
      </c>
      <c r="AA341" s="59" t="str">
        <f t="shared" si="50"/>
      </c>
      <c r="AB341" s="67" t="str">
        <f>IF(OR(Table12[[#This Row],[Bet]]="Side",Table12[[#This Row],[Bet]]="", 'Prediction Log'!L342=""), "",IF('Prediction Log'!U342="Y", "W", IF('Prediction Log'!U342="N", "L", "")))</f>
      </c>
      <c r="AC341" s="59" t="str">
        <f t="shared" si="51"/>
      </c>
      <c r="AD341" s="67"/>
      <c r="AE341" s="65" t="str">
        <f t="shared" si="56"/>
      </c>
      <c r="AF3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2">
      <c r="A342" s="65" t="str">
        <f>IF(ISBLANK(Games!A342), "", Games!A342)</f>
      </c>
      <c r="B342" s="65" t="str">
        <f>IF('Prediction Log'!B343=0, "",'Prediction Log'!B343)</f>
      </c>
      <c r="C342" s="65" t="str">
        <f>IF('Prediction Log'!C343=0, "",'Prediction Log'!C343)</f>
      </c>
      <c r="D342" s="65" t="str">
        <f>IF('Prediction Log'!D343=0, "",'Prediction Log'!D343)</f>
      </c>
      <c r="E342" s="58" t="str">
        <f>IF('Prediction Log'!E343=0, "",'Prediction Log'!E343)</f>
      </c>
      <c r="F342" s="65" t="str">
        <f>IF('Prediction Log'!H343=0, "",'Prediction Log'!H343)</f>
      </c>
      <c r="G342" s="64" t="str">
        <f>IF(ISBLANK(Games!B342), "",'Prediction Log'!$I343)</f>
      </c>
      <c r="H342" s="66" t="n">
        <f>'Prediction Log'!$J343</f>
        <v>0</v>
      </c>
      <c r="I342" s="65" t="str">
        <f>IF(ISBLANK(Games!T342), "",IF(AND(Games!T342="",Games!U342=""),"",IF(ISTEXT(Games!U342), "Side",Games!T342)))</f>
      </c>
      <c r="J342" s="65" t="str">
        <f>IF(ISBLANK(Games!T342), "",IF(Table12[[#This Row],[Bet]]="Spread", Games!X342, ""))</f>
      </c>
      <c r="K342" s="65" t="str">
        <f>IF(ISBLANK(Games!U342), "",IF(ISTEXT(Games!U342), Games!U342, ""))</f>
      </c>
      <c r="L342" s="57" t="str">
        <f>IF(ISBLANK(Games!D342), "", Games!D342)</f>
      </c>
      <c r="M342" s="65"/>
      <c r="N342" s="75" t="str">
        <f>IF(Games!V342="", "",Games!V342)</f>
      </c>
      <c r="O342" s="75" t="str">
        <f>IF(Games!Z342=0, "",Games!Z342)</f>
      </c>
      <c r="P342" s="67"/>
      <c r="Q342" s="67" t="str">
        <f>IF(ISBLANK(Games!W342), "", Games!W342)</f>
      </c>
      <c r="R342" s="67" t="str">
        <f>IF(ISBLANK(Games!AA342), "", Games!AA342)</f>
      </c>
      <c r="S342" s="67"/>
      <c r="T342" s="68" t="str">
        <f t="shared" si="52"/>
      </c>
      <c r="U342" s="68" t="str">
        <f t="shared" si="53"/>
      </c>
      <c r="V342" s="68" t="str">
        <f t="shared" si="54"/>
      </c>
      <c r="W342" s="68" t="str">
        <f t="shared" si="55"/>
      </c>
      <c r="X342" s="68" t="n">
        <f t="shared" si="48"/>
        <v>0</v>
      </c>
      <c r="Y342" s="68" t="n">
        <f t="shared" si="49"/>
        <v>0</v>
      </c>
      <c r="Z342" s="67" t="str">
        <f>IF(OR('Prediction Log'!L343="", Table12[[#This Row],[Bet]]="", Table12[[#This Row],[Bet]]="Spread"), "",IF('Prediction Log'!L343=Table12[[#This Row],[Side]], "W", IF('Prediction Log'!L343&lt;&gt;Table12[[#This Row],[Side]], "L", "")))</f>
      </c>
      <c r="AA342" s="59" t="str">
        <f t="shared" si="50"/>
      </c>
      <c r="AB342" s="67" t="str">
        <f>IF(OR(Table12[[#This Row],[Bet]]="Side",Table12[[#This Row],[Bet]]="", 'Prediction Log'!L343=""), "",IF('Prediction Log'!U343="Y", "W", IF('Prediction Log'!U343="N", "L", "")))</f>
      </c>
      <c r="AC342" s="59" t="str">
        <f t="shared" si="51"/>
      </c>
      <c r="AD342" s="67"/>
      <c r="AE342" s="65" t="str">
        <f t="shared" si="56"/>
      </c>
      <c r="AF3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3">
      <c r="A343" s="65" t="str">
        <f>IF(ISBLANK(Games!A343), "", Games!A343)</f>
      </c>
      <c r="B343" s="65" t="str">
        <f>IF('Prediction Log'!B344=0, "",'Prediction Log'!B344)</f>
      </c>
      <c r="C343" s="65" t="str">
        <f>IF('Prediction Log'!C344=0, "",'Prediction Log'!C344)</f>
      </c>
      <c r="D343" s="65" t="str">
        <f>IF('Prediction Log'!D344=0, "",'Prediction Log'!D344)</f>
      </c>
      <c r="E343" s="58" t="str">
        <f>IF('Prediction Log'!E344=0, "",'Prediction Log'!E344)</f>
      </c>
      <c r="F343" s="65" t="str">
        <f>IF('Prediction Log'!H344=0, "",'Prediction Log'!H344)</f>
      </c>
      <c r="G343" s="64" t="str">
        <f>IF(ISBLANK(Games!B343), "",'Prediction Log'!$I344)</f>
      </c>
      <c r="H343" s="66" t="n">
        <f>'Prediction Log'!$J344</f>
        <v>0</v>
      </c>
      <c r="I343" s="65" t="str">
        <f>IF(ISBLANK(Games!T343), "",IF(AND(Games!T343="",Games!U343=""),"",IF(ISTEXT(Games!U343), "Side",Games!T343)))</f>
      </c>
      <c r="J343" s="65" t="str">
        <f>IF(ISBLANK(Games!T343), "",IF(Table12[[#This Row],[Bet]]="Spread", Games!X343, ""))</f>
      </c>
      <c r="K343" s="65" t="str">
        <f>IF(ISBLANK(Games!U343), "",IF(ISTEXT(Games!U343), Games!U343, ""))</f>
      </c>
      <c r="L343" s="57" t="str">
        <f>IF(ISBLANK(Games!D343), "", Games!D343)</f>
      </c>
      <c r="M343" s="65"/>
      <c r="N343" s="75" t="str">
        <f>IF(Games!V343="", "",Games!V343)</f>
      </c>
      <c r="O343" s="75" t="str">
        <f>IF(Games!Z343=0, "",Games!Z343)</f>
      </c>
      <c r="P343" s="67"/>
      <c r="Q343" s="67" t="str">
        <f>IF(ISBLANK(Games!W343), "", Games!W343)</f>
      </c>
      <c r="R343" s="67" t="str">
        <f>IF(ISBLANK(Games!AA343), "", Games!AA343)</f>
      </c>
      <c r="S343" s="67"/>
      <c r="T343" s="68" t="str">
        <f t="shared" si="52"/>
      </c>
      <c r="U343" s="68" t="str">
        <f t="shared" si="53"/>
      </c>
      <c r="V343" s="68" t="str">
        <f t="shared" si="54"/>
      </c>
      <c r="W343" s="68" t="str">
        <f t="shared" si="55"/>
      </c>
      <c r="X343" s="68" t="n">
        <f t="shared" si="48"/>
        <v>0</v>
      </c>
      <c r="Y343" s="68" t="n">
        <f t="shared" si="49"/>
        <v>0</v>
      </c>
      <c r="Z343" s="67" t="str">
        <f>IF(OR('Prediction Log'!L344="", Table12[[#This Row],[Bet]]="", Table12[[#This Row],[Bet]]="Spread"), "",IF('Prediction Log'!L344=Table12[[#This Row],[Side]], "W", IF('Prediction Log'!L344&lt;&gt;Table12[[#This Row],[Side]], "L", "")))</f>
      </c>
      <c r="AA343" s="59" t="str">
        <f t="shared" si="50"/>
      </c>
      <c r="AB343" s="67" t="str">
        <f>IF(OR(Table12[[#This Row],[Bet]]="Side",Table12[[#This Row],[Bet]]="", 'Prediction Log'!L344=""), "",IF('Prediction Log'!U344="Y", "W", IF('Prediction Log'!U344="N", "L", "")))</f>
      </c>
      <c r="AC343" s="59" t="str">
        <f t="shared" si="51"/>
      </c>
      <c r="AD343" s="67"/>
      <c r="AE343" s="65" t="str">
        <f t="shared" si="56"/>
      </c>
      <c r="AF3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4">
      <c r="A344" s="65" t="str">
        <f>IF(ISBLANK(Games!A344), "", Games!A344)</f>
      </c>
      <c r="B344" s="65" t="str">
        <f>IF('Prediction Log'!B345=0, "",'Prediction Log'!B345)</f>
      </c>
      <c r="C344" s="65" t="str">
        <f>IF('Prediction Log'!C345=0, "",'Prediction Log'!C345)</f>
      </c>
      <c r="D344" s="65" t="str">
        <f>IF('Prediction Log'!D345=0, "",'Prediction Log'!D345)</f>
      </c>
      <c r="E344" s="58" t="str">
        <f>IF('Prediction Log'!E345=0, "",'Prediction Log'!E345)</f>
      </c>
      <c r="F344" s="65" t="str">
        <f>IF('Prediction Log'!H345=0, "",'Prediction Log'!H345)</f>
      </c>
      <c r="G344" s="64" t="str">
        <f>IF(ISBLANK(Games!B344), "",'Prediction Log'!$I345)</f>
      </c>
      <c r="H344" s="66" t="n">
        <f>'Prediction Log'!$J345</f>
        <v>0</v>
      </c>
      <c r="I344" s="65" t="str">
        <f>IF(ISBLANK(Games!T344), "",IF(AND(Games!T344="",Games!U344=""),"",IF(ISTEXT(Games!U344), "Side",Games!T344)))</f>
      </c>
      <c r="J344" s="65" t="str">
        <f>IF(ISBLANK(Games!T344), "",IF(Table12[[#This Row],[Bet]]="Spread", Games!X344, ""))</f>
      </c>
      <c r="K344" s="65" t="str">
        <f>IF(ISBLANK(Games!U344), "",IF(ISTEXT(Games!U344), Games!U344, ""))</f>
      </c>
      <c r="L344" s="57" t="str">
        <f>IF(ISBLANK(Games!D344), "", Games!D344)</f>
      </c>
      <c r="M344" s="65"/>
      <c r="N344" s="75" t="str">
        <f>IF(Games!V344="", "",Games!V344)</f>
      </c>
      <c r="O344" s="75" t="str">
        <f>IF(Games!Z344=0, "",Games!Z344)</f>
      </c>
      <c r="P344" s="67"/>
      <c r="Q344" s="67" t="str">
        <f>IF(ISBLANK(Games!W344), "", Games!W344)</f>
      </c>
      <c r="R344" s="67" t="str">
        <f>IF(ISBLANK(Games!AA344), "", Games!AA344)</f>
      </c>
      <c r="S344" s="67"/>
      <c r="T344" s="68" t="str">
        <f t="shared" si="52"/>
      </c>
      <c r="U344" s="68" t="str">
        <f t="shared" si="53"/>
      </c>
      <c r="V344" s="68" t="str">
        <f t="shared" si="54"/>
      </c>
      <c r="W344" s="68" t="str">
        <f t="shared" si="55"/>
      </c>
      <c r="X344" s="68" t="n">
        <f t="shared" si="48"/>
        <v>0</v>
      </c>
      <c r="Y344" s="68" t="n">
        <f t="shared" si="49"/>
        <v>0</v>
      </c>
      <c r="Z344" s="67" t="str">
        <f>IF(OR('Prediction Log'!L345="", Table12[[#This Row],[Bet]]="", Table12[[#This Row],[Bet]]="Spread"), "",IF('Prediction Log'!L345=Table12[[#This Row],[Side]], "W", IF('Prediction Log'!L345&lt;&gt;Table12[[#This Row],[Side]], "L", "")))</f>
      </c>
      <c r="AA344" s="59" t="str">
        <f t="shared" si="50"/>
      </c>
      <c r="AB344" s="67" t="str">
        <f>IF(OR(Table12[[#This Row],[Bet]]="Side",Table12[[#This Row],[Bet]]="", 'Prediction Log'!L345=""), "",IF('Prediction Log'!U345="Y", "W", IF('Prediction Log'!U345="N", "L", "")))</f>
      </c>
      <c r="AC344" s="59" t="str">
        <f t="shared" si="51"/>
      </c>
      <c r="AD344" s="67"/>
      <c r="AE344" s="65" t="str">
        <f t="shared" si="56"/>
      </c>
      <c r="AF3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5">
      <c r="A345" s="65" t="str">
        <f>IF(ISBLANK(Games!A345), "", Games!A345)</f>
      </c>
      <c r="B345" s="65" t="str">
        <f>IF('Prediction Log'!B346=0, "",'Prediction Log'!B346)</f>
      </c>
      <c r="C345" s="65" t="str">
        <f>IF('Prediction Log'!C346=0, "",'Prediction Log'!C346)</f>
      </c>
      <c r="D345" s="65" t="str">
        <f>IF('Prediction Log'!D346=0, "",'Prediction Log'!D346)</f>
      </c>
      <c r="E345" s="58" t="str">
        <f>IF('Prediction Log'!E346=0, "",'Prediction Log'!E346)</f>
      </c>
      <c r="F345" s="65" t="str">
        <f>IF('Prediction Log'!H346=0, "",'Prediction Log'!H346)</f>
      </c>
      <c r="G345" s="64" t="str">
        <f>IF(ISBLANK(Games!B345), "",'Prediction Log'!$I346)</f>
      </c>
      <c r="H345" s="66" t="n">
        <f>'Prediction Log'!$J346</f>
        <v>0</v>
      </c>
      <c r="I345" s="65" t="str">
        <f>IF(ISBLANK(Games!T345), "",IF(AND(Games!T345="",Games!U345=""),"",IF(ISTEXT(Games!U345), "Side",Games!T345)))</f>
      </c>
      <c r="J345" s="65" t="str">
        <f>IF(ISBLANK(Games!T345), "",IF(Table12[[#This Row],[Bet]]="Spread", Games!X345, ""))</f>
      </c>
      <c r="K345" s="65" t="str">
        <f>IF(ISBLANK(Games!U345), "",IF(ISTEXT(Games!U345), Games!U345, ""))</f>
      </c>
      <c r="L345" s="57" t="str">
        <f>IF(ISBLANK(Games!D345), "", Games!D345)</f>
      </c>
      <c r="M345" s="65"/>
      <c r="N345" s="75" t="str">
        <f>IF(Games!V345="", "",Games!V345)</f>
      </c>
      <c r="O345" s="75" t="str">
        <f>IF(Games!Z345=0, "",Games!Z345)</f>
      </c>
      <c r="P345" s="67"/>
      <c r="Q345" s="67" t="str">
        <f>IF(ISBLANK(Games!W345), "", Games!W345)</f>
      </c>
      <c r="R345" s="67" t="str">
        <f>IF(ISBLANK(Games!AA345), "", Games!AA345)</f>
      </c>
      <c r="S345" s="67"/>
      <c r="T345" s="68" t="str">
        <f t="shared" si="52"/>
      </c>
      <c r="U345" s="68" t="str">
        <f t="shared" si="53"/>
      </c>
      <c r="V345" s="68" t="str">
        <f t="shared" si="54"/>
      </c>
      <c r="W345" s="68" t="str">
        <f t="shared" si="55"/>
      </c>
      <c r="X345" s="68" t="n">
        <f t="shared" si="48"/>
        <v>0</v>
      </c>
      <c r="Y345" s="68" t="n">
        <f t="shared" si="49"/>
        <v>0</v>
      </c>
      <c r="Z345" s="67" t="str">
        <f>IF(OR('Prediction Log'!L346="", Table12[[#This Row],[Bet]]="", Table12[[#This Row],[Bet]]="Spread"), "",IF('Prediction Log'!L346=Table12[[#This Row],[Side]], "W", IF('Prediction Log'!L346&lt;&gt;Table12[[#This Row],[Side]], "L", "")))</f>
      </c>
      <c r="AA345" s="59" t="str">
        <f t="shared" si="50"/>
      </c>
      <c r="AB345" s="67" t="str">
        <f>IF(OR(Table12[[#This Row],[Bet]]="Side",Table12[[#This Row],[Bet]]="", 'Prediction Log'!L346=""), "",IF('Prediction Log'!U346="Y", "W", IF('Prediction Log'!U346="N", "L", "")))</f>
      </c>
      <c r="AC345" s="59" t="str">
        <f t="shared" si="51"/>
      </c>
      <c r="AD345" s="67"/>
      <c r="AE345" s="65" t="str">
        <f t="shared" si="56"/>
      </c>
      <c r="AF3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6">
      <c r="A346" s="65" t="str">
        <f>IF(ISBLANK(Games!A346), "", Games!A346)</f>
      </c>
      <c r="B346" s="65" t="str">
        <f>IF('Prediction Log'!B347=0, "",'Prediction Log'!B347)</f>
      </c>
      <c r="C346" s="65" t="str">
        <f>IF('Prediction Log'!C347=0, "",'Prediction Log'!C347)</f>
      </c>
      <c r="D346" s="65" t="str">
        <f>IF('Prediction Log'!D347=0, "",'Prediction Log'!D347)</f>
      </c>
      <c r="E346" s="58" t="str">
        <f>IF('Prediction Log'!E347=0, "",'Prediction Log'!E347)</f>
      </c>
      <c r="F346" s="65" t="str">
        <f>IF('Prediction Log'!H347=0, "",'Prediction Log'!H347)</f>
      </c>
      <c r="G346" s="64" t="str">
        <f>IF(ISBLANK(Games!B346), "",'Prediction Log'!$I347)</f>
      </c>
      <c r="H346" s="66" t="n">
        <f>'Prediction Log'!$J347</f>
        <v>0</v>
      </c>
      <c r="I346" s="65" t="str">
        <f>IF(ISBLANK(Games!T346), "",IF(AND(Games!T346="",Games!U346=""),"",IF(ISTEXT(Games!U346), "Side",Games!T346)))</f>
      </c>
      <c r="J346" s="65" t="str">
        <f>IF(ISBLANK(Games!T346), "",IF(Table12[[#This Row],[Bet]]="Spread", Games!X346, ""))</f>
      </c>
      <c r="K346" s="65" t="str">
        <f>IF(ISBLANK(Games!U346), "",IF(ISTEXT(Games!U346), Games!U346, ""))</f>
      </c>
      <c r="L346" s="57" t="str">
        <f>IF(ISBLANK(Games!D346), "", Games!D346)</f>
      </c>
      <c r="M346" s="65"/>
      <c r="N346" s="75" t="str">
        <f>IF(Games!V346="", "",Games!V346)</f>
      </c>
      <c r="O346" s="75" t="str">
        <f>IF(Games!Z346=0, "",Games!Z346)</f>
      </c>
      <c r="P346" s="67"/>
      <c r="Q346" s="67" t="str">
        <f>IF(ISBLANK(Games!W346), "", Games!W346)</f>
      </c>
      <c r="R346" s="67" t="str">
        <f>IF(ISBLANK(Games!AA346), "", Games!AA346)</f>
      </c>
      <c r="S346" s="67"/>
      <c r="T346" s="68" t="str">
        <f t="shared" si="52"/>
      </c>
      <c r="U346" s="68" t="str">
        <f t="shared" si="53"/>
      </c>
      <c r="V346" s="68" t="str">
        <f t="shared" si="54"/>
      </c>
      <c r="W346" s="68" t="str">
        <f t="shared" si="55"/>
      </c>
      <c r="X346" s="68" t="n">
        <f t="shared" si="48"/>
        <v>0</v>
      </c>
      <c r="Y346" s="68" t="n">
        <f t="shared" si="49"/>
        <v>0</v>
      </c>
      <c r="Z346" s="67" t="str">
        <f>IF(OR('Prediction Log'!L347="", Table12[[#This Row],[Bet]]="", Table12[[#This Row],[Bet]]="Spread"), "",IF('Prediction Log'!L347=Table12[[#This Row],[Side]], "W", IF('Prediction Log'!L347&lt;&gt;Table12[[#This Row],[Side]], "L", "")))</f>
      </c>
      <c r="AA346" s="59" t="str">
        <f t="shared" si="50"/>
      </c>
      <c r="AB346" s="67" t="str">
        <f>IF(OR(Table12[[#This Row],[Bet]]="Side",Table12[[#This Row],[Bet]]="", 'Prediction Log'!L347=""), "",IF('Prediction Log'!U347="Y", "W", IF('Prediction Log'!U347="N", "L", "")))</f>
      </c>
      <c r="AC346" s="59" t="str">
        <f t="shared" si="51"/>
      </c>
      <c r="AD346" s="67"/>
      <c r="AE346" s="65" t="str">
        <f t="shared" si="56"/>
      </c>
      <c r="AF3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7">
      <c r="A347" s="65" t="str">
        <f>IF(ISBLANK(Games!A347), "", Games!A347)</f>
      </c>
      <c r="B347" s="65" t="str">
        <f>IF('Prediction Log'!B348=0, "",'Prediction Log'!B348)</f>
      </c>
      <c r="C347" s="65" t="str">
        <f>IF('Prediction Log'!C348=0, "",'Prediction Log'!C348)</f>
      </c>
      <c r="D347" s="65" t="str">
        <f>IF('Prediction Log'!D348=0, "",'Prediction Log'!D348)</f>
      </c>
      <c r="E347" s="58" t="str">
        <f>IF('Prediction Log'!E348=0, "",'Prediction Log'!E348)</f>
      </c>
      <c r="F347" s="65" t="str">
        <f>IF('Prediction Log'!H348=0, "",'Prediction Log'!H348)</f>
      </c>
      <c r="G347" s="64" t="str">
        <f>IF(ISBLANK(Games!B347), "",'Prediction Log'!$I348)</f>
      </c>
      <c r="H347" s="66" t="n">
        <f>'Prediction Log'!$J348</f>
        <v>0</v>
      </c>
      <c r="I347" s="65" t="str">
        <f>IF(ISBLANK(Games!T347), "",IF(AND(Games!T347="",Games!U347=""),"",IF(ISTEXT(Games!U347), "Side",Games!T347)))</f>
      </c>
      <c r="J347" s="65" t="str">
        <f>IF(ISBLANK(Games!T347), "",IF(Table12[[#This Row],[Bet]]="Spread", Games!X347, ""))</f>
      </c>
      <c r="K347" s="65" t="str">
        <f>IF(ISBLANK(Games!U347), "",IF(ISTEXT(Games!U347), Games!U347, ""))</f>
      </c>
      <c r="L347" s="57" t="str">
        <f>IF(ISBLANK(Games!D347), "", Games!D347)</f>
      </c>
      <c r="M347" s="65"/>
      <c r="N347" s="75" t="str">
        <f>IF(Games!V347="", "",Games!V347)</f>
      </c>
      <c r="O347" s="75" t="str">
        <f>IF(Games!Z347=0, "",Games!Z347)</f>
      </c>
      <c r="P347" s="67"/>
      <c r="Q347" s="67" t="str">
        <f>IF(ISBLANK(Games!W347), "", Games!W347)</f>
      </c>
      <c r="R347" s="67" t="str">
        <f>IF(ISBLANK(Games!AA347), "", Games!AA347)</f>
      </c>
      <c r="S347" s="67"/>
      <c r="T347" s="68" t="str">
        <f t="shared" si="52"/>
      </c>
      <c r="U347" s="68" t="str">
        <f t="shared" si="53"/>
      </c>
      <c r="V347" s="68" t="str">
        <f t="shared" si="54"/>
      </c>
      <c r="W347" s="68" t="str">
        <f t="shared" si="55"/>
      </c>
      <c r="X347" s="68" t="n">
        <f t="shared" si="48"/>
        <v>0</v>
      </c>
      <c r="Y347" s="68" t="n">
        <f t="shared" si="49"/>
        <v>0</v>
      </c>
      <c r="Z347" s="67" t="str">
        <f>IF(OR('Prediction Log'!L348="", Table12[[#This Row],[Bet]]="", Table12[[#This Row],[Bet]]="Spread"), "",IF('Prediction Log'!L348=Table12[[#This Row],[Side]], "W", IF('Prediction Log'!L348&lt;&gt;Table12[[#This Row],[Side]], "L", "")))</f>
      </c>
      <c r="AA347" s="59" t="str">
        <f t="shared" si="50"/>
      </c>
      <c r="AB347" s="67" t="str">
        <f>IF(OR(Table12[[#This Row],[Bet]]="Side",Table12[[#This Row],[Bet]]="", 'Prediction Log'!L348=""), "",IF('Prediction Log'!U348="Y", "W", IF('Prediction Log'!U348="N", "L", "")))</f>
      </c>
      <c r="AC347" s="59" t="str">
        <f t="shared" si="51"/>
      </c>
      <c r="AD347" s="67"/>
      <c r="AE347" s="65" t="str">
        <f t="shared" si="56"/>
      </c>
      <c r="AF3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8">
      <c r="A348" s="65" t="str">
        <f>IF(ISBLANK(Games!A348), "", Games!A348)</f>
      </c>
      <c r="B348" s="65" t="str">
        <f>IF('Prediction Log'!B349=0, "",'Prediction Log'!B349)</f>
      </c>
      <c r="C348" s="65" t="str">
        <f>IF('Prediction Log'!C349=0, "",'Prediction Log'!C349)</f>
      </c>
      <c r="D348" s="65" t="str">
        <f>IF('Prediction Log'!D349=0, "",'Prediction Log'!D349)</f>
      </c>
      <c r="E348" s="58" t="str">
        <f>IF('Prediction Log'!E349=0, "",'Prediction Log'!E349)</f>
      </c>
      <c r="F348" s="65" t="str">
        <f>IF('Prediction Log'!H349=0, "",'Prediction Log'!H349)</f>
      </c>
      <c r="G348" s="64" t="str">
        <f>IF(ISBLANK(Games!B348), "",'Prediction Log'!$I349)</f>
      </c>
      <c r="H348" s="66" t="n">
        <f>'Prediction Log'!$J349</f>
        <v>0</v>
      </c>
      <c r="I348" s="65" t="str">
        <f>IF(ISBLANK(Games!T348), "",IF(AND(Games!T348="",Games!U348=""),"",IF(ISTEXT(Games!U348), "Side",Games!T348)))</f>
      </c>
      <c r="J348" s="65" t="str">
        <f>IF(ISBLANK(Games!T348), "",IF(Table12[[#This Row],[Bet]]="Spread", Games!X348, ""))</f>
      </c>
      <c r="K348" s="65" t="str">
        <f>IF(ISBLANK(Games!U348), "",IF(ISTEXT(Games!U348), Games!U348, ""))</f>
      </c>
      <c r="L348" s="57" t="str">
        <f>IF(ISBLANK(Games!D348), "", Games!D348)</f>
      </c>
      <c r="M348" s="65"/>
      <c r="N348" s="75" t="str">
        <f>IF(Games!V348="", "",Games!V348)</f>
      </c>
      <c r="O348" s="75" t="str">
        <f>IF(Games!Z348=0, "",Games!Z348)</f>
      </c>
      <c r="P348" s="67"/>
      <c r="Q348" s="67" t="str">
        <f>IF(ISBLANK(Games!W348), "", Games!W348)</f>
      </c>
      <c r="R348" s="67" t="str">
        <f>IF(ISBLANK(Games!AA348), "", Games!AA348)</f>
      </c>
      <c r="S348" s="67"/>
      <c r="T348" s="68" t="str">
        <f t="shared" si="52"/>
      </c>
      <c r="U348" s="68" t="str">
        <f t="shared" si="53"/>
      </c>
      <c r="V348" s="68" t="str">
        <f t="shared" si="54"/>
      </c>
      <c r="W348" s="68" t="str">
        <f t="shared" si="55"/>
      </c>
      <c r="X348" s="68" t="n">
        <f t="shared" si="48"/>
        <v>0</v>
      </c>
      <c r="Y348" s="68" t="n">
        <f t="shared" si="49"/>
        <v>0</v>
      </c>
      <c r="Z348" s="67" t="str">
        <f>IF(OR('Prediction Log'!L349="", Table12[[#This Row],[Bet]]="", Table12[[#This Row],[Bet]]="Spread"), "",IF('Prediction Log'!L349=Table12[[#This Row],[Side]], "W", IF('Prediction Log'!L349&lt;&gt;Table12[[#This Row],[Side]], "L", "")))</f>
      </c>
      <c r="AA348" s="59" t="str">
        <f t="shared" si="50"/>
      </c>
      <c r="AB348" s="67" t="str">
        <f>IF(OR(Table12[[#This Row],[Bet]]="Side",Table12[[#This Row],[Bet]]="", 'Prediction Log'!L349=""), "",IF('Prediction Log'!U349="Y", "W", IF('Prediction Log'!U349="N", "L", "")))</f>
      </c>
      <c r="AC348" s="59" t="str">
        <f t="shared" si="51"/>
      </c>
      <c r="AD348" s="67"/>
      <c r="AE348" s="65" t="str">
        <f t="shared" si="56"/>
      </c>
      <c r="AF3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9">
      <c r="A349" s="65" t="str">
        <f>IF(ISBLANK(Games!A349), "", Games!A349)</f>
      </c>
      <c r="B349" s="65" t="str">
        <f>IF('Prediction Log'!B350=0, "",'Prediction Log'!B350)</f>
      </c>
      <c r="C349" s="65" t="str">
        <f>IF('Prediction Log'!C350=0, "",'Prediction Log'!C350)</f>
      </c>
      <c r="D349" s="65" t="str">
        <f>IF('Prediction Log'!D350=0, "",'Prediction Log'!D350)</f>
      </c>
      <c r="E349" s="58" t="str">
        <f>IF('Prediction Log'!E350=0, "",'Prediction Log'!E350)</f>
      </c>
      <c r="F349" s="65" t="str">
        <f>IF('Prediction Log'!H350=0, "",'Prediction Log'!H350)</f>
      </c>
      <c r="G349" s="64" t="str">
        <f>IF(ISBLANK(Games!B349), "",'Prediction Log'!$I350)</f>
      </c>
      <c r="H349" s="66" t="n">
        <f>'Prediction Log'!$J350</f>
        <v>0</v>
      </c>
      <c r="I349" s="65" t="str">
        <f>IF(ISBLANK(Games!T349), "",IF(AND(Games!T349="",Games!U349=""),"",IF(ISTEXT(Games!U349), "Side",Games!T349)))</f>
      </c>
      <c r="J349" s="65" t="str">
        <f>IF(ISBLANK(Games!T349), "",IF(Table12[[#This Row],[Bet]]="Spread", Games!X349, ""))</f>
      </c>
      <c r="K349" s="65" t="str">
        <f>IF(ISBLANK(Games!U349), "",IF(ISTEXT(Games!U349), Games!U349, ""))</f>
      </c>
      <c r="L349" s="57" t="str">
        <f>IF(ISBLANK(Games!D349), "", Games!D349)</f>
      </c>
      <c r="M349" s="65"/>
      <c r="N349" s="75" t="str">
        <f>IF(Games!V349="", "",Games!V349)</f>
      </c>
      <c r="O349" s="75" t="str">
        <f>IF(Games!Z349=0, "",Games!Z349)</f>
      </c>
      <c r="P349" s="67"/>
      <c r="Q349" s="67" t="str">
        <f>IF(ISBLANK(Games!W349), "", Games!W349)</f>
      </c>
      <c r="R349" s="67" t="str">
        <f>IF(ISBLANK(Games!AA349), "", Games!AA349)</f>
      </c>
      <c r="S349" s="67"/>
      <c r="T349" s="68" t="str">
        <f t="shared" si="52"/>
      </c>
      <c r="U349" s="68" t="str">
        <f t="shared" si="53"/>
      </c>
      <c r="V349" s="68" t="str">
        <f t="shared" si="54"/>
      </c>
      <c r="W349" s="68" t="str">
        <f t="shared" si="55"/>
      </c>
      <c r="X349" s="68" t="n">
        <f t="shared" si="48"/>
        <v>0</v>
      </c>
      <c r="Y349" s="68" t="n">
        <f t="shared" si="49"/>
        <v>0</v>
      </c>
      <c r="Z349" s="67" t="str">
        <f>IF(OR('Prediction Log'!L350="", Table12[[#This Row],[Bet]]="", Table12[[#This Row],[Bet]]="Spread"), "",IF('Prediction Log'!L350=Table12[[#This Row],[Side]], "W", IF('Prediction Log'!L350&lt;&gt;Table12[[#This Row],[Side]], "L", "")))</f>
      </c>
      <c r="AA349" s="59" t="str">
        <f t="shared" si="50"/>
      </c>
      <c r="AB349" s="67" t="str">
        <f>IF(OR(Table12[[#This Row],[Bet]]="Side",Table12[[#This Row],[Bet]]="", 'Prediction Log'!L350=""), "",IF('Prediction Log'!U350="Y", "W", IF('Prediction Log'!U350="N", "L", "")))</f>
      </c>
      <c r="AC349" s="59" t="str">
        <f t="shared" si="51"/>
      </c>
      <c r="AD349" s="67"/>
      <c r="AE349" s="65" t="str">
        <f t="shared" si="56"/>
      </c>
      <c r="AF3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0">
      <c r="A350" s="65" t="str">
        <f>IF(ISBLANK(Games!A350), "", Games!A350)</f>
      </c>
      <c r="B350" s="65" t="str">
        <f>IF('Prediction Log'!B351=0, "",'Prediction Log'!B351)</f>
      </c>
      <c r="C350" s="65" t="str">
        <f>IF('Prediction Log'!C351=0, "",'Prediction Log'!C351)</f>
      </c>
      <c r="D350" s="65" t="str">
        <f>IF('Prediction Log'!D351=0, "",'Prediction Log'!D351)</f>
      </c>
      <c r="E350" s="58" t="str">
        <f>IF('Prediction Log'!E351=0, "",'Prediction Log'!E351)</f>
      </c>
      <c r="F350" s="65" t="str">
        <f>IF('Prediction Log'!H351=0, "",'Prediction Log'!H351)</f>
      </c>
      <c r="G350" s="64" t="str">
        <f>IF(ISBLANK(Games!B350), "",'Prediction Log'!$I351)</f>
      </c>
      <c r="H350" s="66" t="n">
        <f>'Prediction Log'!$J351</f>
        <v>0</v>
      </c>
      <c r="I350" s="65" t="str">
        <f>IF(ISBLANK(Games!T350), "",IF(AND(Games!T350="",Games!U350=""),"",IF(ISTEXT(Games!U350), "Side",Games!T350)))</f>
      </c>
      <c r="J350" s="65" t="str">
        <f>IF(ISBLANK(Games!T350), "",IF(Table12[[#This Row],[Bet]]="Spread", Games!X350, ""))</f>
      </c>
      <c r="K350" s="65" t="str">
        <f>IF(ISBLANK(Games!U350), "",IF(ISTEXT(Games!U350), Games!U350, ""))</f>
      </c>
      <c r="L350" s="57" t="str">
        <f>IF(ISBLANK(Games!D350), "", Games!D350)</f>
      </c>
      <c r="M350" s="65"/>
      <c r="N350" s="75" t="str">
        <f>IF(Games!V350="", "",Games!V350)</f>
      </c>
      <c r="O350" s="75" t="str">
        <f>IF(Games!Z350=0, "",Games!Z350)</f>
      </c>
      <c r="P350" s="67"/>
      <c r="Q350" s="67" t="str">
        <f>IF(ISBLANK(Games!W350), "", Games!W350)</f>
      </c>
      <c r="R350" s="67" t="str">
        <f>IF(ISBLANK(Games!AA350), "", Games!AA350)</f>
      </c>
      <c r="S350" s="67"/>
      <c r="T350" s="68" t="str">
        <f t="shared" si="52"/>
      </c>
      <c r="U350" s="68" t="str">
        <f t="shared" si="53"/>
      </c>
      <c r="V350" s="68" t="str">
        <f t="shared" si="54"/>
      </c>
      <c r="W350" s="68" t="str">
        <f t="shared" si="55"/>
      </c>
      <c r="X350" s="68" t="n">
        <f t="shared" si="48"/>
        <v>0</v>
      </c>
      <c r="Y350" s="68" t="n">
        <f t="shared" si="49"/>
        <v>0</v>
      </c>
      <c r="Z350" s="67" t="str">
        <f>IF(OR('Prediction Log'!L351="", Table12[[#This Row],[Bet]]="", Table12[[#This Row],[Bet]]="Spread"), "",IF('Prediction Log'!L351=Table12[[#This Row],[Side]], "W", IF('Prediction Log'!L351&lt;&gt;Table12[[#This Row],[Side]], "L", "")))</f>
      </c>
      <c r="AA350" s="59" t="str">
        <f t="shared" si="50"/>
      </c>
      <c r="AB350" s="67" t="str">
        <f>IF(OR(Table12[[#This Row],[Bet]]="Side",Table12[[#This Row],[Bet]]="", 'Prediction Log'!L351=""), "",IF('Prediction Log'!U351="Y", "W", IF('Prediction Log'!U351="N", "L", "")))</f>
      </c>
      <c r="AC350" s="59" t="str">
        <f t="shared" si="51"/>
      </c>
      <c r="AD350" s="67"/>
      <c r="AE350" s="65" t="str">
        <f t="shared" si="56"/>
      </c>
      <c r="AF3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1">
      <c r="A351" s="65" t="str">
        <f>IF(ISBLANK(Games!A351), "", Games!A351)</f>
      </c>
      <c r="B351" s="65" t="str">
        <f>IF('Prediction Log'!B352=0, "",'Prediction Log'!B352)</f>
      </c>
      <c r="C351" s="65" t="str">
        <f>IF('Prediction Log'!C352=0, "",'Prediction Log'!C352)</f>
      </c>
      <c r="D351" s="65" t="str">
        <f>IF('Prediction Log'!D352=0, "",'Prediction Log'!D352)</f>
      </c>
      <c r="E351" s="58" t="str">
        <f>IF('Prediction Log'!E352=0, "",'Prediction Log'!E352)</f>
      </c>
      <c r="F351" s="65" t="str">
        <f>IF('Prediction Log'!H352=0, "",'Prediction Log'!H352)</f>
      </c>
      <c r="G351" s="64" t="str">
        <f>IF(ISBLANK(Games!B351), "",'Prediction Log'!$I352)</f>
      </c>
      <c r="H351" s="66" t="n">
        <f>'Prediction Log'!$J352</f>
        <v>0</v>
      </c>
      <c r="I351" s="65" t="str">
        <f>IF(ISBLANK(Games!T351), "",IF(AND(Games!T351="",Games!U351=""),"",IF(ISTEXT(Games!U351), "Side",Games!T351)))</f>
      </c>
      <c r="J351" s="65" t="str">
        <f>IF(ISBLANK(Games!T351), "",IF(Table12[[#This Row],[Bet]]="Spread", Games!X351, ""))</f>
      </c>
      <c r="K351" s="65" t="str">
        <f>IF(ISBLANK(Games!U351), "",IF(ISTEXT(Games!U351), Games!U351, ""))</f>
      </c>
      <c r="L351" s="57" t="str">
        <f>IF(ISBLANK(Games!D351), "", Games!D351)</f>
      </c>
      <c r="M351" s="65"/>
      <c r="N351" s="75" t="str">
        <f>IF(Games!V351="", "",Games!V351)</f>
      </c>
      <c r="O351" s="75" t="str">
        <f>IF(Games!Z351=0, "",Games!Z351)</f>
      </c>
      <c r="P351" s="67"/>
      <c r="Q351" s="67" t="str">
        <f>IF(ISBLANK(Games!W351), "", Games!W351)</f>
      </c>
      <c r="R351" s="67" t="str">
        <f>IF(ISBLANK(Games!AA351), "", Games!AA351)</f>
      </c>
      <c r="S351" s="67"/>
      <c r="T351" s="68" t="str">
        <f t="shared" si="52"/>
      </c>
      <c r="U351" s="68" t="str">
        <f t="shared" si="53"/>
      </c>
      <c r="V351" s="68" t="str">
        <f t="shared" si="54"/>
      </c>
      <c r="W351" s="68" t="str">
        <f t="shared" si="55"/>
      </c>
      <c r="X351" s="68" t="n">
        <f t="shared" si="48"/>
        <v>0</v>
      </c>
      <c r="Y351" s="68" t="n">
        <f t="shared" si="49"/>
        <v>0</v>
      </c>
      <c r="Z351" s="67" t="str">
        <f>IF(OR('Prediction Log'!L352="", Table12[[#This Row],[Bet]]="", Table12[[#This Row],[Bet]]="Spread"), "",IF('Prediction Log'!L352=Table12[[#This Row],[Side]], "W", IF('Prediction Log'!L352&lt;&gt;Table12[[#This Row],[Side]], "L", "")))</f>
      </c>
      <c r="AA351" s="59" t="str">
        <f t="shared" si="50"/>
      </c>
      <c r="AB351" s="67" t="str">
        <f>IF(OR(Table12[[#This Row],[Bet]]="Side",Table12[[#This Row],[Bet]]="", 'Prediction Log'!L352=""), "",IF('Prediction Log'!U352="Y", "W", IF('Prediction Log'!U352="N", "L", "")))</f>
      </c>
      <c r="AC351" s="59" t="str">
        <f t="shared" si="51"/>
      </c>
      <c r="AD351" s="67"/>
      <c r="AE351" s="65" t="str">
        <f t="shared" si="56"/>
      </c>
      <c r="AF3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2">
      <c r="A352" s="65" t="str">
        <f>IF(ISBLANK(Games!A352), "", Games!A352)</f>
      </c>
      <c r="B352" s="65" t="str">
        <f>IF('Prediction Log'!B353=0, "",'Prediction Log'!B353)</f>
      </c>
      <c r="C352" s="65" t="str">
        <f>IF('Prediction Log'!C353=0, "",'Prediction Log'!C353)</f>
      </c>
      <c r="D352" s="65" t="str">
        <f>IF('Prediction Log'!D353=0, "",'Prediction Log'!D353)</f>
      </c>
      <c r="E352" s="58" t="str">
        <f>IF('Prediction Log'!E353=0, "",'Prediction Log'!E353)</f>
      </c>
      <c r="F352" s="65" t="str">
        <f>IF('Prediction Log'!H353=0, "",'Prediction Log'!H353)</f>
      </c>
      <c r="G352" s="64" t="str">
        <f>IF(ISBLANK(Games!B352), "",'Prediction Log'!$I353)</f>
      </c>
      <c r="H352" s="66" t="n">
        <f>'Prediction Log'!$J353</f>
        <v>0</v>
      </c>
      <c r="I352" s="65" t="str">
        <f>IF(ISBLANK(Games!T352), "",IF(AND(Games!T352="",Games!U352=""),"",IF(ISTEXT(Games!U352), "Side",Games!T352)))</f>
      </c>
      <c r="J352" s="65" t="str">
        <f>IF(ISBLANK(Games!T352), "",IF(Table12[[#This Row],[Bet]]="Spread", Games!X352, ""))</f>
      </c>
      <c r="K352" s="65" t="str">
        <f>IF(ISBLANK(Games!U352), "",IF(ISTEXT(Games!U352), Games!U352, ""))</f>
      </c>
      <c r="L352" s="57" t="str">
        <f>IF(ISBLANK(Games!D352), "", Games!D352)</f>
      </c>
      <c r="M352" s="65"/>
      <c r="N352" s="75" t="str">
        <f>IF(Games!V352="", "",Games!V352)</f>
      </c>
      <c r="O352" s="75" t="str">
        <f>IF(Games!Z352=0, "",Games!Z352)</f>
      </c>
      <c r="P352" s="67"/>
      <c r="Q352" s="67" t="str">
        <f>IF(ISBLANK(Games!W352), "", Games!W352)</f>
      </c>
      <c r="R352" s="67" t="str">
        <f>IF(ISBLANK(Games!AA352), "", Games!AA352)</f>
      </c>
      <c r="S352" s="67"/>
      <c r="T352" s="68" t="str">
        <f t="shared" si="52"/>
      </c>
      <c r="U352" s="68" t="str">
        <f t="shared" si="53"/>
      </c>
      <c r="V352" s="68" t="str">
        <f t="shared" si="54"/>
      </c>
      <c r="W352" s="68" t="str">
        <f t="shared" si="55"/>
      </c>
      <c r="X352" s="68" t="n">
        <f t="shared" si="48"/>
        <v>0</v>
      </c>
      <c r="Y352" s="68" t="n">
        <f t="shared" si="49"/>
        <v>0</v>
      </c>
      <c r="Z352" s="67" t="str">
        <f>IF(OR('Prediction Log'!L353="", Table12[[#This Row],[Bet]]="", Table12[[#This Row],[Bet]]="Spread"), "",IF('Prediction Log'!L353=Table12[[#This Row],[Side]], "W", IF('Prediction Log'!L353&lt;&gt;Table12[[#This Row],[Side]], "L", "")))</f>
      </c>
      <c r="AA352" s="59" t="str">
        <f t="shared" si="50"/>
      </c>
      <c r="AB352" s="67" t="str">
        <f>IF(OR(Table12[[#This Row],[Bet]]="Side",Table12[[#This Row],[Bet]]="", 'Prediction Log'!L353=""), "",IF('Prediction Log'!U353="Y", "W", IF('Prediction Log'!U353="N", "L", "")))</f>
      </c>
      <c r="AC352" s="59" t="str">
        <f t="shared" si="51"/>
      </c>
      <c r="AD352" s="67"/>
      <c r="AE352" s="65" t="str">
        <f t="shared" si="56"/>
      </c>
      <c r="AF3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3">
      <c r="A353" s="65" t="str">
        <f>IF(ISBLANK(Games!A353), "", Games!A353)</f>
      </c>
      <c r="B353" s="65" t="str">
        <f>IF('Prediction Log'!B354=0, "",'Prediction Log'!B354)</f>
      </c>
      <c r="C353" s="65" t="str">
        <f>IF('Prediction Log'!C354=0, "",'Prediction Log'!C354)</f>
      </c>
      <c r="D353" s="65" t="str">
        <f>IF('Prediction Log'!D354=0, "",'Prediction Log'!D354)</f>
      </c>
      <c r="E353" s="58" t="str">
        <f>IF('Prediction Log'!E354=0, "",'Prediction Log'!E354)</f>
      </c>
      <c r="F353" s="65" t="str">
        <f>IF('Prediction Log'!H354=0, "",'Prediction Log'!H354)</f>
      </c>
      <c r="G353" s="64" t="str">
        <f>IF(ISBLANK(Games!B353), "",'Prediction Log'!$I354)</f>
      </c>
      <c r="H353" s="66" t="n">
        <f>'Prediction Log'!$J354</f>
        <v>0</v>
      </c>
      <c r="I353" s="65" t="str">
        <f>IF(ISBLANK(Games!T353), "",IF(AND(Games!T353="",Games!U353=""),"",IF(ISTEXT(Games!U353), "Side",Games!T353)))</f>
      </c>
      <c r="J353" s="65" t="str">
        <f>IF(ISBLANK(Games!T353), "",IF(Table12[[#This Row],[Bet]]="Spread", Games!X353, ""))</f>
      </c>
      <c r="K353" s="65" t="str">
        <f>IF(ISBLANK(Games!U353), "",IF(ISTEXT(Games!U353), Games!U353, ""))</f>
      </c>
      <c r="L353" s="57" t="str">
        <f>IF(ISBLANK(Games!D353), "", Games!D353)</f>
      </c>
      <c r="M353" s="65"/>
      <c r="N353" s="75" t="str">
        <f>IF(Games!V353="", "",Games!V353)</f>
      </c>
      <c r="O353" s="75" t="str">
        <f>IF(Games!Z353=0, "",Games!Z353)</f>
      </c>
      <c r="P353" s="67"/>
      <c r="Q353" s="67" t="str">
        <f>IF(ISBLANK(Games!W353), "", Games!W353)</f>
      </c>
      <c r="R353" s="67" t="str">
        <f>IF(ISBLANK(Games!AA353), "", Games!AA353)</f>
      </c>
      <c r="S353" s="67"/>
      <c r="T353" s="68" t="str">
        <f t="shared" si="52"/>
      </c>
      <c r="U353" s="68" t="str">
        <f t="shared" si="53"/>
      </c>
      <c r="V353" s="68" t="str">
        <f t="shared" si="54"/>
      </c>
      <c r="W353" s="68" t="str">
        <f t="shared" si="55"/>
      </c>
      <c r="X353" s="68" t="n">
        <f t="shared" si="48"/>
        <v>0</v>
      </c>
      <c r="Y353" s="68" t="n">
        <f t="shared" si="49"/>
        <v>0</v>
      </c>
      <c r="Z353" s="67" t="str">
        <f>IF(OR('Prediction Log'!L354="", Table12[[#This Row],[Bet]]="", Table12[[#This Row],[Bet]]="Spread"), "",IF('Prediction Log'!L354=Table12[[#This Row],[Side]], "W", IF('Prediction Log'!L354&lt;&gt;Table12[[#This Row],[Side]], "L", "")))</f>
      </c>
      <c r="AA353" s="59" t="str">
        <f t="shared" si="50"/>
      </c>
      <c r="AB353" s="67" t="str">
        <f>IF(OR(Table12[[#This Row],[Bet]]="Side",Table12[[#This Row],[Bet]]="", 'Prediction Log'!L354=""), "",IF('Prediction Log'!U354="Y", "W", IF('Prediction Log'!U354="N", "L", "")))</f>
      </c>
      <c r="AC353" s="59" t="str">
        <f t="shared" si="51"/>
      </c>
      <c r="AD353" s="67"/>
      <c r="AE353" s="65" t="str">
        <f t="shared" si="56"/>
      </c>
      <c r="AF3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4">
      <c r="A354" s="65" t="str">
        <f>IF(ISBLANK(Games!A354), "", Games!A354)</f>
      </c>
      <c r="B354" s="65" t="str">
        <f>IF('Prediction Log'!B355=0, "",'Prediction Log'!B355)</f>
      </c>
      <c r="C354" s="65" t="str">
        <f>IF('Prediction Log'!C355=0, "",'Prediction Log'!C355)</f>
      </c>
      <c r="D354" s="65" t="str">
        <f>IF('Prediction Log'!D355=0, "",'Prediction Log'!D355)</f>
      </c>
      <c r="E354" s="58" t="str">
        <f>IF('Prediction Log'!E355=0, "",'Prediction Log'!E355)</f>
      </c>
      <c r="F354" s="65" t="str">
        <f>IF('Prediction Log'!H355=0, "",'Prediction Log'!H355)</f>
      </c>
      <c r="G354" s="64" t="str">
        <f>IF(ISBLANK(Games!B354), "",'Prediction Log'!$I355)</f>
      </c>
      <c r="H354" s="66" t="n">
        <f>'Prediction Log'!$J355</f>
        <v>0</v>
      </c>
      <c r="I354" s="65" t="str">
        <f>IF(ISBLANK(Games!T354), "",IF(AND(Games!T354="",Games!U354=""),"",IF(ISTEXT(Games!U354), "Side",Games!T354)))</f>
      </c>
      <c r="J354" s="65" t="str">
        <f>IF(ISBLANK(Games!T354), "",IF(Table12[[#This Row],[Bet]]="Spread", Games!X354, ""))</f>
      </c>
      <c r="K354" s="65" t="str">
        <f>IF(ISBLANK(Games!U354), "",IF(ISTEXT(Games!U354), Games!U354, ""))</f>
      </c>
      <c r="L354" s="57" t="str">
        <f>IF(ISBLANK(Games!D354), "", Games!D354)</f>
      </c>
      <c r="M354" s="65"/>
      <c r="N354" s="75" t="str">
        <f>IF(Games!V354="", "",Games!V354)</f>
      </c>
      <c r="O354" s="75" t="str">
        <f>IF(Games!Z354=0, "",Games!Z354)</f>
      </c>
      <c r="P354" s="67"/>
      <c r="Q354" s="67" t="str">
        <f>IF(ISBLANK(Games!W354), "", Games!W354)</f>
      </c>
      <c r="R354" s="67" t="str">
        <f>IF(ISBLANK(Games!AA354), "", Games!AA354)</f>
      </c>
      <c r="S354" s="67"/>
      <c r="T354" s="68" t="str">
        <f t="shared" si="52"/>
      </c>
      <c r="U354" s="68" t="str">
        <f t="shared" si="53"/>
      </c>
      <c r="V354" s="68" t="str">
        <f t="shared" si="54"/>
      </c>
      <c r="W354" s="68" t="str">
        <f t="shared" si="55"/>
      </c>
      <c r="X354" s="68" t="n">
        <f t="shared" si="48"/>
        <v>0</v>
      </c>
      <c r="Y354" s="68" t="n">
        <f t="shared" si="49"/>
        <v>0</v>
      </c>
      <c r="Z354" s="67" t="str">
        <f>IF(OR('Prediction Log'!L355="", Table12[[#This Row],[Bet]]="", Table12[[#This Row],[Bet]]="Spread"), "",IF('Prediction Log'!L355=Table12[[#This Row],[Side]], "W", IF('Prediction Log'!L355&lt;&gt;Table12[[#This Row],[Side]], "L", "")))</f>
      </c>
      <c r="AA354" s="59" t="str">
        <f t="shared" si="50"/>
      </c>
      <c r="AB354" s="67" t="str">
        <f>IF(OR(Table12[[#This Row],[Bet]]="Side",Table12[[#This Row],[Bet]]="", 'Prediction Log'!L355=""), "",IF('Prediction Log'!U355="Y", "W", IF('Prediction Log'!U355="N", "L", "")))</f>
      </c>
      <c r="AC354" s="59" t="str">
        <f t="shared" si="51"/>
      </c>
      <c r="AD354" s="67"/>
      <c r="AE354" s="65" t="str">
        <f t="shared" si="56"/>
      </c>
      <c r="AF3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5">
      <c r="A355" s="65" t="str">
        <f>IF(ISBLANK(Games!A355), "", Games!A355)</f>
      </c>
      <c r="B355" s="65" t="str">
        <f>IF('Prediction Log'!B356=0, "",'Prediction Log'!B356)</f>
      </c>
      <c r="C355" s="65" t="str">
        <f>IF('Prediction Log'!C356=0, "",'Prediction Log'!C356)</f>
      </c>
      <c r="D355" s="65" t="str">
        <f>IF('Prediction Log'!D356=0, "",'Prediction Log'!D356)</f>
      </c>
      <c r="E355" s="58" t="str">
        <f>IF('Prediction Log'!E356=0, "",'Prediction Log'!E356)</f>
      </c>
      <c r="F355" s="65" t="str">
        <f>IF('Prediction Log'!H356=0, "",'Prediction Log'!H356)</f>
      </c>
      <c r="G355" s="64" t="str">
        <f>IF(ISBLANK(Games!B355), "",'Prediction Log'!$I356)</f>
      </c>
      <c r="H355" s="66" t="n">
        <f>'Prediction Log'!$J356</f>
        <v>0</v>
      </c>
      <c r="I355" s="65" t="str">
        <f>IF(ISBLANK(Games!T355), "",IF(AND(Games!T355="",Games!U355=""),"",IF(ISTEXT(Games!U355), "Side",Games!T355)))</f>
      </c>
      <c r="J355" s="65" t="str">
        <f>IF(ISBLANK(Games!T355), "",IF(Table12[[#This Row],[Bet]]="Spread", Games!X355, ""))</f>
      </c>
      <c r="K355" s="65" t="str">
        <f>IF(ISBLANK(Games!U355), "",IF(ISTEXT(Games!U355), Games!U355, ""))</f>
      </c>
      <c r="L355" s="57" t="str">
        <f>IF(ISBLANK(Games!D355), "", Games!D355)</f>
      </c>
      <c r="M355" s="65"/>
      <c r="N355" s="75" t="str">
        <f>IF(Games!V355="", "",Games!V355)</f>
      </c>
      <c r="O355" s="75" t="str">
        <f>IF(Games!Z355=0, "",Games!Z355)</f>
      </c>
      <c r="P355" s="67"/>
      <c r="Q355" s="67" t="str">
        <f>IF(ISBLANK(Games!W355), "", Games!W355)</f>
      </c>
      <c r="R355" s="67" t="str">
        <f>IF(ISBLANK(Games!AA355), "", Games!AA355)</f>
      </c>
      <c r="S355" s="67"/>
      <c r="T355" s="68" t="str">
        <f t="shared" si="52"/>
      </c>
      <c r="U355" s="68" t="str">
        <f t="shared" si="53"/>
      </c>
      <c r="V355" s="68" t="str">
        <f t="shared" si="54"/>
      </c>
      <c r="W355" s="68" t="str">
        <f t="shared" si="55"/>
      </c>
      <c r="X355" s="68" t="n">
        <f t="shared" si="48"/>
        <v>0</v>
      </c>
      <c r="Y355" s="68" t="n">
        <f t="shared" si="49"/>
        <v>0</v>
      </c>
      <c r="Z355" s="67" t="str">
        <f>IF(OR('Prediction Log'!L356="", Table12[[#This Row],[Bet]]="", Table12[[#This Row],[Bet]]="Spread"), "",IF('Prediction Log'!L356=Table12[[#This Row],[Side]], "W", IF('Prediction Log'!L356&lt;&gt;Table12[[#This Row],[Side]], "L", "")))</f>
      </c>
      <c r="AA355" s="59" t="str">
        <f t="shared" si="50"/>
      </c>
      <c r="AB355" s="67" t="str">
        <f>IF(OR(Table12[[#This Row],[Bet]]="Side",Table12[[#This Row],[Bet]]="", 'Prediction Log'!L356=""), "",IF('Prediction Log'!U356="Y", "W", IF('Prediction Log'!U356="N", "L", "")))</f>
      </c>
      <c r="AC355" s="59" t="str">
        <f t="shared" si="51"/>
      </c>
      <c r="AD355" s="67"/>
      <c r="AE355" s="65" t="str">
        <f t="shared" si="56"/>
      </c>
      <c r="AF3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6">
      <c r="A356" s="65" t="str">
        <f>IF(ISBLANK(Games!A356), "", Games!A356)</f>
      </c>
      <c r="B356" s="65" t="str">
        <f>IF('Prediction Log'!B357=0, "",'Prediction Log'!B357)</f>
      </c>
      <c r="C356" s="65" t="str">
        <f>IF('Prediction Log'!C357=0, "",'Prediction Log'!C357)</f>
      </c>
      <c r="D356" s="65" t="str">
        <f>IF('Prediction Log'!D357=0, "",'Prediction Log'!D357)</f>
      </c>
      <c r="E356" s="58" t="str">
        <f>IF('Prediction Log'!E357=0, "",'Prediction Log'!E357)</f>
      </c>
      <c r="F356" s="65" t="str">
        <f>IF('Prediction Log'!H357=0, "",'Prediction Log'!H357)</f>
      </c>
      <c r="G356" s="64" t="str">
        <f>IF(ISBLANK(Games!B356), "",'Prediction Log'!$I357)</f>
      </c>
      <c r="H356" s="66" t="n">
        <f>'Prediction Log'!$J357</f>
        <v>0</v>
      </c>
      <c r="I356" s="65" t="str">
        <f>IF(ISBLANK(Games!T356), "",IF(AND(Games!T356="",Games!U356=""),"",IF(ISTEXT(Games!U356), "Side",Games!T356)))</f>
      </c>
      <c r="J356" s="65" t="str">
        <f>IF(ISBLANK(Games!T356), "",IF(Table12[[#This Row],[Bet]]="Spread", Games!X356, ""))</f>
      </c>
      <c r="K356" s="65" t="str">
        <f>IF(ISBLANK(Games!U356), "",IF(ISTEXT(Games!U356), Games!U356, ""))</f>
      </c>
      <c r="L356" s="57" t="str">
        <f>IF(ISBLANK(Games!D356), "", Games!D356)</f>
      </c>
      <c r="M356" s="65"/>
      <c r="N356" s="75" t="str">
        <f>IF(Games!V356="", "",Games!V356)</f>
      </c>
      <c r="O356" s="75" t="str">
        <f>IF(Games!Z356=0, "",Games!Z356)</f>
      </c>
      <c r="P356" s="67"/>
      <c r="Q356" s="67" t="str">
        <f>IF(ISBLANK(Games!W356), "", Games!W356)</f>
      </c>
      <c r="R356" s="67" t="str">
        <f>IF(ISBLANK(Games!AA356), "", Games!AA356)</f>
      </c>
      <c r="S356" s="67"/>
      <c r="T356" s="68" t="str">
        <f t="shared" si="52"/>
      </c>
      <c r="U356" s="68" t="str">
        <f t="shared" si="53"/>
      </c>
      <c r="V356" s="68" t="str">
        <f t="shared" si="54"/>
      </c>
      <c r="W356" s="68" t="str">
        <f t="shared" si="55"/>
      </c>
      <c r="X356" s="68" t="n">
        <f t="shared" si="48"/>
        <v>0</v>
      </c>
      <c r="Y356" s="68" t="n">
        <f t="shared" si="49"/>
        <v>0</v>
      </c>
      <c r="Z356" s="67" t="str">
        <f>IF(OR('Prediction Log'!L357="", Table12[[#This Row],[Bet]]="", Table12[[#This Row],[Bet]]="Spread"), "",IF('Prediction Log'!L357=Table12[[#This Row],[Side]], "W", IF('Prediction Log'!L357&lt;&gt;Table12[[#This Row],[Side]], "L", "")))</f>
      </c>
      <c r="AA356" s="59" t="str">
        <f t="shared" si="50"/>
      </c>
      <c r="AB356" s="67" t="str">
        <f>IF(OR(Table12[[#This Row],[Bet]]="Side",Table12[[#This Row],[Bet]]="", 'Prediction Log'!L357=""), "",IF('Prediction Log'!U357="Y", "W", IF('Prediction Log'!U357="N", "L", "")))</f>
      </c>
      <c r="AC356" s="59" t="str">
        <f t="shared" si="51"/>
      </c>
      <c r="AD356" s="67"/>
      <c r="AE356" s="65" t="str">
        <f t="shared" si="56"/>
      </c>
      <c r="AF3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7">
      <c r="A357" s="65" t="str">
        <f>IF(ISBLANK(Games!A357), "", Games!A357)</f>
      </c>
      <c r="B357" s="65" t="str">
        <f>IF('Prediction Log'!B358=0, "",'Prediction Log'!B358)</f>
      </c>
      <c r="C357" s="65" t="str">
        <f>IF('Prediction Log'!C358=0, "",'Prediction Log'!C358)</f>
      </c>
      <c r="D357" s="65" t="str">
        <f>IF('Prediction Log'!D358=0, "",'Prediction Log'!D358)</f>
      </c>
      <c r="E357" s="58" t="str">
        <f>IF('Prediction Log'!E358=0, "",'Prediction Log'!E358)</f>
      </c>
      <c r="F357" s="65" t="str">
        <f>IF('Prediction Log'!H358=0, "",'Prediction Log'!H358)</f>
      </c>
      <c r="G357" s="64" t="str">
        <f>IF(ISBLANK(Games!B357), "",'Prediction Log'!$I358)</f>
      </c>
      <c r="H357" s="66" t="n">
        <f>'Prediction Log'!$J358</f>
        <v>0</v>
      </c>
      <c r="I357" s="65" t="str">
        <f>IF(ISBLANK(Games!T357), "",IF(AND(Games!T357="",Games!U357=""),"",IF(ISTEXT(Games!U357), "Side",Games!T357)))</f>
      </c>
      <c r="J357" s="65" t="str">
        <f>IF(ISBLANK(Games!T357), "",IF(Table12[[#This Row],[Bet]]="Spread", Games!X357, ""))</f>
      </c>
      <c r="K357" s="65" t="str">
        <f>IF(ISBLANK(Games!U357), "",IF(ISTEXT(Games!U357), Games!U357, ""))</f>
      </c>
      <c r="L357" s="57" t="str">
        <f>IF(ISBLANK(Games!D357), "", Games!D357)</f>
      </c>
      <c r="M357" s="65"/>
      <c r="N357" s="75" t="str">
        <f>IF(Games!V357="", "",Games!V357)</f>
      </c>
      <c r="O357" s="75" t="str">
        <f>IF(Games!Z357=0, "",Games!Z357)</f>
      </c>
      <c r="P357" s="67"/>
      <c r="Q357" s="67" t="str">
        <f>IF(ISBLANK(Games!W357), "", Games!W357)</f>
      </c>
      <c r="R357" s="67" t="str">
        <f>IF(ISBLANK(Games!AA357), "", Games!AA357)</f>
      </c>
      <c r="S357" s="67"/>
      <c r="T357" s="68" t="str">
        <f t="shared" si="52"/>
      </c>
      <c r="U357" s="68" t="str">
        <f t="shared" si="53"/>
      </c>
      <c r="V357" s="68" t="str">
        <f t="shared" si="54"/>
      </c>
      <c r="W357" s="68" t="str">
        <f t="shared" si="55"/>
      </c>
      <c r="X357" s="68" t="n">
        <f t="shared" si="48"/>
        <v>0</v>
      </c>
      <c r="Y357" s="68" t="n">
        <f t="shared" si="49"/>
        <v>0</v>
      </c>
      <c r="Z357" s="67" t="str">
        <f>IF(OR('Prediction Log'!L358="", Table12[[#This Row],[Bet]]="", Table12[[#This Row],[Bet]]="Spread"), "",IF('Prediction Log'!L358=Table12[[#This Row],[Side]], "W", IF('Prediction Log'!L358&lt;&gt;Table12[[#This Row],[Side]], "L", "")))</f>
      </c>
      <c r="AA357" s="59" t="str">
        <f t="shared" si="50"/>
      </c>
      <c r="AB357" s="67" t="str">
        <f>IF(OR(Table12[[#This Row],[Bet]]="Side",Table12[[#This Row],[Bet]]="", 'Prediction Log'!L358=""), "",IF('Prediction Log'!U358="Y", "W", IF('Prediction Log'!U358="N", "L", "")))</f>
      </c>
      <c r="AC357" s="59" t="str">
        <f t="shared" si="51"/>
      </c>
      <c r="AD357" s="67"/>
      <c r="AE357" s="65" t="str">
        <f t="shared" si="56"/>
      </c>
      <c r="AF3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8">
      <c r="A358" s="65" t="str">
        <f>IF(ISBLANK(Games!A358), "", Games!A358)</f>
      </c>
      <c r="B358" s="65" t="str">
        <f>IF('Prediction Log'!B359=0, "",'Prediction Log'!B359)</f>
      </c>
      <c r="C358" s="65" t="str">
        <f>IF('Prediction Log'!C359=0, "",'Prediction Log'!C359)</f>
      </c>
      <c r="D358" s="65" t="str">
        <f>IF('Prediction Log'!D359=0, "",'Prediction Log'!D359)</f>
      </c>
      <c r="E358" s="58" t="str">
        <f>IF('Prediction Log'!E359=0, "",'Prediction Log'!E359)</f>
      </c>
      <c r="F358" s="65" t="str">
        <f>IF('Prediction Log'!H359=0, "",'Prediction Log'!H359)</f>
      </c>
      <c r="G358" s="64" t="str">
        <f>IF(ISBLANK(Games!B358), "",'Prediction Log'!$I359)</f>
      </c>
      <c r="H358" s="66" t="n">
        <f>'Prediction Log'!$J359</f>
        <v>0</v>
      </c>
      <c r="I358" s="65" t="str">
        <f>IF(ISBLANK(Games!T358), "",IF(AND(Games!T358="",Games!U358=""),"",IF(ISTEXT(Games!U358), "Side",Games!T358)))</f>
      </c>
      <c r="J358" s="65" t="str">
        <f>IF(ISBLANK(Games!T358), "",IF(Table12[[#This Row],[Bet]]="Spread", Games!X358, ""))</f>
      </c>
      <c r="K358" s="65" t="str">
        <f>IF(ISBLANK(Games!U358), "",IF(ISTEXT(Games!U358), Games!U358, ""))</f>
      </c>
      <c r="L358" s="57" t="str">
        <f>IF(ISBLANK(Games!D358), "", Games!D358)</f>
      </c>
      <c r="M358" s="65"/>
      <c r="N358" s="75" t="str">
        <f>IF(Games!V358="", "",Games!V358)</f>
      </c>
      <c r="O358" s="75" t="str">
        <f>IF(Games!Z358=0, "",Games!Z358)</f>
      </c>
      <c r="P358" s="67"/>
      <c r="Q358" s="67" t="str">
        <f>IF(ISBLANK(Games!W358), "", Games!W358)</f>
      </c>
      <c r="R358" s="67" t="str">
        <f>IF(ISBLANK(Games!AA358), "", Games!AA358)</f>
      </c>
      <c r="S358" s="67"/>
      <c r="T358" s="68" t="str">
        <f t="shared" si="52"/>
      </c>
      <c r="U358" s="68" t="str">
        <f t="shared" si="53"/>
      </c>
      <c r="V358" s="68" t="str">
        <f t="shared" si="54"/>
      </c>
      <c r="W358" s="68" t="str">
        <f t="shared" si="55"/>
      </c>
      <c r="X358" s="68" t="n">
        <f t="shared" ref="X358:X421" si="57">P358+IF(S358&lt;0, (P358/(S358/-100)), P358*(S358/100))</f>
        <v>0</v>
      </c>
      <c r="Y358" s="68" t="n">
        <f t="shared" ref="Y358:Y421" si="58">S358-P358</f>
        <v>0</v>
      </c>
      <c r="Z358" s="67" t="str">
        <f>IF(OR('Prediction Log'!L359="", Table12[[#This Row],[Bet]]="", Table12[[#This Row],[Bet]]="Spread"), "",IF('Prediction Log'!L359=Table12[[#This Row],[Side]], "W", IF('Prediction Log'!L359&lt;&gt;Table12[[#This Row],[Side]], "L", "")))</f>
      </c>
      <c r="AA358" s="59" t="str">
        <f t="shared" ref="AA358:AA421" si="59">IF(Z358="W", U358, IF(Z358="L",-N358, ""))</f>
      </c>
      <c r="AB358" s="67" t="str">
        <f>IF(OR(Table12[[#This Row],[Bet]]="Side",Table12[[#This Row],[Bet]]="", 'Prediction Log'!L359=""), "",IF('Prediction Log'!U359="Y", "W", IF('Prediction Log'!U359="N", "L", "")))</f>
      </c>
      <c r="AC358" s="59" t="str">
        <f t="shared" si="51"/>
      </c>
      <c r="AD358" s="67"/>
      <c r="AE358" s="65" t="str">
        <f t="shared" si="56"/>
      </c>
      <c r="AF3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9">
      <c r="A359" s="65" t="str">
        <f>IF(ISBLANK(Games!A359), "", Games!A359)</f>
      </c>
      <c r="B359" s="65" t="str">
        <f>IF('Prediction Log'!B360=0, "",'Prediction Log'!B360)</f>
      </c>
      <c r="C359" s="65" t="str">
        <f>IF('Prediction Log'!C360=0, "",'Prediction Log'!C360)</f>
      </c>
      <c r="D359" s="65" t="str">
        <f>IF('Prediction Log'!D360=0, "",'Prediction Log'!D360)</f>
      </c>
      <c r="E359" s="58" t="str">
        <f>IF('Prediction Log'!E360=0, "",'Prediction Log'!E360)</f>
      </c>
      <c r="F359" s="65" t="str">
        <f>IF('Prediction Log'!H360=0, "",'Prediction Log'!H360)</f>
      </c>
      <c r="G359" s="64" t="str">
        <f>IF(ISBLANK(Games!B359), "",'Prediction Log'!$I360)</f>
      </c>
      <c r="H359" s="66" t="n">
        <f>'Prediction Log'!$J360</f>
        <v>0</v>
      </c>
      <c r="I359" s="65" t="str">
        <f>IF(ISBLANK(Games!T359), "",IF(AND(Games!T359="",Games!U359=""),"",IF(ISTEXT(Games!U359), "Side",Games!T359)))</f>
      </c>
      <c r="J359" s="65" t="str">
        <f>IF(ISBLANK(Games!T359), "",IF(Table12[[#This Row],[Bet]]="Spread", Games!X359, ""))</f>
      </c>
      <c r="K359" s="65" t="str">
        <f>IF(ISBLANK(Games!U359), "",IF(ISTEXT(Games!U359), Games!U359, ""))</f>
      </c>
      <c r="L359" s="57" t="str">
        <f>IF(ISBLANK(Games!D359), "", Games!D359)</f>
      </c>
      <c r="M359" s="65"/>
      <c r="N359" s="75" t="str">
        <f>IF(Games!V359="", "",Games!V359)</f>
      </c>
      <c r="O359" s="75" t="str">
        <f>IF(Games!Z359=0, "",Games!Z359)</f>
      </c>
      <c r="P359" s="67"/>
      <c r="Q359" s="67" t="str">
        <f>IF(ISBLANK(Games!W359), "", Games!W359)</f>
      </c>
      <c r="R359" s="67" t="str">
        <f>IF(ISBLANK(Games!AA359), "", Games!AA359)</f>
      </c>
      <c r="S359" s="67"/>
      <c r="T359" s="68" t="str">
        <f t="shared" si="52"/>
      </c>
      <c r="U359" s="68" t="str">
        <f t="shared" si="53"/>
      </c>
      <c r="V359" s="68" t="str">
        <f t="shared" si="54"/>
      </c>
      <c r="W359" s="68" t="str">
        <f t="shared" si="55"/>
      </c>
      <c r="X359" s="68" t="n">
        <f t="shared" si="57"/>
        <v>0</v>
      </c>
      <c r="Y359" s="68" t="n">
        <f t="shared" si="58"/>
        <v>0</v>
      </c>
      <c r="Z359" s="67" t="str">
        <f>IF(OR('Prediction Log'!L360="", Table12[[#This Row],[Bet]]="", Table12[[#This Row],[Bet]]="Spread"), "",IF('Prediction Log'!L360=Table12[[#This Row],[Side]], "W", IF('Prediction Log'!L360&lt;&gt;Table12[[#This Row],[Side]], "L", "")))</f>
      </c>
      <c r="AA359" s="59" t="str">
        <f t="shared" si="59"/>
      </c>
      <c r="AB359" s="67" t="str">
        <f>IF(OR(Table12[[#This Row],[Bet]]="Side",Table12[[#This Row],[Bet]]="", 'Prediction Log'!L360=""), "",IF('Prediction Log'!U360="Y", "W", IF('Prediction Log'!U360="N", "L", "")))</f>
      </c>
      <c r="AC359" s="59" t="str">
        <f t="shared" si="51"/>
      </c>
      <c r="AD359" s="67"/>
      <c r="AE359" s="65" t="str">
        <f t="shared" si="56"/>
      </c>
      <c r="AF3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0">
      <c r="A360" s="65" t="str">
        <f>IF(ISBLANK(Games!A360), "", Games!A360)</f>
      </c>
      <c r="B360" s="65" t="str">
        <f>IF('Prediction Log'!B361=0, "",'Prediction Log'!B361)</f>
      </c>
      <c r="C360" s="65" t="str">
        <f>IF('Prediction Log'!C361=0, "",'Prediction Log'!C361)</f>
      </c>
      <c r="D360" s="65" t="str">
        <f>IF('Prediction Log'!D361=0, "",'Prediction Log'!D361)</f>
      </c>
      <c r="E360" s="58" t="str">
        <f>IF('Prediction Log'!E361=0, "",'Prediction Log'!E361)</f>
      </c>
      <c r="F360" s="65" t="str">
        <f>IF('Prediction Log'!H361=0, "",'Prediction Log'!H361)</f>
      </c>
      <c r="G360" s="64" t="str">
        <f>IF(ISBLANK(Games!B360), "",'Prediction Log'!$I361)</f>
      </c>
      <c r="H360" s="66" t="n">
        <f>'Prediction Log'!$J361</f>
        <v>0</v>
      </c>
      <c r="I360" s="65" t="str">
        <f>IF(ISBLANK(Games!T360), "",IF(AND(Games!T360="",Games!U360=""),"",IF(ISTEXT(Games!U360), "Side",Games!T360)))</f>
      </c>
      <c r="J360" s="65" t="str">
        <f>IF(ISBLANK(Games!T360), "",IF(Table12[[#This Row],[Bet]]="Spread", Games!X360, ""))</f>
      </c>
      <c r="K360" s="65" t="str">
        <f>IF(ISBLANK(Games!U360), "",IF(ISTEXT(Games!U360), Games!U360, ""))</f>
      </c>
      <c r="L360" s="57" t="str">
        <f>IF(ISBLANK(Games!D360), "", Games!D360)</f>
      </c>
      <c r="M360" s="65"/>
      <c r="N360" s="75" t="str">
        <f>IF(Games!V360="", "",Games!V360)</f>
      </c>
      <c r="O360" s="75" t="str">
        <f>IF(Games!Z360=0, "",Games!Z360)</f>
      </c>
      <c r="P360" s="67"/>
      <c r="Q360" s="67" t="str">
        <f>IF(ISBLANK(Games!W360), "", Games!W360)</f>
      </c>
      <c r="R360" s="67" t="str">
        <f>IF(ISBLANK(Games!AA360), "", Games!AA360)</f>
      </c>
      <c r="S360" s="67"/>
      <c r="T360" s="68" t="str">
        <f t="shared" si="52"/>
      </c>
      <c r="U360" s="68" t="str">
        <f t="shared" si="53"/>
      </c>
      <c r="V360" s="68" t="str">
        <f t="shared" si="54"/>
      </c>
      <c r="W360" s="68" t="str">
        <f t="shared" si="55"/>
      </c>
      <c r="X360" s="68" t="n">
        <f t="shared" si="57"/>
        <v>0</v>
      </c>
      <c r="Y360" s="68" t="n">
        <f t="shared" si="58"/>
        <v>0</v>
      </c>
      <c r="Z360" s="67" t="str">
        <f>IF(OR('Prediction Log'!L361="", Table12[[#This Row],[Bet]]="", Table12[[#This Row],[Bet]]="Spread"), "",IF('Prediction Log'!L361=Table12[[#This Row],[Side]], "W", IF('Prediction Log'!L361&lt;&gt;Table12[[#This Row],[Side]], "L", "")))</f>
      </c>
      <c r="AA360" s="59" t="str">
        <f t="shared" si="59"/>
      </c>
      <c r="AB360" s="67" t="str">
        <f>IF(OR(Table12[[#This Row],[Bet]]="Side",Table12[[#This Row],[Bet]]="", 'Prediction Log'!L361=""), "",IF('Prediction Log'!U361="Y", "W", IF('Prediction Log'!U361="N", "L", "")))</f>
      </c>
      <c r="AC360" s="59" t="str">
        <f t="shared" si="51"/>
      </c>
      <c r="AD360" s="67"/>
      <c r="AE360" s="65" t="str">
        <f t="shared" si="56"/>
      </c>
      <c r="AF3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1">
      <c r="A361" s="65" t="str">
        <f>IF(ISBLANK(Games!A361), "", Games!A361)</f>
      </c>
      <c r="B361" s="65" t="str">
        <f>IF('Prediction Log'!B362=0, "",'Prediction Log'!B362)</f>
      </c>
      <c r="C361" s="65" t="str">
        <f>IF('Prediction Log'!C362=0, "",'Prediction Log'!C362)</f>
      </c>
      <c r="D361" s="65" t="str">
        <f>IF('Prediction Log'!D362=0, "",'Prediction Log'!D362)</f>
      </c>
      <c r="E361" s="58" t="str">
        <f>IF('Prediction Log'!E362=0, "",'Prediction Log'!E362)</f>
      </c>
      <c r="F361" s="65" t="str">
        <f>IF('Prediction Log'!H362=0, "",'Prediction Log'!H362)</f>
      </c>
      <c r="G361" s="64" t="str">
        <f>IF(ISBLANK(Games!B361), "",'Prediction Log'!$I362)</f>
      </c>
      <c r="H361" s="66" t="n">
        <f>'Prediction Log'!$J362</f>
        <v>0</v>
      </c>
      <c r="I361" s="65" t="str">
        <f>IF(ISBLANK(Games!T361), "",IF(AND(Games!T361="",Games!U361=""),"",IF(ISTEXT(Games!U361), "Side",Games!T361)))</f>
      </c>
      <c r="J361" s="65" t="str">
        <f>IF(ISBLANK(Games!T361), "",IF(Table12[[#This Row],[Bet]]="Spread", Games!X361, ""))</f>
      </c>
      <c r="K361" s="65" t="str">
        <f>IF(ISBLANK(Games!U361), "",IF(ISTEXT(Games!U361), Games!U361, ""))</f>
      </c>
      <c r="L361" s="57" t="str">
        <f>IF(ISBLANK(Games!D361), "", Games!D361)</f>
      </c>
      <c r="M361" s="65"/>
      <c r="N361" s="75" t="str">
        <f>IF(Games!V361="", "",Games!V361)</f>
      </c>
      <c r="O361" s="75" t="str">
        <f>IF(Games!Z361=0, "",Games!Z361)</f>
      </c>
      <c r="P361" s="67"/>
      <c r="Q361" s="67" t="str">
        <f>IF(ISBLANK(Games!W361), "", Games!W361)</f>
      </c>
      <c r="R361" s="67" t="str">
        <f>IF(ISBLANK(Games!AA361), "", Games!AA361)</f>
      </c>
      <c r="S361" s="67"/>
      <c r="T361" s="68" t="str">
        <f t="shared" si="52"/>
      </c>
      <c r="U361" s="68" t="str">
        <f t="shared" si="53"/>
      </c>
      <c r="V361" s="68" t="str">
        <f t="shared" si="54"/>
      </c>
      <c r="W361" s="68" t="str">
        <f t="shared" si="55"/>
      </c>
      <c r="X361" s="68" t="n">
        <f t="shared" si="57"/>
        <v>0</v>
      </c>
      <c r="Y361" s="68" t="n">
        <f t="shared" si="58"/>
        <v>0</v>
      </c>
      <c r="Z361" s="67" t="str">
        <f>IF(OR('Prediction Log'!L362="", Table12[[#This Row],[Bet]]="", Table12[[#This Row],[Bet]]="Spread"), "",IF('Prediction Log'!L362=Table12[[#This Row],[Side]], "W", IF('Prediction Log'!L362&lt;&gt;Table12[[#This Row],[Side]], "L", "")))</f>
      </c>
      <c r="AA361" s="59" t="str">
        <f t="shared" si="59"/>
      </c>
      <c r="AB361" s="67" t="str">
        <f>IF(OR(Table12[[#This Row],[Bet]]="Side",Table12[[#This Row],[Bet]]="", 'Prediction Log'!L362=""), "",IF('Prediction Log'!U362="Y", "W", IF('Prediction Log'!U362="N", "L", "")))</f>
      </c>
      <c r="AC361" s="59" t="str">
        <f t="shared" si="51"/>
      </c>
      <c r="AD361" s="67"/>
      <c r="AE361" s="65" t="str">
        <f t="shared" si="56"/>
      </c>
      <c r="AF3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2">
      <c r="A362" s="65" t="str">
        <f>IF(ISBLANK(Games!A362), "", Games!A362)</f>
      </c>
      <c r="B362" s="65" t="str">
        <f>IF('Prediction Log'!B363=0, "",'Prediction Log'!B363)</f>
      </c>
      <c r="C362" s="65" t="str">
        <f>IF('Prediction Log'!C363=0, "",'Prediction Log'!C363)</f>
      </c>
      <c r="D362" s="65" t="str">
        <f>IF('Prediction Log'!D363=0, "",'Prediction Log'!D363)</f>
      </c>
      <c r="E362" s="58" t="str">
        <f>IF('Prediction Log'!E363=0, "",'Prediction Log'!E363)</f>
      </c>
      <c r="F362" s="65" t="str">
        <f>IF('Prediction Log'!H363=0, "",'Prediction Log'!H363)</f>
      </c>
      <c r="G362" s="64" t="str">
        <f>IF(ISBLANK(Games!B362), "",'Prediction Log'!$I363)</f>
      </c>
      <c r="H362" s="66" t="n">
        <f>'Prediction Log'!$J363</f>
        <v>0</v>
      </c>
      <c r="I362" s="65" t="str">
        <f>IF(ISBLANK(Games!T362), "",IF(AND(Games!T362="",Games!U362=""),"",IF(ISTEXT(Games!U362), "Side",Games!T362)))</f>
      </c>
      <c r="J362" s="65" t="str">
        <f>IF(ISBLANK(Games!T362), "",IF(Table12[[#This Row],[Bet]]="Spread", Games!X362, ""))</f>
      </c>
      <c r="K362" s="65" t="str">
        <f>IF(ISBLANK(Games!U362), "",IF(ISTEXT(Games!U362), Games!U362, ""))</f>
      </c>
      <c r="L362" s="57" t="str">
        <f>IF(ISBLANK(Games!D362), "", Games!D362)</f>
      </c>
      <c r="M362" s="65"/>
      <c r="N362" s="75" t="str">
        <f>IF(Games!V362="", "",Games!V362)</f>
      </c>
      <c r="O362" s="75" t="str">
        <f>IF(Games!Z362=0, "",Games!Z362)</f>
      </c>
      <c r="P362" s="67"/>
      <c r="Q362" s="67" t="str">
        <f>IF(ISBLANK(Games!W362), "", Games!W362)</f>
      </c>
      <c r="R362" s="67" t="str">
        <f>IF(ISBLANK(Games!AA362), "", Games!AA362)</f>
      </c>
      <c r="S362" s="67"/>
      <c r="T362" s="68" t="str">
        <f t="shared" si="52"/>
      </c>
      <c r="U362" s="68" t="str">
        <f t="shared" si="53"/>
      </c>
      <c r="V362" s="68" t="str">
        <f t="shared" si="54"/>
      </c>
      <c r="W362" s="68" t="str">
        <f t="shared" si="55"/>
      </c>
      <c r="X362" s="68" t="n">
        <f t="shared" si="57"/>
        <v>0</v>
      </c>
      <c r="Y362" s="68" t="n">
        <f t="shared" si="58"/>
        <v>0</v>
      </c>
      <c r="Z362" s="67" t="str">
        <f>IF(OR('Prediction Log'!L363="", Table12[[#This Row],[Bet]]="", Table12[[#This Row],[Bet]]="Spread"), "",IF('Prediction Log'!L363=Table12[[#This Row],[Side]], "W", IF('Prediction Log'!L363&lt;&gt;Table12[[#This Row],[Side]], "L", "")))</f>
      </c>
      <c r="AA362" s="59" t="str">
        <f t="shared" si="59"/>
      </c>
      <c r="AB362" s="67" t="str">
        <f>IF(OR(Table12[[#This Row],[Bet]]="Side",Table12[[#This Row],[Bet]]="", 'Prediction Log'!L363=""), "",IF('Prediction Log'!U363="Y", "W", IF('Prediction Log'!U363="N", "L", "")))</f>
      </c>
      <c r="AC362" s="59" t="str">
        <f t="shared" si="51"/>
      </c>
      <c r="AD362" s="67"/>
      <c r="AE362" s="65" t="str">
        <f t="shared" si="56"/>
      </c>
      <c r="AF3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3">
      <c r="A363" s="65" t="str">
        <f>IF(ISBLANK(Games!A363), "", Games!A363)</f>
      </c>
      <c r="B363" s="65" t="str">
        <f>IF('Prediction Log'!B364=0, "",'Prediction Log'!B364)</f>
      </c>
      <c r="C363" s="65" t="str">
        <f>IF('Prediction Log'!C364=0, "",'Prediction Log'!C364)</f>
      </c>
      <c r="D363" s="65" t="str">
        <f>IF('Prediction Log'!D364=0, "",'Prediction Log'!D364)</f>
      </c>
      <c r="E363" s="58" t="str">
        <f>IF('Prediction Log'!E364=0, "",'Prediction Log'!E364)</f>
      </c>
      <c r="F363" s="65" t="str">
        <f>IF('Prediction Log'!H364=0, "",'Prediction Log'!H364)</f>
      </c>
      <c r="G363" s="64" t="str">
        <f>IF(ISBLANK(Games!B363), "",'Prediction Log'!$I364)</f>
      </c>
      <c r="H363" s="66" t="n">
        <f>'Prediction Log'!$J364</f>
        <v>0</v>
      </c>
      <c r="I363" s="65" t="str">
        <f>IF(ISBLANK(Games!T363), "",IF(AND(Games!T363="",Games!U363=""),"",IF(ISTEXT(Games!U363), "Side",Games!T363)))</f>
      </c>
      <c r="J363" s="65" t="str">
        <f>IF(ISBLANK(Games!T363), "",IF(Table12[[#This Row],[Bet]]="Spread", Games!X363, ""))</f>
      </c>
      <c r="K363" s="65" t="str">
        <f>IF(ISBLANK(Games!U363), "",IF(ISTEXT(Games!U363), Games!U363, ""))</f>
      </c>
      <c r="L363" s="57" t="str">
        <f>IF(ISBLANK(Games!D363), "", Games!D363)</f>
      </c>
      <c r="M363" s="65"/>
      <c r="N363" s="75" t="str">
        <f>IF(Games!V363="", "",Games!V363)</f>
      </c>
      <c r="O363" s="75" t="str">
        <f>IF(Games!Z363=0, "",Games!Z363)</f>
      </c>
      <c r="P363" s="67"/>
      <c r="Q363" s="67" t="str">
        <f>IF(ISBLANK(Games!W363), "", Games!W363)</f>
      </c>
      <c r="R363" s="67" t="str">
        <f>IF(ISBLANK(Games!AA363), "", Games!AA363)</f>
      </c>
      <c r="S363" s="67"/>
      <c r="T363" s="68" t="str">
        <f t="shared" si="52"/>
      </c>
      <c r="U363" s="68" t="str">
        <f t="shared" si="53"/>
      </c>
      <c r="V363" s="68" t="str">
        <f t="shared" si="54"/>
      </c>
      <c r="W363" s="68" t="str">
        <f t="shared" si="55"/>
      </c>
      <c r="X363" s="68" t="n">
        <f t="shared" si="57"/>
        <v>0</v>
      </c>
      <c r="Y363" s="68" t="n">
        <f t="shared" si="58"/>
        <v>0</v>
      </c>
      <c r="Z363" s="67" t="str">
        <f>IF(OR('Prediction Log'!L364="", Table12[[#This Row],[Bet]]="", Table12[[#This Row],[Bet]]="Spread"), "",IF('Prediction Log'!L364=Table12[[#This Row],[Side]], "W", IF('Prediction Log'!L364&lt;&gt;Table12[[#This Row],[Side]], "L", "")))</f>
      </c>
      <c r="AA363" s="59" t="str">
        <f t="shared" si="59"/>
      </c>
      <c r="AB363" s="67" t="str">
        <f>IF(OR(Table12[[#This Row],[Bet]]="Side",Table12[[#This Row],[Bet]]="", 'Prediction Log'!L364=""), "",IF('Prediction Log'!U364="Y", "W", IF('Prediction Log'!U364="N", "L", "")))</f>
      </c>
      <c r="AC363" s="59" t="str">
        <f t="shared" si="51"/>
      </c>
      <c r="AD363" s="67"/>
      <c r="AE363" s="65" t="str">
        <f t="shared" si="56"/>
      </c>
      <c r="AF3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4">
      <c r="A364" s="65" t="str">
        <f>IF(ISBLANK(Games!A364), "", Games!A364)</f>
      </c>
      <c r="B364" s="65" t="str">
        <f>IF('Prediction Log'!B365=0, "",'Prediction Log'!B365)</f>
      </c>
      <c r="C364" s="65" t="str">
        <f>IF('Prediction Log'!C365=0, "",'Prediction Log'!C365)</f>
      </c>
      <c r="D364" s="65" t="str">
        <f>IF('Prediction Log'!D365=0, "",'Prediction Log'!D365)</f>
      </c>
      <c r="E364" s="58" t="str">
        <f>IF('Prediction Log'!E365=0, "",'Prediction Log'!E365)</f>
      </c>
      <c r="F364" s="65" t="str">
        <f>IF('Prediction Log'!H365=0, "",'Prediction Log'!H365)</f>
      </c>
      <c r="G364" s="64" t="str">
        <f>IF(ISBLANK(Games!B364), "",'Prediction Log'!$I365)</f>
      </c>
      <c r="H364" s="66" t="n">
        <f>'Prediction Log'!$J365</f>
        <v>0</v>
      </c>
      <c r="I364" s="65" t="str">
        <f>IF(ISBLANK(Games!T364), "",IF(AND(Games!T364="",Games!U364=""),"",IF(ISTEXT(Games!U364), "Side",Games!T364)))</f>
      </c>
      <c r="J364" s="65" t="str">
        <f>IF(ISBLANK(Games!T364), "",IF(Table12[[#This Row],[Bet]]="Spread", Games!X364, ""))</f>
      </c>
      <c r="K364" s="65" t="str">
        <f>IF(ISBLANK(Games!U364), "",IF(ISTEXT(Games!U364), Games!U364, ""))</f>
      </c>
      <c r="L364" s="57" t="str">
        <f>IF(ISBLANK(Games!D364), "", Games!D364)</f>
      </c>
      <c r="M364" s="65"/>
      <c r="N364" s="75" t="str">
        <f>IF(Games!V364="", "",Games!V364)</f>
      </c>
      <c r="O364" s="75" t="str">
        <f>IF(Games!Z364=0, "",Games!Z364)</f>
      </c>
      <c r="P364" s="67"/>
      <c r="Q364" s="67" t="str">
        <f>IF(ISBLANK(Games!W364), "", Games!W364)</f>
      </c>
      <c r="R364" s="67" t="str">
        <f>IF(ISBLANK(Games!AA364), "", Games!AA364)</f>
      </c>
      <c r="S364" s="67"/>
      <c r="T364" s="68" t="str">
        <f t="shared" si="52"/>
      </c>
      <c r="U364" s="68" t="str">
        <f t="shared" si="53"/>
      </c>
      <c r="V364" s="68" t="str">
        <f t="shared" si="54"/>
      </c>
      <c r="W364" s="68" t="str">
        <f t="shared" si="55"/>
      </c>
      <c r="X364" s="68" t="n">
        <f t="shared" si="57"/>
        <v>0</v>
      </c>
      <c r="Y364" s="68" t="n">
        <f t="shared" si="58"/>
        <v>0</v>
      </c>
      <c r="Z364" s="67" t="str">
        <f>IF(OR('Prediction Log'!L365="", Table12[[#This Row],[Bet]]="", Table12[[#This Row],[Bet]]="Spread"), "",IF('Prediction Log'!L365=Table12[[#This Row],[Side]], "W", IF('Prediction Log'!L365&lt;&gt;Table12[[#This Row],[Side]], "L", "")))</f>
      </c>
      <c r="AA364" s="59" t="str">
        <f t="shared" si="59"/>
      </c>
      <c r="AB364" s="67" t="str">
        <f>IF(OR(Table12[[#This Row],[Bet]]="Side",Table12[[#This Row],[Bet]]="", 'Prediction Log'!L365=""), "",IF('Prediction Log'!U365="Y", "W", IF('Prediction Log'!U365="N", "L", "")))</f>
      </c>
      <c r="AC364" s="59" t="str">
        <f t="shared" si="51"/>
      </c>
      <c r="AD364" s="67"/>
      <c r="AE364" s="65" t="str">
        <f t="shared" si="56"/>
      </c>
      <c r="AF3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5">
      <c r="A365" s="65" t="str">
        <f>IF(ISBLANK(Games!A365), "", Games!A365)</f>
      </c>
      <c r="B365" s="65" t="str">
        <f>IF('Prediction Log'!B366=0, "",'Prediction Log'!B366)</f>
      </c>
      <c r="C365" s="65" t="str">
        <f>IF('Prediction Log'!C366=0, "",'Prediction Log'!C366)</f>
      </c>
      <c r="D365" s="65" t="str">
        <f>IF('Prediction Log'!D366=0, "",'Prediction Log'!D366)</f>
      </c>
      <c r="E365" s="58" t="str">
        <f>IF('Prediction Log'!E366=0, "",'Prediction Log'!E366)</f>
      </c>
      <c r="F365" s="65" t="str">
        <f>IF('Prediction Log'!H366=0, "",'Prediction Log'!H366)</f>
      </c>
      <c r="G365" s="64" t="str">
        <f>IF(ISBLANK(Games!B365), "",'Prediction Log'!$I366)</f>
      </c>
      <c r="H365" s="66" t="n">
        <f>'Prediction Log'!$J366</f>
        <v>0</v>
      </c>
      <c r="I365" s="65" t="str">
        <f>IF(ISBLANK(Games!T365), "",IF(AND(Games!T365="",Games!U365=""),"",IF(ISTEXT(Games!U365), "Side",Games!T365)))</f>
      </c>
      <c r="J365" s="65" t="str">
        <f>IF(ISBLANK(Games!T365), "",IF(Table12[[#This Row],[Bet]]="Spread", Games!X365, ""))</f>
      </c>
      <c r="K365" s="65" t="str">
        <f>IF(ISBLANK(Games!U365), "",IF(ISTEXT(Games!U365), Games!U365, ""))</f>
      </c>
      <c r="L365" s="57" t="str">
        <f>IF(ISBLANK(Games!D365), "", Games!D365)</f>
      </c>
      <c r="M365" s="65"/>
      <c r="N365" s="75" t="str">
        <f>IF(Games!V365="", "",Games!V365)</f>
      </c>
      <c r="O365" s="75" t="str">
        <f>IF(Games!Z365=0, "",Games!Z365)</f>
      </c>
      <c r="P365" s="67"/>
      <c r="Q365" s="67" t="str">
        <f>IF(ISBLANK(Games!W365), "", Games!W365)</f>
      </c>
      <c r="R365" s="67" t="str">
        <f>IF(ISBLANK(Games!AA365), "", Games!AA365)</f>
      </c>
      <c r="S365" s="67"/>
      <c r="T365" s="68" t="str">
        <f t="shared" si="52"/>
      </c>
      <c r="U365" s="68" t="str">
        <f t="shared" si="53"/>
      </c>
      <c r="V365" s="68" t="str">
        <f t="shared" si="54"/>
      </c>
      <c r="W365" s="68" t="str">
        <f t="shared" si="55"/>
      </c>
      <c r="X365" s="68" t="n">
        <f t="shared" si="57"/>
        <v>0</v>
      </c>
      <c r="Y365" s="68" t="n">
        <f t="shared" si="58"/>
        <v>0</v>
      </c>
      <c r="Z365" s="67" t="str">
        <f>IF(OR('Prediction Log'!L366="", Table12[[#This Row],[Bet]]="", Table12[[#This Row],[Bet]]="Spread"), "",IF('Prediction Log'!L366=Table12[[#This Row],[Side]], "W", IF('Prediction Log'!L366&lt;&gt;Table12[[#This Row],[Side]], "L", "")))</f>
      </c>
      <c r="AA365" s="59" t="str">
        <f t="shared" si="59"/>
      </c>
      <c r="AB365" s="67" t="str">
        <f>IF(OR(Table12[[#This Row],[Bet]]="Side",Table12[[#This Row],[Bet]]="", 'Prediction Log'!L366=""), "",IF('Prediction Log'!U366="Y", "W", IF('Prediction Log'!U366="N", "L", "")))</f>
      </c>
      <c r="AC365" s="59" t="str">
        <f t="shared" si="51"/>
      </c>
      <c r="AD365" s="67"/>
      <c r="AE365" s="65" t="str">
        <f t="shared" si="56"/>
      </c>
      <c r="AF3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6">
      <c r="A366" s="65" t="str">
        <f>IF(ISBLANK(Games!A366), "", Games!A366)</f>
      </c>
      <c r="B366" s="65" t="str">
        <f>IF('Prediction Log'!B367=0, "",'Prediction Log'!B367)</f>
      </c>
      <c r="C366" s="65" t="str">
        <f>IF('Prediction Log'!C367=0, "",'Prediction Log'!C367)</f>
      </c>
      <c r="D366" s="65" t="str">
        <f>IF('Prediction Log'!D367=0, "",'Prediction Log'!D367)</f>
      </c>
      <c r="E366" s="58" t="str">
        <f>IF('Prediction Log'!E367=0, "",'Prediction Log'!E367)</f>
      </c>
      <c r="F366" s="65" t="str">
        <f>IF('Prediction Log'!H367=0, "",'Prediction Log'!H367)</f>
      </c>
      <c r="G366" s="64" t="str">
        <f>IF(ISBLANK(Games!B366), "",'Prediction Log'!$I367)</f>
      </c>
      <c r="H366" s="66" t="n">
        <f>'Prediction Log'!$J367</f>
        <v>0</v>
      </c>
      <c r="I366" s="65" t="str">
        <f>IF(ISBLANK(Games!T366), "",IF(AND(Games!T366="",Games!U366=""),"",IF(ISTEXT(Games!U366), "Side",Games!T366)))</f>
      </c>
      <c r="J366" s="65" t="str">
        <f>IF(ISBLANK(Games!T366), "",IF(Table12[[#This Row],[Bet]]="Spread", Games!X366, ""))</f>
      </c>
      <c r="K366" s="65" t="str">
        <f>IF(ISBLANK(Games!U366), "",IF(ISTEXT(Games!U366), Games!U366, ""))</f>
      </c>
      <c r="L366" s="57" t="str">
        <f>IF(ISBLANK(Games!D366), "", Games!D366)</f>
      </c>
      <c r="M366" s="65"/>
      <c r="N366" s="75" t="str">
        <f>IF(Games!V366="", "",Games!V366)</f>
      </c>
      <c r="O366" s="75" t="str">
        <f>IF(Games!Z366=0, "",Games!Z366)</f>
      </c>
      <c r="P366" s="67"/>
      <c r="Q366" s="67" t="str">
        <f>IF(ISBLANK(Games!W366), "", Games!W366)</f>
      </c>
      <c r="R366" s="67" t="str">
        <f>IF(ISBLANK(Games!AA366), "", Games!AA366)</f>
      </c>
      <c r="S366" s="67"/>
      <c r="T366" s="68" t="str">
        <f t="shared" si="52"/>
      </c>
      <c r="U366" s="68" t="str">
        <f t="shared" si="53"/>
      </c>
      <c r="V366" s="68" t="str">
        <f t="shared" si="54"/>
      </c>
      <c r="W366" s="68" t="str">
        <f t="shared" si="55"/>
      </c>
      <c r="X366" s="68" t="n">
        <f t="shared" si="57"/>
        <v>0</v>
      </c>
      <c r="Y366" s="68" t="n">
        <f t="shared" si="58"/>
        <v>0</v>
      </c>
      <c r="Z366" s="67" t="str">
        <f>IF(OR('Prediction Log'!L367="", Table12[[#This Row],[Bet]]="", Table12[[#This Row],[Bet]]="Spread"), "",IF('Prediction Log'!L367=Table12[[#This Row],[Side]], "W", IF('Prediction Log'!L367&lt;&gt;Table12[[#This Row],[Side]], "L", "")))</f>
      </c>
      <c r="AA366" s="59" t="str">
        <f t="shared" si="59"/>
      </c>
      <c r="AB366" s="67" t="str">
        <f>IF(OR(Table12[[#This Row],[Bet]]="Side",Table12[[#This Row],[Bet]]="", 'Prediction Log'!L367=""), "",IF('Prediction Log'!U367="Y", "W", IF('Prediction Log'!U367="N", "L", "")))</f>
      </c>
      <c r="AC366" s="59" t="str">
        <f t="shared" si="51"/>
      </c>
      <c r="AD366" s="67"/>
      <c r="AE366" s="65" t="str">
        <f t="shared" si="56"/>
      </c>
      <c r="AF3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7">
      <c r="A367" s="65" t="str">
        <f>IF(ISBLANK(Games!A367), "", Games!A367)</f>
      </c>
      <c r="B367" s="65" t="str">
        <f>IF('Prediction Log'!B368=0, "",'Prediction Log'!B368)</f>
      </c>
      <c r="C367" s="65" t="str">
        <f>IF('Prediction Log'!C368=0, "",'Prediction Log'!C368)</f>
      </c>
      <c r="D367" s="65" t="str">
        <f>IF('Prediction Log'!D368=0, "",'Prediction Log'!D368)</f>
      </c>
      <c r="E367" s="58" t="str">
        <f>IF('Prediction Log'!E368=0, "",'Prediction Log'!E368)</f>
      </c>
      <c r="F367" s="65" t="str">
        <f>IF('Prediction Log'!H368=0, "",'Prediction Log'!H368)</f>
      </c>
      <c r="G367" s="64" t="str">
        <f>IF(ISBLANK(Games!B367), "",'Prediction Log'!$I368)</f>
      </c>
      <c r="H367" s="66" t="n">
        <f>'Prediction Log'!$J368</f>
        <v>0</v>
      </c>
      <c r="I367" s="65" t="str">
        <f>IF(ISBLANK(Games!T367), "",IF(AND(Games!T367="",Games!U367=""),"",IF(ISTEXT(Games!U367), "Side",Games!T367)))</f>
      </c>
      <c r="J367" s="65" t="str">
        <f>IF(ISBLANK(Games!T367), "",IF(Table12[[#This Row],[Bet]]="Spread", Games!X367, ""))</f>
      </c>
      <c r="K367" s="65" t="str">
        <f>IF(ISBLANK(Games!U367), "",IF(ISTEXT(Games!U367), Games!U367, ""))</f>
      </c>
      <c r="L367" s="57" t="str">
        <f>IF(ISBLANK(Games!D367), "", Games!D367)</f>
      </c>
      <c r="M367" s="65"/>
      <c r="N367" s="75" t="str">
        <f>IF(Games!V367="", "",Games!V367)</f>
      </c>
      <c r="O367" s="75" t="str">
        <f>IF(Games!Z367=0, "",Games!Z367)</f>
      </c>
      <c r="P367" s="67"/>
      <c r="Q367" s="67" t="str">
        <f>IF(ISBLANK(Games!W367), "", Games!W367)</f>
      </c>
      <c r="R367" s="67" t="str">
        <f>IF(ISBLANK(Games!AA367), "", Games!AA367)</f>
      </c>
      <c r="S367" s="67"/>
      <c r="T367" s="68" t="str">
        <f t="shared" si="52"/>
      </c>
      <c r="U367" s="68" t="str">
        <f t="shared" si="53"/>
      </c>
      <c r="V367" s="68" t="str">
        <f t="shared" si="54"/>
      </c>
      <c r="W367" s="68" t="str">
        <f t="shared" si="55"/>
      </c>
      <c r="X367" s="68" t="n">
        <f t="shared" si="57"/>
        <v>0</v>
      </c>
      <c r="Y367" s="68" t="n">
        <f t="shared" si="58"/>
        <v>0</v>
      </c>
      <c r="Z367" s="67" t="str">
        <f>IF(OR('Prediction Log'!L368="", Table12[[#This Row],[Bet]]="", Table12[[#This Row],[Bet]]="Spread"), "",IF('Prediction Log'!L368=Table12[[#This Row],[Side]], "W", IF('Prediction Log'!L368&lt;&gt;Table12[[#This Row],[Side]], "L", "")))</f>
      </c>
      <c r="AA367" s="59" t="str">
        <f t="shared" si="59"/>
      </c>
      <c r="AB367" s="67" t="str">
        <f>IF(OR(Table12[[#This Row],[Bet]]="Side",Table12[[#This Row],[Bet]]="", 'Prediction Log'!L368=""), "",IF('Prediction Log'!U368="Y", "W", IF('Prediction Log'!U368="N", "L", "")))</f>
      </c>
      <c r="AC367" s="59" t="str">
        <f t="shared" si="51"/>
      </c>
      <c r="AD367" s="67"/>
      <c r="AE367" s="65" t="str">
        <f t="shared" si="56"/>
      </c>
      <c r="AF3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8">
      <c r="A368" s="65" t="str">
        <f>IF(ISBLANK(Games!A368), "", Games!A368)</f>
      </c>
      <c r="B368" s="65" t="str">
        <f>IF('Prediction Log'!B369=0, "",'Prediction Log'!B369)</f>
      </c>
      <c r="C368" s="65" t="str">
        <f>IF('Prediction Log'!C369=0, "",'Prediction Log'!C369)</f>
      </c>
      <c r="D368" s="65" t="str">
        <f>IF('Prediction Log'!D369=0, "",'Prediction Log'!D369)</f>
      </c>
      <c r="E368" s="58" t="str">
        <f>IF('Prediction Log'!E369=0, "",'Prediction Log'!E369)</f>
      </c>
      <c r="F368" s="65" t="str">
        <f>IF('Prediction Log'!H369=0, "",'Prediction Log'!H369)</f>
      </c>
      <c r="G368" s="64" t="str">
        <f>IF(ISBLANK(Games!B368), "",'Prediction Log'!$I369)</f>
      </c>
      <c r="H368" s="66" t="n">
        <f>'Prediction Log'!$J369</f>
        <v>0</v>
      </c>
      <c r="I368" s="65" t="str">
        <f>IF(ISBLANK(Games!T368), "",IF(AND(Games!T368="",Games!U368=""),"",IF(ISTEXT(Games!U368), "Side",Games!T368)))</f>
      </c>
      <c r="J368" s="65" t="str">
        <f>IF(ISBLANK(Games!T368), "",IF(Table12[[#This Row],[Bet]]="Spread", Games!X368, ""))</f>
      </c>
      <c r="K368" s="65" t="str">
        <f>IF(ISBLANK(Games!U368), "",IF(ISTEXT(Games!U368), Games!U368, ""))</f>
      </c>
      <c r="L368" s="57" t="str">
        <f>IF(ISBLANK(Games!D368), "", Games!D368)</f>
      </c>
      <c r="M368" s="65"/>
      <c r="N368" s="75" t="str">
        <f>IF(Games!V368="", "",Games!V368)</f>
      </c>
      <c r="O368" s="75" t="str">
        <f>IF(Games!Z368=0, "",Games!Z368)</f>
      </c>
      <c r="P368" s="67"/>
      <c r="Q368" s="67" t="str">
        <f>IF(ISBLANK(Games!W368), "", Games!W368)</f>
      </c>
      <c r="R368" s="67" t="str">
        <f>IF(ISBLANK(Games!AA368), "", Games!AA368)</f>
      </c>
      <c r="S368" s="67"/>
      <c r="T368" s="68" t="str">
        <f t="shared" si="52"/>
      </c>
      <c r="U368" s="68" t="str">
        <f t="shared" si="53"/>
      </c>
      <c r="V368" s="68" t="str">
        <f t="shared" si="54"/>
      </c>
      <c r="W368" s="68" t="str">
        <f t="shared" si="55"/>
      </c>
      <c r="X368" s="68" t="n">
        <f t="shared" si="57"/>
        <v>0</v>
      </c>
      <c r="Y368" s="68" t="n">
        <f t="shared" si="58"/>
        <v>0</v>
      </c>
      <c r="Z368" s="67" t="str">
        <f>IF(OR('Prediction Log'!L369="", Table12[[#This Row],[Bet]]="", Table12[[#This Row],[Bet]]="Spread"), "",IF('Prediction Log'!L369=Table12[[#This Row],[Side]], "W", IF('Prediction Log'!L369&lt;&gt;Table12[[#This Row],[Side]], "L", "")))</f>
      </c>
      <c r="AA368" s="59" t="str">
        <f t="shared" si="59"/>
      </c>
      <c r="AB368" s="67" t="str">
        <f>IF(OR(Table12[[#This Row],[Bet]]="Side",Table12[[#This Row],[Bet]]="", 'Prediction Log'!L369=""), "",IF('Prediction Log'!U369="Y", "W", IF('Prediction Log'!U369="N", "L", "")))</f>
      </c>
      <c r="AC368" s="59" t="str">
        <f t="shared" si="51"/>
      </c>
      <c r="AD368" s="67"/>
      <c r="AE368" s="65" t="str">
        <f t="shared" si="56"/>
      </c>
      <c r="AF3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9">
      <c r="A369" s="65" t="str">
        <f>IF(ISBLANK(Games!A369), "", Games!A369)</f>
      </c>
      <c r="B369" s="65" t="str">
        <f>IF('Prediction Log'!B370=0, "",'Prediction Log'!B370)</f>
      </c>
      <c r="C369" s="65" t="str">
        <f>IF('Prediction Log'!C370=0, "",'Prediction Log'!C370)</f>
      </c>
      <c r="D369" s="65" t="str">
        <f>IF('Prediction Log'!D370=0, "",'Prediction Log'!D370)</f>
      </c>
      <c r="E369" s="58" t="str">
        <f>IF('Prediction Log'!E370=0, "",'Prediction Log'!E370)</f>
      </c>
      <c r="F369" s="65" t="str">
        <f>IF('Prediction Log'!H370=0, "",'Prediction Log'!H370)</f>
      </c>
      <c r="G369" s="64" t="str">
        <f>IF(ISBLANK(Games!B369), "",'Prediction Log'!$I370)</f>
      </c>
      <c r="H369" s="66" t="n">
        <f>'Prediction Log'!$J370</f>
        <v>0</v>
      </c>
      <c r="I369" s="65" t="str">
        <f>IF(ISBLANK(Games!T369), "",IF(AND(Games!T369="",Games!U369=""),"",IF(ISTEXT(Games!U369), "Side",Games!T369)))</f>
      </c>
      <c r="J369" s="65" t="str">
        <f>IF(ISBLANK(Games!T369), "",IF(Table12[[#This Row],[Bet]]="Spread", Games!X369, ""))</f>
      </c>
      <c r="K369" s="65" t="str">
        <f>IF(ISBLANK(Games!U369), "",IF(ISTEXT(Games!U369), Games!U369, ""))</f>
      </c>
      <c r="L369" s="57" t="str">
        <f>IF(ISBLANK(Games!D369), "", Games!D369)</f>
      </c>
      <c r="M369" s="65"/>
      <c r="N369" s="75" t="str">
        <f>IF(Games!V369="", "",Games!V369)</f>
      </c>
      <c r="O369" s="75" t="str">
        <f>IF(Games!Z369=0, "",Games!Z369)</f>
      </c>
      <c r="P369" s="67"/>
      <c r="Q369" s="67" t="str">
        <f>IF(ISBLANK(Games!W369), "", Games!W369)</f>
      </c>
      <c r="R369" s="67" t="str">
        <f>IF(ISBLANK(Games!AA369), "", Games!AA369)</f>
      </c>
      <c r="S369" s="67"/>
      <c r="T369" s="68" t="str">
        <f t="shared" si="52"/>
      </c>
      <c r="U369" s="68" t="str">
        <f t="shared" si="53"/>
      </c>
      <c r="V369" s="68" t="str">
        <f t="shared" si="54"/>
      </c>
      <c r="W369" s="68" t="str">
        <f t="shared" si="55"/>
      </c>
      <c r="X369" s="68" t="n">
        <f t="shared" si="57"/>
        <v>0</v>
      </c>
      <c r="Y369" s="68" t="n">
        <f t="shared" si="58"/>
        <v>0</v>
      </c>
      <c r="Z369" s="67" t="str">
        <f>IF(OR('Prediction Log'!L370="", Table12[[#This Row],[Bet]]="", Table12[[#This Row],[Bet]]="Spread"), "",IF('Prediction Log'!L370=Table12[[#This Row],[Side]], "W", IF('Prediction Log'!L370&lt;&gt;Table12[[#This Row],[Side]], "L", "")))</f>
      </c>
      <c r="AA369" s="59" t="str">
        <f t="shared" si="59"/>
      </c>
      <c r="AB369" s="67" t="str">
        <f>IF(OR(Table12[[#This Row],[Bet]]="Side",Table12[[#This Row],[Bet]]="", 'Prediction Log'!L370=""), "",IF('Prediction Log'!U370="Y", "W", IF('Prediction Log'!U370="N", "L", "")))</f>
      </c>
      <c r="AC369" s="59" t="str">
        <f t="shared" si="51"/>
      </c>
      <c r="AD369" s="67"/>
      <c r="AE369" s="65" t="str">
        <f t="shared" si="56"/>
      </c>
      <c r="AF3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0">
      <c r="A370" s="65" t="str">
        <f>IF(ISBLANK(Games!A370), "", Games!A370)</f>
      </c>
      <c r="B370" s="65" t="str">
        <f>IF('Prediction Log'!B371=0, "",'Prediction Log'!B371)</f>
      </c>
      <c r="C370" s="65" t="str">
        <f>IF('Prediction Log'!C371=0, "",'Prediction Log'!C371)</f>
      </c>
      <c r="D370" s="65" t="str">
        <f>IF('Prediction Log'!D371=0, "",'Prediction Log'!D371)</f>
      </c>
      <c r="E370" s="58" t="str">
        <f>IF('Prediction Log'!E371=0, "",'Prediction Log'!E371)</f>
      </c>
      <c r="F370" s="65" t="str">
        <f>IF('Prediction Log'!H371=0, "",'Prediction Log'!H371)</f>
      </c>
      <c r="G370" s="64" t="str">
        <f>IF(ISBLANK(Games!B370), "",'Prediction Log'!$I371)</f>
      </c>
      <c r="H370" s="66" t="n">
        <f>'Prediction Log'!$J371</f>
        <v>0</v>
      </c>
      <c r="I370" s="65" t="str">
        <f>IF(ISBLANK(Games!T370), "",IF(AND(Games!T370="",Games!U370=""),"",IF(ISTEXT(Games!U370), "Side",Games!T370)))</f>
      </c>
      <c r="J370" s="65" t="str">
        <f>IF(ISBLANK(Games!T370), "",IF(Table12[[#This Row],[Bet]]="Spread", Games!X370, ""))</f>
      </c>
      <c r="K370" s="65" t="str">
        <f>IF(ISBLANK(Games!U370), "",IF(ISTEXT(Games!U370), Games!U370, ""))</f>
      </c>
      <c r="L370" s="57" t="str">
        <f>IF(ISBLANK(Games!D370), "", Games!D370)</f>
      </c>
      <c r="M370" s="65"/>
      <c r="N370" s="75" t="str">
        <f>IF(Games!V370="", "",Games!V370)</f>
      </c>
      <c r="O370" s="75" t="str">
        <f>IF(Games!Z370=0, "",Games!Z370)</f>
      </c>
      <c r="P370" s="67"/>
      <c r="Q370" s="67" t="str">
        <f>IF(ISBLANK(Games!W370), "", Games!W370)</f>
      </c>
      <c r="R370" s="67" t="str">
        <f>IF(ISBLANK(Games!AA370), "", Games!AA370)</f>
      </c>
      <c r="S370" s="67"/>
      <c r="T370" s="68" t="str">
        <f t="shared" si="52"/>
      </c>
      <c r="U370" s="68" t="str">
        <f t="shared" si="53"/>
      </c>
      <c r="V370" s="68" t="str">
        <f t="shared" si="54"/>
      </c>
      <c r="W370" s="68" t="str">
        <f t="shared" si="55"/>
      </c>
      <c r="X370" s="68" t="n">
        <f t="shared" si="57"/>
        <v>0</v>
      </c>
      <c r="Y370" s="68" t="n">
        <f t="shared" si="58"/>
        <v>0</v>
      </c>
      <c r="Z370" s="67" t="str">
        <f>IF(OR('Prediction Log'!L371="", Table12[[#This Row],[Bet]]="", Table12[[#This Row],[Bet]]="Spread"), "",IF('Prediction Log'!L371=Table12[[#This Row],[Side]], "W", IF('Prediction Log'!L371&lt;&gt;Table12[[#This Row],[Side]], "L", "")))</f>
      </c>
      <c r="AA370" s="59" t="str">
        <f t="shared" si="59"/>
      </c>
      <c r="AB370" s="67" t="str">
        <f>IF(OR(Table12[[#This Row],[Bet]]="Side",Table12[[#This Row],[Bet]]="", 'Prediction Log'!L371=""), "",IF('Prediction Log'!U371="Y", "W", IF('Prediction Log'!U371="N", "L", "")))</f>
      </c>
      <c r="AC370" s="59" t="str">
        <f t="shared" si="51"/>
      </c>
      <c r="AD370" s="67"/>
      <c r="AE370" s="65" t="str">
        <f t="shared" si="56"/>
      </c>
      <c r="AF3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1">
      <c r="A371" s="65" t="str">
        <f>IF(ISBLANK(Games!A371), "", Games!A371)</f>
      </c>
      <c r="B371" s="65" t="str">
        <f>IF('Prediction Log'!B372=0, "",'Prediction Log'!B372)</f>
      </c>
      <c r="C371" s="65" t="str">
        <f>IF('Prediction Log'!C372=0, "",'Prediction Log'!C372)</f>
      </c>
      <c r="D371" s="65" t="str">
        <f>IF('Prediction Log'!D372=0, "",'Prediction Log'!D372)</f>
      </c>
      <c r="E371" s="58" t="str">
        <f>IF('Prediction Log'!E372=0, "",'Prediction Log'!E372)</f>
      </c>
      <c r="F371" s="65" t="str">
        <f>IF('Prediction Log'!H372=0, "",'Prediction Log'!H372)</f>
      </c>
      <c r="G371" s="64" t="str">
        <f>IF(ISBLANK(Games!B371), "",'Prediction Log'!$I372)</f>
      </c>
      <c r="H371" s="66" t="n">
        <f>'Prediction Log'!$J372</f>
        <v>0</v>
      </c>
      <c r="I371" s="65" t="str">
        <f>IF(ISBLANK(Games!T371), "",IF(AND(Games!T371="",Games!U371=""),"",IF(ISTEXT(Games!U371), "Side",Games!T371)))</f>
      </c>
      <c r="J371" s="65" t="str">
        <f>IF(ISBLANK(Games!T371), "",IF(Table12[[#This Row],[Bet]]="Spread", Games!X371, ""))</f>
      </c>
      <c r="K371" s="65" t="str">
        <f>IF(ISBLANK(Games!U371), "",IF(ISTEXT(Games!U371), Games!U371, ""))</f>
      </c>
      <c r="L371" s="57" t="str">
        <f>IF(ISBLANK(Games!D371), "", Games!D371)</f>
      </c>
      <c r="M371" s="65"/>
      <c r="N371" s="75" t="str">
        <f>IF(Games!V371="", "",Games!V371)</f>
      </c>
      <c r="O371" s="75" t="str">
        <f>IF(Games!Z371=0, "",Games!Z371)</f>
      </c>
      <c r="P371" s="67"/>
      <c r="Q371" s="67" t="str">
        <f>IF(ISBLANK(Games!W371), "", Games!W371)</f>
      </c>
      <c r="R371" s="67" t="str">
        <f>IF(ISBLANK(Games!AA371), "", Games!AA371)</f>
      </c>
      <c r="S371" s="67"/>
      <c r="T371" s="68" t="str">
        <f t="shared" si="52"/>
      </c>
      <c r="U371" s="68" t="str">
        <f t="shared" si="53"/>
      </c>
      <c r="V371" s="68" t="str">
        <f t="shared" si="54"/>
      </c>
      <c r="W371" s="68" t="str">
        <f t="shared" si="55"/>
      </c>
      <c r="X371" s="68" t="n">
        <f t="shared" si="57"/>
        <v>0</v>
      </c>
      <c r="Y371" s="68" t="n">
        <f t="shared" si="58"/>
        <v>0</v>
      </c>
      <c r="Z371" s="67" t="str">
        <f>IF(OR('Prediction Log'!L372="", Table12[[#This Row],[Bet]]="", Table12[[#This Row],[Bet]]="Spread"), "",IF('Prediction Log'!L372=Table12[[#This Row],[Side]], "W", IF('Prediction Log'!L372&lt;&gt;Table12[[#This Row],[Side]], "L", "")))</f>
      </c>
      <c r="AA371" s="59" t="str">
        <f t="shared" si="59"/>
      </c>
      <c r="AB371" s="67" t="str">
        <f>IF(OR(Table12[[#This Row],[Bet]]="Side",Table12[[#This Row],[Bet]]="", 'Prediction Log'!L372=""), "",IF('Prediction Log'!U372="Y", "W", IF('Prediction Log'!U372="N", "L", "")))</f>
      </c>
      <c r="AC371" s="59" t="str">
        <f t="shared" si="51"/>
      </c>
      <c r="AD371" s="67"/>
      <c r="AE371" s="65" t="str">
        <f t="shared" si="56"/>
      </c>
      <c r="AF3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2">
      <c r="A372" s="65" t="str">
        <f>IF(ISBLANK(Games!A372), "", Games!A372)</f>
      </c>
      <c r="B372" s="65" t="str">
        <f>IF('Prediction Log'!B373=0, "",'Prediction Log'!B373)</f>
      </c>
      <c r="C372" s="65" t="str">
        <f>IF('Prediction Log'!C373=0, "",'Prediction Log'!C373)</f>
      </c>
      <c r="D372" s="65" t="str">
        <f>IF('Prediction Log'!D373=0, "",'Prediction Log'!D373)</f>
      </c>
      <c r="E372" s="58" t="str">
        <f>IF('Prediction Log'!E373=0, "",'Prediction Log'!E373)</f>
      </c>
      <c r="F372" s="65" t="str">
        <f>IF('Prediction Log'!H373=0, "",'Prediction Log'!H373)</f>
      </c>
      <c r="G372" s="64" t="str">
        <f>IF(ISBLANK(Games!B372), "",'Prediction Log'!$I373)</f>
      </c>
      <c r="H372" s="66" t="n">
        <f>'Prediction Log'!$J373</f>
        <v>0</v>
      </c>
      <c r="I372" s="65" t="str">
        <f>IF(ISBLANK(Games!T372), "",IF(AND(Games!T372="",Games!U372=""),"",IF(ISTEXT(Games!U372), "Side",Games!T372)))</f>
      </c>
      <c r="J372" s="65" t="str">
        <f>IF(ISBLANK(Games!T372), "",IF(Table12[[#This Row],[Bet]]="Spread", Games!X372, ""))</f>
      </c>
      <c r="K372" s="65" t="str">
        <f>IF(ISBLANK(Games!U372), "",IF(ISTEXT(Games!U372), Games!U372, ""))</f>
      </c>
      <c r="L372" s="57" t="str">
        <f>IF(ISBLANK(Games!D372), "", Games!D372)</f>
      </c>
      <c r="M372" s="65"/>
      <c r="N372" s="75" t="str">
        <f>IF(Games!V372="", "",Games!V372)</f>
      </c>
      <c r="O372" s="75" t="str">
        <f>IF(Games!Z372=0, "",Games!Z372)</f>
      </c>
      <c r="P372" s="67"/>
      <c r="Q372" s="67" t="str">
        <f>IF(ISBLANK(Games!W372), "", Games!W372)</f>
      </c>
      <c r="R372" s="67" t="str">
        <f>IF(ISBLANK(Games!AA372), "", Games!AA372)</f>
      </c>
      <c r="S372" s="67"/>
      <c r="T372" s="68" t="str">
        <f t="shared" si="52"/>
      </c>
      <c r="U372" s="68" t="str">
        <f t="shared" si="53"/>
      </c>
      <c r="V372" s="68" t="str">
        <f t="shared" si="54"/>
      </c>
      <c r="W372" s="68" t="str">
        <f t="shared" si="55"/>
      </c>
      <c r="X372" s="68" t="n">
        <f t="shared" si="57"/>
        <v>0</v>
      </c>
      <c r="Y372" s="68" t="n">
        <f t="shared" si="58"/>
        <v>0</v>
      </c>
      <c r="Z372" s="67" t="str">
        <f>IF(OR('Prediction Log'!L373="", Table12[[#This Row],[Bet]]="", Table12[[#This Row],[Bet]]="Spread"), "",IF('Prediction Log'!L373=Table12[[#This Row],[Side]], "W", IF('Prediction Log'!L373&lt;&gt;Table12[[#This Row],[Side]], "L", "")))</f>
      </c>
      <c r="AA372" s="59" t="str">
        <f t="shared" si="59"/>
      </c>
      <c r="AB372" s="67" t="str">
        <f>IF(OR(Table12[[#This Row],[Bet]]="Side",Table12[[#This Row],[Bet]]="", 'Prediction Log'!L373=""), "",IF('Prediction Log'!U373="Y", "W", IF('Prediction Log'!U373="N", "L", "")))</f>
      </c>
      <c r="AC372" s="59" t="str">
        <f t="shared" si="51"/>
      </c>
      <c r="AD372" s="67"/>
      <c r="AE372" s="65" t="str">
        <f t="shared" si="56"/>
      </c>
      <c r="AF3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3">
      <c r="A373" s="65" t="str">
        <f>IF(ISBLANK(Games!A373), "", Games!A373)</f>
      </c>
      <c r="B373" s="65" t="str">
        <f>IF('Prediction Log'!B374=0, "",'Prediction Log'!B374)</f>
      </c>
      <c r="C373" s="65" t="str">
        <f>IF('Prediction Log'!C374=0, "",'Prediction Log'!C374)</f>
      </c>
      <c r="D373" s="65" t="str">
        <f>IF('Prediction Log'!D374=0, "",'Prediction Log'!D374)</f>
      </c>
      <c r="E373" s="58" t="str">
        <f>IF('Prediction Log'!E374=0, "",'Prediction Log'!E374)</f>
      </c>
      <c r="F373" s="65" t="str">
        <f>IF('Prediction Log'!H374=0, "",'Prediction Log'!H374)</f>
      </c>
      <c r="G373" s="64" t="str">
        <f>IF(ISBLANK(Games!B373), "",'Prediction Log'!$I374)</f>
      </c>
      <c r="H373" s="66" t="n">
        <f>'Prediction Log'!$J374</f>
        <v>0</v>
      </c>
      <c r="I373" s="65" t="str">
        <f>IF(ISBLANK(Games!T373), "",IF(AND(Games!T373="",Games!U373=""),"",IF(ISTEXT(Games!U373), "Side",Games!T373)))</f>
      </c>
      <c r="J373" s="65" t="str">
        <f>IF(ISBLANK(Games!T373), "",IF(Table12[[#This Row],[Bet]]="Spread", Games!X373, ""))</f>
      </c>
      <c r="K373" s="65" t="str">
        <f>IF(ISBLANK(Games!U373), "",IF(ISTEXT(Games!U373), Games!U373, ""))</f>
      </c>
      <c r="L373" s="57" t="str">
        <f>IF(ISBLANK(Games!D373), "", Games!D373)</f>
      </c>
      <c r="M373" s="65"/>
      <c r="N373" s="75" t="str">
        <f>IF(Games!V373="", "",Games!V373)</f>
      </c>
      <c r="O373" s="75" t="str">
        <f>IF(Games!Z373=0, "",Games!Z373)</f>
      </c>
      <c r="P373" s="67"/>
      <c r="Q373" s="67" t="str">
        <f>IF(ISBLANK(Games!W373), "", Games!W373)</f>
      </c>
      <c r="R373" s="67" t="str">
        <f>IF(ISBLANK(Games!AA373), "", Games!AA373)</f>
      </c>
      <c r="S373" s="67"/>
      <c r="T373" s="68" t="str">
        <f t="shared" si="52"/>
      </c>
      <c r="U373" s="68" t="str">
        <f t="shared" si="53"/>
      </c>
      <c r="V373" s="68" t="str">
        <f t="shared" si="54"/>
      </c>
      <c r="W373" s="68" t="str">
        <f t="shared" si="55"/>
      </c>
      <c r="X373" s="68" t="n">
        <f t="shared" si="57"/>
        <v>0</v>
      </c>
      <c r="Y373" s="68" t="n">
        <f t="shared" si="58"/>
        <v>0</v>
      </c>
      <c r="Z373" s="67" t="str">
        <f>IF(OR('Prediction Log'!L374="", Table12[[#This Row],[Bet]]="", Table12[[#This Row],[Bet]]="Spread"), "",IF('Prediction Log'!L374=Table12[[#This Row],[Side]], "W", IF('Prediction Log'!L374&lt;&gt;Table12[[#This Row],[Side]], "L", "")))</f>
      </c>
      <c r="AA373" s="59" t="str">
        <f t="shared" si="59"/>
      </c>
      <c r="AB373" s="67" t="str">
        <f>IF(OR(Table12[[#This Row],[Bet]]="Side",Table12[[#This Row],[Bet]]="", 'Prediction Log'!L374=""), "",IF('Prediction Log'!U374="Y", "W", IF('Prediction Log'!U374="N", "L", "")))</f>
      </c>
      <c r="AC373" s="59" t="str">
        <f t="shared" si="51"/>
      </c>
      <c r="AD373" s="67"/>
      <c r="AE373" s="65" t="str">
        <f t="shared" si="56"/>
      </c>
      <c r="AF3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4">
      <c r="A374" s="65" t="str">
        <f>IF(ISBLANK(Games!A374), "", Games!A374)</f>
      </c>
      <c r="B374" s="65" t="str">
        <f>IF('Prediction Log'!B375=0, "",'Prediction Log'!B375)</f>
      </c>
      <c r="C374" s="65" t="str">
        <f>IF('Prediction Log'!C375=0, "",'Prediction Log'!C375)</f>
      </c>
      <c r="D374" s="65" t="str">
        <f>IF('Prediction Log'!D375=0, "",'Prediction Log'!D375)</f>
      </c>
      <c r="E374" s="58" t="str">
        <f>IF('Prediction Log'!E375=0, "",'Prediction Log'!E375)</f>
      </c>
      <c r="F374" s="65" t="str">
        <f>IF('Prediction Log'!H375=0, "",'Prediction Log'!H375)</f>
      </c>
      <c r="G374" s="64" t="str">
        <f>IF(ISBLANK(Games!B374), "",'Prediction Log'!$I375)</f>
      </c>
      <c r="H374" s="66" t="n">
        <f>'Prediction Log'!$J375</f>
        <v>0</v>
      </c>
      <c r="I374" s="65" t="str">
        <f>IF(ISBLANK(Games!T374), "",IF(AND(Games!T374="",Games!U374=""),"",IF(ISTEXT(Games!U374), "Side",Games!T374)))</f>
      </c>
      <c r="J374" s="65" t="str">
        <f>IF(ISBLANK(Games!T374), "",IF(Table12[[#This Row],[Bet]]="Spread", Games!X374, ""))</f>
      </c>
      <c r="K374" s="65" t="str">
        <f>IF(ISBLANK(Games!U374), "",IF(ISTEXT(Games!U374), Games!U374, ""))</f>
      </c>
      <c r="L374" s="57" t="str">
        <f>IF(ISBLANK(Games!D374), "", Games!D374)</f>
      </c>
      <c r="M374" s="65"/>
      <c r="N374" s="75" t="str">
        <f>IF(Games!V374="", "",Games!V374)</f>
      </c>
      <c r="O374" s="75" t="str">
        <f>IF(Games!Z374=0, "",Games!Z374)</f>
      </c>
      <c r="P374" s="67"/>
      <c r="Q374" s="67" t="str">
        <f>IF(ISBLANK(Games!W374), "", Games!W374)</f>
      </c>
      <c r="R374" s="67" t="str">
        <f>IF(ISBLANK(Games!AA374), "", Games!AA374)</f>
      </c>
      <c r="S374" s="67"/>
      <c r="T374" s="68" t="str">
        <f t="shared" si="52"/>
      </c>
      <c r="U374" s="68" t="str">
        <f t="shared" si="53"/>
      </c>
      <c r="V374" s="68" t="str">
        <f t="shared" si="54"/>
      </c>
      <c r="W374" s="68" t="str">
        <f t="shared" si="55"/>
      </c>
      <c r="X374" s="68" t="n">
        <f t="shared" si="57"/>
        <v>0</v>
      </c>
      <c r="Y374" s="68" t="n">
        <f t="shared" si="58"/>
        <v>0</v>
      </c>
      <c r="Z374" s="67" t="str">
        <f>IF(OR('Prediction Log'!L375="", Table12[[#This Row],[Bet]]="", Table12[[#This Row],[Bet]]="Spread"), "",IF('Prediction Log'!L375=Table12[[#This Row],[Side]], "W", IF('Prediction Log'!L375&lt;&gt;Table12[[#This Row],[Side]], "L", "")))</f>
      </c>
      <c r="AA374" s="59" t="str">
        <f t="shared" si="59"/>
      </c>
      <c r="AB374" s="67" t="str">
        <f>IF(OR(Table12[[#This Row],[Bet]]="Side",Table12[[#This Row],[Bet]]="", 'Prediction Log'!L375=""), "",IF('Prediction Log'!U375="Y", "W", IF('Prediction Log'!U375="N", "L", "")))</f>
      </c>
      <c r="AC374" s="59" t="str">
        <f t="shared" si="51"/>
      </c>
      <c r="AD374" s="67"/>
      <c r="AE374" s="65" t="str">
        <f t="shared" si="56"/>
      </c>
      <c r="AF3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5">
      <c r="A375" s="65" t="str">
        <f>IF(ISBLANK(Games!A375), "", Games!A375)</f>
      </c>
      <c r="B375" s="65" t="str">
        <f>IF('Prediction Log'!B376=0, "",'Prediction Log'!B376)</f>
      </c>
      <c r="C375" s="65" t="str">
        <f>IF('Prediction Log'!C376=0, "",'Prediction Log'!C376)</f>
      </c>
      <c r="D375" s="65" t="str">
        <f>IF('Prediction Log'!D376=0, "",'Prediction Log'!D376)</f>
      </c>
      <c r="E375" s="58" t="str">
        <f>IF('Prediction Log'!E376=0, "",'Prediction Log'!E376)</f>
      </c>
      <c r="F375" s="65" t="str">
        <f>IF('Prediction Log'!H376=0, "",'Prediction Log'!H376)</f>
      </c>
      <c r="G375" s="64" t="str">
        <f>IF(ISBLANK(Games!B375), "",'Prediction Log'!$I376)</f>
      </c>
      <c r="H375" s="66" t="n">
        <f>'Prediction Log'!$J376</f>
        <v>0</v>
      </c>
      <c r="I375" s="65" t="str">
        <f>IF(ISBLANK(Games!T375), "",IF(AND(Games!T375="",Games!U375=""),"",IF(ISTEXT(Games!U375), "Side",Games!T375)))</f>
      </c>
      <c r="J375" s="65" t="str">
        <f>IF(ISBLANK(Games!T375), "",IF(Table12[[#This Row],[Bet]]="Spread", Games!X375, ""))</f>
      </c>
      <c r="K375" s="65" t="str">
        <f>IF(ISBLANK(Games!U375), "",IF(ISTEXT(Games!U375), Games!U375, ""))</f>
      </c>
      <c r="L375" s="57" t="str">
        <f>IF(ISBLANK(Games!D375), "", Games!D375)</f>
      </c>
      <c r="M375" s="65"/>
      <c r="N375" s="75" t="str">
        <f>IF(Games!V375="", "",Games!V375)</f>
      </c>
      <c r="O375" s="75" t="str">
        <f>IF(Games!Z375=0, "",Games!Z375)</f>
      </c>
      <c r="P375" s="67"/>
      <c r="Q375" s="67" t="str">
        <f>IF(ISBLANK(Games!W375), "", Games!W375)</f>
      </c>
      <c r="R375" s="67" t="str">
        <f>IF(ISBLANK(Games!AA375), "", Games!AA375)</f>
      </c>
      <c r="S375" s="67"/>
      <c r="T375" s="68" t="str">
        <f t="shared" si="52"/>
      </c>
      <c r="U375" s="68" t="str">
        <f t="shared" si="53"/>
      </c>
      <c r="V375" s="68" t="str">
        <f t="shared" si="54"/>
      </c>
      <c r="W375" s="68" t="str">
        <f t="shared" si="55"/>
      </c>
      <c r="X375" s="68" t="n">
        <f t="shared" si="57"/>
        <v>0</v>
      </c>
      <c r="Y375" s="68" t="n">
        <f t="shared" si="58"/>
        <v>0</v>
      </c>
      <c r="Z375" s="67" t="str">
        <f>IF(OR('Prediction Log'!L376="", Table12[[#This Row],[Bet]]="", Table12[[#This Row],[Bet]]="Spread"), "",IF('Prediction Log'!L376=Table12[[#This Row],[Side]], "W", IF('Prediction Log'!L376&lt;&gt;Table12[[#This Row],[Side]], "L", "")))</f>
      </c>
      <c r="AA375" s="59" t="str">
        <f t="shared" si="59"/>
      </c>
      <c r="AB375" s="67" t="str">
        <f>IF(OR(Table12[[#This Row],[Bet]]="Side",Table12[[#This Row],[Bet]]="", 'Prediction Log'!L376=""), "",IF('Prediction Log'!U376="Y", "W", IF('Prediction Log'!U376="N", "L", "")))</f>
      </c>
      <c r="AC375" s="59" t="str">
        <f t="shared" si="51"/>
      </c>
      <c r="AD375" s="67"/>
      <c r="AE375" s="65" t="str">
        <f t="shared" si="56"/>
      </c>
      <c r="AF3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6">
      <c r="A376" s="65" t="str">
        <f>IF(ISBLANK(Games!A376), "", Games!A376)</f>
      </c>
      <c r="B376" s="65" t="str">
        <f>IF('Prediction Log'!B377=0, "",'Prediction Log'!B377)</f>
      </c>
      <c r="C376" s="65" t="str">
        <f>IF('Prediction Log'!C377=0, "",'Prediction Log'!C377)</f>
      </c>
      <c r="D376" s="65" t="str">
        <f>IF('Prediction Log'!D377=0, "",'Prediction Log'!D377)</f>
      </c>
      <c r="E376" s="58" t="str">
        <f>IF('Prediction Log'!E377=0, "",'Prediction Log'!E377)</f>
      </c>
      <c r="F376" s="65" t="str">
        <f>IF('Prediction Log'!H377=0, "",'Prediction Log'!H377)</f>
      </c>
      <c r="G376" s="64" t="str">
        <f>IF(ISBLANK(Games!B376), "",'Prediction Log'!$I377)</f>
      </c>
      <c r="H376" s="66" t="n">
        <f>'Prediction Log'!$J377</f>
        <v>0</v>
      </c>
      <c r="I376" s="65" t="str">
        <f>IF(ISBLANK(Games!T376), "",IF(AND(Games!T376="",Games!U376=""),"",IF(ISTEXT(Games!U376), "Side",Games!T376)))</f>
      </c>
      <c r="J376" s="65" t="str">
        <f>IF(ISBLANK(Games!T376), "",IF(Table12[[#This Row],[Bet]]="Spread", Games!X376, ""))</f>
      </c>
      <c r="K376" s="65" t="str">
        <f>IF(ISBLANK(Games!U376), "",IF(ISTEXT(Games!U376), Games!U376, ""))</f>
      </c>
      <c r="L376" s="57" t="str">
        <f>IF(ISBLANK(Games!D376), "", Games!D376)</f>
      </c>
      <c r="M376" s="65"/>
      <c r="N376" s="75" t="str">
        <f>IF(Games!V376="", "",Games!V376)</f>
      </c>
      <c r="O376" s="75" t="str">
        <f>IF(Games!Z376=0, "",Games!Z376)</f>
      </c>
      <c r="P376" s="67"/>
      <c r="Q376" s="67" t="str">
        <f>IF(ISBLANK(Games!W376), "", Games!W376)</f>
      </c>
      <c r="R376" s="67" t="str">
        <f>IF(ISBLANK(Games!AA376), "", Games!AA376)</f>
      </c>
      <c r="S376" s="67"/>
      <c r="T376" s="68" t="str">
        <f t="shared" si="52"/>
      </c>
      <c r="U376" s="68" t="str">
        <f t="shared" si="53"/>
      </c>
      <c r="V376" s="68" t="str">
        <f t="shared" si="54"/>
      </c>
      <c r="W376" s="68" t="str">
        <f t="shared" si="55"/>
      </c>
      <c r="X376" s="68" t="n">
        <f t="shared" si="57"/>
        <v>0</v>
      </c>
      <c r="Y376" s="68" t="n">
        <f t="shared" si="58"/>
        <v>0</v>
      </c>
      <c r="Z376" s="67" t="str">
        <f>IF(OR('Prediction Log'!L377="", Table12[[#This Row],[Bet]]="", Table12[[#This Row],[Bet]]="Spread"), "",IF('Prediction Log'!L377=Table12[[#This Row],[Side]], "W", IF('Prediction Log'!L377&lt;&gt;Table12[[#This Row],[Side]], "L", "")))</f>
      </c>
      <c r="AA376" s="59" t="str">
        <f t="shared" si="59"/>
      </c>
      <c r="AB376" s="67" t="str">
        <f>IF(OR(Table12[[#This Row],[Bet]]="Side",Table12[[#This Row],[Bet]]="", 'Prediction Log'!L377=""), "",IF('Prediction Log'!U377="Y", "W", IF('Prediction Log'!U377="N", "L", "")))</f>
      </c>
      <c r="AC376" s="59" t="str">
        <f t="shared" si="51"/>
      </c>
      <c r="AD376" s="67"/>
      <c r="AE376" s="65" t="str">
        <f t="shared" si="56"/>
      </c>
      <c r="AF3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7">
      <c r="A377" s="65" t="str">
        <f>IF(ISBLANK(Games!A377), "", Games!A377)</f>
      </c>
      <c r="B377" s="65" t="str">
        <f>IF('Prediction Log'!B378=0, "",'Prediction Log'!B378)</f>
      </c>
      <c r="C377" s="65" t="str">
        <f>IF('Prediction Log'!C378=0, "",'Prediction Log'!C378)</f>
      </c>
      <c r="D377" s="65" t="str">
        <f>IF('Prediction Log'!D378=0, "",'Prediction Log'!D378)</f>
      </c>
      <c r="E377" s="58" t="str">
        <f>IF('Prediction Log'!E378=0, "",'Prediction Log'!E378)</f>
      </c>
      <c r="F377" s="65" t="str">
        <f>IF('Prediction Log'!H378=0, "",'Prediction Log'!H378)</f>
      </c>
      <c r="G377" s="64" t="str">
        <f>IF(ISBLANK(Games!B377), "",'Prediction Log'!$I378)</f>
      </c>
      <c r="H377" s="66" t="n">
        <f>'Prediction Log'!$J378</f>
        <v>0</v>
      </c>
      <c r="I377" s="65" t="str">
        <f>IF(ISBLANK(Games!T377), "",IF(AND(Games!T377="",Games!U377=""),"",IF(ISTEXT(Games!U377), "Side",Games!T377)))</f>
      </c>
      <c r="J377" s="65" t="str">
        <f>IF(ISBLANK(Games!T377), "",IF(Table12[[#This Row],[Bet]]="Spread", Games!X377, ""))</f>
      </c>
      <c r="K377" s="65" t="str">
        <f>IF(ISBLANK(Games!U377), "",IF(ISTEXT(Games!U377), Games!U377, ""))</f>
      </c>
      <c r="L377" s="57" t="str">
        <f>IF(ISBLANK(Games!D377), "", Games!D377)</f>
      </c>
      <c r="M377" s="65"/>
      <c r="N377" s="75" t="str">
        <f>IF(Games!V377="", "",Games!V377)</f>
      </c>
      <c r="O377" s="75" t="str">
        <f>IF(Games!Z377=0, "",Games!Z377)</f>
      </c>
      <c r="P377" s="67"/>
      <c r="Q377" s="67" t="str">
        <f>IF(ISBLANK(Games!W377), "", Games!W377)</f>
      </c>
      <c r="R377" s="67" t="str">
        <f>IF(ISBLANK(Games!AA377), "", Games!AA377)</f>
      </c>
      <c r="S377" s="67"/>
      <c r="T377" s="68" t="str">
        <f t="shared" si="52"/>
      </c>
      <c r="U377" s="68" t="str">
        <f t="shared" si="53"/>
      </c>
      <c r="V377" s="68" t="str">
        <f t="shared" si="54"/>
      </c>
      <c r="W377" s="68" t="str">
        <f t="shared" si="55"/>
      </c>
      <c r="X377" s="68" t="n">
        <f t="shared" si="57"/>
        <v>0</v>
      </c>
      <c r="Y377" s="68" t="n">
        <f t="shared" si="58"/>
        <v>0</v>
      </c>
      <c r="Z377" s="67" t="str">
        <f>IF(OR('Prediction Log'!L378="", Table12[[#This Row],[Bet]]="", Table12[[#This Row],[Bet]]="Spread"), "",IF('Prediction Log'!L378=Table12[[#This Row],[Side]], "W", IF('Prediction Log'!L378&lt;&gt;Table12[[#This Row],[Side]], "L", "")))</f>
      </c>
      <c r="AA377" s="59" t="str">
        <f t="shared" si="59"/>
      </c>
      <c r="AB377" s="67" t="str">
        <f>IF(OR(Table12[[#This Row],[Bet]]="Side",Table12[[#This Row],[Bet]]="", 'Prediction Log'!L378=""), "",IF('Prediction Log'!U378="Y", "W", IF('Prediction Log'!U378="N", "L", "")))</f>
      </c>
      <c r="AC377" s="59" t="str">
        <f t="shared" si="51"/>
      </c>
      <c r="AD377" s="67"/>
      <c r="AE377" s="65" t="str">
        <f t="shared" si="56"/>
      </c>
      <c r="AF3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8">
      <c r="A378" s="65" t="str">
        <f>IF(ISBLANK(Games!A378), "", Games!A378)</f>
      </c>
      <c r="B378" s="65" t="str">
        <f>IF('Prediction Log'!B379=0, "",'Prediction Log'!B379)</f>
      </c>
      <c r="C378" s="65" t="str">
        <f>IF('Prediction Log'!C379=0, "",'Prediction Log'!C379)</f>
      </c>
      <c r="D378" s="65" t="str">
        <f>IF('Prediction Log'!D379=0, "",'Prediction Log'!D379)</f>
      </c>
      <c r="E378" s="58" t="str">
        <f>IF('Prediction Log'!E379=0, "",'Prediction Log'!E379)</f>
      </c>
      <c r="F378" s="65" t="str">
        <f>IF('Prediction Log'!H379=0, "",'Prediction Log'!H379)</f>
      </c>
      <c r="G378" s="64" t="str">
        <f>IF(ISBLANK(Games!B378), "",'Prediction Log'!$I379)</f>
      </c>
      <c r="H378" s="66" t="n">
        <f>'Prediction Log'!$J379</f>
        <v>0</v>
      </c>
      <c r="I378" s="65" t="str">
        <f>IF(ISBLANK(Games!T378), "",IF(AND(Games!T378="",Games!U378=""),"",IF(ISTEXT(Games!U378), "Side",Games!T378)))</f>
      </c>
      <c r="J378" s="65" t="str">
        <f>IF(ISBLANK(Games!T378), "",IF(Table12[[#This Row],[Bet]]="Spread", Games!X378, ""))</f>
      </c>
      <c r="K378" s="65" t="str">
        <f>IF(ISBLANK(Games!U378), "",IF(ISTEXT(Games!U378), Games!U378, ""))</f>
      </c>
      <c r="L378" s="57" t="str">
        <f>IF(ISBLANK(Games!D378), "", Games!D378)</f>
      </c>
      <c r="M378" s="65"/>
      <c r="N378" s="75" t="str">
        <f>IF(Games!V378="", "",Games!V378)</f>
      </c>
      <c r="O378" s="75" t="str">
        <f>IF(Games!Z378=0, "",Games!Z378)</f>
      </c>
      <c r="P378" s="67"/>
      <c r="Q378" s="67" t="str">
        <f>IF(ISBLANK(Games!W378), "", Games!W378)</f>
      </c>
      <c r="R378" s="67" t="str">
        <f>IF(ISBLANK(Games!AA378), "", Games!AA378)</f>
      </c>
      <c r="S378" s="67"/>
      <c r="T378" s="68" t="str">
        <f t="shared" si="52"/>
      </c>
      <c r="U378" s="68" t="str">
        <f t="shared" si="53"/>
      </c>
      <c r="V378" s="68" t="str">
        <f t="shared" si="54"/>
      </c>
      <c r="W378" s="68" t="str">
        <f t="shared" si="55"/>
      </c>
      <c r="X378" s="68" t="n">
        <f t="shared" si="57"/>
        <v>0</v>
      </c>
      <c r="Y378" s="68" t="n">
        <f t="shared" si="58"/>
        <v>0</v>
      </c>
      <c r="Z378" s="67" t="str">
        <f>IF(OR('Prediction Log'!L379="", Table12[[#This Row],[Bet]]="", Table12[[#This Row],[Bet]]="Spread"), "",IF('Prediction Log'!L379=Table12[[#This Row],[Side]], "W", IF('Prediction Log'!L379&lt;&gt;Table12[[#This Row],[Side]], "L", "")))</f>
      </c>
      <c r="AA378" s="59" t="str">
        <f t="shared" si="59"/>
      </c>
      <c r="AB378" s="67" t="str">
        <f>IF(OR(Table12[[#This Row],[Bet]]="Side",Table12[[#This Row],[Bet]]="", 'Prediction Log'!L379=""), "",IF('Prediction Log'!U379="Y", "W", IF('Prediction Log'!U379="N", "L", "")))</f>
      </c>
      <c r="AC378" s="59" t="str">
        <f t="shared" si="51"/>
      </c>
      <c r="AD378" s="67"/>
      <c r="AE378" s="65" t="str">
        <f t="shared" si="56"/>
      </c>
      <c r="AF3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9">
      <c r="A379" s="65" t="str">
        <f>IF(ISBLANK(Games!A379), "", Games!A379)</f>
      </c>
      <c r="B379" s="65" t="str">
        <f>IF('Prediction Log'!B380=0, "",'Prediction Log'!B380)</f>
      </c>
      <c r="C379" s="65" t="str">
        <f>IF('Prediction Log'!C380=0, "",'Prediction Log'!C380)</f>
      </c>
      <c r="D379" s="65" t="str">
        <f>IF('Prediction Log'!D380=0, "",'Prediction Log'!D380)</f>
      </c>
      <c r="E379" s="58" t="str">
        <f>IF('Prediction Log'!E380=0, "",'Prediction Log'!E380)</f>
      </c>
      <c r="F379" s="65" t="str">
        <f>IF('Prediction Log'!H380=0, "",'Prediction Log'!H380)</f>
      </c>
      <c r="G379" s="64" t="str">
        <f>IF(ISBLANK(Games!B379), "",'Prediction Log'!$I380)</f>
      </c>
      <c r="H379" s="66" t="n">
        <f>'Prediction Log'!$J380</f>
        <v>0</v>
      </c>
      <c r="I379" s="65" t="str">
        <f>IF(ISBLANK(Games!T379), "",IF(AND(Games!T379="",Games!U379=""),"",IF(ISTEXT(Games!U379), "Side",Games!T379)))</f>
      </c>
      <c r="J379" s="65" t="str">
        <f>IF(ISBLANK(Games!T379), "",IF(Table12[[#This Row],[Bet]]="Spread", Games!X379, ""))</f>
      </c>
      <c r="K379" s="65" t="str">
        <f>IF(ISBLANK(Games!U379), "",IF(ISTEXT(Games!U379), Games!U379, ""))</f>
      </c>
      <c r="L379" s="57" t="str">
        <f>IF(ISBLANK(Games!D379), "", Games!D379)</f>
      </c>
      <c r="M379" s="65"/>
      <c r="N379" s="75" t="str">
        <f>IF(Games!V379="", "",Games!V379)</f>
      </c>
      <c r="O379" s="75" t="str">
        <f>IF(Games!Z379=0, "",Games!Z379)</f>
      </c>
      <c r="P379" s="67"/>
      <c r="Q379" s="67" t="str">
        <f>IF(ISBLANK(Games!W379), "", Games!W379)</f>
      </c>
      <c r="R379" s="67" t="str">
        <f>IF(ISBLANK(Games!AA379), "", Games!AA379)</f>
      </c>
      <c r="S379" s="67"/>
      <c r="T379" s="68" t="str">
        <f t="shared" si="52"/>
      </c>
      <c r="U379" s="68" t="str">
        <f t="shared" si="53"/>
      </c>
      <c r="V379" s="68" t="str">
        <f t="shared" si="54"/>
      </c>
      <c r="W379" s="68" t="str">
        <f t="shared" si="55"/>
      </c>
      <c r="X379" s="68" t="n">
        <f t="shared" si="57"/>
        <v>0</v>
      </c>
      <c r="Y379" s="68" t="n">
        <f t="shared" si="58"/>
        <v>0</v>
      </c>
      <c r="Z379" s="67" t="str">
        <f>IF(OR('Prediction Log'!L380="", Table12[[#This Row],[Bet]]="", Table12[[#This Row],[Bet]]="Spread"), "",IF('Prediction Log'!L380=Table12[[#This Row],[Side]], "W", IF('Prediction Log'!L380&lt;&gt;Table12[[#This Row],[Side]], "L", "")))</f>
      </c>
      <c r="AA379" s="59" t="str">
        <f t="shared" si="59"/>
      </c>
      <c r="AB379" s="67" t="str">
        <f>IF(OR(Table12[[#This Row],[Bet]]="Side",Table12[[#This Row],[Bet]]="", 'Prediction Log'!L380=""), "",IF('Prediction Log'!U380="Y", "W", IF('Prediction Log'!U380="N", "L", "")))</f>
      </c>
      <c r="AC379" s="59" t="str">
        <f t="shared" si="51"/>
      </c>
      <c r="AD379" s="67"/>
      <c r="AE379" s="65" t="str">
        <f t="shared" si="56"/>
      </c>
      <c r="AF3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0">
      <c r="A380" s="65" t="str">
        <f>IF(ISBLANK(Games!A380), "", Games!A380)</f>
      </c>
      <c r="B380" s="65" t="str">
        <f>IF('Prediction Log'!B381=0, "",'Prediction Log'!B381)</f>
      </c>
      <c r="C380" s="65" t="str">
        <f>IF('Prediction Log'!C381=0, "",'Prediction Log'!C381)</f>
      </c>
      <c r="D380" s="65" t="str">
        <f>IF('Prediction Log'!D381=0, "",'Prediction Log'!D381)</f>
      </c>
      <c r="E380" s="58" t="str">
        <f>IF('Prediction Log'!E381=0, "",'Prediction Log'!E381)</f>
      </c>
      <c r="F380" s="65" t="str">
        <f>IF('Prediction Log'!H381=0, "",'Prediction Log'!H381)</f>
      </c>
      <c r="G380" s="64" t="str">
        <f>IF(ISBLANK(Games!B380), "",'Prediction Log'!$I381)</f>
      </c>
      <c r="H380" s="66" t="n">
        <f>'Prediction Log'!$J381</f>
        <v>0</v>
      </c>
      <c r="I380" s="65" t="str">
        <f>IF(ISBLANK(Games!T380), "",IF(AND(Games!T380="",Games!U380=""),"",IF(ISTEXT(Games!U380), "Side",Games!T380)))</f>
      </c>
      <c r="J380" s="65" t="str">
        <f>IF(ISBLANK(Games!T380), "",IF(Table12[[#This Row],[Bet]]="Spread", Games!X380, ""))</f>
      </c>
      <c r="K380" s="65" t="str">
        <f>IF(ISBLANK(Games!U380), "",IF(ISTEXT(Games!U380), Games!U380, ""))</f>
      </c>
      <c r="L380" s="57" t="str">
        <f>IF(ISBLANK(Games!D380), "", Games!D380)</f>
      </c>
      <c r="M380" s="65"/>
      <c r="N380" s="75" t="str">
        <f>IF(Games!V380="", "",Games!V380)</f>
      </c>
      <c r="O380" s="75" t="str">
        <f>IF(Games!Z380=0, "",Games!Z380)</f>
      </c>
      <c r="P380" s="67"/>
      <c r="Q380" s="67" t="str">
        <f>IF(ISBLANK(Games!W380), "", Games!W380)</f>
      </c>
      <c r="R380" s="67" t="str">
        <f>IF(ISBLANK(Games!AA380), "", Games!AA380)</f>
      </c>
      <c r="S380" s="67"/>
      <c r="T380" s="68" t="str">
        <f t="shared" si="52"/>
      </c>
      <c r="U380" s="68" t="str">
        <f t="shared" si="53"/>
      </c>
      <c r="V380" s="68" t="str">
        <f t="shared" si="54"/>
      </c>
      <c r="W380" s="68" t="str">
        <f t="shared" si="55"/>
      </c>
      <c r="X380" s="68" t="n">
        <f t="shared" si="57"/>
        <v>0</v>
      </c>
      <c r="Y380" s="68" t="n">
        <f t="shared" si="58"/>
        <v>0</v>
      </c>
      <c r="Z380" s="67" t="str">
        <f>IF(OR('Prediction Log'!L381="", Table12[[#This Row],[Bet]]="", Table12[[#This Row],[Bet]]="Spread"), "",IF('Prediction Log'!L381=Table12[[#This Row],[Side]], "W", IF('Prediction Log'!L381&lt;&gt;Table12[[#This Row],[Side]], "L", "")))</f>
      </c>
      <c r="AA380" s="59" t="str">
        <f t="shared" si="59"/>
      </c>
      <c r="AB380" s="67" t="str">
        <f>IF(OR(Table12[[#This Row],[Bet]]="Side",Table12[[#This Row],[Bet]]="", 'Prediction Log'!L381=""), "",IF('Prediction Log'!U381="Y", "W", IF('Prediction Log'!U381="N", "L", "")))</f>
      </c>
      <c r="AC380" s="59" t="str">
        <f t="shared" si="51"/>
      </c>
      <c r="AD380" s="67"/>
      <c r="AE380" s="65" t="str">
        <f t="shared" si="56"/>
      </c>
      <c r="AF3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1">
      <c r="A381" s="65" t="str">
        <f>IF(ISBLANK(Games!A381), "", Games!A381)</f>
      </c>
      <c r="B381" s="65" t="str">
        <f>IF('Prediction Log'!B382=0, "",'Prediction Log'!B382)</f>
      </c>
      <c r="C381" s="65" t="str">
        <f>IF('Prediction Log'!C382=0, "",'Prediction Log'!C382)</f>
      </c>
      <c r="D381" s="65" t="str">
        <f>IF('Prediction Log'!D382=0, "",'Prediction Log'!D382)</f>
      </c>
      <c r="E381" s="58" t="str">
        <f>IF('Prediction Log'!E382=0, "",'Prediction Log'!E382)</f>
      </c>
      <c r="F381" s="65" t="str">
        <f>IF('Prediction Log'!H382=0, "",'Prediction Log'!H382)</f>
      </c>
      <c r="G381" s="64" t="str">
        <f>IF(ISBLANK(Games!B381), "",'Prediction Log'!$I382)</f>
      </c>
      <c r="H381" s="66" t="n">
        <f>'Prediction Log'!$J382</f>
        <v>0</v>
      </c>
      <c r="I381" s="65" t="str">
        <f>IF(ISBLANK(Games!T381), "",IF(AND(Games!T381="",Games!U381=""),"",IF(ISTEXT(Games!U381), "Side",Games!T381)))</f>
      </c>
      <c r="J381" s="65" t="str">
        <f>IF(ISBLANK(Games!T381), "",IF(Table12[[#This Row],[Bet]]="Spread", Games!X381, ""))</f>
      </c>
      <c r="K381" s="65" t="str">
        <f>IF(ISBLANK(Games!U381), "",IF(ISTEXT(Games!U381), Games!U381, ""))</f>
      </c>
      <c r="L381" s="57" t="str">
        <f>IF(ISBLANK(Games!D381), "", Games!D381)</f>
      </c>
      <c r="M381" s="65"/>
      <c r="N381" s="75" t="str">
        <f>IF(Games!V381="", "",Games!V381)</f>
      </c>
      <c r="O381" s="75" t="str">
        <f>IF(Games!Z381=0, "",Games!Z381)</f>
      </c>
      <c r="P381" s="67"/>
      <c r="Q381" s="67" t="str">
        <f>IF(ISBLANK(Games!W381), "", Games!W381)</f>
      </c>
      <c r="R381" s="67" t="str">
        <f>IF(ISBLANK(Games!AA381), "", Games!AA381)</f>
      </c>
      <c r="S381" s="67"/>
      <c r="T381" s="68" t="str">
        <f t="shared" si="52"/>
      </c>
      <c r="U381" s="68" t="str">
        <f t="shared" si="53"/>
      </c>
      <c r="V381" s="68" t="str">
        <f t="shared" si="54"/>
      </c>
      <c r="W381" s="68" t="str">
        <f t="shared" si="55"/>
      </c>
      <c r="X381" s="68" t="n">
        <f t="shared" si="57"/>
        <v>0</v>
      </c>
      <c r="Y381" s="68" t="n">
        <f t="shared" si="58"/>
        <v>0</v>
      </c>
      <c r="Z381" s="67" t="str">
        <f>IF(OR('Prediction Log'!L382="", Table12[[#This Row],[Bet]]="", Table12[[#This Row],[Bet]]="Spread"), "",IF('Prediction Log'!L382=Table12[[#This Row],[Side]], "W", IF('Prediction Log'!L382&lt;&gt;Table12[[#This Row],[Side]], "L", "")))</f>
      </c>
      <c r="AA381" s="59" t="str">
        <f t="shared" si="59"/>
      </c>
      <c r="AB381" s="67" t="str">
        <f>IF(OR(Table12[[#This Row],[Bet]]="Side",Table12[[#This Row],[Bet]]="", 'Prediction Log'!L382=""), "",IF('Prediction Log'!U382="Y", "W", IF('Prediction Log'!U382="N", "L", "")))</f>
      </c>
      <c r="AC381" s="59" t="str">
        <f t="shared" si="51"/>
      </c>
      <c r="AD381" s="67"/>
      <c r="AE381" s="65" t="str">
        <f t="shared" si="56"/>
      </c>
      <c r="AF3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2">
      <c r="A382" s="65" t="str">
        <f>IF(ISBLANK(Games!A382), "", Games!A382)</f>
      </c>
      <c r="B382" s="65" t="str">
        <f>IF('Prediction Log'!B383=0, "",'Prediction Log'!B383)</f>
      </c>
      <c r="C382" s="65" t="str">
        <f>IF('Prediction Log'!C383=0, "",'Prediction Log'!C383)</f>
      </c>
      <c r="D382" s="65" t="str">
        <f>IF('Prediction Log'!D383=0, "",'Prediction Log'!D383)</f>
      </c>
      <c r="E382" s="58" t="str">
        <f>IF('Prediction Log'!E383=0, "",'Prediction Log'!E383)</f>
      </c>
      <c r="F382" s="65" t="str">
        <f>IF('Prediction Log'!H383=0, "",'Prediction Log'!H383)</f>
      </c>
      <c r="G382" s="64" t="str">
        <f>IF(ISBLANK(Games!B382), "",'Prediction Log'!$I383)</f>
      </c>
      <c r="H382" s="66" t="n">
        <f>'Prediction Log'!$J383</f>
        <v>0</v>
      </c>
      <c r="I382" s="65" t="str">
        <f>IF(ISBLANK(Games!T382), "",IF(AND(Games!T382="",Games!U382=""),"",IF(ISTEXT(Games!U382), "Side",Games!T382)))</f>
      </c>
      <c r="J382" s="65" t="str">
        <f>IF(ISBLANK(Games!T382), "",IF(Table12[[#This Row],[Bet]]="Spread", Games!X382, ""))</f>
      </c>
      <c r="K382" s="65" t="str">
        <f>IF(ISBLANK(Games!U382), "",IF(ISTEXT(Games!U382), Games!U382, ""))</f>
      </c>
      <c r="L382" s="57" t="str">
        <f>IF(ISBLANK(Games!D382), "", Games!D382)</f>
      </c>
      <c r="M382" s="65"/>
      <c r="N382" s="75" t="str">
        <f>IF(Games!V382="", "",Games!V382)</f>
      </c>
      <c r="O382" s="75" t="str">
        <f>IF(Games!Z382=0, "",Games!Z382)</f>
      </c>
      <c r="P382" s="67"/>
      <c r="Q382" s="67" t="str">
        <f>IF(ISBLANK(Games!W382), "", Games!W382)</f>
      </c>
      <c r="R382" s="67" t="str">
        <f>IF(ISBLANK(Games!AA382), "", Games!AA382)</f>
      </c>
      <c r="S382" s="67"/>
      <c r="T382" s="68" t="str">
        <f t="shared" si="52"/>
      </c>
      <c r="U382" s="68" t="str">
        <f t="shared" si="53"/>
      </c>
      <c r="V382" s="68" t="str">
        <f t="shared" si="54"/>
      </c>
      <c r="W382" s="68" t="str">
        <f t="shared" si="55"/>
      </c>
      <c r="X382" s="68" t="n">
        <f t="shared" si="57"/>
        <v>0</v>
      </c>
      <c r="Y382" s="68" t="n">
        <f t="shared" si="58"/>
        <v>0</v>
      </c>
      <c r="Z382" s="67" t="str">
        <f>IF(OR('Prediction Log'!L383="", Table12[[#This Row],[Bet]]="", Table12[[#This Row],[Bet]]="Spread"), "",IF('Prediction Log'!L383=Table12[[#This Row],[Side]], "W", IF('Prediction Log'!L383&lt;&gt;Table12[[#This Row],[Side]], "L", "")))</f>
      </c>
      <c r="AA382" s="59" t="str">
        <f t="shared" si="59"/>
      </c>
      <c r="AB382" s="67" t="str">
        <f>IF(OR(Table12[[#This Row],[Bet]]="Side",Table12[[#This Row],[Bet]]="", 'Prediction Log'!L383=""), "",IF('Prediction Log'!U383="Y", "W", IF('Prediction Log'!U383="N", "L", "")))</f>
      </c>
      <c r="AC382" s="59" t="str">
        <f t="shared" si="51"/>
      </c>
      <c r="AD382" s="67"/>
      <c r="AE382" s="65" t="str">
        <f t="shared" si="56"/>
      </c>
      <c r="AF3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3">
      <c r="A383" s="65" t="str">
        <f>IF(ISBLANK(Games!A383), "", Games!A383)</f>
      </c>
      <c r="B383" s="65" t="str">
        <f>IF('Prediction Log'!B384=0, "",'Prediction Log'!B384)</f>
      </c>
      <c r="C383" s="65" t="str">
        <f>IF('Prediction Log'!C384=0, "",'Prediction Log'!C384)</f>
      </c>
      <c r="D383" s="65" t="str">
        <f>IF('Prediction Log'!D384=0, "",'Prediction Log'!D384)</f>
      </c>
      <c r="E383" s="58" t="str">
        <f>IF('Prediction Log'!E384=0, "",'Prediction Log'!E384)</f>
      </c>
      <c r="F383" s="65" t="str">
        <f>IF('Prediction Log'!H384=0, "",'Prediction Log'!H384)</f>
      </c>
      <c r="G383" s="64" t="str">
        <f>IF(ISBLANK(Games!B383), "",'Prediction Log'!$I384)</f>
      </c>
      <c r="H383" s="66" t="n">
        <f>'Prediction Log'!$J384</f>
        <v>0</v>
      </c>
      <c r="I383" s="65" t="str">
        <f>IF(ISBLANK(Games!T383), "",IF(AND(Games!T383="",Games!U383=""),"",IF(ISTEXT(Games!U383), "Side",Games!T383)))</f>
      </c>
      <c r="J383" s="65" t="str">
        <f>IF(ISBLANK(Games!T383), "",IF(Table12[[#This Row],[Bet]]="Spread", Games!X383, ""))</f>
      </c>
      <c r="K383" s="65" t="str">
        <f>IF(ISBLANK(Games!U383), "",IF(ISTEXT(Games!U383), Games!U383, ""))</f>
      </c>
      <c r="L383" s="57" t="str">
        <f>IF(ISBLANK(Games!D383), "", Games!D383)</f>
      </c>
      <c r="M383" s="65"/>
      <c r="N383" s="75" t="str">
        <f>IF(Games!V383="", "",Games!V383)</f>
      </c>
      <c r="O383" s="75" t="str">
        <f>IF(Games!Z383=0, "",Games!Z383)</f>
      </c>
      <c r="P383" s="67"/>
      <c r="Q383" s="67" t="str">
        <f>IF(ISBLANK(Games!W383), "", Games!W383)</f>
      </c>
      <c r="R383" s="67" t="str">
        <f>IF(ISBLANK(Games!AA383), "", Games!AA383)</f>
      </c>
      <c r="S383" s="67"/>
      <c r="T383" s="68" t="str">
        <f t="shared" si="52"/>
      </c>
      <c r="U383" s="68" t="str">
        <f t="shared" si="53"/>
      </c>
      <c r="V383" s="68" t="str">
        <f t="shared" si="54"/>
      </c>
      <c r="W383" s="68" t="str">
        <f t="shared" si="55"/>
      </c>
      <c r="X383" s="68" t="n">
        <f t="shared" si="57"/>
        <v>0</v>
      </c>
      <c r="Y383" s="68" t="n">
        <f t="shared" si="58"/>
        <v>0</v>
      </c>
      <c r="Z383" s="67" t="str">
        <f>IF(OR('Prediction Log'!L384="", Table12[[#This Row],[Bet]]="", Table12[[#This Row],[Bet]]="Spread"), "",IF('Prediction Log'!L384=Table12[[#This Row],[Side]], "W", IF('Prediction Log'!L384&lt;&gt;Table12[[#This Row],[Side]], "L", "")))</f>
      </c>
      <c r="AA383" s="59" t="str">
        <f t="shared" si="59"/>
      </c>
      <c r="AB383" s="67" t="str">
        <f>IF(OR(Table12[[#This Row],[Bet]]="Side",Table12[[#This Row],[Bet]]="", 'Prediction Log'!L384=""), "",IF('Prediction Log'!U384="Y", "W", IF('Prediction Log'!U384="N", "L", "")))</f>
      </c>
      <c r="AC383" s="59" t="str">
        <f t="shared" si="51"/>
      </c>
      <c r="AD383" s="67"/>
      <c r="AE383" s="65" t="str">
        <f t="shared" si="56"/>
      </c>
      <c r="AF3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4">
      <c r="A384" s="65" t="str">
        <f>IF(ISBLANK(Games!A384), "", Games!A384)</f>
      </c>
      <c r="B384" s="65" t="str">
        <f>IF('Prediction Log'!B385=0, "",'Prediction Log'!B385)</f>
      </c>
      <c r="C384" s="65" t="str">
        <f>IF('Prediction Log'!C385=0, "",'Prediction Log'!C385)</f>
      </c>
      <c r="D384" s="65" t="str">
        <f>IF('Prediction Log'!D385=0, "",'Prediction Log'!D385)</f>
      </c>
      <c r="E384" s="58" t="str">
        <f>IF('Prediction Log'!E385=0, "",'Prediction Log'!E385)</f>
      </c>
      <c r="F384" s="65" t="str">
        <f>IF('Prediction Log'!H385=0, "",'Prediction Log'!H385)</f>
      </c>
      <c r="G384" s="64" t="str">
        <f>IF(ISBLANK(Games!B384), "",'Prediction Log'!$I385)</f>
      </c>
      <c r="H384" s="66" t="n">
        <f>'Prediction Log'!$J385</f>
        <v>0</v>
      </c>
      <c r="I384" s="65" t="str">
        <f>IF(ISBLANK(Games!T384), "",IF(AND(Games!T384="",Games!U384=""),"",IF(ISTEXT(Games!U384), "Side",Games!T384)))</f>
      </c>
      <c r="J384" s="65" t="str">
        <f>IF(ISBLANK(Games!T384), "",IF(Table12[[#This Row],[Bet]]="Spread", Games!X384, ""))</f>
      </c>
      <c r="K384" s="65" t="str">
        <f>IF(ISBLANK(Games!U384), "",IF(ISTEXT(Games!U384), Games!U384, ""))</f>
      </c>
      <c r="L384" s="57" t="str">
        <f>IF(ISBLANK(Games!D384), "", Games!D384)</f>
      </c>
      <c r="M384" s="65"/>
      <c r="N384" s="75" t="str">
        <f>IF(Games!V384="", "",Games!V384)</f>
      </c>
      <c r="O384" s="75" t="str">
        <f>IF(Games!Z384=0, "",Games!Z384)</f>
      </c>
      <c r="P384" s="67"/>
      <c r="Q384" s="67" t="str">
        <f>IF(ISBLANK(Games!W384), "", Games!W384)</f>
      </c>
      <c r="R384" s="67" t="str">
        <f>IF(ISBLANK(Games!AA384), "", Games!AA384)</f>
      </c>
      <c r="S384" s="67"/>
      <c r="T384" s="68" t="str">
        <f t="shared" si="52"/>
      </c>
      <c r="U384" s="68" t="str">
        <f t="shared" si="53"/>
      </c>
      <c r="V384" s="68" t="str">
        <f t="shared" si="54"/>
      </c>
      <c r="W384" s="68" t="str">
        <f t="shared" si="55"/>
      </c>
      <c r="X384" s="68" t="n">
        <f t="shared" si="57"/>
        <v>0</v>
      </c>
      <c r="Y384" s="68" t="n">
        <f t="shared" si="58"/>
        <v>0</v>
      </c>
      <c r="Z384" s="67" t="str">
        <f>IF(OR('Prediction Log'!L385="", Table12[[#This Row],[Bet]]="", Table12[[#This Row],[Bet]]="Spread"), "",IF('Prediction Log'!L385=Table12[[#This Row],[Side]], "W", IF('Prediction Log'!L385&lt;&gt;Table12[[#This Row],[Side]], "L", "")))</f>
      </c>
      <c r="AA384" s="59" t="str">
        <f t="shared" si="59"/>
      </c>
      <c r="AB384" s="67" t="str">
        <f>IF(OR(Table12[[#This Row],[Bet]]="Side",Table12[[#This Row],[Bet]]="", 'Prediction Log'!L385=""), "",IF('Prediction Log'!U385="Y", "W", IF('Prediction Log'!U385="N", "L", "")))</f>
      </c>
      <c r="AC384" s="59" t="str">
        <f t="shared" si="51"/>
      </c>
      <c r="AD384" s="67"/>
      <c r="AE384" s="65" t="str">
        <f t="shared" si="56"/>
      </c>
      <c r="AF3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5">
      <c r="A385" s="65" t="str">
        <f>IF(ISBLANK(Games!A385), "", Games!A385)</f>
      </c>
      <c r="B385" s="65" t="str">
        <f>IF('Prediction Log'!B386=0, "",'Prediction Log'!B386)</f>
      </c>
      <c r="C385" s="65" t="str">
        <f>IF('Prediction Log'!C386=0, "",'Prediction Log'!C386)</f>
      </c>
      <c r="D385" s="65" t="str">
        <f>IF('Prediction Log'!D386=0, "",'Prediction Log'!D386)</f>
      </c>
      <c r="E385" s="58" t="str">
        <f>IF('Prediction Log'!E386=0, "",'Prediction Log'!E386)</f>
      </c>
      <c r="F385" s="65" t="str">
        <f>IF('Prediction Log'!H386=0, "",'Prediction Log'!H386)</f>
      </c>
      <c r="G385" s="64" t="str">
        <f>IF(ISBLANK(Games!B385), "",'Prediction Log'!$I386)</f>
      </c>
      <c r="H385" s="66" t="n">
        <f>'Prediction Log'!$J386</f>
        <v>0</v>
      </c>
      <c r="I385" s="65" t="str">
        <f>IF(ISBLANK(Games!T385), "",IF(AND(Games!T385="",Games!U385=""),"",IF(ISTEXT(Games!U385), "Side",Games!T385)))</f>
      </c>
      <c r="J385" s="65" t="str">
        <f>IF(ISBLANK(Games!T385), "",IF(Table12[[#This Row],[Bet]]="Spread", Games!X385, ""))</f>
      </c>
      <c r="K385" s="65" t="str">
        <f>IF(ISBLANK(Games!U385), "",IF(ISTEXT(Games!U385), Games!U385, ""))</f>
      </c>
      <c r="L385" s="57" t="str">
        <f>IF(ISBLANK(Games!D385), "", Games!D385)</f>
      </c>
      <c r="M385" s="65"/>
      <c r="N385" s="75" t="str">
        <f>IF(Games!V385="", "",Games!V385)</f>
      </c>
      <c r="O385" s="75" t="str">
        <f>IF(Games!Z385=0, "",Games!Z385)</f>
      </c>
      <c r="P385" s="67"/>
      <c r="Q385" s="67" t="str">
        <f>IF(ISBLANK(Games!W385), "", Games!W385)</f>
      </c>
      <c r="R385" s="67" t="str">
        <f>IF(ISBLANK(Games!AA385), "", Games!AA385)</f>
      </c>
      <c r="S385" s="67"/>
      <c r="T385" s="68" t="str">
        <f t="shared" si="52"/>
      </c>
      <c r="U385" s="68" t="str">
        <f t="shared" si="53"/>
      </c>
      <c r="V385" s="68" t="str">
        <f t="shared" si="54"/>
      </c>
      <c r="W385" s="68" t="str">
        <f t="shared" si="55"/>
      </c>
      <c r="X385" s="68" t="n">
        <f t="shared" si="57"/>
        <v>0</v>
      </c>
      <c r="Y385" s="68" t="n">
        <f t="shared" si="58"/>
        <v>0</v>
      </c>
      <c r="Z385" s="67" t="str">
        <f>IF(OR('Prediction Log'!L386="", Table12[[#This Row],[Bet]]="", Table12[[#This Row],[Bet]]="Spread"), "",IF('Prediction Log'!L386=Table12[[#This Row],[Side]], "W", IF('Prediction Log'!L386&lt;&gt;Table12[[#This Row],[Side]], "L", "")))</f>
      </c>
      <c r="AA385" s="59" t="str">
        <f t="shared" si="59"/>
      </c>
      <c r="AB385" s="67" t="str">
        <f>IF(OR(Table12[[#This Row],[Bet]]="Side",Table12[[#This Row],[Bet]]="", 'Prediction Log'!L386=""), "",IF('Prediction Log'!U386="Y", "W", IF('Prediction Log'!U386="N", "L", "")))</f>
      </c>
      <c r="AC385" s="59" t="str">
        <f t="shared" si="51"/>
      </c>
      <c r="AD385" s="67"/>
      <c r="AE385" s="65" t="str">
        <f t="shared" si="56"/>
      </c>
      <c r="AF3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6">
      <c r="A386" s="65" t="str">
        <f>IF(ISBLANK(Games!A386), "", Games!A386)</f>
      </c>
      <c r="B386" s="65" t="str">
        <f>IF('Prediction Log'!B387=0, "",'Prediction Log'!B387)</f>
      </c>
      <c r="C386" s="65" t="str">
        <f>IF('Prediction Log'!C387=0, "",'Prediction Log'!C387)</f>
      </c>
      <c r="D386" s="65" t="str">
        <f>IF('Prediction Log'!D387=0, "",'Prediction Log'!D387)</f>
      </c>
      <c r="E386" s="58" t="str">
        <f>IF('Prediction Log'!E387=0, "",'Prediction Log'!E387)</f>
      </c>
      <c r="F386" s="65" t="str">
        <f>IF('Prediction Log'!H387=0, "",'Prediction Log'!H387)</f>
      </c>
      <c r="G386" s="64" t="str">
        <f>IF(ISBLANK(Games!B386), "",'Prediction Log'!$I387)</f>
      </c>
      <c r="H386" s="66" t="n">
        <f>'Prediction Log'!$J387</f>
        <v>0</v>
      </c>
      <c r="I386" s="65" t="str">
        <f>IF(ISBLANK(Games!T386), "",IF(AND(Games!T386="",Games!U386=""),"",IF(ISTEXT(Games!U386), "Side",Games!T386)))</f>
      </c>
      <c r="J386" s="65" t="str">
        <f>IF(ISBLANK(Games!T386), "",IF(Table12[[#This Row],[Bet]]="Spread", Games!X386, ""))</f>
      </c>
      <c r="K386" s="65" t="str">
        <f>IF(ISBLANK(Games!U386), "",IF(ISTEXT(Games!U386), Games!U386, ""))</f>
      </c>
      <c r="L386" s="57" t="str">
        <f>IF(ISBLANK(Games!D386), "", Games!D386)</f>
      </c>
      <c r="M386" s="65"/>
      <c r="N386" s="75" t="str">
        <f>IF(Games!V386="", "",Games!V386)</f>
      </c>
      <c r="O386" s="75" t="str">
        <f>IF(Games!Z386=0, "",Games!Z386)</f>
      </c>
      <c r="P386" s="67"/>
      <c r="Q386" s="67" t="str">
        <f>IF(ISBLANK(Games!W386), "", Games!W386)</f>
      </c>
      <c r="R386" s="67" t="str">
        <f>IF(ISBLANK(Games!AA386), "", Games!AA386)</f>
      </c>
      <c r="S386" s="67"/>
      <c r="T386" s="68" t="str">
        <f t="shared" si="52"/>
      </c>
      <c r="U386" s="68" t="str">
        <f t="shared" si="53"/>
      </c>
      <c r="V386" s="68" t="str">
        <f t="shared" si="54"/>
      </c>
      <c r="W386" s="68" t="str">
        <f t="shared" si="55"/>
      </c>
      <c r="X386" s="68" t="n">
        <f t="shared" si="57"/>
        <v>0</v>
      </c>
      <c r="Y386" s="68" t="n">
        <f t="shared" si="58"/>
        <v>0</v>
      </c>
      <c r="Z386" s="67" t="str">
        <f>IF(OR('Prediction Log'!L387="", Table12[[#This Row],[Bet]]="", Table12[[#This Row],[Bet]]="Spread"), "",IF('Prediction Log'!L387=Table12[[#This Row],[Side]], "W", IF('Prediction Log'!L387&lt;&gt;Table12[[#This Row],[Side]], "L", "")))</f>
      </c>
      <c r="AA386" s="59" t="str">
        <f t="shared" si="59"/>
      </c>
      <c r="AB386" s="67" t="str">
        <f>IF(OR(Table12[[#This Row],[Bet]]="Side",Table12[[#This Row],[Bet]]="", 'Prediction Log'!L387=""), "",IF('Prediction Log'!U387="Y", "W", IF('Prediction Log'!U387="N", "L", "")))</f>
      </c>
      <c r="AC386" s="59" t="str">
        <f t="shared" ref="AC386:AC449" si="60">IF(AB386="W", W386, IF(AB386="L",-O386, ""))</f>
      </c>
      <c r="AD386" s="67"/>
      <c r="AE386" s="65" t="str">
        <f t="shared" si="56"/>
      </c>
      <c r="AF3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7">
      <c r="A387" s="65" t="str">
        <f>IF(ISBLANK(Games!A387), "", Games!A387)</f>
      </c>
      <c r="B387" s="65" t="str">
        <f>IF('Prediction Log'!B388=0, "",'Prediction Log'!B388)</f>
      </c>
      <c r="C387" s="65" t="str">
        <f>IF('Prediction Log'!C388=0, "",'Prediction Log'!C388)</f>
      </c>
      <c r="D387" s="65" t="str">
        <f>IF('Prediction Log'!D388=0, "",'Prediction Log'!D388)</f>
      </c>
      <c r="E387" s="58" t="str">
        <f>IF('Prediction Log'!E388=0, "",'Prediction Log'!E388)</f>
      </c>
      <c r="F387" s="65" t="str">
        <f>IF('Prediction Log'!H388=0, "",'Prediction Log'!H388)</f>
      </c>
      <c r="G387" s="64" t="str">
        <f>IF(ISBLANK(Games!B387), "",'Prediction Log'!$I388)</f>
      </c>
      <c r="H387" s="66" t="n">
        <f>'Prediction Log'!$J388</f>
        <v>0</v>
      </c>
      <c r="I387" s="65" t="str">
        <f>IF(ISBLANK(Games!T387), "",IF(AND(Games!T387="",Games!U387=""),"",IF(ISTEXT(Games!U387), "Side",Games!T387)))</f>
      </c>
      <c r="J387" s="65" t="str">
        <f>IF(ISBLANK(Games!T387), "",IF(Table12[[#This Row],[Bet]]="Spread", Games!X387, ""))</f>
      </c>
      <c r="K387" s="65" t="str">
        <f>IF(ISBLANK(Games!U387), "",IF(ISTEXT(Games!U387), Games!U387, ""))</f>
      </c>
      <c r="L387" s="57" t="str">
        <f>IF(ISBLANK(Games!D387), "", Games!D387)</f>
      </c>
      <c r="M387" s="65"/>
      <c r="N387" s="75" t="str">
        <f>IF(Games!V387="", "",Games!V387)</f>
      </c>
      <c r="O387" s="75" t="str">
        <f>IF(Games!Z387=0, "",Games!Z387)</f>
      </c>
      <c r="P387" s="67"/>
      <c r="Q387" s="67" t="str">
        <f>IF(ISBLANK(Games!W387), "", Games!W387)</f>
      </c>
      <c r="R387" s="67" t="str">
        <f>IF(ISBLANK(Games!AA387), "", Games!AA387)</f>
      </c>
      <c r="S387" s="67"/>
      <c r="T387" s="68" t="str">
        <f t="shared" ref="T387:T450" si="61">IFERROR(N387+IF(Q387&lt;0, (N387/(Q387/-100)), N387*(Q387/100)), "")</f>
      </c>
      <c r="U387" s="68" t="str">
        <f t="shared" ref="U387:U450" si="62">IFERROR(T387-N387, "")</f>
      </c>
      <c r="V387" s="68" t="str">
        <f t="shared" ref="V387:V450" si="63">IFERROR(O387+IF(R387&lt;0, (O387/(R387/-100)), O387*(R387/100)), "")</f>
      </c>
      <c r="W387" s="68" t="str">
        <f t="shared" ref="W387:W450" si="64">IFERROR(V387-O387, "")</f>
      </c>
      <c r="X387" s="68" t="n">
        <f t="shared" si="57"/>
        <v>0</v>
      </c>
      <c r="Y387" s="68" t="n">
        <f t="shared" si="58"/>
        <v>0</v>
      </c>
      <c r="Z387" s="67" t="str">
        <f>IF(OR('Prediction Log'!L388="", Table12[[#This Row],[Bet]]="", Table12[[#This Row],[Bet]]="Spread"), "",IF('Prediction Log'!L388=Table12[[#This Row],[Side]], "W", IF('Prediction Log'!L388&lt;&gt;Table12[[#This Row],[Side]], "L", "")))</f>
      </c>
      <c r="AA387" s="59" t="str">
        <f t="shared" si="59"/>
      </c>
      <c r="AB387" s="67" t="str">
        <f>IF(OR(Table12[[#This Row],[Bet]]="Side",Table12[[#This Row],[Bet]]="", 'Prediction Log'!L388=""), "",IF('Prediction Log'!U388="Y", "W", IF('Prediction Log'!U388="N", "L", "")))</f>
      </c>
      <c r="AC387" s="59" t="str">
        <f t="shared" si="60"/>
      </c>
      <c r="AD387" s="67"/>
      <c r="AE387" s="65" t="str">
        <f t="shared" ref="AE387:AE450" si="65">IF(AD387="W", Y387, IF(AD387="L",-R387, ""))</f>
      </c>
      <c r="AF3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8">
      <c r="A388" s="65" t="str">
        <f>IF(ISBLANK(Games!A388), "", Games!A388)</f>
      </c>
      <c r="B388" s="65" t="str">
        <f>IF('Prediction Log'!B389=0, "",'Prediction Log'!B389)</f>
      </c>
      <c r="C388" s="65" t="str">
        <f>IF('Prediction Log'!C389=0, "",'Prediction Log'!C389)</f>
      </c>
      <c r="D388" s="65" t="str">
        <f>IF('Prediction Log'!D389=0, "",'Prediction Log'!D389)</f>
      </c>
      <c r="E388" s="58" t="str">
        <f>IF('Prediction Log'!E389=0, "",'Prediction Log'!E389)</f>
      </c>
      <c r="F388" s="65" t="str">
        <f>IF('Prediction Log'!H389=0, "",'Prediction Log'!H389)</f>
      </c>
      <c r="G388" s="64" t="str">
        <f>IF(ISBLANK(Games!B388), "",'Prediction Log'!$I389)</f>
      </c>
      <c r="H388" s="66" t="n">
        <f>'Prediction Log'!$J389</f>
        <v>0</v>
      </c>
      <c r="I388" s="65" t="str">
        <f>IF(ISBLANK(Games!T388), "",IF(AND(Games!T388="",Games!U388=""),"",IF(ISTEXT(Games!U388), "Side",Games!T388)))</f>
      </c>
      <c r="J388" s="65" t="str">
        <f>IF(ISBLANK(Games!T388), "",IF(Table12[[#This Row],[Bet]]="Spread", Games!X388, ""))</f>
      </c>
      <c r="K388" s="65" t="str">
        <f>IF(ISBLANK(Games!U388), "",IF(ISTEXT(Games!U388), Games!U388, ""))</f>
      </c>
      <c r="L388" s="57" t="str">
        <f>IF(ISBLANK(Games!D388), "", Games!D388)</f>
      </c>
      <c r="M388" s="65"/>
      <c r="N388" s="75" t="str">
        <f>IF(Games!V388="", "",Games!V388)</f>
      </c>
      <c r="O388" s="75" t="str">
        <f>IF(Games!Z388=0, "",Games!Z388)</f>
      </c>
      <c r="P388" s="67"/>
      <c r="Q388" s="67" t="str">
        <f>IF(ISBLANK(Games!W388), "", Games!W388)</f>
      </c>
      <c r="R388" s="67" t="str">
        <f>IF(ISBLANK(Games!AA388), "", Games!AA388)</f>
      </c>
      <c r="S388" s="67"/>
      <c r="T388" s="68" t="str">
        <f t="shared" si="61"/>
      </c>
      <c r="U388" s="68" t="str">
        <f t="shared" si="62"/>
      </c>
      <c r="V388" s="68" t="str">
        <f t="shared" si="63"/>
      </c>
      <c r="W388" s="68" t="str">
        <f t="shared" si="64"/>
      </c>
      <c r="X388" s="68" t="n">
        <f t="shared" si="57"/>
        <v>0</v>
      </c>
      <c r="Y388" s="68" t="n">
        <f t="shared" si="58"/>
        <v>0</v>
      </c>
      <c r="Z388" s="67" t="str">
        <f>IF(OR('Prediction Log'!L389="", Table12[[#This Row],[Bet]]="", Table12[[#This Row],[Bet]]="Spread"), "",IF('Prediction Log'!L389=Table12[[#This Row],[Side]], "W", IF('Prediction Log'!L389&lt;&gt;Table12[[#This Row],[Side]], "L", "")))</f>
      </c>
      <c r="AA388" s="59" t="str">
        <f t="shared" si="59"/>
      </c>
      <c r="AB388" s="67" t="str">
        <f>IF(OR(Table12[[#This Row],[Bet]]="Side",Table12[[#This Row],[Bet]]="", 'Prediction Log'!L389=""), "",IF('Prediction Log'!U389="Y", "W", IF('Prediction Log'!U389="N", "L", "")))</f>
      </c>
      <c r="AC388" s="59" t="str">
        <f t="shared" si="60"/>
      </c>
      <c r="AD388" s="67"/>
      <c r="AE388" s="65" t="str">
        <f t="shared" si="65"/>
      </c>
      <c r="AF3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9">
      <c r="A389" s="65" t="str">
        <f>IF(ISBLANK(Games!A389), "", Games!A389)</f>
      </c>
      <c r="B389" s="65" t="str">
        <f>IF('Prediction Log'!B390=0, "",'Prediction Log'!B390)</f>
      </c>
      <c r="C389" s="65" t="str">
        <f>IF('Prediction Log'!C390=0, "",'Prediction Log'!C390)</f>
      </c>
      <c r="D389" s="65" t="str">
        <f>IF('Prediction Log'!D390=0, "",'Prediction Log'!D390)</f>
      </c>
      <c r="E389" s="58" t="str">
        <f>IF('Prediction Log'!E390=0, "",'Prediction Log'!E390)</f>
      </c>
      <c r="F389" s="65" t="str">
        <f>IF('Prediction Log'!H390=0, "",'Prediction Log'!H390)</f>
      </c>
      <c r="G389" s="64" t="str">
        <f>IF(ISBLANK(Games!B389), "",'Prediction Log'!$I390)</f>
      </c>
      <c r="H389" s="66" t="n">
        <f>'Prediction Log'!$J390</f>
        <v>0</v>
      </c>
      <c r="I389" s="65" t="str">
        <f>IF(ISBLANK(Games!T389), "",IF(AND(Games!T389="",Games!U389=""),"",IF(ISTEXT(Games!U389), "Side",Games!T389)))</f>
      </c>
      <c r="J389" s="65" t="str">
        <f>IF(ISBLANK(Games!T389), "",IF(Table12[[#This Row],[Bet]]="Spread", Games!X389, ""))</f>
      </c>
      <c r="K389" s="65" t="str">
        <f>IF(ISBLANK(Games!U389), "",IF(ISTEXT(Games!U389), Games!U389, ""))</f>
      </c>
      <c r="L389" s="57" t="str">
        <f>IF(ISBLANK(Games!D389), "", Games!D389)</f>
      </c>
      <c r="M389" s="65"/>
      <c r="N389" s="75" t="str">
        <f>IF(Games!V389="", "",Games!V389)</f>
      </c>
      <c r="O389" s="75" t="str">
        <f>IF(Games!Z389=0, "",Games!Z389)</f>
      </c>
      <c r="P389" s="67"/>
      <c r="Q389" s="67" t="str">
        <f>IF(ISBLANK(Games!W389), "", Games!W389)</f>
      </c>
      <c r="R389" s="67" t="str">
        <f>IF(ISBLANK(Games!AA389), "", Games!AA389)</f>
      </c>
      <c r="S389" s="67"/>
      <c r="T389" s="68" t="str">
        <f t="shared" si="61"/>
      </c>
      <c r="U389" s="68" t="str">
        <f t="shared" si="62"/>
      </c>
      <c r="V389" s="68" t="str">
        <f t="shared" si="63"/>
      </c>
      <c r="W389" s="68" t="str">
        <f t="shared" si="64"/>
      </c>
      <c r="X389" s="68" t="n">
        <f t="shared" si="57"/>
        <v>0</v>
      </c>
      <c r="Y389" s="68" t="n">
        <f t="shared" si="58"/>
        <v>0</v>
      </c>
      <c r="Z389" s="67" t="str">
        <f>IF(OR('Prediction Log'!L390="", Table12[[#This Row],[Bet]]="", Table12[[#This Row],[Bet]]="Spread"), "",IF('Prediction Log'!L390=Table12[[#This Row],[Side]], "W", IF('Prediction Log'!L390&lt;&gt;Table12[[#This Row],[Side]], "L", "")))</f>
      </c>
      <c r="AA389" s="59" t="str">
        <f t="shared" si="59"/>
      </c>
      <c r="AB389" s="67" t="str">
        <f>IF(OR(Table12[[#This Row],[Bet]]="Side",Table12[[#This Row],[Bet]]="", 'Prediction Log'!L390=""), "",IF('Prediction Log'!U390="Y", "W", IF('Prediction Log'!U390="N", "L", "")))</f>
      </c>
      <c r="AC389" s="59" t="str">
        <f t="shared" si="60"/>
      </c>
      <c r="AD389" s="67"/>
      <c r="AE389" s="65" t="str">
        <f t="shared" si="65"/>
      </c>
      <c r="AF3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0">
      <c r="A390" s="65" t="str">
        <f>IF(ISBLANK(Games!A390), "", Games!A390)</f>
      </c>
      <c r="B390" s="65" t="str">
        <f>IF('Prediction Log'!B391=0, "",'Prediction Log'!B391)</f>
      </c>
      <c r="C390" s="65" t="str">
        <f>IF('Prediction Log'!C391=0, "",'Prediction Log'!C391)</f>
      </c>
      <c r="D390" s="65" t="str">
        <f>IF('Prediction Log'!D391=0, "",'Prediction Log'!D391)</f>
      </c>
      <c r="E390" s="58" t="str">
        <f>IF('Prediction Log'!E391=0, "",'Prediction Log'!E391)</f>
      </c>
      <c r="F390" s="65" t="str">
        <f>IF('Prediction Log'!H391=0, "",'Prediction Log'!H391)</f>
      </c>
      <c r="G390" s="64" t="str">
        <f>IF(ISBLANK(Games!B390), "",'Prediction Log'!$I391)</f>
      </c>
      <c r="H390" s="66" t="n">
        <f>'Prediction Log'!$J391</f>
        <v>0</v>
      </c>
      <c r="I390" s="65" t="str">
        <f>IF(ISBLANK(Games!T390), "",IF(AND(Games!T390="",Games!U390=""),"",IF(ISTEXT(Games!U390), "Side",Games!T390)))</f>
      </c>
      <c r="J390" s="65" t="str">
        <f>IF(ISBLANK(Games!T390), "",IF(Table12[[#This Row],[Bet]]="Spread", Games!X390, ""))</f>
      </c>
      <c r="K390" s="65" t="str">
        <f>IF(ISBLANK(Games!U390), "",IF(ISTEXT(Games!U390), Games!U390, ""))</f>
      </c>
      <c r="L390" s="57" t="str">
        <f>IF(ISBLANK(Games!D390), "", Games!D390)</f>
      </c>
      <c r="M390" s="65"/>
      <c r="N390" s="75" t="str">
        <f>IF(Games!V390="", "",Games!V390)</f>
      </c>
      <c r="O390" s="75" t="str">
        <f>IF(Games!Z390=0, "",Games!Z390)</f>
      </c>
      <c r="P390" s="67"/>
      <c r="Q390" s="67" t="str">
        <f>IF(ISBLANK(Games!W390), "", Games!W390)</f>
      </c>
      <c r="R390" s="67" t="str">
        <f>IF(ISBLANK(Games!AA390), "", Games!AA390)</f>
      </c>
      <c r="S390" s="67"/>
      <c r="T390" s="68" t="str">
        <f t="shared" si="61"/>
      </c>
      <c r="U390" s="68" t="str">
        <f t="shared" si="62"/>
      </c>
      <c r="V390" s="68" t="str">
        <f t="shared" si="63"/>
      </c>
      <c r="W390" s="68" t="str">
        <f t="shared" si="64"/>
      </c>
      <c r="X390" s="68" t="n">
        <f t="shared" si="57"/>
        <v>0</v>
      </c>
      <c r="Y390" s="68" t="n">
        <f t="shared" si="58"/>
        <v>0</v>
      </c>
      <c r="Z390" s="67" t="str">
        <f>IF(OR('Prediction Log'!L391="", Table12[[#This Row],[Bet]]="", Table12[[#This Row],[Bet]]="Spread"), "",IF('Prediction Log'!L391=Table12[[#This Row],[Side]], "W", IF('Prediction Log'!L391&lt;&gt;Table12[[#This Row],[Side]], "L", "")))</f>
      </c>
      <c r="AA390" s="59" t="str">
        <f t="shared" si="59"/>
      </c>
      <c r="AB390" s="67" t="str">
        <f>IF(OR(Table12[[#This Row],[Bet]]="Side",Table12[[#This Row],[Bet]]="", 'Prediction Log'!L391=""), "",IF('Prediction Log'!U391="Y", "W", IF('Prediction Log'!U391="N", "L", "")))</f>
      </c>
      <c r="AC390" s="59" t="str">
        <f t="shared" si="60"/>
      </c>
      <c r="AD390" s="67"/>
      <c r="AE390" s="65" t="str">
        <f t="shared" si="65"/>
      </c>
      <c r="AF3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1">
      <c r="A391" s="65" t="str">
        <f>IF(ISBLANK(Games!A391), "", Games!A391)</f>
      </c>
      <c r="B391" s="65" t="str">
        <f>IF('Prediction Log'!B392=0, "",'Prediction Log'!B392)</f>
      </c>
      <c r="C391" s="65" t="str">
        <f>IF('Prediction Log'!C392=0, "",'Prediction Log'!C392)</f>
      </c>
      <c r="D391" s="65" t="str">
        <f>IF('Prediction Log'!D392=0, "",'Prediction Log'!D392)</f>
      </c>
      <c r="E391" s="58" t="str">
        <f>IF('Prediction Log'!E392=0, "",'Prediction Log'!E392)</f>
      </c>
      <c r="F391" s="65" t="str">
        <f>IF('Prediction Log'!H392=0, "",'Prediction Log'!H392)</f>
      </c>
      <c r="G391" s="64" t="str">
        <f>IF(ISBLANK(Games!B391), "",'Prediction Log'!$I392)</f>
      </c>
      <c r="H391" s="66" t="n">
        <f>'Prediction Log'!$J392</f>
        <v>0</v>
      </c>
      <c r="I391" s="65" t="str">
        <f>IF(ISBLANK(Games!T391), "",IF(AND(Games!T391="",Games!U391=""),"",IF(ISTEXT(Games!U391), "Side",Games!T391)))</f>
      </c>
      <c r="J391" s="65" t="str">
        <f>IF(ISBLANK(Games!T391), "",IF(Table12[[#This Row],[Bet]]="Spread", Games!X391, ""))</f>
      </c>
      <c r="K391" s="65" t="str">
        <f>IF(ISBLANK(Games!U391), "",IF(ISTEXT(Games!U391), Games!U391, ""))</f>
      </c>
      <c r="L391" s="57" t="str">
        <f>IF(ISBLANK(Games!D391), "", Games!D391)</f>
      </c>
      <c r="M391" s="65"/>
      <c r="N391" s="75" t="str">
        <f>IF(Games!V391="", "",Games!V391)</f>
      </c>
      <c r="O391" s="75" t="str">
        <f>IF(Games!Z391=0, "",Games!Z391)</f>
      </c>
      <c r="P391" s="67"/>
      <c r="Q391" s="67" t="str">
        <f>IF(ISBLANK(Games!W391), "", Games!W391)</f>
      </c>
      <c r="R391" s="67" t="str">
        <f>IF(ISBLANK(Games!AA391), "", Games!AA391)</f>
      </c>
      <c r="S391" s="67"/>
      <c r="T391" s="68" t="str">
        <f t="shared" si="61"/>
      </c>
      <c r="U391" s="68" t="str">
        <f t="shared" si="62"/>
      </c>
      <c r="V391" s="68" t="str">
        <f t="shared" si="63"/>
      </c>
      <c r="W391" s="68" t="str">
        <f t="shared" si="64"/>
      </c>
      <c r="X391" s="68" t="n">
        <f t="shared" si="57"/>
        <v>0</v>
      </c>
      <c r="Y391" s="68" t="n">
        <f t="shared" si="58"/>
        <v>0</v>
      </c>
      <c r="Z391" s="67" t="str">
        <f>IF(OR('Prediction Log'!L392="", Table12[[#This Row],[Bet]]="", Table12[[#This Row],[Bet]]="Spread"), "",IF('Prediction Log'!L392=Table12[[#This Row],[Side]], "W", IF('Prediction Log'!L392&lt;&gt;Table12[[#This Row],[Side]], "L", "")))</f>
      </c>
      <c r="AA391" s="59" t="str">
        <f t="shared" si="59"/>
      </c>
      <c r="AB391" s="67" t="str">
        <f>IF(OR(Table12[[#This Row],[Bet]]="Side",Table12[[#This Row],[Bet]]="", 'Prediction Log'!L392=""), "",IF('Prediction Log'!U392="Y", "W", IF('Prediction Log'!U392="N", "L", "")))</f>
      </c>
      <c r="AC391" s="59" t="str">
        <f t="shared" si="60"/>
      </c>
      <c r="AD391" s="67"/>
      <c r="AE391" s="65" t="str">
        <f t="shared" si="65"/>
      </c>
      <c r="AF3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2">
      <c r="A392" s="65" t="str">
        <f>IF(ISBLANK(Games!A392), "", Games!A392)</f>
      </c>
      <c r="B392" s="65" t="str">
        <f>IF('Prediction Log'!B393=0, "",'Prediction Log'!B393)</f>
      </c>
      <c r="C392" s="65" t="str">
        <f>IF('Prediction Log'!C393=0, "",'Prediction Log'!C393)</f>
      </c>
      <c r="D392" s="65" t="str">
        <f>IF('Prediction Log'!D393=0, "",'Prediction Log'!D393)</f>
      </c>
      <c r="E392" s="58" t="str">
        <f>IF('Prediction Log'!E393=0, "",'Prediction Log'!E393)</f>
      </c>
      <c r="F392" s="65" t="str">
        <f>IF('Prediction Log'!H393=0, "",'Prediction Log'!H393)</f>
      </c>
      <c r="G392" s="64" t="str">
        <f>IF(ISBLANK(Games!B392), "",'Prediction Log'!$I393)</f>
      </c>
      <c r="H392" s="66" t="n">
        <f>'Prediction Log'!$J393</f>
        <v>0</v>
      </c>
      <c r="I392" s="65" t="str">
        <f>IF(ISBLANK(Games!T392), "",IF(AND(Games!T392="",Games!U392=""),"",IF(ISTEXT(Games!U392), "Side",Games!T392)))</f>
      </c>
      <c r="J392" s="65" t="str">
        <f>IF(ISBLANK(Games!T392), "",IF(Table12[[#This Row],[Bet]]="Spread", Games!X392, ""))</f>
      </c>
      <c r="K392" s="65" t="str">
        <f>IF(ISBLANK(Games!U392), "",IF(ISTEXT(Games!U392), Games!U392, ""))</f>
      </c>
      <c r="L392" s="57" t="str">
        <f>IF(ISBLANK(Games!D392), "", Games!D392)</f>
      </c>
      <c r="M392" s="65"/>
      <c r="N392" s="75" t="str">
        <f>IF(Games!V392="", "",Games!V392)</f>
      </c>
      <c r="O392" s="75" t="str">
        <f>IF(Games!Z392=0, "",Games!Z392)</f>
      </c>
      <c r="P392" s="67"/>
      <c r="Q392" s="67" t="str">
        <f>IF(ISBLANK(Games!W392), "", Games!W392)</f>
      </c>
      <c r="R392" s="67" t="str">
        <f>IF(ISBLANK(Games!AA392), "", Games!AA392)</f>
      </c>
      <c r="S392" s="67"/>
      <c r="T392" s="68" t="str">
        <f t="shared" si="61"/>
      </c>
      <c r="U392" s="68" t="str">
        <f t="shared" si="62"/>
      </c>
      <c r="V392" s="68" t="str">
        <f t="shared" si="63"/>
      </c>
      <c r="W392" s="68" t="str">
        <f t="shared" si="64"/>
      </c>
      <c r="X392" s="68" t="n">
        <f t="shared" si="57"/>
        <v>0</v>
      </c>
      <c r="Y392" s="68" t="n">
        <f t="shared" si="58"/>
        <v>0</v>
      </c>
      <c r="Z392" s="67" t="str">
        <f>IF(OR('Prediction Log'!L393="", Table12[[#This Row],[Bet]]="", Table12[[#This Row],[Bet]]="Spread"), "",IF('Prediction Log'!L393=Table12[[#This Row],[Side]], "W", IF('Prediction Log'!L393&lt;&gt;Table12[[#This Row],[Side]], "L", "")))</f>
      </c>
      <c r="AA392" s="59" t="str">
        <f t="shared" si="59"/>
      </c>
      <c r="AB392" s="67" t="str">
        <f>IF(OR(Table12[[#This Row],[Bet]]="Side",Table12[[#This Row],[Bet]]="", 'Prediction Log'!L393=""), "",IF('Prediction Log'!U393="Y", "W", IF('Prediction Log'!U393="N", "L", "")))</f>
      </c>
      <c r="AC392" s="59" t="str">
        <f t="shared" si="60"/>
      </c>
      <c r="AD392" s="67"/>
      <c r="AE392" s="65" t="str">
        <f t="shared" si="65"/>
      </c>
      <c r="AF3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3">
      <c r="A393" s="65" t="str">
        <f>IF(ISBLANK(Games!A393), "", Games!A393)</f>
      </c>
      <c r="B393" s="65" t="str">
        <f>IF('Prediction Log'!B394=0, "",'Prediction Log'!B394)</f>
      </c>
      <c r="C393" s="65" t="str">
        <f>IF('Prediction Log'!C394=0, "",'Prediction Log'!C394)</f>
      </c>
      <c r="D393" s="65" t="str">
        <f>IF('Prediction Log'!D394=0, "",'Prediction Log'!D394)</f>
      </c>
      <c r="E393" s="58" t="str">
        <f>IF('Prediction Log'!E394=0, "",'Prediction Log'!E394)</f>
      </c>
      <c r="F393" s="65" t="str">
        <f>IF('Prediction Log'!H394=0, "",'Prediction Log'!H394)</f>
      </c>
      <c r="G393" s="64" t="str">
        <f>IF(ISBLANK(Games!B393), "",'Prediction Log'!$I394)</f>
      </c>
      <c r="H393" s="66" t="n">
        <f>'Prediction Log'!$J394</f>
        <v>0</v>
      </c>
      <c r="I393" s="65" t="str">
        <f>IF(ISBLANK(Games!T393), "",IF(AND(Games!T393="",Games!U393=""),"",IF(ISTEXT(Games!U393), "Side",Games!T393)))</f>
      </c>
      <c r="J393" s="65" t="str">
        <f>IF(ISBLANK(Games!T393), "",IF(Table12[[#This Row],[Bet]]="Spread", Games!X393, ""))</f>
      </c>
      <c r="K393" s="65" t="str">
        <f>IF(ISBLANK(Games!U393), "",IF(ISTEXT(Games!U393), Games!U393, ""))</f>
      </c>
      <c r="L393" s="57" t="str">
        <f>IF(ISBLANK(Games!D393), "", Games!D393)</f>
      </c>
      <c r="M393" s="65"/>
      <c r="N393" s="75" t="str">
        <f>IF(Games!V393="", "",Games!V393)</f>
      </c>
      <c r="O393" s="75" t="str">
        <f>IF(Games!Z393=0, "",Games!Z393)</f>
      </c>
      <c r="P393" s="67"/>
      <c r="Q393" s="67" t="str">
        <f>IF(ISBLANK(Games!W393), "", Games!W393)</f>
      </c>
      <c r="R393" s="67" t="str">
        <f>IF(ISBLANK(Games!AA393), "", Games!AA393)</f>
      </c>
      <c r="S393" s="67"/>
      <c r="T393" s="68" t="str">
        <f t="shared" si="61"/>
      </c>
      <c r="U393" s="68" t="str">
        <f t="shared" si="62"/>
      </c>
      <c r="V393" s="68" t="str">
        <f t="shared" si="63"/>
      </c>
      <c r="W393" s="68" t="str">
        <f t="shared" si="64"/>
      </c>
      <c r="X393" s="68" t="n">
        <f t="shared" si="57"/>
        <v>0</v>
      </c>
      <c r="Y393" s="68" t="n">
        <f t="shared" si="58"/>
        <v>0</v>
      </c>
      <c r="Z393" s="67" t="str">
        <f>IF(OR('Prediction Log'!L394="", Table12[[#This Row],[Bet]]="", Table12[[#This Row],[Bet]]="Spread"), "",IF('Prediction Log'!L394=Table12[[#This Row],[Side]], "W", IF('Prediction Log'!L394&lt;&gt;Table12[[#This Row],[Side]], "L", "")))</f>
      </c>
      <c r="AA393" s="59" t="str">
        <f t="shared" si="59"/>
      </c>
      <c r="AB393" s="67" t="str">
        <f>IF(OR(Table12[[#This Row],[Bet]]="Side",Table12[[#This Row],[Bet]]="", 'Prediction Log'!L394=""), "",IF('Prediction Log'!U394="Y", "W", IF('Prediction Log'!U394="N", "L", "")))</f>
      </c>
      <c r="AC393" s="59" t="str">
        <f t="shared" si="60"/>
      </c>
      <c r="AD393" s="67"/>
      <c r="AE393" s="65" t="str">
        <f t="shared" si="65"/>
      </c>
      <c r="AF3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4">
      <c r="A394" s="65" t="str">
        <f>IF(ISBLANK(Games!A394), "", Games!A394)</f>
      </c>
      <c r="B394" s="65" t="str">
        <f>IF('Prediction Log'!B395=0, "",'Prediction Log'!B395)</f>
      </c>
      <c r="C394" s="65" t="str">
        <f>IF('Prediction Log'!C395=0, "",'Prediction Log'!C395)</f>
      </c>
      <c r="D394" s="65" t="str">
        <f>IF('Prediction Log'!D395=0, "",'Prediction Log'!D395)</f>
      </c>
      <c r="E394" s="58" t="str">
        <f>IF('Prediction Log'!E395=0, "",'Prediction Log'!E395)</f>
      </c>
      <c r="F394" s="65" t="str">
        <f>IF('Prediction Log'!H395=0, "",'Prediction Log'!H395)</f>
      </c>
      <c r="G394" s="64" t="str">
        <f>IF(ISBLANK(Games!B394), "",'Prediction Log'!$I395)</f>
      </c>
      <c r="H394" s="66" t="n">
        <f>'Prediction Log'!$J395</f>
        <v>0</v>
      </c>
      <c r="I394" s="65" t="str">
        <f>IF(ISBLANK(Games!T394), "",IF(AND(Games!T394="",Games!U394=""),"",IF(ISTEXT(Games!U394), "Side",Games!T394)))</f>
      </c>
      <c r="J394" s="65" t="str">
        <f>IF(ISBLANK(Games!T394), "",IF(Table12[[#This Row],[Bet]]="Spread", Games!X394, ""))</f>
      </c>
      <c r="K394" s="65" t="str">
        <f>IF(ISBLANK(Games!U394), "",IF(ISTEXT(Games!U394), Games!U394, ""))</f>
      </c>
      <c r="L394" s="57" t="str">
        <f>IF(ISBLANK(Games!D394), "", Games!D394)</f>
      </c>
      <c r="M394" s="65"/>
      <c r="N394" s="75" t="str">
        <f>IF(Games!V394="", "",Games!V394)</f>
      </c>
      <c r="O394" s="75" t="str">
        <f>IF(Games!Z394=0, "",Games!Z394)</f>
      </c>
      <c r="P394" s="67"/>
      <c r="Q394" s="67" t="str">
        <f>IF(ISBLANK(Games!W394), "", Games!W394)</f>
      </c>
      <c r="R394" s="67" t="str">
        <f>IF(ISBLANK(Games!AA394), "", Games!AA394)</f>
      </c>
      <c r="S394" s="67"/>
      <c r="T394" s="68" t="str">
        <f t="shared" si="61"/>
      </c>
      <c r="U394" s="68" t="str">
        <f t="shared" si="62"/>
      </c>
      <c r="V394" s="68" t="str">
        <f t="shared" si="63"/>
      </c>
      <c r="W394" s="68" t="str">
        <f t="shared" si="64"/>
      </c>
      <c r="X394" s="68" t="n">
        <f t="shared" si="57"/>
        <v>0</v>
      </c>
      <c r="Y394" s="68" t="n">
        <f t="shared" si="58"/>
        <v>0</v>
      </c>
      <c r="Z394" s="67" t="str">
        <f>IF(OR('Prediction Log'!L395="", Table12[[#This Row],[Bet]]="", Table12[[#This Row],[Bet]]="Spread"), "",IF('Prediction Log'!L395=Table12[[#This Row],[Side]], "W", IF('Prediction Log'!L395&lt;&gt;Table12[[#This Row],[Side]], "L", "")))</f>
      </c>
      <c r="AA394" s="59" t="str">
        <f t="shared" si="59"/>
      </c>
      <c r="AB394" s="67" t="str">
        <f>IF(OR(Table12[[#This Row],[Bet]]="Side",Table12[[#This Row],[Bet]]="", 'Prediction Log'!L395=""), "",IF('Prediction Log'!U395="Y", "W", IF('Prediction Log'!U395="N", "L", "")))</f>
      </c>
      <c r="AC394" s="59" t="str">
        <f t="shared" si="60"/>
      </c>
      <c r="AD394" s="67"/>
      <c r="AE394" s="65" t="str">
        <f t="shared" si="65"/>
      </c>
      <c r="AF3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5">
      <c r="A395" s="65" t="str">
        <f>IF(ISBLANK(Games!A395), "", Games!A395)</f>
      </c>
      <c r="B395" s="65" t="str">
        <f>IF('Prediction Log'!B396=0, "",'Prediction Log'!B396)</f>
      </c>
      <c r="C395" s="65" t="str">
        <f>IF('Prediction Log'!C396=0, "",'Prediction Log'!C396)</f>
      </c>
      <c r="D395" s="65" t="str">
        <f>IF('Prediction Log'!D396=0, "",'Prediction Log'!D396)</f>
      </c>
      <c r="E395" s="58" t="str">
        <f>IF('Prediction Log'!E396=0, "",'Prediction Log'!E396)</f>
      </c>
      <c r="F395" s="65" t="str">
        <f>IF('Prediction Log'!H396=0, "",'Prediction Log'!H396)</f>
      </c>
      <c r="G395" s="64" t="str">
        <f>IF(ISBLANK(Games!B395), "",'Prediction Log'!$I396)</f>
      </c>
      <c r="H395" s="66" t="n">
        <f>'Prediction Log'!$J396</f>
        <v>0</v>
      </c>
      <c r="I395" s="65" t="str">
        <f>IF(ISBLANK(Games!T395), "",IF(AND(Games!T395="",Games!U395=""),"",IF(ISTEXT(Games!U395), "Side",Games!T395)))</f>
      </c>
      <c r="J395" s="65" t="str">
        <f>IF(ISBLANK(Games!T395), "",IF(Table12[[#This Row],[Bet]]="Spread", Games!X395, ""))</f>
      </c>
      <c r="K395" s="65" t="str">
        <f>IF(ISBLANK(Games!U395), "",IF(ISTEXT(Games!U395), Games!U395, ""))</f>
      </c>
      <c r="L395" s="57" t="str">
        <f>IF(ISBLANK(Games!D395), "", Games!D395)</f>
      </c>
      <c r="M395" s="65"/>
      <c r="N395" s="75" t="str">
        <f>IF(Games!V395="", "",Games!V395)</f>
      </c>
      <c r="O395" s="75" t="str">
        <f>IF(Games!Z395=0, "",Games!Z395)</f>
      </c>
      <c r="P395" s="67"/>
      <c r="Q395" s="67" t="str">
        <f>IF(ISBLANK(Games!W395), "", Games!W395)</f>
      </c>
      <c r="R395" s="67" t="str">
        <f>IF(ISBLANK(Games!AA395), "", Games!AA395)</f>
      </c>
      <c r="S395" s="67"/>
      <c r="T395" s="68" t="str">
        <f t="shared" si="61"/>
      </c>
      <c r="U395" s="68" t="str">
        <f t="shared" si="62"/>
      </c>
      <c r="V395" s="68" t="str">
        <f t="shared" si="63"/>
      </c>
      <c r="W395" s="68" t="str">
        <f t="shared" si="64"/>
      </c>
      <c r="X395" s="68" t="n">
        <f t="shared" si="57"/>
        <v>0</v>
      </c>
      <c r="Y395" s="68" t="n">
        <f t="shared" si="58"/>
        <v>0</v>
      </c>
      <c r="Z395" s="67" t="str">
        <f>IF(OR('Prediction Log'!L396="", Table12[[#This Row],[Bet]]="", Table12[[#This Row],[Bet]]="Spread"), "",IF('Prediction Log'!L396=Table12[[#This Row],[Side]], "W", IF('Prediction Log'!L396&lt;&gt;Table12[[#This Row],[Side]], "L", "")))</f>
      </c>
      <c r="AA395" s="59" t="str">
        <f t="shared" si="59"/>
      </c>
      <c r="AB395" s="67" t="str">
        <f>IF(OR(Table12[[#This Row],[Bet]]="Side",Table12[[#This Row],[Bet]]="", 'Prediction Log'!L396=""), "",IF('Prediction Log'!U396="Y", "W", IF('Prediction Log'!U396="N", "L", "")))</f>
      </c>
      <c r="AC395" s="59" t="str">
        <f t="shared" si="60"/>
      </c>
      <c r="AD395" s="67"/>
      <c r="AE395" s="65" t="str">
        <f t="shared" si="65"/>
      </c>
      <c r="AF3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6">
      <c r="A396" s="65" t="str">
        <f>IF(ISBLANK(Games!A396), "", Games!A396)</f>
      </c>
      <c r="B396" s="65" t="str">
        <f>IF('Prediction Log'!B397=0, "",'Prediction Log'!B397)</f>
      </c>
      <c r="C396" s="65" t="str">
        <f>IF('Prediction Log'!C397=0, "",'Prediction Log'!C397)</f>
      </c>
      <c r="D396" s="65" t="str">
        <f>IF('Prediction Log'!D397=0, "",'Prediction Log'!D397)</f>
      </c>
      <c r="E396" s="58" t="str">
        <f>IF('Prediction Log'!E397=0, "",'Prediction Log'!E397)</f>
      </c>
      <c r="F396" s="65" t="str">
        <f>IF('Prediction Log'!H397=0, "",'Prediction Log'!H397)</f>
      </c>
      <c r="G396" s="64" t="str">
        <f>IF(ISBLANK(Games!B396), "",'Prediction Log'!$I397)</f>
      </c>
      <c r="H396" s="66" t="n">
        <f>'Prediction Log'!$J397</f>
        <v>0</v>
      </c>
      <c r="I396" s="65" t="str">
        <f>IF(ISBLANK(Games!T396), "",IF(AND(Games!T396="",Games!U396=""),"",IF(ISTEXT(Games!U396), "Side",Games!T396)))</f>
      </c>
      <c r="J396" s="65" t="str">
        <f>IF(ISBLANK(Games!T396), "",IF(Table12[[#This Row],[Bet]]="Spread", Games!X396, ""))</f>
      </c>
      <c r="K396" s="65" t="str">
        <f>IF(ISBLANK(Games!U396), "",IF(ISTEXT(Games!U396), Games!U396, ""))</f>
      </c>
      <c r="L396" s="57" t="str">
        <f>IF(ISBLANK(Games!D396), "", Games!D396)</f>
      </c>
      <c r="M396" s="65"/>
      <c r="N396" s="75" t="str">
        <f>IF(Games!V396="", "",Games!V396)</f>
      </c>
      <c r="O396" s="75" t="str">
        <f>IF(Games!Z396=0, "",Games!Z396)</f>
      </c>
      <c r="P396" s="67"/>
      <c r="Q396" s="67" t="str">
        <f>IF(ISBLANK(Games!W396), "", Games!W396)</f>
      </c>
      <c r="R396" s="67" t="str">
        <f>IF(ISBLANK(Games!AA396), "", Games!AA396)</f>
      </c>
      <c r="S396" s="67"/>
      <c r="T396" s="68" t="str">
        <f t="shared" si="61"/>
      </c>
      <c r="U396" s="68" t="str">
        <f t="shared" si="62"/>
      </c>
      <c r="V396" s="68" t="str">
        <f t="shared" si="63"/>
      </c>
      <c r="W396" s="68" t="str">
        <f t="shared" si="64"/>
      </c>
      <c r="X396" s="68" t="n">
        <f t="shared" si="57"/>
        <v>0</v>
      </c>
      <c r="Y396" s="68" t="n">
        <f t="shared" si="58"/>
        <v>0</v>
      </c>
      <c r="Z396" s="67" t="str">
        <f>IF(OR('Prediction Log'!L397="", Table12[[#This Row],[Bet]]="", Table12[[#This Row],[Bet]]="Spread"), "",IF('Prediction Log'!L397=Table12[[#This Row],[Side]], "W", IF('Prediction Log'!L397&lt;&gt;Table12[[#This Row],[Side]], "L", "")))</f>
      </c>
      <c r="AA396" s="59" t="str">
        <f t="shared" si="59"/>
      </c>
      <c r="AB396" s="67" t="str">
        <f>IF(OR(Table12[[#This Row],[Bet]]="Side",Table12[[#This Row],[Bet]]="", 'Prediction Log'!L397=""), "",IF('Prediction Log'!U397="Y", "W", IF('Prediction Log'!U397="N", "L", "")))</f>
      </c>
      <c r="AC396" s="59" t="str">
        <f t="shared" si="60"/>
      </c>
      <c r="AD396" s="67"/>
      <c r="AE396" s="65" t="str">
        <f t="shared" si="65"/>
      </c>
      <c r="AF3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7">
      <c r="A397" s="65" t="str">
        <f>IF(ISBLANK(Games!A397), "", Games!A397)</f>
      </c>
      <c r="B397" s="65" t="str">
        <f>IF('Prediction Log'!B398=0, "",'Prediction Log'!B398)</f>
      </c>
      <c r="C397" s="65" t="str">
        <f>IF('Prediction Log'!C398=0, "",'Prediction Log'!C398)</f>
      </c>
      <c r="D397" s="65" t="str">
        <f>IF('Prediction Log'!D398=0, "",'Prediction Log'!D398)</f>
      </c>
      <c r="E397" s="58" t="str">
        <f>IF('Prediction Log'!E398=0, "",'Prediction Log'!E398)</f>
      </c>
      <c r="F397" s="65" t="str">
        <f>IF('Prediction Log'!H398=0, "",'Prediction Log'!H398)</f>
      </c>
      <c r="G397" s="64" t="str">
        <f>IF(ISBLANK(Games!B397), "",'Prediction Log'!$I398)</f>
      </c>
      <c r="H397" s="66" t="n">
        <f>'Prediction Log'!$J398</f>
        <v>0</v>
      </c>
      <c r="I397" s="65" t="str">
        <f>IF(ISBLANK(Games!T397), "",IF(AND(Games!T397="",Games!U397=""),"",IF(ISTEXT(Games!U397), "Side",Games!T397)))</f>
      </c>
      <c r="J397" s="65" t="str">
        <f>IF(ISBLANK(Games!T397), "",IF(Table12[[#This Row],[Bet]]="Spread", Games!X397, ""))</f>
      </c>
      <c r="K397" s="65" t="str">
        <f>IF(ISBLANK(Games!U397), "",IF(ISTEXT(Games!U397), Games!U397, ""))</f>
      </c>
      <c r="L397" s="57" t="str">
        <f>IF(ISBLANK(Games!D397), "", Games!D397)</f>
      </c>
      <c r="M397" s="65"/>
      <c r="N397" s="75" t="str">
        <f>IF(Games!V397="", "",Games!V397)</f>
      </c>
      <c r="O397" s="75" t="str">
        <f>IF(Games!Z397=0, "",Games!Z397)</f>
      </c>
      <c r="P397" s="67"/>
      <c r="Q397" s="67" t="str">
        <f>IF(ISBLANK(Games!W397), "", Games!W397)</f>
      </c>
      <c r="R397" s="67" t="str">
        <f>IF(ISBLANK(Games!AA397), "", Games!AA397)</f>
      </c>
      <c r="S397" s="67"/>
      <c r="T397" s="68" t="str">
        <f t="shared" si="61"/>
      </c>
      <c r="U397" s="68" t="str">
        <f t="shared" si="62"/>
      </c>
      <c r="V397" s="68" t="str">
        <f t="shared" si="63"/>
      </c>
      <c r="W397" s="68" t="str">
        <f t="shared" si="64"/>
      </c>
      <c r="X397" s="68" t="n">
        <f t="shared" si="57"/>
        <v>0</v>
      </c>
      <c r="Y397" s="68" t="n">
        <f t="shared" si="58"/>
        <v>0</v>
      </c>
      <c r="Z397" s="67" t="str">
        <f>IF(OR('Prediction Log'!L398="", Table12[[#This Row],[Bet]]="", Table12[[#This Row],[Bet]]="Spread"), "",IF('Prediction Log'!L398=Table12[[#This Row],[Side]], "W", IF('Prediction Log'!L398&lt;&gt;Table12[[#This Row],[Side]], "L", "")))</f>
      </c>
      <c r="AA397" s="59" t="str">
        <f t="shared" si="59"/>
      </c>
      <c r="AB397" s="67" t="str">
        <f>IF(OR(Table12[[#This Row],[Bet]]="Side",Table12[[#This Row],[Bet]]="", 'Prediction Log'!L398=""), "",IF('Prediction Log'!U398="Y", "W", IF('Prediction Log'!U398="N", "L", "")))</f>
      </c>
      <c r="AC397" s="59" t="str">
        <f t="shared" si="60"/>
      </c>
      <c r="AD397" s="67"/>
      <c r="AE397" s="65" t="str">
        <f t="shared" si="65"/>
      </c>
      <c r="AF3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8">
      <c r="A398" s="65" t="str">
        <f>IF(ISBLANK(Games!A398), "", Games!A398)</f>
      </c>
      <c r="B398" s="65" t="str">
        <f>IF('Prediction Log'!B399=0, "",'Prediction Log'!B399)</f>
      </c>
      <c r="C398" s="65" t="str">
        <f>IF('Prediction Log'!C399=0, "",'Prediction Log'!C399)</f>
      </c>
      <c r="D398" s="65" t="str">
        <f>IF('Prediction Log'!D399=0, "",'Prediction Log'!D399)</f>
      </c>
      <c r="E398" s="58" t="str">
        <f>IF('Prediction Log'!E399=0, "",'Prediction Log'!E399)</f>
      </c>
      <c r="F398" s="65" t="str">
        <f>IF('Prediction Log'!H399=0, "",'Prediction Log'!H399)</f>
      </c>
      <c r="G398" s="64" t="str">
        <f>IF(ISBLANK(Games!B398), "",'Prediction Log'!$I399)</f>
      </c>
      <c r="H398" s="66" t="n">
        <f>'Prediction Log'!$J399</f>
        <v>0</v>
      </c>
      <c r="I398" s="65" t="str">
        <f>IF(ISBLANK(Games!T398), "",IF(AND(Games!T398="",Games!U398=""),"",IF(ISTEXT(Games!U398), "Side",Games!T398)))</f>
      </c>
      <c r="J398" s="65" t="str">
        <f>IF(ISBLANK(Games!T398), "",IF(Table12[[#This Row],[Bet]]="Spread", Games!X398, ""))</f>
      </c>
      <c r="K398" s="65" t="str">
        <f>IF(ISBLANK(Games!U398), "",IF(ISTEXT(Games!U398), Games!U398, ""))</f>
      </c>
      <c r="L398" s="57" t="str">
        <f>IF(ISBLANK(Games!D398), "", Games!D398)</f>
      </c>
      <c r="M398" s="65"/>
      <c r="N398" s="75" t="str">
        <f>IF(Games!V398="", "",Games!V398)</f>
      </c>
      <c r="O398" s="75" t="str">
        <f>IF(Games!Z398=0, "",Games!Z398)</f>
      </c>
      <c r="P398" s="67"/>
      <c r="Q398" s="67" t="str">
        <f>IF(ISBLANK(Games!W398), "", Games!W398)</f>
      </c>
      <c r="R398" s="67" t="str">
        <f>IF(ISBLANK(Games!AA398), "", Games!AA398)</f>
      </c>
      <c r="S398" s="67"/>
      <c r="T398" s="68" t="str">
        <f t="shared" si="61"/>
      </c>
      <c r="U398" s="68" t="str">
        <f t="shared" si="62"/>
      </c>
      <c r="V398" s="68" t="str">
        <f t="shared" si="63"/>
      </c>
      <c r="W398" s="68" t="str">
        <f t="shared" si="64"/>
      </c>
      <c r="X398" s="68" t="n">
        <f t="shared" si="57"/>
        <v>0</v>
      </c>
      <c r="Y398" s="68" t="n">
        <f t="shared" si="58"/>
        <v>0</v>
      </c>
      <c r="Z398" s="67" t="str">
        <f>IF(OR('Prediction Log'!L399="", Table12[[#This Row],[Bet]]="", Table12[[#This Row],[Bet]]="Spread"), "",IF('Prediction Log'!L399=Table12[[#This Row],[Side]], "W", IF('Prediction Log'!L399&lt;&gt;Table12[[#This Row],[Side]], "L", "")))</f>
      </c>
      <c r="AA398" s="59" t="str">
        <f t="shared" si="59"/>
      </c>
      <c r="AB398" s="67" t="str">
        <f>IF(OR(Table12[[#This Row],[Bet]]="Side",Table12[[#This Row],[Bet]]="", 'Prediction Log'!L399=""), "",IF('Prediction Log'!U399="Y", "W", IF('Prediction Log'!U399="N", "L", "")))</f>
      </c>
      <c r="AC398" s="59" t="str">
        <f t="shared" si="60"/>
      </c>
      <c r="AD398" s="67"/>
      <c r="AE398" s="65" t="str">
        <f t="shared" si="65"/>
      </c>
      <c r="AF3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9">
      <c r="A399" s="65" t="str">
        <f>IF(ISBLANK(Games!A399), "", Games!A399)</f>
      </c>
      <c r="B399" s="65" t="str">
        <f>IF('Prediction Log'!B400=0, "",'Prediction Log'!B400)</f>
      </c>
      <c r="C399" s="65" t="str">
        <f>IF('Prediction Log'!C400=0, "",'Prediction Log'!C400)</f>
      </c>
      <c r="D399" s="65" t="str">
        <f>IF('Prediction Log'!D400=0, "",'Prediction Log'!D400)</f>
      </c>
      <c r="E399" s="58" t="str">
        <f>IF('Prediction Log'!E400=0, "",'Prediction Log'!E400)</f>
      </c>
      <c r="F399" s="65" t="str">
        <f>IF('Prediction Log'!H400=0, "",'Prediction Log'!H400)</f>
      </c>
      <c r="G399" s="64" t="str">
        <f>IF(ISBLANK(Games!B399), "",'Prediction Log'!$I400)</f>
      </c>
      <c r="H399" s="66" t="n">
        <f>'Prediction Log'!$J400</f>
        <v>0</v>
      </c>
      <c r="I399" s="65" t="str">
        <f>IF(ISBLANK(Games!T399), "",IF(AND(Games!T399="",Games!U399=""),"",IF(ISTEXT(Games!U399), "Side",Games!T399)))</f>
      </c>
      <c r="J399" s="65" t="str">
        <f>IF(ISBLANK(Games!T399), "",IF(Table12[[#This Row],[Bet]]="Spread", Games!X399, ""))</f>
      </c>
      <c r="K399" s="65" t="str">
        <f>IF(ISBLANK(Games!U399), "",IF(ISTEXT(Games!U399), Games!U399, ""))</f>
      </c>
      <c r="L399" s="57" t="str">
        <f>IF(ISBLANK(Games!D399), "", Games!D399)</f>
      </c>
      <c r="M399" s="65"/>
      <c r="N399" s="75" t="str">
        <f>IF(Games!V399="", "",Games!V399)</f>
      </c>
      <c r="O399" s="75" t="str">
        <f>IF(Games!Z399=0, "",Games!Z399)</f>
      </c>
      <c r="P399" s="67"/>
      <c r="Q399" s="67" t="str">
        <f>IF(ISBLANK(Games!W399), "", Games!W399)</f>
      </c>
      <c r="R399" s="67" t="str">
        <f>IF(ISBLANK(Games!AA399), "", Games!AA399)</f>
      </c>
      <c r="S399" s="67"/>
      <c r="T399" s="68" t="str">
        <f t="shared" si="61"/>
      </c>
      <c r="U399" s="68" t="str">
        <f t="shared" si="62"/>
      </c>
      <c r="V399" s="68" t="str">
        <f t="shared" si="63"/>
      </c>
      <c r="W399" s="68" t="str">
        <f t="shared" si="64"/>
      </c>
      <c r="X399" s="68" t="n">
        <f t="shared" si="57"/>
        <v>0</v>
      </c>
      <c r="Y399" s="68" t="n">
        <f t="shared" si="58"/>
        <v>0</v>
      </c>
      <c r="Z399" s="67" t="str">
        <f>IF(OR('Prediction Log'!L400="", Table12[[#This Row],[Bet]]="", Table12[[#This Row],[Bet]]="Spread"), "",IF('Prediction Log'!L400=Table12[[#This Row],[Side]], "W", IF('Prediction Log'!L400&lt;&gt;Table12[[#This Row],[Side]], "L", "")))</f>
      </c>
      <c r="AA399" s="59" t="str">
        <f t="shared" si="59"/>
      </c>
      <c r="AB399" s="67" t="str">
        <f>IF(OR(Table12[[#This Row],[Bet]]="Side",Table12[[#This Row],[Bet]]="", 'Prediction Log'!L400=""), "",IF('Prediction Log'!U400="Y", "W", IF('Prediction Log'!U400="N", "L", "")))</f>
      </c>
      <c r="AC399" s="59" t="str">
        <f t="shared" si="60"/>
      </c>
      <c r="AD399" s="67"/>
      <c r="AE399" s="65" t="str">
        <f t="shared" si="65"/>
      </c>
      <c r="AF3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0">
      <c r="A400" s="65" t="str">
        <f>IF(ISBLANK(Games!A400), "", Games!A400)</f>
      </c>
      <c r="B400" s="65" t="str">
        <f>IF('Prediction Log'!B401=0, "",'Prediction Log'!B401)</f>
      </c>
      <c r="C400" s="65" t="str">
        <f>IF('Prediction Log'!C401=0, "",'Prediction Log'!C401)</f>
      </c>
      <c r="D400" s="65" t="str">
        <f>IF('Prediction Log'!D401=0, "",'Prediction Log'!D401)</f>
      </c>
      <c r="E400" s="58" t="str">
        <f>IF('Prediction Log'!E401=0, "",'Prediction Log'!E401)</f>
      </c>
      <c r="F400" s="65" t="str">
        <f>IF('Prediction Log'!H401=0, "",'Prediction Log'!H401)</f>
      </c>
      <c r="G400" s="64" t="str">
        <f>IF(ISBLANK(Games!B400), "",'Prediction Log'!$I401)</f>
      </c>
      <c r="H400" s="66" t="n">
        <f>'Prediction Log'!$J401</f>
        <v>0</v>
      </c>
      <c r="I400" s="65" t="str">
        <f>IF(ISBLANK(Games!T400), "",IF(AND(Games!T400="",Games!U400=""),"",IF(ISTEXT(Games!U400), "Side",Games!T400)))</f>
      </c>
      <c r="J400" s="65" t="str">
        <f>IF(ISBLANK(Games!T400), "",IF(Table12[[#This Row],[Bet]]="Spread", Games!X400, ""))</f>
      </c>
      <c r="K400" s="65" t="str">
        <f>IF(ISBLANK(Games!U400), "",IF(ISTEXT(Games!U400), Games!U400, ""))</f>
      </c>
      <c r="L400" s="57" t="str">
        <f>IF(ISBLANK(Games!D400), "", Games!D400)</f>
      </c>
      <c r="M400" s="65"/>
      <c r="N400" s="75" t="str">
        <f>IF(Games!V400="", "",Games!V400)</f>
      </c>
      <c r="O400" s="75" t="str">
        <f>IF(Games!Z400=0, "",Games!Z400)</f>
      </c>
      <c r="P400" s="67"/>
      <c r="Q400" s="67" t="str">
        <f>IF(ISBLANK(Games!W400), "", Games!W400)</f>
      </c>
      <c r="R400" s="67" t="str">
        <f>IF(ISBLANK(Games!AA400), "", Games!AA400)</f>
      </c>
      <c r="S400" s="67"/>
      <c r="T400" s="68" t="str">
        <f t="shared" si="61"/>
      </c>
      <c r="U400" s="68" t="str">
        <f t="shared" si="62"/>
      </c>
      <c r="V400" s="68" t="str">
        <f t="shared" si="63"/>
      </c>
      <c r="W400" s="68" t="str">
        <f t="shared" si="64"/>
      </c>
      <c r="X400" s="68" t="n">
        <f t="shared" si="57"/>
        <v>0</v>
      </c>
      <c r="Y400" s="68" t="n">
        <f t="shared" si="58"/>
        <v>0</v>
      </c>
      <c r="Z400" s="67" t="str">
        <f>IF(OR('Prediction Log'!L401="", Table12[[#This Row],[Bet]]="", Table12[[#This Row],[Bet]]="Spread"), "",IF('Prediction Log'!L401=Table12[[#This Row],[Side]], "W", IF('Prediction Log'!L401&lt;&gt;Table12[[#This Row],[Side]], "L", "")))</f>
      </c>
      <c r="AA400" s="59" t="str">
        <f t="shared" si="59"/>
      </c>
      <c r="AB400" s="67" t="str">
        <f>IF(OR(Table12[[#This Row],[Bet]]="Side",Table12[[#This Row],[Bet]]="", 'Prediction Log'!L401=""), "",IF('Prediction Log'!U401="Y", "W", IF('Prediction Log'!U401="N", "L", "")))</f>
      </c>
      <c r="AC400" s="59" t="str">
        <f t="shared" si="60"/>
      </c>
      <c r="AD400" s="67"/>
      <c r="AE400" s="65" t="str">
        <f t="shared" si="65"/>
      </c>
      <c r="AF4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1">
      <c r="A401" s="65" t="str">
        <f>IF(ISBLANK(Games!A401), "", Games!A401)</f>
      </c>
      <c r="B401" s="65" t="str">
        <f>IF('Prediction Log'!B402=0, "",'Prediction Log'!B402)</f>
      </c>
      <c r="C401" s="65" t="str">
        <f>IF('Prediction Log'!C402=0, "",'Prediction Log'!C402)</f>
      </c>
      <c r="D401" s="65" t="str">
        <f>IF('Prediction Log'!D402=0, "",'Prediction Log'!D402)</f>
      </c>
      <c r="E401" s="58" t="str">
        <f>IF('Prediction Log'!E402=0, "",'Prediction Log'!E402)</f>
      </c>
      <c r="F401" s="65" t="str">
        <f>IF('Prediction Log'!H402=0, "",'Prediction Log'!H402)</f>
      </c>
      <c r="G401" s="64" t="str">
        <f>IF(ISBLANK(Games!B401), "",'Prediction Log'!$I402)</f>
      </c>
      <c r="H401" s="66" t="n">
        <f>'Prediction Log'!$J402</f>
        <v>0</v>
      </c>
      <c r="I401" s="65" t="str">
        <f>IF(ISBLANK(Games!T401), "",IF(AND(Games!T401="",Games!U401=""),"",IF(ISTEXT(Games!U401), "Side",Games!T401)))</f>
      </c>
      <c r="J401" s="65" t="str">
        <f>IF(ISBLANK(Games!T401), "",IF(Table12[[#This Row],[Bet]]="Spread", Games!X401, ""))</f>
      </c>
      <c r="K401" s="65" t="str">
        <f>IF(ISBLANK(Games!U401), "",IF(ISTEXT(Games!U401), Games!U401, ""))</f>
      </c>
      <c r="L401" s="57" t="str">
        <f>IF(ISBLANK(Games!D401), "", Games!D401)</f>
      </c>
      <c r="M401" s="65"/>
      <c r="N401" s="75" t="str">
        <f>IF(Games!V401="", "",Games!V401)</f>
      </c>
      <c r="O401" s="75" t="str">
        <f>IF(Games!Z401=0, "",Games!Z401)</f>
      </c>
      <c r="P401" s="67"/>
      <c r="Q401" s="67" t="str">
        <f>IF(ISBLANK(Games!W401), "", Games!W401)</f>
      </c>
      <c r="R401" s="67" t="str">
        <f>IF(ISBLANK(Games!AA401), "", Games!AA401)</f>
      </c>
      <c r="S401" s="67"/>
      <c r="T401" s="68" t="str">
        <f t="shared" si="61"/>
      </c>
      <c r="U401" s="68" t="str">
        <f t="shared" si="62"/>
      </c>
      <c r="V401" s="68" t="str">
        <f t="shared" si="63"/>
      </c>
      <c r="W401" s="68" t="str">
        <f t="shared" si="64"/>
      </c>
      <c r="X401" s="68" t="n">
        <f t="shared" si="57"/>
        <v>0</v>
      </c>
      <c r="Y401" s="68" t="n">
        <f t="shared" si="58"/>
        <v>0</v>
      </c>
      <c r="Z401" s="67" t="str">
        <f>IF(OR('Prediction Log'!L402="", Table12[[#This Row],[Bet]]="", Table12[[#This Row],[Bet]]="Spread"), "",IF('Prediction Log'!L402=Table12[[#This Row],[Side]], "W", IF('Prediction Log'!L402&lt;&gt;Table12[[#This Row],[Side]], "L", "")))</f>
      </c>
      <c r="AA401" s="59" t="str">
        <f t="shared" si="59"/>
      </c>
      <c r="AB401" s="67" t="str">
        <f>IF(OR(Table12[[#This Row],[Bet]]="Side",Table12[[#This Row],[Bet]]="", 'Prediction Log'!L402=""), "",IF('Prediction Log'!U402="Y", "W", IF('Prediction Log'!U402="N", "L", "")))</f>
      </c>
      <c r="AC401" s="59" t="str">
        <f t="shared" si="60"/>
      </c>
      <c r="AD401" s="67"/>
      <c r="AE401" s="65" t="str">
        <f t="shared" si="65"/>
      </c>
      <c r="AF4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2">
      <c r="A402" s="65" t="str">
        <f>IF(ISBLANK(Games!A402), "", Games!A402)</f>
      </c>
      <c r="B402" s="65" t="str">
        <f>IF('Prediction Log'!B403=0, "",'Prediction Log'!B403)</f>
      </c>
      <c r="C402" s="65" t="str">
        <f>IF('Prediction Log'!C403=0, "",'Prediction Log'!C403)</f>
      </c>
      <c r="D402" s="65" t="str">
        <f>IF('Prediction Log'!D403=0, "",'Prediction Log'!D403)</f>
      </c>
      <c r="E402" s="58" t="str">
        <f>IF('Prediction Log'!E403=0, "",'Prediction Log'!E403)</f>
      </c>
      <c r="F402" s="65" t="str">
        <f>IF('Prediction Log'!H403=0, "",'Prediction Log'!H403)</f>
      </c>
      <c r="G402" s="64" t="str">
        <f>IF(ISBLANK(Games!B402), "",'Prediction Log'!$I403)</f>
      </c>
      <c r="H402" s="66" t="n">
        <f>'Prediction Log'!$J403</f>
        <v>0</v>
      </c>
      <c r="I402" s="65" t="str">
        <f>IF(ISBLANK(Games!T402), "",IF(AND(Games!T402="",Games!U402=""),"",IF(ISTEXT(Games!U402), "Side",Games!T402)))</f>
      </c>
      <c r="J402" s="65" t="str">
        <f>IF(ISBLANK(Games!T402), "",IF(Table12[[#This Row],[Bet]]="Spread", Games!X402, ""))</f>
      </c>
      <c r="K402" s="65" t="str">
        <f>IF(ISBLANK(Games!U402), "",IF(ISTEXT(Games!U402), Games!U402, ""))</f>
      </c>
      <c r="L402" s="57" t="str">
        <f>IF(ISBLANK(Games!D402), "", Games!D402)</f>
      </c>
      <c r="M402" s="65"/>
      <c r="N402" s="75" t="str">
        <f>IF(Games!V402="", "",Games!V402)</f>
      </c>
      <c r="O402" s="75" t="str">
        <f>IF(Games!Z402=0, "",Games!Z402)</f>
      </c>
      <c r="P402" s="67"/>
      <c r="Q402" s="67" t="str">
        <f>IF(ISBLANK(Games!W402), "", Games!W402)</f>
      </c>
      <c r="R402" s="67" t="str">
        <f>IF(ISBLANK(Games!AA402), "", Games!AA402)</f>
      </c>
      <c r="S402" s="67"/>
      <c r="T402" s="68" t="str">
        <f t="shared" si="61"/>
      </c>
      <c r="U402" s="68" t="str">
        <f t="shared" si="62"/>
      </c>
      <c r="V402" s="68" t="str">
        <f t="shared" si="63"/>
      </c>
      <c r="W402" s="68" t="str">
        <f t="shared" si="64"/>
      </c>
      <c r="X402" s="68" t="n">
        <f t="shared" si="57"/>
        <v>0</v>
      </c>
      <c r="Y402" s="68" t="n">
        <f t="shared" si="58"/>
        <v>0</v>
      </c>
      <c r="Z402" s="67" t="str">
        <f>IF(OR('Prediction Log'!L403="", Table12[[#This Row],[Bet]]="", Table12[[#This Row],[Bet]]="Spread"), "",IF('Prediction Log'!L403=Table12[[#This Row],[Side]], "W", IF('Prediction Log'!L403&lt;&gt;Table12[[#This Row],[Side]], "L", "")))</f>
      </c>
      <c r="AA402" s="59" t="str">
        <f t="shared" si="59"/>
      </c>
      <c r="AB402" s="67" t="str">
        <f>IF(OR(Table12[[#This Row],[Bet]]="Side",Table12[[#This Row],[Bet]]="", 'Prediction Log'!L403=""), "",IF('Prediction Log'!U403="Y", "W", IF('Prediction Log'!U403="N", "L", "")))</f>
      </c>
      <c r="AC402" s="59" t="str">
        <f t="shared" si="60"/>
      </c>
      <c r="AD402" s="67"/>
      <c r="AE402" s="65" t="str">
        <f t="shared" si="65"/>
      </c>
      <c r="AF4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3">
      <c r="A403" s="65" t="str">
        <f>IF(ISBLANK(Games!A403), "", Games!A403)</f>
      </c>
      <c r="B403" s="65" t="str">
        <f>IF('Prediction Log'!B404=0, "",'Prediction Log'!B404)</f>
      </c>
      <c r="C403" s="65" t="str">
        <f>IF('Prediction Log'!C404=0, "",'Prediction Log'!C404)</f>
      </c>
      <c r="D403" s="65" t="str">
        <f>IF('Prediction Log'!D404=0, "",'Prediction Log'!D404)</f>
      </c>
      <c r="E403" s="58" t="str">
        <f>IF('Prediction Log'!E404=0, "",'Prediction Log'!E404)</f>
      </c>
      <c r="F403" s="65" t="str">
        <f>IF('Prediction Log'!H404=0, "",'Prediction Log'!H404)</f>
      </c>
      <c r="G403" s="64" t="str">
        <f>IF(ISBLANK(Games!B403), "",'Prediction Log'!$I404)</f>
      </c>
      <c r="H403" s="66" t="n">
        <f>'Prediction Log'!$J404</f>
        <v>0</v>
      </c>
      <c r="I403" s="65" t="str">
        <f>IF(ISBLANK(Games!T403), "",IF(AND(Games!T403="",Games!U403=""),"",IF(ISTEXT(Games!U403), "Side",Games!T403)))</f>
      </c>
      <c r="J403" s="65" t="str">
        <f>IF(ISBLANK(Games!T403), "",IF(Table12[[#This Row],[Bet]]="Spread", Games!X403, ""))</f>
      </c>
      <c r="K403" s="65" t="str">
        <f>IF(ISBLANK(Games!U403), "",IF(ISTEXT(Games!U403), Games!U403, ""))</f>
      </c>
      <c r="L403" s="57" t="str">
        <f>IF(ISBLANK(Games!D403), "", Games!D403)</f>
      </c>
      <c r="M403" s="65"/>
      <c r="N403" s="75" t="str">
        <f>IF(Games!V403="", "",Games!V403)</f>
      </c>
      <c r="O403" s="75" t="str">
        <f>IF(Games!Z403=0, "",Games!Z403)</f>
      </c>
      <c r="P403" s="67"/>
      <c r="Q403" s="67" t="str">
        <f>IF(ISBLANK(Games!W403), "", Games!W403)</f>
      </c>
      <c r="R403" s="67" t="str">
        <f>IF(ISBLANK(Games!AA403), "", Games!AA403)</f>
      </c>
      <c r="S403" s="67"/>
      <c r="T403" s="68" t="str">
        <f t="shared" si="61"/>
      </c>
      <c r="U403" s="68" t="str">
        <f t="shared" si="62"/>
      </c>
      <c r="V403" s="68" t="str">
        <f t="shared" si="63"/>
      </c>
      <c r="W403" s="68" t="str">
        <f t="shared" si="64"/>
      </c>
      <c r="X403" s="68" t="n">
        <f t="shared" si="57"/>
        <v>0</v>
      </c>
      <c r="Y403" s="68" t="n">
        <f t="shared" si="58"/>
        <v>0</v>
      </c>
      <c r="Z403" s="67" t="str">
        <f>IF(OR('Prediction Log'!L404="", Table12[[#This Row],[Bet]]="", Table12[[#This Row],[Bet]]="Spread"), "",IF('Prediction Log'!L404=Table12[[#This Row],[Side]], "W", IF('Prediction Log'!L404&lt;&gt;Table12[[#This Row],[Side]], "L", "")))</f>
      </c>
      <c r="AA403" s="59" t="str">
        <f t="shared" si="59"/>
      </c>
      <c r="AB403" s="67" t="str">
        <f>IF(OR(Table12[[#This Row],[Bet]]="Side",Table12[[#This Row],[Bet]]="", 'Prediction Log'!L404=""), "",IF('Prediction Log'!U404="Y", "W", IF('Prediction Log'!U404="N", "L", "")))</f>
      </c>
      <c r="AC403" s="59" t="str">
        <f t="shared" si="60"/>
      </c>
      <c r="AD403" s="67"/>
      <c r="AE403" s="65" t="str">
        <f t="shared" si="65"/>
      </c>
      <c r="AF4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4">
      <c r="A404" s="65" t="str">
        <f>IF(ISBLANK(Games!A404), "", Games!A404)</f>
      </c>
      <c r="B404" s="65" t="str">
        <f>IF('Prediction Log'!B405=0, "",'Prediction Log'!B405)</f>
      </c>
      <c r="C404" s="65" t="str">
        <f>IF('Prediction Log'!C405=0, "",'Prediction Log'!C405)</f>
      </c>
      <c r="D404" s="65" t="str">
        <f>IF('Prediction Log'!D405=0, "",'Prediction Log'!D405)</f>
      </c>
      <c r="E404" s="58" t="str">
        <f>IF('Prediction Log'!E405=0, "",'Prediction Log'!E405)</f>
      </c>
      <c r="F404" s="65" t="str">
        <f>IF('Prediction Log'!H405=0, "",'Prediction Log'!H405)</f>
      </c>
      <c r="G404" s="64" t="str">
        <f>IF(ISBLANK(Games!B404), "",'Prediction Log'!$I405)</f>
      </c>
      <c r="H404" s="66" t="n">
        <f>'Prediction Log'!$J405</f>
        <v>0</v>
      </c>
      <c r="I404" s="65" t="str">
        <f>IF(ISBLANK(Games!T404), "",IF(AND(Games!T404="",Games!U404=""),"",IF(ISTEXT(Games!U404), "Side",Games!T404)))</f>
      </c>
      <c r="J404" s="65" t="str">
        <f>IF(ISBLANK(Games!T404), "",IF(Table12[[#This Row],[Bet]]="Spread", Games!X404, ""))</f>
      </c>
      <c r="K404" s="65" t="str">
        <f>IF(ISBLANK(Games!U404), "",IF(ISTEXT(Games!U404), Games!U404, ""))</f>
      </c>
      <c r="L404" s="57" t="str">
        <f>IF(ISBLANK(Games!D404), "", Games!D404)</f>
      </c>
      <c r="M404" s="65"/>
      <c r="N404" s="75" t="str">
        <f>IF(Games!V404="", "",Games!V404)</f>
      </c>
      <c r="O404" s="75" t="str">
        <f>IF(Games!Z404=0, "",Games!Z404)</f>
      </c>
      <c r="P404" s="67"/>
      <c r="Q404" s="67" t="str">
        <f>IF(ISBLANK(Games!W404), "", Games!W404)</f>
      </c>
      <c r="R404" s="67" t="str">
        <f>IF(ISBLANK(Games!AA404), "", Games!AA404)</f>
      </c>
      <c r="S404" s="67"/>
      <c r="T404" s="68" t="str">
        <f t="shared" si="61"/>
      </c>
      <c r="U404" s="68" t="str">
        <f t="shared" si="62"/>
      </c>
      <c r="V404" s="68" t="str">
        <f t="shared" si="63"/>
      </c>
      <c r="W404" s="68" t="str">
        <f t="shared" si="64"/>
      </c>
      <c r="X404" s="68" t="n">
        <f t="shared" si="57"/>
        <v>0</v>
      </c>
      <c r="Y404" s="68" t="n">
        <f t="shared" si="58"/>
        <v>0</v>
      </c>
      <c r="Z404" s="67" t="str">
        <f>IF(OR('Prediction Log'!L405="", Table12[[#This Row],[Bet]]="", Table12[[#This Row],[Bet]]="Spread"), "",IF('Prediction Log'!L405=Table12[[#This Row],[Side]], "W", IF('Prediction Log'!L405&lt;&gt;Table12[[#This Row],[Side]], "L", "")))</f>
      </c>
      <c r="AA404" s="59" t="str">
        <f t="shared" si="59"/>
      </c>
      <c r="AB404" s="67" t="str">
        <f>IF(OR(Table12[[#This Row],[Bet]]="Side",Table12[[#This Row],[Bet]]="", 'Prediction Log'!L405=""), "",IF('Prediction Log'!U405="Y", "W", IF('Prediction Log'!U405="N", "L", "")))</f>
      </c>
      <c r="AC404" s="59" t="str">
        <f t="shared" si="60"/>
      </c>
      <c r="AD404" s="67"/>
      <c r="AE404" s="65" t="str">
        <f t="shared" si="65"/>
      </c>
      <c r="AF4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5">
      <c r="A405" s="65" t="str">
        <f>IF(ISBLANK(Games!A405), "", Games!A405)</f>
      </c>
      <c r="B405" s="65" t="str">
        <f>IF('Prediction Log'!B406=0, "",'Prediction Log'!B406)</f>
      </c>
      <c r="C405" s="65" t="str">
        <f>IF('Prediction Log'!C406=0, "",'Prediction Log'!C406)</f>
      </c>
      <c r="D405" s="65" t="str">
        <f>IF('Prediction Log'!D406=0, "",'Prediction Log'!D406)</f>
      </c>
      <c r="E405" s="58" t="str">
        <f>IF('Prediction Log'!E406=0, "",'Prediction Log'!E406)</f>
      </c>
      <c r="F405" s="65" t="str">
        <f>IF('Prediction Log'!H406=0, "",'Prediction Log'!H406)</f>
      </c>
      <c r="G405" s="64" t="str">
        <f>IF(ISBLANK(Games!B405), "",'Prediction Log'!$I406)</f>
      </c>
      <c r="H405" s="66" t="n">
        <f>'Prediction Log'!$J406</f>
        <v>0</v>
      </c>
      <c r="I405" s="65" t="str">
        <f>IF(ISBLANK(Games!T405), "",IF(AND(Games!T405="",Games!U405=""),"",IF(ISTEXT(Games!U405), "Side",Games!T405)))</f>
      </c>
      <c r="J405" s="65" t="str">
        <f>IF(ISBLANK(Games!T405), "",IF(Table12[[#This Row],[Bet]]="Spread", Games!X405, ""))</f>
      </c>
      <c r="K405" s="65" t="str">
        <f>IF(ISBLANK(Games!U405), "",IF(ISTEXT(Games!U405), Games!U405, ""))</f>
      </c>
      <c r="L405" s="57" t="str">
        <f>IF(ISBLANK(Games!D405), "", Games!D405)</f>
      </c>
      <c r="M405" s="65"/>
      <c r="N405" s="75" t="str">
        <f>IF(Games!V405="", "",Games!V405)</f>
      </c>
      <c r="O405" s="75" t="str">
        <f>IF(Games!Z405=0, "",Games!Z405)</f>
      </c>
      <c r="P405" s="67"/>
      <c r="Q405" s="67" t="str">
        <f>IF(ISBLANK(Games!W405), "", Games!W405)</f>
      </c>
      <c r="R405" s="67" t="str">
        <f>IF(ISBLANK(Games!AA405), "", Games!AA405)</f>
      </c>
      <c r="S405" s="67"/>
      <c r="T405" s="68" t="str">
        <f t="shared" si="61"/>
      </c>
      <c r="U405" s="68" t="str">
        <f t="shared" si="62"/>
      </c>
      <c r="V405" s="68" t="str">
        <f t="shared" si="63"/>
      </c>
      <c r="W405" s="68" t="str">
        <f t="shared" si="64"/>
      </c>
      <c r="X405" s="68" t="n">
        <f t="shared" si="57"/>
        <v>0</v>
      </c>
      <c r="Y405" s="68" t="n">
        <f t="shared" si="58"/>
        <v>0</v>
      </c>
      <c r="Z405" s="67" t="str">
        <f>IF(OR('Prediction Log'!L406="", Table12[[#This Row],[Bet]]="", Table12[[#This Row],[Bet]]="Spread"), "",IF('Prediction Log'!L406=Table12[[#This Row],[Side]], "W", IF('Prediction Log'!L406&lt;&gt;Table12[[#This Row],[Side]], "L", "")))</f>
      </c>
      <c r="AA405" s="59" t="str">
        <f t="shared" si="59"/>
      </c>
      <c r="AB405" s="67" t="str">
        <f>IF(OR(Table12[[#This Row],[Bet]]="Side",Table12[[#This Row],[Bet]]="", 'Prediction Log'!L406=""), "",IF('Prediction Log'!U406="Y", "W", IF('Prediction Log'!U406="N", "L", "")))</f>
      </c>
      <c r="AC405" s="59" t="str">
        <f t="shared" si="60"/>
      </c>
      <c r="AD405" s="67"/>
      <c r="AE405" s="65" t="str">
        <f t="shared" si="65"/>
      </c>
      <c r="AF4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6">
      <c r="A406" s="65" t="str">
        <f>IF(ISBLANK(Games!A406), "", Games!A406)</f>
      </c>
      <c r="B406" s="65" t="str">
        <f>IF('Prediction Log'!B407=0, "",'Prediction Log'!B407)</f>
      </c>
      <c r="C406" s="65" t="str">
        <f>IF('Prediction Log'!C407=0, "",'Prediction Log'!C407)</f>
      </c>
      <c r="D406" s="65" t="str">
        <f>IF('Prediction Log'!D407=0, "",'Prediction Log'!D407)</f>
      </c>
      <c r="E406" s="58" t="str">
        <f>IF('Prediction Log'!E407=0, "",'Prediction Log'!E407)</f>
      </c>
      <c r="F406" s="65" t="str">
        <f>IF('Prediction Log'!H407=0, "",'Prediction Log'!H407)</f>
      </c>
      <c r="G406" s="64" t="str">
        <f>IF(ISBLANK(Games!B406), "",'Prediction Log'!$I407)</f>
      </c>
      <c r="H406" s="66" t="n">
        <f>'Prediction Log'!$J407</f>
        <v>0</v>
      </c>
      <c r="I406" s="65" t="str">
        <f>IF(ISBLANK(Games!T406), "",IF(AND(Games!T406="",Games!U406=""),"",IF(ISTEXT(Games!U406), "Side",Games!T406)))</f>
      </c>
      <c r="J406" s="65" t="str">
        <f>IF(ISBLANK(Games!T406), "",IF(Table12[[#This Row],[Bet]]="Spread", Games!X406, ""))</f>
      </c>
      <c r="K406" s="65" t="str">
        <f>IF(ISBLANK(Games!U406), "",IF(ISTEXT(Games!U406), Games!U406, ""))</f>
      </c>
      <c r="L406" s="57" t="str">
        <f>IF(ISBLANK(Games!D406), "", Games!D406)</f>
      </c>
      <c r="M406" s="65"/>
      <c r="N406" s="75" t="str">
        <f>IF(Games!V406="", "",Games!V406)</f>
      </c>
      <c r="O406" s="75" t="str">
        <f>IF(Games!Z406=0, "",Games!Z406)</f>
      </c>
      <c r="P406" s="67"/>
      <c r="Q406" s="67" t="str">
        <f>IF(ISBLANK(Games!W406), "", Games!W406)</f>
      </c>
      <c r="R406" s="67" t="str">
        <f>IF(ISBLANK(Games!AA406), "", Games!AA406)</f>
      </c>
      <c r="S406" s="67"/>
      <c r="T406" s="68" t="str">
        <f t="shared" si="61"/>
      </c>
      <c r="U406" s="68" t="str">
        <f t="shared" si="62"/>
      </c>
      <c r="V406" s="68" t="str">
        <f t="shared" si="63"/>
      </c>
      <c r="W406" s="68" t="str">
        <f t="shared" si="64"/>
      </c>
      <c r="X406" s="68" t="n">
        <f t="shared" si="57"/>
        <v>0</v>
      </c>
      <c r="Y406" s="68" t="n">
        <f t="shared" si="58"/>
        <v>0</v>
      </c>
      <c r="Z406" s="67" t="str">
        <f>IF(OR('Prediction Log'!L407="", Table12[[#This Row],[Bet]]="", Table12[[#This Row],[Bet]]="Spread"), "",IF('Prediction Log'!L407=Table12[[#This Row],[Side]], "W", IF('Prediction Log'!L407&lt;&gt;Table12[[#This Row],[Side]], "L", "")))</f>
      </c>
      <c r="AA406" s="59" t="str">
        <f t="shared" si="59"/>
      </c>
      <c r="AB406" s="67" t="str">
        <f>IF(OR(Table12[[#This Row],[Bet]]="Side",Table12[[#This Row],[Bet]]="", 'Prediction Log'!L407=""), "",IF('Prediction Log'!U407="Y", "W", IF('Prediction Log'!U407="N", "L", "")))</f>
      </c>
      <c r="AC406" s="59" t="str">
        <f t="shared" si="60"/>
      </c>
      <c r="AD406" s="67"/>
      <c r="AE406" s="65" t="str">
        <f t="shared" si="65"/>
      </c>
      <c r="AF4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7">
      <c r="A407" s="65" t="str">
        <f>IF(ISBLANK(Games!A407), "", Games!A407)</f>
      </c>
      <c r="B407" s="65" t="str">
        <f>IF('Prediction Log'!B408=0, "",'Prediction Log'!B408)</f>
      </c>
      <c r="C407" s="65" t="str">
        <f>IF('Prediction Log'!C408=0, "",'Prediction Log'!C408)</f>
      </c>
      <c r="D407" s="65" t="str">
        <f>IF('Prediction Log'!D408=0, "",'Prediction Log'!D408)</f>
      </c>
      <c r="E407" s="58" t="str">
        <f>IF('Prediction Log'!E408=0, "",'Prediction Log'!E408)</f>
      </c>
      <c r="F407" s="65" t="str">
        <f>IF('Prediction Log'!H408=0, "",'Prediction Log'!H408)</f>
      </c>
      <c r="G407" s="64" t="str">
        <f>IF(ISBLANK(Games!B407), "",'Prediction Log'!$I408)</f>
      </c>
      <c r="H407" s="66" t="n">
        <f>'Prediction Log'!$J408</f>
        <v>0</v>
      </c>
      <c r="I407" s="65" t="str">
        <f>IF(ISBLANK(Games!T407), "",IF(AND(Games!T407="",Games!U407=""),"",IF(ISTEXT(Games!U407), "Side",Games!T407)))</f>
      </c>
      <c r="J407" s="65" t="str">
        <f>IF(ISBLANK(Games!T407), "",IF(Table12[[#This Row],[Bet]]="Spread", Games!X407, ""))</f>
      </c>
      <c r="K407" s="65" t="str">
        <f>IF(ISBLANK(Games!U407), "",IF(ISTEXT(Games!U407), Games!U407, ""))</f>
      </c>
      <c r="L407" s="57" t="str">
        <f>IF(ISBLANK(Games!D407), "", Games!D407)</f>
      </c>
      <c r="M407" s="65"/>
      <c r="N407" s="75" t="str">
        <f>IF(Games!V407="", "",Games!V407)</f>
      </c>
      <c r="O407" s="75" t="str">
        <f>IF(Games!Z407=0, "",Games!Z407)</f>
      </c>
      <c r="P407" s="67"/>
      <c r="Q407" s="67" t="str">
        <f>IF(ISBLANK(Games!W407), "", Games!W407)</f>
      </c>
      <c r="R407" s="67" t="str">
        <f>IF(ISBLANK(Games!AA407), "", Games!AA407)</f>
      </c>
      <c r="S407" s="67"/>
      <c r="T407" s="68" t="str">
        <f t="shared" si="61"/>
      </c>
      <c r="U407" s="68" t="str">
        <f t="shared" si="62"/>
      </c>
      <c r="V407" s="68" t="str">
        <f t="shared" si="63"/>
      </c>
      <c r="W407" s="68" t="str">
        <f t="shared" si="64"/>
      </c>
      <c r="X407" s="68" t="n">
        <f t="shared" si="57"/>
        <v>0</v>
      </c>
      <c r="Y407" s="68" t="n">
        <f t="shared" si="58"/>
        <v>0</v>
      </c>
      <c r="Z407" s="67" t="str">
        <f>IF(OR('Prediction Log'!L408="", Table12[[#This Row],[Bet]]="", Table12[[#This Row],[Bet]]="Spread"), "",IF('Prediction Log'!L408=Table12[[#This Row],[Side]], "W", IF('Prediction Log'!L408&lt;&gt;Table12[[#This Row],[Side]], "L", "")))</f>
      </c>
      <c r="AA407" s="59" t="str">
        <f t="shared" si="59"/>
      </c>
      <c r="AB407" s="67" t="str">
        <f>IF(OR(Table12[[#This Row],[Bet]]="Side",Table12[[#This Row],[Bet]]="", 'Prediction Log'!L408=""), "",IF('Prediction Log'!U408="Y", "W", IF('Prediction Log'!U408="N", "L", "")))</f>
      </c>
      <c r="AC407" s="59" t="str">
        <f t="shared" si="60"/>
      </c>
      <c r="AD407" s="67"/>
      <c r="AE407" s="65" t="str">
        <f t="shared" si="65"/>
      </c>
      <c r="AF4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8">
      <c r="A408" s="65" t="str">
        <f>IF(ISBLANK(Games!A408), "", Games!A408)</f>
      </c>
      <c r="B408" s="65" t="str">
        <f>IF('Prediction Log'!B409=0, "",'Prediction Log'!B409)</f>
      </c>
      <c r="C408" s="65" t="str">
        <f>IF('Prediction Log'!C409=0, "",'Prediction Log'!C409)</f>
      </c>
      <c r="D408" s="65" t="str">
        <f>IF('Prediction Log'!D409=0, "",'Prediction Log'!D409)</f>
      </c>
      <c r="E408" s="58" t="str">
        <f>IF('Prediction Log'!E409=0, "",'Prediction Log'!E409)</f>
      </c>
      <c r="F408" s="65" t="str">
        <f>IF('Prediction Log'!H409=0, "",'Prediction Log'!H409)</f>
      </c>
      <c r="G408" s="64" t="str">
        <f>IF(ISBLANK(Games!B408), "",'Prediction Log'!$I409)</f>
      </c>
      <c r="H408" s="66" t="n">
        <f>'Prediction Log'!$J409</f>
        <v>0</v>
      </c>
      <c r="I408" s="65" t="str">
        <f>IF(ISBLANK(Games!T408), "",IF(AND(Games!T408="",Games!U408=""),"",IF(ISTEXT(Games!U408), "Side",Games!T408)))</f>
      </c>
      <c r="J408" s="65" t="str">
        <f>IF(ISBLANK(Games!T408), "",IF(Table12[[#This Row],[Bet]]="Spread", Games!X408, ""))</f>
      </c>
      <c r="K408" s="65" t="str">
        <f>IF(ISBLANK(Games!U408), "",IF(ISTEXT(Games!U408), Games!U408, ""))</f>
      </c>
      <c r="L408" s="57" t="str">
        <f>IF(ISBLANK(Games!D408), "", Games!D408)</f>
      </c>
      <c r="M408" s="65"/>
      <c r="N408" s="75" t="str">
        <f>IF(Games!V408="", "",Games!V408)</f>
      </c>
      <c r="O408" s="75" t="str">
        <f>IF(Games!Z408=0, "",Games!Z408)</f>
      </c>
      <c r="P408" s="67"/>
      <c r="Q408" s="67" t="str">
        <f>IF(ISBLANK(Games!W408), "", Games!W408)</f>
      </c>
      <c r="R408" s="67" t="str">
        <f>IF(ISBLANK(Games!AA408), "", Games!AA408)</f>
      </c>
      <c r="S408" s="67"/>
      <c r="T408" s="68" t="str">
        <f t="shared" si="61"/>
      </c>
      <c r="U408" s="68" t="str">
        <f t="shared" si="62"/>
      </c>
      <c r="V408" s="68" t="str">
        <f t="shared" si="63"/>
      </c>
      <c r="W408" s="68" t="str">
        <f t="shared" si="64"/>
      </c>
      <c r="X408" s="68" t="n">
        <f t="shared" si="57"/>
        <v>0</v>
      </c>
      <c r="Y408" s="68" t="n">
        <f t="shared" si="58"/>
        <v>0</v>
      </c>
      <c r="Z408" s="67" t="str">
        <f>IF(OR('Prediction Log'!L409="", Table12[[#This Row],[Bet]]="", Table12[[#This Row],[Bet]]="Spread"), "",IF('Prediction Log'!L409=Table12[[#This Row],[Side]], "W", IF('Prediction Log'!L409&lt;&gt;Table12[[#This Row],[Side]], "L", "")))</f>
      </c>
      <c r="AA408" s="59" t="str">
        <f t="shared" si="59"/>
      </c>
      <c r="AB408" s="67" t="str">
        <f>IF(OR(Table12[[#This Row],[Bet]]="Side",Table12[[#This Row],[Bet]]="", 'Prediction Log'!L409=""), "",IF('Prediction Log'!U409="Y", "W", IF('Prediction Log'!U409="N", "L", "")))</f>
      </c>
      <c r="AC408" s="59" t="str">
        <f t="shared" si="60"/>
      </c>
      <c r="AD408" s="67"/>
      <c r="AE408" s="65" t="str">
        <f t="shared" si="65"/>
      </c>
      <c r="AF4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9">
      <c r="A409" s="65" t="str">
        <f>IF(ISBLANK(Games!A409), "", Games!A409)</f>
      </c>
      <c r="B409" s="65" t="str">
        <f>IF('Prediction Log'!B410=0, "",'Prediction Log'!B410)</f>
      </c>
      <c r="C409" s="65" t="str">
        <f>IF('Prediction Log'!C410=0, "",'Prediction Log'!C410)</f>
      </c>
      <c r="D409" s="65" t="str">
        <f>IF('Prediction Log'!D410=0, "",'Prediction Log'!D410)</f>
      </c>
      <c r="E409" s="58" t="str">
        <f>IF('Prediction Log'!E410=0, "",'Prediction Log'!E410)</f>
      </c>
      <c r="F409" s="65" t="str">
        <f>IF('Prediction Log'!H410=0, "",'Prediction Log'!H410)</f>
      </c>
      <c r="G409" s="64" t="str">
        <f>IF(ISBLANK(Games!B409), "",'Prediction Log'!$I410)</f>
      </c>
      <c r="H409" s="66" t="n">
        <f>'Prediction Log'!$J410</f>
        <v>0</v>
      </c>
      <c r="I409" s="65" t="str">
        <f>IF(ISBLANK(Games!T409), "",IF(AND(Games!T409="",Games!U409=""),"",IF(ISTEXT(Games!U409), "Side",Games!T409)))</f>
      </c>
      <c r="J409" s="65" t="str">
        <f>IF(ISBLANK(Games!T409), "",IF(Table12[[#This Row],[Bet]]="Spread", Games!X409, ""))</f>
      </c>
      <c r="K409" s="65" t="str">
        <f>IF(ISBLANK(Games!U409), "",IF(ISTEXT(Games!U409), Games!U409, ""))</f>
      </c>
      <c r="L409" s="57" t="str">
        <f>IF(ISBLANK(Games!D409), "", Games!D409)</f>
      </c>
      <c r="M409" s="65"/>
      <c r="N409" s="75" t="str">
        <f>IF(Games!V409="", "",Games!V409)</f>
      </c>
      <c r="O409" s="75" t="str">
        <f>IF(Games!Z409=0, "",Games!Z409)</f>
      </c>
      <c r="P409" s="67"/>
      <c r="Q409" s="67" t="str">
        <f>IF(ISBLANK(Games!W409), "", Games!W409)</f>
      </c>
      <c r="R409" s="67" t="str">
        <f>IF(ISBLANK(Games!AA409), "", Games!AA409)</f>
      </c>
      <c r="S409" s="67"/>
      <c r="T409" s="68" t="str">
        <f t="shared" si="61"/>
      </c>
      <c r="U409" s="68" t="str">
        <f t="shared" si="62"/>
      </c>
      <c r="V409" s="68" t="str">
        <f t="shared" si="63"/>
      </c>
      <c r="W409" s="68" t="str">
        <f t="shared" si="64"/>
      </c>
      <c r="X409" s="68" t="n">
        <f t="shared" si="57"/>
        <v>0</v>
      </c>
      <c r="Y409" s="68" t="n">
        <f t="shared" si="58"/>
        <v>0</v>
      </c>
      <c r="Z409" s="67" t="str">
        <f>IF(OR('Prediction Log'!L410="", Table12[[#This Row],[Bet]]="", Table12[[#This Row],[Bet]]="Spread"), "",IF('Prediction Log'!L410=Table12[[#This Row],[Side]], "W", IF('Prediction Log'!L410&lt;&gt;Table12[[#This Row],[Side]], "L", "")))</f>
      </c>
      <c r="AA409" s="59" t="str">
        <f t="shared" si="59"/>
      </c>
      <c r="AB409" s="67" t="str">
        <f>IF(OR(Table12[[#This Row],[Bet]]="Side",Table12[[#This Row],[Bet]]="", 'Prediction Log'!L410=""), "",IF('Prediction Log'!U410="Y", "W", IF('Prediction Log'!U410="N", "L", "")))</f>
      </c>
      <c r="AC409" s="59" t="str">
        <f t="shared" si="60"/>
      </c>
      <c r="AD409" s="67"/>
      <c r="AE409" s="65" t="str">
        <f t="shared" si="65"/>
      </c>
      <c r="AF4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0">
      <c r="A410" s="65" t="str">
        <f>IF(ISBLANK(Games!A410), "", Games!A410)</f>
      </c>
      <c r="B410" s="65" t="str">
        <f>IF('Prediction Log'!B411=0, "",'Prediction Log'!B411)</f>
      </c>
      <c r="C410" s="65" t="str">
        <f>IF('Prediction Log'!C411=0, "",'Prediction Log'!C411)</f>
      </c>
      <c r="D410" s="65" t="str">
        <f>IF('Prediction Log'!D411=0, "",'Prediction Log'!D411)</f>
      </c>
      <c r="E410" s="58" t="str">
        <f>IF('Prediction Log'!E411=0, "",'Prediction Log'!E411)</f>
      </c>
      <c r="F410" s="65" t="str">
        <f>IF('Prediction Log'!H411=0, "",'Prediction Log'!H411)</f>
      </c>
      <c r="G410" s="64" t="str">
        <f>IF(ISBLANK(Games!B410), "",'Prediction Log'!$I411)</f>
      </c>
      <c r="H410" s="66" t="n">
        <f>'Prediction Log'!$J411</f>
        <v>0</v>
      </c>
      <c r="I410" s="65" t="str">
        <f>IF(ISBLANK(Games!T410), "",IF(AND(Games!T410="",Games!U410=""),"",IF(ISTEXT(Games!U410), "Side",Games!T410)))</f>
      </c>
      <c r="J410" s="65" t="str">
        <f>IF(ISBLANK(Games!T410), "",IF(Table12[[#This Row],[Bet]]="Spread", Games!X410, ""))</f>
      </c>
      <c r="K410" s="65" t="str">
        <f>IF(ISBLANK(Games!U410), "",IF(ISTEXT(Games!U410), Games!U410, ""))</f>
      </c>
      <c r="L410" s="57" t="str">
        <f>IF(ISBLANK(Games!D410), "", Games!D410)</f>
      </c>
      <c r="M410" s="65"/>
      <c r="N410" s="75" t="str">
        <f>IF(Games!V410="", "",Games!V410)</f>
      </c>
      <c r="O410" s="75" t="str">
        <f>IF(Games!Z410=0, "",Games!Z410)</f>
      </c>
      <c r="P410" s="67"/>
      <c r="Q410" s="67" t="str">
        <f>IF(ISBLANK(Games!W410), "", Games!W410)</f>
      </c>
      <c r="R410" s="67" t="str">
        <f>IF(ISBLANK(Games!AA410), "", Games!AA410)</f>
      </c>
      <c r="S410" s="67"/>
      <c r="T410" s="68" t="str">
        <f t="shared" si="61"/>
      </c>
      <c r="U410" s="68" t="str">
        <f t="shared" si="62"/>
      </c>
      <c r="V410" s="68" t="str">
        <f t="shared" si="63"/>
      </c>
      <c r="W410" s="68" t="str">
        <f t="shared" si="64"/>
      </c>
      <c r="X410" s="68" t="n">
        <f t="shared" si="57"/>
        <v>0</v>
      </c>
      <c r="Y410" s="68" t="n">
        <f t="shared" si="58"/>
        <v>0</v>
      </c>
      <c r="Z410" s="67" t="str">
        <f>IF(OR('Prediction Log'!L411="", Table12[[#This Row],[Bet]]="", Table12[[#This Row],[Bet]]="Spread"), "",IF('Prediction Log'!L411=Table12[[#This Row],[Side]], "W", IF('Prediction Log'!L411&lt;&gt;Table12[[#This Row],[Side]], "L", "")))</f>
      </c>
      <c r="AA410" s="59" t="str">
        <f t="shared" si="59"/>
      </c>
      <c r="AB410" s="67" t="str">
        <f>IF(OR(Table12[[#This Row],[Bet]]="Side",Table12[[#This Row],[Bet]]="", 'Prediction Log'!L411=""), "",IF('Prediction Log'!U411="Y", "W", IF('Prediction Log'!U411="N", "L", "")))</f>
      </c>
      <c r="AC410" s="59" t="str">
        <f t="shared" si="60"/>
      </c>
      <c r="AD410" s="67"/>
      <c r="AE410" s="65" t="str">
        <f t="shared" si="65"/>
      </c>
      <c r="AF4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1">
      <c r="A411" s="65" t="str">
        <f>IF(ISBLANK(Games!A411), "", Games!A411)</f>
      </c>
      <c r="B411" s="65" t="str">
        <f>IF('Prediction Log'!B412=0, "",'Prediction Log'!B412)</f>
      </c>
      <c r="C411" s="65" t="str">
        <f>IF('Prediction Log'!C412=0, "",'Prediction Log'!C412)</f>
      </c>
      <c r="D411" s="65" t="str">
        <f>IF('Prediction Log'!D412=0, "",'Prediction Log'!D412)</f>
      </c>
      <c r="E411" s="58" t="str">
        <f>IF('Prediction Log'!E412=0, "",'Prediction Log'!E412)</f>
      </c>
      <c r="F411" s="65" t="str">
        <f>IF('Prediction Log'!H412=0, "",'Prediction Log'!H412)</f>
      </c>
      <c r="G411" s="64" t="str">
        <f>IF(ISBLANK(Games!B411), "",'Prediction Log'!$I412)</f>
      </c>
      <c r="H411" s="66" t="n">
        <f>'Prediction Log'!$J412</f>
        <v>0</v>
      </c>
      <c r="I411" s="65" t="str">
        <f>IF(ISBLANK(Games!T411), "",IF(AND(Games!T411="",Games!U411=""),"",IF(ISTEXT(Games!U411), "Side",Games!T411)))</f>
      </c>
      <c r="J411" s="65" t="str">
        <f>IF(ISBLANK(Games!T411), "",IF(Table12[[#This Row],[Bet]]="Spread", Games!X411, ""))</f>
      </c>
      <c r="K411" s="65" t="str">
        <f>IF(ISBLANK(Games!U411), "",IF(ISTEXT(Games!U411), Games!U411, ""))</f>
      </c>
      <c r="L411" s="57" t="str">
        <f>IF(ISBLANK(Games!D411), "", Games!D411)</f>
      </c>
      <c r="M411" s="65"/>
      <c r="N411" s="75" t="str">
        <f>IF(Games!V411="", "",Games!V411)</f>
      </c>
      <c r="O411" s="75" t="str">
        <f>IF(Games!Z411=0, "",Games!Z411)</f>
      </c>
      <c r="P411" s="67"/>
      <c r="Q411" s="67" t="str">
        <f>IF(ISBLANK(Games!W411), "", Games!W411)</f>
      </c>
      <c r="R411" s="67" t="str">
        <f>IF(ISBLANK(Games!AA411), "", Games!AA411)</f>
      </c>
      <c r="S411" s="67"/>
      <c r="T411" s="68" t="str">
        <f t="shared" si="61"/>
      </c>
      <c r="U411" s="68" t="str">
        <f t="shared" si="62"/>
      </c>
      <c r="V411" s="68" t="str">
        <f t="shared" si="63"/>
      </c>
      <c r="W411" s="68" t="str">
        <f t="shared" si="64"/>
      </c>
      <c r="X411" s="68" t="n">
        <f t="shared" si="57"/>
        <v>0</v>
      </c>
      <c r="Y411" s="68" t="n">
        <f t="shared" si="58"/>
        <v>0</v>
      </c>
      <c r="Z411" s="67" t="str">
        <f>IF(OR('Prediction Log'!L412="", Table12[[#This Row],[Bet]]="", Table12[[#This Row],[Bet]]="Spread"), "",IF('Prediction Log'!L412=Table12[[#This Row],[Side]], "W", IF('Prediction Log'!L412&lt;&gt;Table12[[#This Row],[Side]], "L", "")))</f>
      </c>
      <c r="AA411" s="59" t="str">
        <f t="shared" si="59"/>
      </c>
      <c r="AB411" s="67" t="str">
        <f>IF(OR(Table12[[#This Row],[Bet]]="Side",Table12[[#This Row],[Bet]]="", 'Prediction Log'!L412=""), "",IF('Prediction Log'!U412="Y", "W", IF('Prediction Log'!U412="N", "L", "")))</f>
      </c>
      <c r="AC411" s="59" t="str">
        <f t="shared" si="60"/>
      </c>
      <c r="AD411" s="67"/>
      <c r="AE411" s="65" t="str">
        <f t="shared" si="65"/>
      </c>
      <c r="AF4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2">
      <c r="A412" s="65" t="str">
        <f>IF(ISBLANK(Games!A412), "", Games!A412)</f>
      </c>
      <c r="B412" s="65" t="str">
        <f>IF('Prediction Log'!B413=0, "",'Prediction Log'!B413)</f>
      </c>
      <c r="C412" s="65" t="str">
        <f>IF('Prediction Log'!C413=0, "",'Prediction Log'!C413)</f>
      </c>
      <c r="D412" s="65" t="str">
        <f>IF('Prediction Log'!D413=0, "",'Prediction Log'!D413)</f>
      </c>
      <c r="E412" s="58" t="str">
        <f>IF('Prediction Log'!E413=0, "",'Prediction Log'!E413)</f>
      </c>
      <c r="F412" s="65" t="str">
        <f>IF('Prediction Log'!H413=0, "",'Prediction Log'!H413)</f>
      </c>
      <c r="G412" s="64" t="str">
        <f>IF(ISBLANK(Games!B412), "",'Prediction Log'!$I413)</f>
      </c>
      <c r="H412" s="66" t="n">
        <f>'Prediction Log'!$J413</f>
        <v>0</v>
      </c>
      <c r="I412" s="65" t="str">
        <f>IF(ISBLANK(Games!T412), "",IF(AND(Games!T412="",Games!U412=""),"",IF(ISTEXT(Games!U412), "Side",Games!T412)))</f>
      </c>
      <c r="J412" s="65" t="str">
        <f>IF(ISBLANK(Games!T412), "",IF(Table12[[#This Row],[Bet]]="Spread", Games!X412, ""))</f>
      </c>
      <c r="K412" s="65" t="str">
        <f>IF(ISBLANK(Games!U412), "",IF(ISTEXT(Games!U412), Games!U412, ""))</f>
      </c>
      <c r="L412" s="57" t="str">
        <f>IF(ISBLANK(Games!D412), "", Games!D412)</f>
      </c>
      <c r="M412" s="65"/>
      <c r="N412" s="75" t="str">
        <f>IF(Games!V412="", "",Games!V412)</f>
      </c>
      <c r="O412" s="75" t="str">
        <f>IF(Games!Z412=0, "",Games!Z412)</f>
      </c>
      <c r="P412" s="67"/>
      <c r="Q412" s="67" t="str">
        <f>IF(ISBLANK(Games!W412), "", Games!W412)</f>
      </c>
      <c r="R412" s="67" t="str">
        <f>IF(ISBLANK(Games!AA412), "", Games!AA412)</f>
      </c>
      <c r="S412" s="67"/>
      <c r="T412" s="68" t="str">
        <f t="shared" si="61"/>
      </c>
      <c r="U412" s="68" t="str">
        <f t="shared" si="62"/>
      </c>
      <c r="V412" s="68" t="str">
        <f t="shared" si="63"/>
      </c>
      <c r="W412" s="68" t="str">
        <f t="shared" si="64"/>
      </c>
      <c r="X412" s="68" t="n">
        <f t="shared" si="57"/>
        <v>0</v>
      </c>
      <c r="Y412" s="68" t="n">
        <f t="shared" si="58"/>
        <v>0</v>
      </c>
      <c r="Z412" s="67" t="str">
        <f>IF(OR('Prediction Log'!L413="", Table12[[#This Row],[Bet]]="", Table12[[#This Row],[Bet]]="Spread"), "",IF('Prediction Log'!L413=Table12[[#This Row],[Side]], "W", IF('Prediction Log'!L413&lt;&gt;Table12[[#This Row],[Side]], "L", "")))</f>
      </c>
      <c r="AA412" s="59" t="str">
        <f t="shared" si="59"/>
      </c>
      <c r="AB412" s="67" t="str">
        <f>IF(OR(Table12[[#This Row],[Bet]]="Side",Table12[[#This Row],[Bet]]="", 'Prediction Log'!L413=""), "",IF('Prediction Log'!U413="Y", "W", IF('Prediction Log'!U413="N", "L", "")))</f>
      </c>
      <c r="AC412" s="59" t="str">
        <f t="shared" si="60"/>
      </c>
      <c r="AD412" s="67"/>
      <c r="AE412" s="65" t="str">
        <f t="shared" si="65"/>
      </c>
      <c r="AF4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3">
      <c r="A413" s="65" t="str">
        <f>IF(ISBLANK(Games!A413), "", Games!A413)</f>
      </c>
      <c r="B413" s="65" t="str">
        <f>IF('Prediction Log'!B414=0, "",'Prediction Log'!B414)</f>
      </c>
      <c r="C413" s="65" t="str">
        <f>IF('Prediction Log'!C414=0, "",'Prediction Log'!C414)</f>
      </c>
      <c r="D413" s="65" t="str">
        <f>IF('Prediction Log'!D414=0, "",'Prediction Log'!D414)</f>
      </c>
      <c r="E413" s="58" t="str">
        <f>IF('Prediction Log'!E414=0, "",'Prediction Log'!E414)</f>
      </c>
      <c r="F413" s="65" t="str">
        <f>IF('Prediction Log'!H414=0, "",'Prediction Log'!H414)</f>
      </c>
      <c r="G413" s="64" t="str">
        <f>IF(ISBLANK(Games!B413), "",'Prediction Log'!$I414)</f>
      </c>
      <c r="H413" s="66" t="n">
        <f>'Prediction Log'!$J414</f>
        <v>0</v>
      </c>
      <c r="I413" s="65" t="str">
        <f>IF(ISBLANK(Games!T413), "",IF(AND(Games!T413="",Games!U413=""),"",IF(ISTEXT(Games!U413), "Side",Games!T413)))</f>
      </c>
      <c r="J413" s="65" t="str">
        <f>IF(ISBLANK(Games!T413), "",IF(Table12[[#This Row],[Bet]]="Spread", Games!X413, ""))</f>
      </c>
      <c r="K413" s="65" t="str">
        <f>IF(ISBLANK(Games!U413), "",IF(ISTEXT(Games!U413), Games!U413, ""))</f>
      </c>
      <c r="L413" s="57" t="str">
        <f>IF(ISBLANK(Games!D413), "", Games!D413)</f>
      </c>
      <c r="M413" s="65"/>
      <c r="N413" s="75" t="str">
        <f>IF(Games!V413="", "",Games!V413)</f>
      </c>
      <c r="O413" s="75" t="str">
        <f>IF(Games!Z413=0, "",Games!Z413)</f>
      </c>
      <c r="P413" s="67"/>
      <c r="Q413" s="67" t="str">
        <f>IF(ISBLANK(Games!W413), "", Games!W413)</f>
      </c>
      <c r="R413" s="67" t="str">
        <f>IF(ISBLANK(Games!AA413), "", Games!AA413)</f>
      </c>
      <c r="S413" s="67"/>
      <c r="T413" s="68" t="str">
        <f t="shared" si="61"/>
      </c>
      <c r="U413" s="68" t="str">
        <f t="shared" si="62"/>
      </c>
      <c r="V413" s="68" t="str">
        <f t="shared" si="63"/>
      </c>
      <c r="W413" s="68" t="str">
        <f t="shared" si="64"/>
      </c>
      <c r="X413" s="68" t="n">
        <f t="shared" si="57"/>
        <v>0</v>
      </c>
      <c r="Y413" s="68" t="n">
        <f t="shared" si="58"/>
        <v>0</v>
      </c>
      <c r="Z413" s="67" t="str">
        <f>IF(OR('Prediction Log'!L414="", Table12[[#This Row],[Bet]]="", Table12[[#This Row],[Bet]]="Spread"), "",IF('Prediction Log'!L414=Table12[[#This Row],[Side]], "W", IF('Prediction Log'!L414&lt;&gt;Table12[[#This Row],[Side]], "L", "")))</f>
      </c>
      <c r="AA413" s="59" t="str">
        <f t="shared" si="59"/>
      </c>
      <c r="AB413" s="67" t="str">
        <f>IF(OR(Table12[[#This Row],[Bet]]="Side",Table12[[#This Row],[Bet]]="", 'Prediction Log'!L414=""), "",IF('Prediction Log'!U414="Y", "W", IF('Prediction Log'!U414="N", "L", "")))</f>
      </c>
      <c r="AC413" s="59" t="str">
        <f t="shared" si="60"/>
      </c>
      <c r="AD413" s="67"/>
      <c r="AE413" s="65" t="str">
        <f t="shared" si="65"/>
      </c>
      <c r="AF4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4">
      <c r="A414" s="65" t="str">
        <f>IF(ISBLANK(Games!A414), "", Games!A414)</f>
      </c>
      <c r="B414" s="65" t="str">
        <f>IF('Prediction Log'!B415=0, "",'Prediction Log'!B415)</f>
      </c>
      <c r="C414" s="65" t="str">
        <f>IF('Prediction Log'!C415=0, "",'Prediction Log'!C415)</f>
      </c>
      <c r="D414" s="65" t="str">
        <f>IF('Prediction Log'!D415=0, "",'Prediction Log'!D415)</f>
      </c>
      <c r="E414" s="58" t="str">
        <f>IF('Prediction Log'!E415=0, "",'Prediction Log'!E415)</f>
      </c>
      <c r="F414" s="65" t="str">
        <f>IF('Prediction Log'!H415=0, "",'Prediction Log'!H415)</f>
      </c>
      <c r="G414" s="64" t="str">
        <f>IF(ISBLANK(Games!B414), "",'Prediction Log'!$I415)</f>
      </c>
      <c r="H414" s="66" t="n">
        <f>'Prediction Log'!$J415</f>
        <v>0</v>
      </c>
      <c r="I414" s="65" t="str">
        <f>IF(ISBLANK(Games!T414), "",IF(AND(Games!T414="",Games!U414=""),"",IF(ISTEXT(Games!U414), "Side",Games!T414)))</f>
      </c>
      <c r="J414" s="65" t="str">
        <f>IF(ISBLANK(Games!T414), "",IF(Table12[[#This Row],[Bet]]="Spread", Games!X414, ""))</f>
      </c>
      <c r="K414" s="65" t="str">
        <f>IF(ISBLANK(Games!U414), "",IF(ISTEXT(Games!U414), Games!U414, ""))</f>
      </c>
      <c r="L414" s="57" t="str">
        <f>IF(ISBLANK(Games!D414), "", Games!D414)</f>
      </c>
      <c r="M414" s="65"/>
      <c r="N414" s="75" t="str">
        <f>IF(Games!V414="", "",Games!V414)</f>
      </c>
      <c r="O414" s="75" t="str">
        <f>IF(Games!Z414=0, "",Games!Z414)</f>
      </c>
      <c r="P414" s="67"/>
      <c r="Q414" s="67" t="str">
        <f>IF(ISBLANK(Games!W414), "", Games!W414)</f>
      </c>
      <c r="R414" s="67" t="str">
        <f>IF(ISBLANK(Games!AA414), "", Games!AA414)</f>
      </c>
      <c r="S414" s="67"/>
      <c r="T414" s="68" t="str">
        <f t="shared" si="61"/>
      </c>
      <c r="U414" s="68" t="str">
        <f t="shared" si="62"/>
      </c>
      <c r="V414" s="68" t="str">
        <f t="shared" si="63"/>
      </c>
      <c r="W414" s="68" t="str">
        <f t="shared" si="64"/>
      </c>
      <c r="X414" s="68" t="n">
        <f t="shared" si="57"/>
        <v>0</v>
      </c>
      <c r="Y414" s="68" t="n">
        <f t="shared" si="58"/>
        <v>0</v>
      </c>
      <c r="Z414" s="67" t="str">
        <f>IF(OR('Prediction Log'!L415="", Table12[[#This Row],[Bet]]="", Table12[[#This Row],[Bet]]="Spread"), "",IF('Prediction Log'!L415=Table12[[#This Row],[Side]], "W", IF('Prediction Log'!L415&lt;&gt;Table12[[#This Row],[Side]], "L", "")))</f>
      </c>
      <c r="AA414" s="59" t="str">
        <f t="shared" si="59"/>
      </c>
      <c r="AB414" s="67" t="str">
        <f>IF(OR(Table12[[#This Row],[Bet]]="Side",Table12[[#This Row],[Bet]]="", 'Prediction Log'!L415=""), "",IF('Prediction Log'!U415="Y", "W", IF('Prediction Log'!U415="N", "L", "")))</f>
      </c>
      <c r="AC414" s="59" t="str">
        <f t="shared" si="60"/>
      </c>
      <c r="AD414" s="67"/>
      <c r="AE414" s="65" t="str">
        <f t="shared" si="65"/>
      </c>
      <c r="AF4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5">
      <c r="A415" s="65" t="str">
        <f>IF(ISBLANK(Games!A415), "", Games!A415)</f>
      </c>
      <c r="B415" s="65" t="str">
        <f>IF('Prediction Log'!B416=0, "",'Prediction Log'!B416)</f>
      </c>
      <c r="C415" s="65" t="str">
        <f>IF('Prediction Log'!C416=0, "",'Prediction Log'!C416)</f>
      </c>
      <c r="D415" s="65" t="str">
        <f>IF('Prediction Log'!D416=0, "",'Prediction Log'!D416)</f>
      </c>
      <c r="E415" s="58" t="str">
        <f>IF('Prediction Log'!E416=0, "",'Prediction Log'!E416)</f>
      </c>
      <c r="F415" s="65" t="str">
        <f>IF('Prediction Log'!H416=0, "",'Prediction Log'!H416)</f>
      </c>
      <c r="G415" s="64" t="str">
        <f>IF(ISBLANK(Games!B415), "",'Prediction Log'!$I416)</f>
      </c>
      <c r="H415" s="66" t="n">
        <f>'Prediction Log'!$J416</f>
        <v>0</v>
      </c>
      <c r="I415" s="65" t="str">
        <f>IF(ISBLANK(Games!T415), "",IF(AND(Games!T415="",Games!U415=""),"",IF(ISTEXT(Games!U415), "Side",Games!T415)))</f>
      </c>
      <c r="J415" s="65" t="str">
        <f>IF(ISBLANK(Games!T415), "",IF(Table12[[#This Row],[Bet]]="Spread", Games!X415, ""))</f>
      </c>
      <c r="K415" s="65" t="str">
        <f>IF(ISBLANK(Games!U415), "",IF(ISTEXT(Games!U415), Games!U415, ""))</f>
      </c>
      <c r="L415" s="57" t="str">
        <f>IF(ISBLANK(Games!D415), "", Games!D415)</f>
      </c>
      <c r="M415" s="65"/>
      <c r="N415" s="75" t="str">
        <f>IF(Games!V415="", "",Games!V415)</f>
      </c>
      <c r="O415" s="75" t="str">
        <f>IF(Games!Z415=0, "",Games!Z415)</f>
      </c>
      <c r="P415" s="67"/>
      <c r="Q415" s="67" t="str">
        <f>IF(ISBLANK(Games!W415), "", Games!W415)</f>
      </c>
      <c r="R415" s="67" t="str">
        <f>IF(ISBLANK(Games!AA415), "", Games!AA415)</f>
      </c>
      <c r="S415" s="67"/>
      <c r="T415" s="68" t="str">
        <f t="shared" si="61"/>
      </c>
      <c r="U415" s="68" t="str">
        <f t="shared" si="62"/>
      </c>
      <c r="V415" s="68" t="str">
        <f t="shared" si="63"/>
      </c>
      <c r="W415" s="68" t="str">
        <f t="shared" si="64"/>
      </c>
      <c r="X415" s="68" t="n">
        <f t="shared" si="57"/>
        <v>0</v>
      </c>
      <c r="Y415" s="68" t="n">
        <f t="shared" si="58"/>
        <v>0</v>
      </c>
      <c r="Z415" s="67" t="str">
        <f>IF(OR('Prediction Log'!L416="", Table12[[#This Row],[Bet]]="", Table12[[#This Row],[Bet]]="Spread"), "",IF('Prediction Log'!L416=Table12[[#This Row],[Side]], "W", IF('Prediction Log'!L416&lt;&gt;Table12[[#This Row],[Side]], "L", "")))</f>
      </c>
      <c r="AA415" s="59" t="str">
        <f t="shared" si="59"/>
      </c>
      <c r="AB415" s="67" t="str">
        <f>IF(OR(Table12[[#This Row],[Bet]]="Side",Table12[[#This Row],[Bet]]="", 'Prediction Log'!L416=""), "",IF('Prediction Log'!U416="Y", "W", IF('Prediction Log'!U416="N", "L", "")))</f>
      </c>
      <c r="AC415" s="59" t="str">
        <f t="shared" si="60"/>
      </c>
      <c r="AD415" s="67"/>
      <c r="AE415" s="65" t="str">
        <f t="shared" si="65"/>
      </c>
      <c r="AF4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6">
      <c r="A416" s="65" t="str">
        <f>IF(ISBLANK(Games!A416), "", Games!A416)</f>
      </c>
      <c r="B416" s="65" t="str">
        <f>IF('Prediction Log'!B417=0, "",'Prediction Log'!B417)</f>
      </c>
      <c r="C416" s="65" t="str">
        <f>IF('Prediction Log'!C417=0, "",'Prediction Log'!C417)</f>
      </c>
      <c r="D416" s="65" t="str">
        <f>IF('Prediction Log'!D417=0, "",'Prediction Log'!D417)</f>
      </c>
      <c r="E416" s="58" t="str">
        <f>IF('Prediction Log'!E417=0, "",'Prediction Log'!E417)</f>
      </c>
      <c r="F416" s="65" t="str">
        <f>IF('Prediction Log'!H417=0, "",'Prediction Log'!H417)</f>
      </c>
      <c r="G416" s="64" t="str">
        <f>IF(ISBLANK(Games!B416), "",'Prediction Log'!$I417)</f>
      </c>
      <c r="H416" s="66" t="n">
        <f>'Prediction Log'!$J417</f>
        <v>0</v>
      </c>
      <c r="I416" s="65" t="str">
        <f>IF(ISBLANK(Games!T416), "",IF(AND(Games!T416="",Games!U416=""),"",IF(ISTEXT(Games!U416), "Side",Games!T416)))</f>
      </c>
      <c r="J416" s="65" t="str">
        <f>IF(ISBLANK(Games!T416), "",IF(Table12[[#This Row],[Bet]]="Spread", Games!X416, ""))</f>
      </c>
      <c r="K416" s="65" t="str">
        <f>IF(ISBLANK(Games!U416), "",IF(ISTEXT(Games!U416), Games!U416, ""))</f>
      </c>
      <c r="L416" s="57" t="str">
        <f>IF(ISBLANK(Games!D416), "", Games!D416)</f>
      </c>
      <c r="M416" s="65"/>
      <c r="N416" s="75" t="str">
        <f>IF(Games!V416="", "",Games!V416)</f>
      </c>
      <c r="O416" s="75" t="str">
        <f>IF(Games!Z416=0, "",Games!Z416)</f>
      </c>
      <c r="P416" s="67"/>
      <c r="Q416" s="67" t="str">
        <f>IF(ISBLANK(Games!W416), "", Games!W416)</f>
      </c>
      <c r="R416" s="67" t="str">
        <f>IF(ISBLANK(Games!AA416), "", Games!AA416)</f>
      </c>
      <c r="S416" s="67"/>
      <c r="T416" s="68" t="str">
        <f t="shared" si="61"/>
      </c>
      <c r="U416" s="68" t="str">
        <f t="shared" si="62"/>
      </c>
      <c r="V416" s="68" t="str">
        <f t="shared" si="63"/>
      </c>
      <c r="W416" s="68" t="str">
        <f t="shared" si="64"/>
      </c>
      <c r="X416" s="68" t="n">
        <f t="shared" si="57"/>
        <v>0</v>
      </c>
      <c r="Y416" s="68" t="n">
        <f t="shared" si="58"/>
        <v>0</v>
      </c>
      <c r="Z416" s="67" t="str">
        <f>IF(OR('Prediction Log'!L417="", Table12[[#This Row],[Bet]]="", Table12[[#This Row],[Bet]]="Spread"), "",IF('Prediction Log'!L417=Table12[[#This Row],[Side]], "W", IF('Prediction Log'!L417&lt;&gt;Table12[[#This Row],[Side]], "L", "")))</f>
      </c>
      <c r="AA416" s="59" t="str">
        <f t="shared" si="59"/>
      </c>
      <c r="AB416" s="67" t="str">
        <f>IF(OR(Table12[[#This Row],[Bet]]="Side",Table12[[#This Row],[Bet]]="", 'Prediction Log'!L417=""), "",IF('Prediction Log'!U417="Y", "W", IF('Prediction Log'!U417="N", "L", "")))</f>
      </c>
      <c r="AC416" s="59" t="str">
        <f t="shared" si="60"/>
      </c>
      <c r="AD416" s="67"/>
      <c r="AE416" s="65" t="str">
        <f t="shared" si="65"/>
      </c>
      <c r="AF4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7">
      <c r="A417" s="65" t="str">
        <f>IF(ISBLANK(Games!A417), "", Games!A417)</f>
      </c>
      <c r="B417" s="65" t="str">
        <f>IF('Prediction Log'!B418=0, "",'Prediction Log'!B418)</f>
      </c>
      <c r="C417" s="65" t="str">
        <f>IF('Prediction Log'!C418=0, "",'Prediction Log'!C418)</f>
      </c>
      <c r="D417" s="65" t="str">
        <f>IF('Prediction Log'!D418=0, "",'Prediction Log'!D418)</f>
      </c>
      <c r="E417" s="58" t="str">
        <f>IF('Prediction Log'!E418=0, "",'Prediction Log'!E418)</f>
      </c>
      <c r="F417" s="65" t="str">
        <f>IF('Prediction Log'!H418=0, "",'Prediction Log'!H418)</f>
      </c>
      <c r="G417" s="64" t="str">
        <f>IF(ISBLANK(Games!B417), "",'Prediction Log'!$I418)</f>
      </c>
      <c r="H417" s="66" t="n">
        <f>'Prediction Log'!$J418</f>
        <v>0</v>
      </c>
      <c r="I417" s="65" t="str">
        <f>IF(ISBLANK(Games!T417), "",IF(AND(Games!T417="",Games!U417=""),"",IF(ISTEXT(Games!U417), "Side",Games!T417)))</f>
      </c>
      <c r="J417" s="65" t="str">
        <f>IF(ISBLANK(Games!T417), "",IF(Table12[[#This Row],[Bet]]="Spread", Games!X417, ""))</f>
      </c>
      <c r="K417" s="65" t="str">
        <f>IF(ISBLANK(Games!U417), "",IF(ISTEXT(Games!U417), Games!U417, ""))</f>
      </c>
      <c r="L417" s="57" t="str">
        <f>IF(ISBLANK(Games!D417), "", Games!D417)</f>
      </c>
      <c r="M417" s="65"/>
      <c r="N417" s="75" t="str">
        <f>IF(Games!V417="", "",Games!V417)</f>
      </c>
      <c r="O417" s="75" t="str">
        <f>IF(Games!Z417=0, "",Games!Z417)</f>
      </c>
      <c r="P417" s="67"/>
      <c r="Q417" s="67" t="str">
        <f>IF(ISBLANK(Games!W417), "", Games!W417)</f>
      </c>
      <c r="R417" s="67" t="str">
        <f>IF(ISBLANK(Games!AA417), "", Games!AA417)</f>
      </c>
      <c r="S417" s="67"/>
      <c r="T417" s="68" t="str">
        <f t="shared" si="61"/>
      </c>
      <c r="U417" s="68" t="str">
        <f t="shared" si="62"/>
      </c>
      <c r="V417" s="68" t="str">
        <f t="shared" si="63"/>
      </c>
      <c r="W417" s="68" t="str">
        <f t="shared" si="64"/>
      </c>
      <c r="X417" s="68" t="n">
        <f t="shared" si="57"/>
        <v>0</v>
      </c>
      <c r="Y417" s="68" t="n">
        <f t="shared" si="58"/>
        <v>0</v>
      </c>
      <c r="Z417" s="67" t="str">
        <f>IF(OR('Prediction Log'!L418="", Table12[[#This Row],[Bet]]="", Table12[[#This Row],[Bet]]="Spread"), "",IF('Prediction Log'!L418=Table12[[#This Row],[Side]], "W", IF('Prediction Log'!L418&lt;&gt;Table12[[#This Row],[Side]], "L", "")))</f>
      </c>
      <c r="AA417" s="59" t="str">
        <f t="shared" si="59"/>
      </c>
      <c r="AB417" s="67" t="str">
        <f>IF(OR(Table12[[#This Row],[Bet]]="Side",Table12[[#This Row],[Bet]]="", 'Prediction Log'!L418=""), "",IF('Prediction Log'!U418="Y", "W", IF('Prediction Log'!U418="N", "L", "")))</f>
      </c>
      <c r="AC417" s="59" t="str">
        <f t="shared" si="60"/>
      </c>
      <c r="AD417" s="67"/>
      <c r="AE417" s="65" t="str">
        <f t="shared" si="65"/>
      </c>
      <c r="AF4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8">
      <c r="A418" s="65" t="str">
        <f>IF(ISBLANK(Games!A418), "", Games!A418)</f>
      </c>
      <c r="B418" s="65" t="str">
        <f>IF('Prediction Log'!B419=0, "",'Prediction Log'!B419)</f>
      </c>
      <c r="C418" s="65" t="str">
        <f>IF('Prediction Log'!C419=0, "",'Prediction Log'!C419)</f>
      </c>
      <c r="D418" s="65" t="str">
        <f>IF('Prediction Log'!D419=0, "",'Prediction Log'!D419)</f>
      </c>
      <c r="E418" s="58" t="str">
        <f>IF('Prediction Log'!E419=0, "",'Prediction Log'!E419)</f>
      </c>
      <c r="F418" s="65" t="str">
        <f>IF('Prediction Log'!H419=0, "",'Prediction Log'!H419)</f>
      </c>
      <c r="G418" s="64" t="str">
        <f>IF(ISBLANK(Games!B418), "",'Prediction Log'!$I419)</f>
      </c>
      <c r="H418" s="66" t="n">
        <f>'Prediction Log'!$J419</f>
        <v>0</v>
      </c>
      <c r="I418" s="65" t="str">
        <f>IF(ISBLANK(Games!T418), "",IF(AND(Games!T418="",Games!U418=""),"",IF(ISTEXT(Games!U418), "Side",Games!T418)))</f>
      </c>
      <c r="J418" s="65" t="str">
        <f>IF(ISBLANK(Games!T418), "",IF(Table12[[#This Row],[Bet]]="Spread", Games!X418, ""))</f>
      </c>
      <c r="K418" s="65" t="str">
        <f>IF(ISBLANK(Games!U418), "",IF(ISTEXT(Games!U418), Games!U418, ""))</f>
      </c>
      <c r="L418" s="57" t="str">
        <f>IF(ISBLANK(Games!D418), "", Games!D418)</f>
      </c>
      <c r="M418" s="65"/>
      <c r="N418" s="75" t="str">
        <f>IF(Games!V418="", "",Games!V418)</f>
      </c>
      <c r="O418" s="75" t="str">
        <f>IF(Games!Z418=0, "",Games!Z418)</f>
      </c>
      <c r="P418" s="67"/>
      <c r="Q418" s="67" t="str">
        <f>IF(ISBLANK(Games!W418), "", Games!W418)</f>
      </c>
      <c r="R418" s="67" t="str">
        <f>IF(ISBLANK(Games!AA418), "", Games!AA418)</f>
      </c>
      <c r="S418" s="67"/>
      <c r="T418" s="68" t="str">
        <f t="shared" si="61"/>
      </c>
      <c r="U418" s="68" t="str">
        <f t="shared" si="62"/>
      </c>
      <c r="V418" s="68" t="str">
        <f t="shared" si="63"/>
      </c>
      <c r="W418" s="68" t="str">
        <f t="shared" si="64"/>
      </c>
      <c r="X418" s="68" t="n">
        <f t="shared" si="57"/>
        <v>0</v>
      </c>
      <c r="Y418" s="68" t="n">
        <f t="shared" si="58"/>
        <v>0</v>
      </c>
      <c r="Z418" s="67" t="str">
        <f>IF(OR('Prediction Log'!L419="", Table12[[#This Row],[Bet]]="", Table12[[#This Row],[Bet]]="Spread"), "",IF('Prediction Log'!L419=Table12[[#This Row],[Side]], "W", IF('Prediction Log'!L419&lt;&gt;Table12[[#This Row],[Side]], "L", "")))</f>
      </c>
      <c r="AA418" s="59" t="str">
        <f t="shared" si="59"/>
      </c>
      <c r="AB418" s="67" t="str">
        <f>IF(OR(Table12[[#This Row],[Bet]]="Side",Table12[[#This Row],[Bet]]="", 'Prediction Log'!L419=""), "",IF('Prediction Log'!U419="Y", "W", IF('Prediction Log'!U419="N", "L", "")))</f>
      </c>
      <c r="AC418" s="59" t="str">
        <f t="shared" si="60"/>
      </c>
      <c r="AD418" s="67"/>
      <c r="AE418" s="65" t="str">
        <f t="shared" si="65"/>
      </c>
      <c r="AF4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9">
      <c r="A419" s="65" t="str">
        <f>IF(ISBLANK(Games!A419), "", Games!A419)</f>
      </c>
      <c r="B419" s="65" t="str">
        <f>IF('Prediction Log'!B420=0, "",'Prediction Log'!B420)</f>
      </c>
      <c r="C419" s="65" t="str">
        <f>IF('Prediction Log'!C420=0, "",'Prediction Log'!C420)</f>
      </c>
      <c r="D419" s="65" t="str">
        <f>IF('Prediction Log'!D420=0, "",'Prediction Log'!D420)</f>
      </c>
      <c r="E419" s="58" t="str">
        <f>IF('Prediction Log'!E420=0, "",'Prediction Log'!E420)</f>
      </c>
      <c r="F419" s="65" t="str">
        <f>IF('Prediction Log'!H420=0, "",'Prediction Log'!H420)</f>
      </c>
      <c r="G419" s="64" t="str">
        <f>IF(ISBLANK(Games!B419), "",'Prediction Log'!$I420)</f>
      </c>
      <c r="H419" s="66" t="n">
        <f>'Prediction Log'!$J420</f>
        <v>0</v>
      </c>
      <c r="I419" s="65" t="str">
        <f>IF(ISBLANK(Games!T419), "",IF(AND(Games!T419="",Games!U419=""),"",IF(ISTEXT(Games!U419), "Side",Games!T419)))</f>
      </c>
      <c r="J419" s="65" t="str">
        <f>IF(ISBLANK(Games!T419), "",IF(Table12[[#This Row],[Bet]]="Spread", Games!X419, ""))</f>
      </c>
      <c r="K419" s="65" t="str">
        <f>IF(ISBLANK(Games!U419), "",IF(ISTEXT(Games!U419), Games!U419, ""))</f>
      </c>
      <c r="L419" s="57" t="str">
        <f>IF(ISBLANK(Games!D419), "", Games!D419)</f>
      </c>
      <c r="M419" s="65"/>
      <c r="N419" s="75" t="str">
        <f>IF(Games!V419="", "",Games!V419)</f>
      </c>
      <c r="O419" s="75" t="str">
        <f>IF(Games!Z419=0, "",Games!Z419)</f>
      </c>
      <c r="P419" s="67"/>
      <c r="Q419" s="67" t="str">
        <f>IF(ISBLANK(Games!W419), "", Games!W419)</f>
      </c>
      <c r="R419" s="67" t="str">
        <f>IF(ISBLANK(Games!AA419), "", Games!AA419)</f>
      </c>
      <c r="S419" s="67"/>
      <c r="T419" s="68" t="str">
        <f t="shared" si="61"/>
      </c>
      <c r="U419" s="68" t="str">
        <f t="shared" si="62"/>
      </c>
      <c r="V419" s="68" t="str">
        <f t="shared" si="63"/>
      </c>
      <c r="W419" s="68" t="str">
        <f t="shared" si="64"/>
      </c>
      <c r="X419" s="68" t="n">
        <f t="shared" si="57"/>
        <v>0</v>
      </c>
      <c r="Y419" s="68" t="n">
        <f t="shared" si="58"/>
        <v>0</v>
      </c>
      <c r="Z419" s="67" t="str">
        <f>IF(OR('Prediction Log'!L420="", Table12[[#This Row],[Bet]]="", Table12[[#This Row],[Bet]]="Spread"), "",IF('Prediction Log'!L420=Table12[[#This Row],[Side]], "W", IF('Prediction Log'!L420&lt;&gt;Table12[[#This Row],[Side]], "L", "")))</f>
      </c>
      <c r="AA419" s="59" t="str">
        <f t="shared" si="59"/>
      </c>
      <c r="AB419" s="67" t="str">
        <f>IF(OR(Table12[[#This Row],[Bet]]="Side",Table12[[#This Row],[Bet]]="", 'Prediction Log'!L420=""), "",IF('Prediction Log'!U420="Y", "W", IF('Prediction Log'!U420="N", "L", "")))</f>
      </c>
      <c r="AC419" s="59" t="str">
        <f t="shared" si="60"/>
      </c>
      <c r="AD419" s="67"/>
      <c r="AE419" s="65" t="str">
        <f t="shared" si="65"/>
      </c>
      <c r="AF4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0">
      <c r="A420" s="65" t="str">
        <f>IF(ISBLANK(Games!A420), "", Games!A420)</f>
      </c>
      <c r="B420" s="65" t="str">
        <f>IF('Prediction Log'!B421=0, "",'Prediction Log'!B421)</f>
      </c>
      <c r="C420" s="65" t="str">
        <f>IF('Prediction Log'!C421=0, "",'Prediction Log'!C421)</f>
      </c>
      <c r="D420" s="65" t="str">
        <f>IF('Prediction Log'!D421=0, "",'Prediction Log'!D421)</f>
      </c>
      <c r="E420" s="58" t="str">
        <f>IF('Prediction Log'!E421=0, "",'Prediction Log'!E421)</f>
      </c>
      <c r="F420" s="65" t="str">
        <f>IF('Prediction Log'!H421=0, "",'Prediction Log'!H421)</f>
      </c>
      <c r="G420" s="64" t="str">
        <f>IF(ISBLANK(Games!B420), "",'Prediction Log'!$I421)</f>
      </c>
      <c r="H420" s="66" t="n">
        <f>'Prediction Log'!$J421</f>
        <v>0</v>
      </c>
      <c r="I420" s="65" t="str">
        <f>IF(ISBLANK(Games!T420), "",IF(AND(Games!T420="",Games!U420=""),"",IF(ISTEXT(Games!U420), "Side",Games!T420)))</f>
      </c>
      <c r="J420" s="65" t="str">
        <f>IF(ISBLANK(Games!T420), "",IF(Table12[[#This Row],[Bet]]="Spread", Games!X420, ""))</f>
      </c>
      <c r="K420" s="65" t="str">
        <f>IF(ISBLANK(Games!U420), "",IF(ISTEXT(Games!U420), Games!U420, ""))</f>
      </c>
      <c r="L420" s="57" t="str">
        <f>IF(ISBLANK(Games!D420), "", Games!D420)</f>
      </c>
      <c r="M420" s="65"/>
      <c r="N420" s="75" t="str">
        <f>IF(Games!V420="", "",Games!V420)</f>
      </c>
      <c r="O420" s="75" t="str">
        <f>IF(Games!Z420=0, "",Games!Z420)</f>
      </c>
      <c r="P420" s="67"/>
      <c r="Q420" s="67" t="str">
        <f>IF(ISBLANK(Games!W420), "", Games!W420)</f>
      </c>
      <c r="R420" s="67" t="str">
        <f>IF(ISBLANK(Games!AA420), "", Games!AA420)</f>
      </c>
      <c r="S420" s="67"/>
      <c r="T420" s="68" t="str">
        <f t="shared" si="61"/>
      </c>
      <c r="U420" s="68" t="str">
        <f t="shared" si="62"/>
      </c>
      <c r="V420" s="68" t="str">
        <f t="shared" si="63"/>
      </c>
      <c r="W420" s="68" t="str">
        <f t="shared" si="64"/>
      </c>
      <c r="X420" s="68" t="n">
        <f t="shared" si="57"/>
        <v>0</v>
      </c>
      <c r="Y420" s="68" t="n">
        <f t="shared" si="58"/>
        <v>0</v>
      </c>
      <c r="Z420" s="67" t="str">
        <f>IF(OR('Prediction Log'!L421="", Table12[[#This Row],[Bet]]="", Table12[[#This Row],[Bet]]="Spread"), "",IF('Prediction Log'!L421=Table12[[#This Row],[Side]], "W", IF('Prediction Log'!L421&lt;&gt;Table12[[#This Row],[Side]], "L", "")))</f>
      </c>
      <c r="AA420" s="59" t="str">
        <f t="shared" si="59"/>
      </c>
      <c r="AB420" s="67" t="str">
        <f>IF(OR(Table12[[#This Row],[Bet]]="Side",Table12[[#This Row],[Bet]]="", 'Prediction Log'!L421=""), "",IF('Prediction Log'!U421="Y", "W", IF('Prediction Log'!U421="N", "L", "")))</f>
      </c>
      <c r="AC420" s="59" t="str">
        <f t="shared" si="60"/>
      </c>
      <c r="AD420" s="67"/>
      <c r="AE420" s="65" t="str">
        <f t="shared" si="65"/>
      </c>
      <c r="AF4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1">
      <c r="A421" s="65" t="str">
        <f>IF(ISBLANK(Games!A421), "", Games!A421)</f>
      </c>
      <c r="B421" s="65" t="str">
        <f>IF('Prediction Log'!B422=0, "",'Prediction Log'!B422)</f>
      </c>
      <c r="C421" s="65" t="str">
        <f>IF('Prediction Log'!C422=0, "",'Prediction Log'!C422)</f>
      </c>
      <c r="D421" s="65" t="str">
        <f>IF('Prediction Log'!D422=0, "",'Prediction Log'!D422)</f>
      </c>
      <c r="E421" s="58" t="str">
        <f>IF('Prediction Log'!E422=0, "",'Prediction Log'!E422)</f>
      </c>
      <c r="F421" s="65" t="str">
        <f>IF('Prediction Log'!H422=0, "",'Prediction Log'!H422)</f>
      </c>
      <c r="G421" s="64" t="str">
        <f>IF(ISBLANK(Games!B421), "",'Prediction Log'!$I422)</f>
      </c>
      <c r="H421" s="66" t="n">
        <f>'Prediction Log'!$J422</f>
        <v>0</v>
      </c>
      <c r="I421" s="65" t="str">
        <f>IF(ISBLANK(Games!T421), "",IF(AND(Games!T421="",Games!U421=""),"",IF(ISTEXT(Games!U421), "Side",Games!T421)))</f>
      </c>
      <c r="J421" s="65" t="str">
        <f>IF(ISBLANK(Games!T421), "",IF(Table12[[#This Row],[Bet]]="Spread", Games!X421, ""))</f>
      </c>
      <c r="K421" s="65" t="str">
        <f>IF(ISBLANK(Games!U421), "",IF(ISTEXT(Games!U421), Games!U421, ""))</f>
      </c>
      <c r="L421" s="57" t="str">
        <f>IF(ISBLANK(Games!D421), "", Games!D421)</f>
      </c>
      <c r="M421" s="65"/>
      <c r="N421" s="75" t="str">
        <f>IF(Games!V421="", "",Games!V421)</f>
      </c>
      <c r="O421" s="75" t="str">
        <f>IF(Games!Z421=0, "",Games!Z421)</f>
      </c>
      <c r="P421" s="67"/>
      <c r="Q421" s="67" t="str">
        <f>IF(ISBLANK(Games!W421), "", Games!W421)</f>
      </c>
      <c r="R421" s="67" t="str">
        <f>IF(ISBLANK(Games!AA421), "", Games!AA421)</f>
      </c>
      <c r="S421" s="67"/>
      <c r="T421" s="68" t="str">
        <f t="shared" si="61"/>
      </c>
      <c r="U421" s="68" t="str">
        <f t="shared" si="62"/>
      </c>
      <c r="V421" s="68" t="str">
        <f t="shared" si="63"/>
      </c>
      <c r="W421" s="68" t="str">
        <f t="shared" si="64"/>
      </c>
      <c r="X421" s="68" t="n">
        <f t="shared" si="57"/>
        <v>0</v>
      </c>
      <c r="Y421" s="68" t="n">
        <f t="shared" si="58"/>
        <v>0</v>
      </c>
      <c r="Z421" s="67" t="str">
        <f>IF(OR('Prediction Log'!L422="", Table12[[#This Row],[Bet]]="", Table12[[#This Row],[Bet]]="Spread"), "",IF('Prediction Log'!L422=Table12[[#This Row],[Side]], "W", IF('Prediction Log'!L422&lt;&gt;Table12[[#This Row],[Side]], "L", "")))</f>
      </c>
      <c r="AA421" s="59" t="str">
        <f t="shared" si="59"/>
      </c>
      <c r="AB421" s="67" t="str">
        <f>IF(OR(Table12[[#This Row],[Bet]]="Side",Table12[[#This Row],[Bet]]="", 'Prediction Log'!L422=""), "",IF('Prediction Log'!U422="Y", "W", IF('Prediction Log'!U422="N", "L", "")))</f>
      </c>
      <c r="AC421" s="59" t="str">
        <f t="shared" si="60"/>
      </c>
      <c r="AD421" s="67"/>
      <c r="AE421" s="65" t="str">
        <f t="shared" si="65"/>
      </c>
      <c r="AF4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2">
      <c r="A422" s="65" t="str">
        <f>IF(ISBLANK(Games!A422), "", Games!A422)</f>
      </c>
      <c r="B422" s="65" t="str">
        <f>IF('Prediction Log'!B423=0, "",'Prediction Log'!B423)</f>
      </c>
      <c r="C422" s="65" t="str">
        <f>IF('Prediction Log'!C423=0, "",'Prediction Log'!C423)</f>
      </c>
      <c r="D422" s="65" t="str">
        <f>IF('Prediction Log'!D423=0, "",'Prediction Log'!D423)</f>
      </c>
      <c r="E422" s="58" t="str">
        <f>IF('Prediction Log'!E423=0, "",'Prediction Log'!E423)</f>
      </c>
      <c r="F422" s="65" t="str">
        <f>IF('Prediction Log'!H423=0, "",'Prediction Log'!H423)</f>
      </c>
      <c r="G422" s="64" t="str">
        <f>IF(ISBLANK(Games!B422), "",'Prediction Log'!$I423)</f>
      </c>
      <c r="H422" s="66" t="n">
        <f>'Prediction Log'!$J423</f>
        <v>0</v>
      </c>
      <c r="I422" s="65" t="str">
        <f>IF(ISBLANK(Games!T422), "",IF(AND(Games!T422="",Games!U422=""),"",IF(ISTEXT(Games!U422), "Side",Games!T422)))</f>
      </c>
      <c r="J422" s="65" t="str">
        <f>IF(ISBLANK(Games!T422), "",IF(Table12[[#This Row],[Bet]]="Spread", Games!X422, ""))</f>
      </c>
      <c r="K422" s="65" t="str">
        <f>IF(ISBLANK(Games!U422), "",IF(ISTEXT(Games!U422), Games!U422, ""))</f>
      </c>
      <c r="L422" s="57" t="str">
        <f>IF(ISBLANK(Games!D422), "", Games!D422)</f>
      </c>
      <c r="M422" s="65"/>
      <c r="N422" s="75" t="str">
        <f>IF(Games!V422="", "",Games!V422)</f>
      </c>
      <c r="O422" s="75" t="str">
        <f>IF(Games!Z422=0, "",Games!Z422)</f>
      </c>
      <c r="P422" s="67"/>
      <c r="Q422" s="67" t="str">
        <f>IF(ISBLANK(Games!W422), "", Games!W422)</f>
      </c>
      <c r="R422" s="67" t="str">
        <f>IF(ISBLANK(Games!AA422), "", Games!AA422)</f>
      </c>
      <c r="S422" s="67"/>
      <c r="T422" s="68" t="str">
        <f t="shared" si="61"/>
      </c>
      <c r="U422" s="68" t="str">
        <f t="shared" si="62"/>
      </c>
      <c r="V422" s="68" t="str">
        <f t="shared" si="63"/>
      </c>
      <c r="W422" s="68" t="str">
        <f t="shared" si="64"/>
      </c>
      <c r="X422" s="68" t="n">
        <f t="shared" ref="X422:X485" si="66">P422+IF(S422&lt;0, (P422/(S422/-100)), P422*(S422/100))</f>
        <v>0</v>
      </c>
      <c r="Y422" s="68" t="n">
        <f t="shared" ref="Y422:Y485" si="67">S422-P422</f>
        <v>0</v>
      </c>
      <c r="Z422" s="67" t="str">
        <f>IF(OR('Prediction Log'!L423="", Table12[[#This Row],[Bet]]="", Table12[[#This Row],[Bet]]="Spread"), "",IF('Prediction Log'!L423=Table12[[#This Row],[Side]], "W", IF('Prediction Log'!L423&lt;&gt;Table12[[#This Row],[Side]], "L", "")))</f>
      </c>
      <c r="AA422" s="59" t="str">
        <f t="shared" ref="AA422:AA485" si="68">IF(Z422="W", U422, IF(Z422="L",-N422, ""))</f>
      </c>
      <c r="AB422" s="67" t="str">
        <f>IF(OR(Table12[[#This Row],[Bet]]="Side",Table12[[#This Row],[Bet]]="", 'Prediction Log'!L423=""), "",IF('Prediction Log'!U423="Y", "W", IF('Prediction Log'!U423="N", "L", "")))</f>
      </c>
      <c r="AC422" s="59" t="str">
        <f t="shared" si="60"/>
      </c>
      <c r="AD422" s="67"/>
      <c r="AE422" s="65" t="str">
        <f t="shared" si="65"/>
      </c>
      <c r="AF4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3">
      <c r="A423" s="65" t="str">
        <f>IF(ISBLANK(Games!A423), "", Games!A423)</f>
      </c>
      <c r="B423" s="65" t="str">
        <f>IF('Prediction Log'!B424=0, "",'Prediction Log'!B424)</f>
      </c>
      <c r="C423" s="65" t="str">
        <f>IF('Prediction Log'!C424=0, "",'Prediction Log'!C424)</f>
      </c>
      <c r="D423" s="65" t="str">
        <f>IF('Prediction Log'!D424=0, "",'Prediction Log'!D424)</f>
      </c>
      <c r="E423" s="58" t="str">
        <f>IF('Prediction Log'!E424=0, "",'Prediction Log'!E424)</f>
      </c>
      <c r="F423" s="65" t="str">
        <f>IF('Prediction Log'!H424=0, "",'Prediction Log'!H424)</f>
      </c>
      <c r="G423" s="64" t="str">
        <f>IF(ISBLANK(Games!B423), "",'Prediction Log'!$I424)</f>
      </c>
      <c r="H423" s="66" t="n">
        <f>'Prediction Log'!$J424</f>
        <v>0</v>
      </c>
      <c r="I423" s="65" t="str">
        <f>IF(ISBLANK(Games!T423), "",IF(AND(Games!T423="",Games!U423=""),"",IF(ISTEXT(Games!U423), "Side",Games!T423)))</f>
      </c>
      <c r="J423" s="65" t="str">
        <f>IF(ISBLANK(Games!T423), "",IF(Table12[[#This Row],[Bet]]="Spread", Games!X423, ""))</f>
      </c>
      <c r="K423" s="65" t="str">
        <f>IF(ISBLANK(Games!U423), "",IF(ISTEXT(Games!U423), Games!U423, ""))</f>
      </c>
      <c r="L423" s="57" t="str">
        <f>IF(ISBLANK(Games!D423), "", Games!D423)</f>
      </c>
      <c r="M423" s="65"/>
      <c r="N423" s="75" t="str">
        <f>IF(Games!V423="", "",Games!V423)</f>
      </c>
      <c r="O423" s="75" t="str">
        <f>IF(Games!Z423=0, "",Games!Z423)</f>
      </c>
      <c r="P423" s="67"/>
      <c r="Q423" s="67" t="str">
        <f>IF(ISBLANK(Games!W423), "", Games!W423)</f>
      </c>
      <c r="R423" s="67" t="str">
        <f>IF(ISBLANK(Games!AA423), "", Games!AA423)</f>
      </c>
      <c r="S423" s="67"/>
      <c r="T423" s="68" t="str">
        <f t="shared" si="61"/>
      </c>
      <c r="U423" s="68" t="str">
        <f t="shared" si="62"/>
      </c>
      <c r="V423" s="68" t="str">
        <f t="shared" si="63"/>
      </c>
      <c r="W423" s="68" t="str">
        <f t="shared" si="64"/>
      </c>
      <c r="X423" s="68" t="n">
        <f t="shared" si="66"/>
        <v>0</v>
      </c>
      <c r="Y423" s="68" t="n">
        <f t="shared" si="67"/>
        <v>0</v>
      </c>
      <c r="Z423" s="67" t="str">
        <f>IF(OR('Prediction Log'!L424="", Table12[[#This Row],[Bet]]="", Table12[[#This Row],[Bet]]="Spread"), "",IF('Prediction Log'!L424=Table12[[#This Row],[Side]], "W", IF('Prediction Log'!L424&lt;&gt;Table12[[#This Row],[Side]], "L", "")))</f>
      </c>
      <c r="AA423" s="59" t="str">
        <f t="shared" si="68"/>
      </c>
      <c r="AB423" s="67" t="str">
        <f>IF(OR(Table12[[#This Row],[Bet]]="Side",Table12[[#This Row],[Bet]]="", 'Prediction Log'!L424=""), "",IF('Prediction Log'!U424="Y", "W", IF('Prediction Log'!U424="N", "L", "")))</f>
      </c>
      <c r="AC423" s="59" t="str">
        <f t="shared" si="60"/>
      </c>
      <c r="AD423" s="67"/>
      <c r="AE423" s="65" t="str">
        <f t="shared" si="65"/>
      </c>
      <c r="AF4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4">
      <c r="A424" s="65" t="str">
        <f>IF(ISBLANK(Games!A424), "", Games!A424)</f>
      </c>
      <c r="B424" s="65" t="str">
        <f>IF('Prediction Log'!B425=0, "",'Prediction Log'!B425)</f>
      </c>
      <c r="C424" s="65" t="str">
        <f>IF('Prediction Log'!C425=0, "",'Prediction Log'!C425)</f>
      </c>
      <c r="D424" s="65" t="str">
        <f>IF('Prediction Log'!D425=0, "",'Prediction Log'!D425)</f>
      </c>
      <c r="E424" s="58" t="str">
        <f>IF('Prediction Log'!E425=0, "",'Prediction Log'!E425)</f>
      </c>
      <c r="F424" s="65" t="str">
        <f>IF('Prediction Log'!H425=0, "",'Prediction Log'!H425)</f>
      </c>
      <c r="G424" s="64" t="str">
        <f>IF(ISBLANK(Games!B424), "",'Prediction Log'!$I425)</f>
      </c>
      <c r="H424" s="66" t="n">
        <f>'Prediction Log'!$J425</f>
        <v>0</v>
      </c>
      <c r="I424" s="65" t="str">
        <f>IF(ISBLANK(Games!T424), "",IF(AND(Games!T424="",Games!U424=""),"",IF(ISTEXT(Games!U424), "Side",Games!T424)))</f>
      </c>
      <c r="J424" s="65" t="str">
        <f>IF(ISBLANK(Games!T424), "",IF(Table12[[#This Row],[Bet]]="Spread", Games!X424, ""))</f>
      </c>
      <c r="K424" s="65" t="str">
        <f>IF(ISBLANK(Games!U424), "",IF(ISTEXT(Games!U424), Games!U424, ""))</f>
      </c>
      <c r="L424" s="57" t="str">
        <f>IF(ISBLANK(Games!D424), "", Games!D424)</f>
      </c>
      <c r="M424" s="65"/>
      <c r="N424" s="75" t="str">
        <f>IF(Games!V424="", "",Games!V424)</f>
      </c>
      <c r="O424" s="75" t="str">
        <f>IF(Games!Z424=0, "",Games!Z424)</f>
      </c>
      <c r="P424" s="67"/>
      <c r="Q424" s="67" t="str">
        <f>IF(ISBLANK(Games!W424), "", Games!W424)</f>
      </c>
      <c r="R424" s="67" t="str">
        <f>IF(ISBLANK(Games!AA424), "", Games!AA424)</f>
      </c>
      <c r="S424" s="67"/>
      <c r="T424" s="68" t="str">
        <f t="shared" si="61"/>
      </c>
      <c r="U424" s="68" t="str">
        <f t="shared" si="62"/>
      </c>
      <c r="V424" s="68" t="str">
        <f t="shared" si="63"/>
      </c>
      <c r="W424" s="68" t="str">
        <f t="shared" si="64"/>
      </c>
      <c r="X424" s="68" t="n">
        <f t="shared" si="66"/>
        <v>0</v>
      </c>
      <c r="Y424" s="68" t="n">
        <f t="shared" si="67"/>
        <v>0</v>
      </c>
      <c r="Z424" s="67" t="str">
        <f>IF(OR('Prediction Log'!L425="", Table12[[#This Row],[Bet]]="", Table12[[#This Row],[Bet]]="Spread"), "",IF('Prediction Log'!L425=Table12[[#This Row],[Side]], "W", IF('Prediction Log'!L425&lt;&gt;Table12[[#This Row],[Side]], "L", "")))</f>
      </c>
      <c r="AA424" s="59" t="str">
        <f t="shared" si="68"/>
      </c>
      <c r="AB424" s="67" t="str">
        <f>IF(OR(Table12[[#This Row],[Bet]]="Side",Table12[[#This Row],[Bet]]="", 'Prediction Log'!L425=""), "",IF('Prediction Log'!U425="Y", "W", IF('Prediction Log'!U425="N", "L", "")))</f>
      </c>
      <c r="AC424" s="59" t="str">
        <f t="shared" si="60"/>
      </c>
      <c r="AD424" s="67"/>
      <c r="AE424" s="65" t="str">
        <f t="shared" si="65"/>
      </c>
      <c r="AF4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5">
      <c r="A425" s="65" t="str">
        <f>IF(ISBLANK(Games!A425), "", Games!A425)</f>
      </c>
      <c r="B425" s="65" t="str">
        <f>IF('Prediction Log'!B426=0, "",'Prediction Log'!B426)</f>
      </c>
      <c r="C425" s="65" t="str">
        <f>IF('Prediction Log'!C426=0, "",'Prediction Log'!C426)</f>
      </c>
      <c r="D425" s="65" t="str">
        <f>IF('Prediction Log'!D426=0, "",'Prediction Log'!D426)</f>
      </c>
      <c r="E425" s="58" t="str">
        <f>IF('Prediction Log'!E426=0, "",'Prediction Log'!E426)</f>
      </c>
      <c r="F425" s="65" t="str">
        <f>IF('Prediction Log'!H426=0, "",'Prediction Log'!H426)</f>
      </c>
      <c r="G425" s="64" t="str">
        <f>IF(ISBLANK(Games!B425), "",'Prediction Log'!$I426)</f>
      </c>
      <c r="H425" s="66" t="n">
        <f>'Prediction Log'!$J426</f>
        <v>0</v>
      </c>
      <c r="I425" s="65" t="str">
        <f>IF(ISBLANK(Games!T425), "",IF(AND(Games!T425="",Games!U425=""),"",IF(ISTEXT(Games!U425), "Side",Games!T425)))</f>
      </c>
      <c r="J425" s="65" t="str">
        <f>IF(ISBLANK(Games!T425), "",IF(Table12[[#This Row],[Bet]]="Spread", Games!X425, ""))</f>
      </c>
      <c r="K425" s="65" t="str">
        <f>IF(ISBLANK(Games!U425), "",IF(ISTEXT(Games!U425), Games!U425, ""))</f>
      </c>
      <c r="L425" s="57" t="str">
        <f>IF(ISBLANK(Games!D425), "", Games!D425)</f>
      </c>
      <c r="M425" s="65"/>
      <c r="N425" s="75" t="str">
        <f>IF(Games!V425="", "",Games!V425)</f>
      </c>
      <c r="O425" s="75" t="str">
        <f>IF(Games!Z425=0, "",Games!Z425)</f>
      </c>
      <c r="P425" s="67"/>
      <c r="Q425" s="67" t="str">
        <f>IF(ISBLANK(Games!W425), "", Games!W425)</f>
      </c>
      <c r="R425" s="67" t="str">
        <f>IF(ISBLANK(Games!AA425), "", Games!AA425)</f>
      </c>
      <c r="S425" s="67"/>
      <c r="T425" s="68" t="str">
        <f t="shared" si="61"/>
      </c>
      <c r="U425" s="68" t="str">
        <f t="shared" si="62"/>
      </c>
      <c r="V425" s="68" t="str">
        <f t="shared" si="63"/>
      </c>
      <c r="W425" s="68" t="str">
        <f t="shared" si="64"/>
      </c>
      <c r="X425" s="68" t="n">
        <f t="shared" si="66"/>
        <v>0</v>
      </c>
      <c r="Y425" s="68" t="n">
        <f t="shared" si="67"/>
        <v>0</v>
      </c>
      <c r="Z425" s="67" t="str">
        <f>IF(OR('Prediction Log'!L426="", Table12[[#This Row],[Bet]]="", Table12[[#This Row],[Bet]]="Spread"), "",IF('Prediction Log'!L426=Table12[[#This Row],[Side]], "W", IF('Prediction Log'!L426&lt;&gt;Table12[[#This Row],[Side]], "L", "")))</f>
      </c>
      <c r="AA425" s="59" t="str">
        <f t="shared" si="68"/>
      </c>
      <c r="AB425" s="67" t="str">
        <f>IF(OR(Table12[[#This Row],[Bet]]="Side",Table12[[#This Row],[Bet]]="", 'Prediction Log'!L426=""), "",IF('Prediction Log'!U426="Y", "W", IF('Prediction Log'!U426="N", "L", "")))</f>
      </c>
      <c r="AC425" s="59" t="str">
        <f t="shared" si="60"/>
      </c>
      <c r="AD425" s="67"/>
      <c r="AE425" s="65" t="str">
        <f t="shared" si="65"/>
      </c>
      <c r="AF4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6">
      <c r="A426" s="65" t="str">
        <f>IF(ISBLANK(Games!A426), "", Games!A426)</f>
      </c>
      <c r="B426" s="65" t="str">
        <f>IF('Prediction Log'!B427=0, "",'Prediction Log'!B427)</f>
      </c>
      <c r="C426" s="65" t="str">
        <f>IF('Prediction Log'!C427=0, "",'Prediction Log'!C427)</f>
      </c>
      <c r="D426" s="65" t="str">
        <f>IF('Prediction Log'!D427=0, "",'Prediction Log'!D427)</f>
      </c>
      <c r="E426" s="58" t="str">
        <f>IF('Prediction Log'!E427=0, "",'Prediction Log'!E427)</f>
      </c>
      <c r="F426" s="65" t="str">
        <f>IF('Prediction Log'!H427=0, "",'Prediction Log'!H427)</f>
      </c>
      <c r="G426" s="64" t="str">
        <f>IF(ISBLANK(Games!B426), "",'Prediction Log'!$I427)</f>
      </c>
      <c r="H426" s="66" t="n">
        <f>'Prediction Log'!$J427</f>
        <v>0</v>
      </c>
      <c r="I426" s="65" t="str">
        <f>IF(ISBLANK(Games!T426), "",IF(AND(Games!T426="",Games!U426=""),"",IF(ISTEXT(Games!U426), "Side",Games!T426)))</f>
      </c>
      <c r="J426" s="65" t="str">
        <f>IF(ISBLANK(Games!T426), "",IF(Table12[[#This Row],[Bet]]="Spread", Games!X426, ""))</f>
      </c>
      <c r="K426" s="65" t="str">
        <f>IF(ISBLANK(Games!U426), "",IF(ISTEXT(Games!U426), Games!U426, ""))</f>
      </c>
      <c r="L426" s="57" t="str">
        <f>IF(ISBLANK(Games!D426), "", Games!D426)</f>
      </c>
      <c r="M426" s="65"/>
      <c r="N426" s="75" t="str">
        <f>IF(Games!V426="", "",Games!V426)</f>
      </c>
      <c r="O426" s="75" t="str">
        <f>IF(Games!Z426=0, "",Games!Z426)</f>
      </c>
      <c r="P426" s="67"/>
      <c r="Q426" s="67" t="str">
        <f>IF(ISBLANK(Games!W426), "", Games!W426)</f>
      </c>
      <c r="R426" s="67" t="str">
        <f>IF(ISBLANK(Games!AA426), "", Games!AA426)</f>
      </c>
      <c r="S426" s="67"/>
      <c r="T426" s="68" t="str">
        <f t="shared" si="61"/>
      </c>
      <c r="U426" s="68" t="str">
        <f t="shared" si="62"/>
      </c>
      <c r="V426" s="68" t="str">
        <f t="shared" si="63"/>
      </c>
      <c r="W426" s="68" t="str">
        <f t="shared" si="64"/>
      </c>
      <c r="X426" s="68" t="n">
        <f t="shared" si="66"/>
        <v>0</v>
      </c>
      <c r="Y426" s="68" t="n">
        <f t="shared" si="67"/>
        <v>0</v>
      </c>
      <c r="Z426" s="67" t="str">
        <f>IF(OR('Prediction Log'!L427="", Table12[[#This Row],[Bet]]="", Table12[[#This Row],[Bet]]="Spread"), "",IF('Prediction Log'!L427=Table12[[#This Row],[Side]], "W", IF('Prediction Log'!L427&lt;&gt;Table12[[#This Row],[Side]], "L", "")))</f>
      </c>
      <c r="AA426" s="59" t="str">
        <f t="shared" si="68"/>
      </c>
      <c r="AB426" s="67" t="str">
        <f>IF(OR(Table12[[#This Row],[Bet]]="Side",Table12[[#This Row],[Bet]]="", 'Prediction Log'!L427=""), "",IF('Prediction Log'!U427="Y", "W", IF('Prediction Log'!U427="N", "L", "")))</f>
      </c>
      <c r="AC426" s="59" t="str">
        <f t="shared" si="60"/>
      </c>
      <c r="AD426" s="67"/>
      <c r="AE426" s="65" t="str">
        <f t="shared" si="65"/>
      </c>
      <c r="AF4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7">
      <c r="A427" s="65" t="str">
        <f>IF(ISBLANK(Games!A427), "", Games!A427)</f>
      </c>
      <c r="B427" s="65" t="str">
        <f>IF('Prediction Log'!B428=0, "",'Prediction Log'!B428)</f>
      </c>
      <c r="C427" s="65" t="str">
        <f>IF('Prediction Log'!C428=0, "",'Prediction Log'!C428)</f>
      </c>
      <c r="D427" s="65" t="str">
        <f>IF('Prediction Log'!D428=0, "",'Prediction Log'!D428)</f>
      </c>
      <c r="E427" s="58" t="str">
        <f>IF('Prediction Log'!E428=0, "",'Prediction Log'!E428)</f>
      </c>
      <c r="F427" s="65" t="str">
        <f>IF('Prediction Log'!H428=0, "",'Prediction Log'!H428)</f>
      </c>
      <c r="G427" s="64" t="str">
        <f>IF(ISBLANK(Games!B427), "",'Prediction Log'!$I428)</f>
      </c>
      <c r="H427" s="66" t="n">
        <f>'Prediction Log'!$J428</f>
        <v>0</v>
      </c>
      <c r="I427" s="65" t="str">
        <f>IF(ISBLANK(Games!T427), "",IF(AND(Games!T427="",Games!U427=""),"",IF(ISTEXT(Games!U427), "Side",Games!T427)))</f>
      </c>
      <c r="J427" s="65" t="str">
        <f>IF(ISBLANK(Games!T427), "",IF(Table12[[#This Row],[Bet]]="Spread", Games!X427, ""))</f>
      </c>
      <c r="K427" s="65" t="str">
        <f>IF(ISBLANK(Games!U427), "",IF(ISTEXT(Games!U427), Games!U427, ""))</f>
      </c>
      <c r="L427" s="57" t="str">
        <f>IF(ISBLANK(Games!D427), "", Games!D427)</f>
      </c>
      <c r="M427" s="65"/>
      <c r="N427" s="75" t="str">
        <f>IF(Games!V427="", "",Games!V427)</f>
      </c>
      <c r="O427" s="75" t="str">
        <f>IF(Games!Z427=0, "",Games!Z427)</f>
      </c>
      <c r="P427" s="67"/>
      <c r="Q427" s="67" t="str">
        <f>IF(ISBLANK(Games!W427), "", Games!W427)</f>
      </c>
      <c r="R427" s="67" t="str">
        <f>IF(ISBLANK(Games!AA427), "", Games!AA427)</f>
      </c>
      <c r="S427" s="67"/>
      <c r="T427" s="68" t="str">
        <f t="shared" si="61"/>
      </c>
      <c r="U427" s="68" t="str">
        <f t="shared" si="62"/>
      </c>
      <c r="V427" s="68" t="str">
        <f t="shared" si="63"/>
      </c>
      <c r="W427" s="68" t="str">
        <f t="shared" si="64"/>
      </c>
      <c r="X427" s="68" t="n">
        <f t="shared" si="66"/>
        <v>0</v>
      </c>
      <c r="Y427" s="68" t="n">
        <f t="shared" si="67"/>
        <v>0</v>
      </c>
      <c r="Z427" s="67" t="str">
        <f>IF(OR('Prediction Log'!L428="", Table12[[#This Row],[Bet]]="", Table12[[#This Row],[Bet]]="Spread"), "",IF('Prediction Log'!L428=Table12[[#This Row],[Side]], "W", IF('Prediction Log'!L428&lt;&gt;Table12[[#This Row],[Side]], "L", "")))</f>
      </c>
      <c r="AA427" s="59" t="str">
        <f t="shared" si="68"/>
      </c>
      <c r="AB427" s="67" t="str">
        <f>IF(OR(Table12[[#This Row],[Bet]]="Side",Table12[[#This Row],[Bet]]="", 'Prediction Log'!L428=""), "",IF('Prediction Log'!U428="Y", "W", IF('Prediction Log'!U428="N", "L", "")))</f>
      </c>
      <c r="AC427" s="59" t="str">
        <f t="shared" si="60"/>
      </c>
      <c r="AD427" s="67"/>
      <c r="AE427" s="65" t="str">
        <f t="shared" si="65"/>
      </c>
      <c r="AF4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8">
      <c r="A428" s="65" t="str">
        <f>IF(ISBLANK(Games!A428), "", Games!A428)</f>
      </c>
      <c r="B428" s="65" t="str">
        <f>IF('Prediction Log'!B429=0, "",'Prediction Log'!B429)</f>
      </c>
      <c r="C428" s="65" t="str">
        <f>IF('Prediction Log'!C429=0, "",'Prediction Log'!C429)</f>
      </c>
      <c r="D428" s="65" t="str">
        <f>IF('Prediction Log'!D429=0, "",'Prediction Log'!D429)</f>
      </c>
      <c r="E428" s="58" t="str">
        <f>IF('Prediction Log'!E429=0, "",'Prediction Log'!E429)</f>
      </c>
      <c r="F428" s="65" t="str">
        <f>IF('Prediction Log'!H429=0, "",'Prediction Log'!H429)</f>
      </c>
      <c r="G428" s="64" t="str">
        <f>IF(ISBLANK(Games!B428), "",'Prediction Log'!$I429)</f>
      </c>
      <c r="H428" s="66" t="n">
        <f>'Prediction Log'!$J429</f>
        <v>0</v>
      </c>
      <c r="I428" s="65" t="str">
        <f>IF(ISBLANK(Games!T428), "",IF(AND(Games!T428="",Games!U428=""),"",IF(ISTEXT(Games!U428), "Side",Games!T428)))</f>
      </c>
      <c r="J428" s="65" t="str">
        <f>IF(ISBLANK(Games!T428), "",IF(Table12[[#This Row],[Bet]]="Spread", Games!X428, ""))</f>
      </c>
      <c r="K428" s="65" t="str">
        <f>IF(ISBLANK(Games!U428), "",IF(ISTEXT(Games!U428), Games!U428, ""))</f>
      </c>
      <c r="L428" s="57" t="str">
        <f>IF(ISBLANK(Games!D428), "", Games!D428)</f>
      </c>
      <c r="M428" s="65"/>
      <c r="N428" s="75" t="str">
        <f>IF(Games!V428="", "",Games!V428)</f>
      </c>
      <c r="O428" s="75" t="str">
        <f>IF(Games!Z428=0, "",Games!Z428)</f>
      </c>
      <c r="P428" s="67"/>
      <c r="Q428" s="67" t="str">
        <f>IF(ISBLANK(Games!W428), "", Games!W428)</f>
      </c>
      <c r="R428" s="67" t="str">
        <f>IF(ISBLANK(Games!AA428), "", Games!AA428)</f>
      </c>
      <c r="S428" s="67"/>
      <c r="T428" s="68" t="str">
        <f t="shared" si="61"/>
      </c>
      <c r="U428" s="68" t="str">
        <f t="shared" si="62"/>
      </c>
      <c r="V428" s="68" t="str">
        <f t="shared" si="63"/>
      </c>
      <c r="W428" s="68" t="str">
        <f t="shared" si="64"/>
      </c>
      <c r="X428" s="68" t="n">
        <f t="shared" si="66"/>
        <v>0</v>
      </c>
      <c r="Y428" s="68" t="n">
        <f t="shared" si="67"/>
        <v>0</v>
      </c>
      <c r="Z428" s="67" t="str">
        <f>IF(OR('Prediction Log'!L429="", Table12[[#This Row],[Bet]]="", Table12[[#This Row],[Bet]]="Spread"), "",IF('Prediction Log'!L429=Table12[[#This Row],[Side]], "W", IF('Prediction Log'!L429&lt;&gt;Table12[[#This Row],[Side]], "L", "")))</f>
      </c>
      <c r="AA428" s="59" t="str">
        <f t="shared" si="68"/>
      </c>
      <c r="AB428" s="67" t="str">
        <f>IF(OR(Table12[[#This Row],[Bet]]="Side",Table12[[#This Row],[Bet]]="", 'Prediction Log'!L429=""), "",IF('Prediction Log'!U429="Y", "W", IF('Prediction Log'!U429="N", "L", "")))</f>
      </c>
      <c r="AC428" s="59" t="str">
        <f t="shared" si="60"/>
      </c>
      <c r="AD428" s="67"/>
      <c r="AE428" s="65" t="str">
        <f t="shared" si="65"/>
      </c>
      <c r="AF4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9">
      <c r="A429" s="65" t="str">
        <f>IF(ISBLANK(Games!A429), "", Games!A429)</f>
      </c>
      <c r="B429" s="65" t="str">
        <f>IF('Prediction Log'!B430=0, "",'Prediction Log'!B430)</f>
      </c>
      <c r="C429" s="65" t="str">
        <f>IF('Prediction Log'!C430=0, "",'Prediction Log'!C430)</f>
      </c>
      <c r="D429" s="65" t="str">
        <f>IF('Prediction Log'!D430=0, "",'Prediction Log'!D430)</f>
      </c>
      <c r="E429" s="58" t="str">
        <f>IF('Prediction Log'!E430=0, "",'Prediction Log'!E430)</f>
      </c>
      <c r="F429" s="65" t="str">
        <f>IF('Prediction Log'!H430=0, "",'Prediction Log'!H430)</f>
      </c>
      <c r="G429" s="64" t="str">
        <f>IF(ISBLANK(Games!B429), "",'Prediction Log'!$I430)</f>
      </c>
      <c r="H429" s="66" t="n">
        <f>'Prediction Log'!$J430</f>
        <v>0</v>
      </c>
      <c r="I429" s="65" t="str">
        <f>IF(ISBLANK(Games!T429), "",IF(AND(Games!T429="",Games!U429=""),"",IF(ISTEXT(Games!U429), "Side",Games!T429)))</f>
      </c>
      <c r="J429" s="65" t="str">
        <f>IF(ISBLANK(Games!T429), "",IF(Table12[[#This Row],[Bet]]="Spread", Games!X429, ""))</f>
      </c>
      <c r="K429" s="65" t="str">
        <f>IF(ISBLANK(Games!U429), "",IF(ISTEXT(Games!U429), Games!U429, ""))</f>
      </c>
      <c r="L429" s="57" t="str">
        <f>IF(ISBLANK(Games!D429), "", Games!D429)</f>
      </c>
      <c r="M429" s="65"/>
      <c r="N429" s="75" t="str">
        <f>IF(Games!V429="", "",Games!V429)</f>
      </c>
      <c r="O429" s="75" t="str">
        <f>IF(Games!Z429=0, "",Games!Z429)</f>
      </c>
      <c r="P429" s="67"/>
      <c r="Q429" s="67" t="str">
        <f>IF(ISBLANK(Games!W429), "", Games!W429)</f>
      </c>
      <c r="R429" s="67" t="str">
        <f>IF(ISBLANK(Games!AA429), "", Games!AA429)</f>
      </c>
      <c r="S429" s="67"/>
      <c r="T429" s="68" t="str">
        <f t="shared" si="61"/>
      </c>
      <c r="U429" s="68" t="str">
        <f t="shared" si="62"/>
      </c>
      <c r="V429" s="68" t="str">
        <f t="shared" si="63"/>
      </c>
      <c r="W429" s="68" t="str">
        <f t="shared" si="64"/>
      </c>
      <c r="X429" s="68" t="n">
        <f t="shared" si="66"/>
        <v>0</v>
      </c>
      <c r="Y429" s="68" t="n">
        <f t="shared" si="67"/>
        <v>0</v>
      </c>
      <c r="Z429" s="67" t="str">
        <f>IF(OR('Prediction Log'!L430="", Table12[[#This Row],[Bet]]="", Table12[[#This Row],[Bet]]="Spread"), "",IF('Prediction Log'!L430=Table12[[#This Row],[Side]], "W", IF('Prediction Log'!L430&lt;&gt;Table12[[#This Row],[Side]], "L", "")))</f>
      </c>
      <c r="AA429" s="59" t="str">
        <f t="shared" si="68"/>
      </c>
      <c r="AB429" s="67" t="str">
        <f>IF(OR(Table12[[#This Row],[Bet]]="Side",Table12[[#This Row],[Bet]]="", 'Prediction Log'!L430=""), "",IF('Prediction Log'!U430="Y", "W", IF('Prediction Log'!U430="N", "L", "")))</f>
      </c>
      <c r="AC429" s="59" t="str">
        <f t="shared" si="60"/>
      </c>
      <c r="AD429" s="67"/>
      <c r="AE429" s="65" t="str">
        <f t="shared" si="65"/>
      </c>
      <c r="AF4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0">
      <c r="A430" s="65" t="str">
        <f>IF(ISBLANK(Games!A430), "", Games!A430)</f>
      </c>
      <c r="B430" s="65" t="str">
        <f>IF('Prediction Log'!B431=0, "",'Prediction Log'!B431)</f>
      </c>
      <c r="C430" s="65" t="str">
        <f>IF('Prediction Log'!C431=0, "",'Prediction Log'!C431)</f>
      </c>
      <c r="D430" s="65" t="str">
        <f>IF('Prediction Log'!D431=0, "",'Prediction Log'!D431)</f>
      </c>
      <c r="E430" s="58" t="str">
        <f>IF('Prediction Log'!E431=0, "",'Prediction Log'!E431)</f>
      </c>
      <c r="F430" s="65" t="str">
        <f>IF('Prediction Log'!H431=0, "",'Prediction Log'!H431)</f>
      </c>
      <c r="G430" s="64" t="str">
        <f>IF(ISBLANK(Games!B430), "",'Prediction Log'!$I431)</f>
      </c>
      <c r="H430" s="66" t="n">
        <f>'Prediction Log'!$J431</f>
        <v>0</v>
      </c>
      <c r="I430" s="65" t="str">
        <f>IF(ISBLANK(Games!T430), "",IF(AND(Games!T430="",Games!U430=""),"",IF(ISTEXT(Games!U430), "Side",Games!T430)))</f>
      </c>
      <c r="J430" s="65" t="str">
        <f>IF(ISBLANK(Games!T430), "",IF(Table12[[#This Row],[Bet]]="Spread", Games!X430, ""))</f>
      </c>
      <c r="K430" s="65" t="str">
        <f>IF(ISBLANK(Games!U430), "",IF(ISTEXT(Games!U430), Games!U430, ""))</f>
      </c>
      <c r="L430" s="57" t="str">
        <f>IF(ISBLANK(Games!D430), "", Games!D430)</f>
      </c>
      <c r="M430" s="65"/>
      <c r="N430" s="75" t="str">
        <f>IF(Games!V430="", "",Games!V430)</f>
      </c>
      <c r="O430" s="75" t="str">
        <f>IF(Games!Z430=0, "",Games!Z430)</f>
      </c>
      <c r="P430" s="67"/>
      <c r="Q430" s="67" t="str">
        <f>IF(ISBLANK(Games!W430), "", Games!W430)</f>
      </c>
      <c r="R430" s="67" t="str">
        <f>IF(ISBLANK(Games!AA430), "", Games!AA430)</f>
      </c>
      <c r="S430" s="67"/>
      <c r="T430" s="68" t="str">
        <f t="shared" si="61"/>
      </c>
      <c r="U430" s="68" t="str">
        <f t="shared" si="62"/>
      </c>
      <c r="V430" s="68" t="str">
        <f t="shared" si="63"/>
      </c>
      <c r="W430" s="68" t="str">
        <f t="shared" si="64"/>
      </c>
      <c r="X430" s="68" t="n">
        <f t="shared" si="66"/>
        <v>0</v>
      </c>
      <c r="Y430" s="68" t="n">
        <f t="shared" si="67"/>
        <v>0</v>
      </c>
      <c r="Z430" s="67" t="str">
        <f>IF(OR('Prediction Log'!L431="", Table12[[#This Row],[Bet]]="", Table12[[#This Row],[Bet]]="Spread"), "",IF('Prediction Log'!L431=Table12[[#This Row],[Side]], "W", IF('Prediction Log'!L431&lt;&gt;Table12[[#This Row],[Side]], "L", "")))</f>
      </c>
      <c r="AA430" s="59" t="str">
        <f t="shared" si="68"/>
      </c>
      <c r="AB430" s="67" t="str">
        <f>IF(OR(Table12[[#This Row],[Bet]]="Side",Table12[[#This Row],[Bet]]="", 'Prediction Log'!L431=""), "",IF('Prediction Log'!U431="Y", "W", IF('Prediction Log'!U431="N", "L", "")))</f>
      </c>
      <c r="AC430" s="59" t="str">
        <f t="shared" si="60"/>
      </c>
      <c r="AD430" s="67"/>
      <c r="AE430" s="65" t="str">
        <f t="shared" si="65"/>
      </c>
      <c r="AF4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1">
      <c r="A431" s="65" t="str">
        <f>IF(ISBLANK(Games!A431), "", Games!A431)</f>
      </c>
      <c r="B431" s="65" t="str">
        <f>IF('Prediction Log'!B432=0, "",'Prediction Log'!B432)</f>
      </c>
      <c r="C431" s="65" t="str">
        <f>IF('Prediction Log'!C432=0, "",'Prediction Log'!C432)</f>
      </c>
      <c r="D431" s="65" t="str">
        <f>IF('Prediction Log'!D432=0, "",'Prediction Log'!D432)</f>
      </c>
      <c r="E431" s="58" t="str">
        <f>IF('Prediction Log'!E432=0, "",'Prediction Log'!E432)</f>
      </c>
      <c r="F431" s="65" t="str">
        <f>IF('Prediction Log'!H432=0, "",'Prediction Log'!H432)</f>
      </c>
      <c r="G431" s="64" t="str">
        <f>IF(ISBLANK(Games!B431), "",'Prediction Log'!$I432)</f>
      </c>
      <c r="H431" s="66" t="n">
        <f>'Prediction Log'!$J432</f>
        <v>0</v>
      </c>
      <c r="I431" s="65" t="str">
        <f>IF(ISBLANK(Games!T431), "",IF(AND(Games!T431="",Games!U431=""),"",IF(ISTEXT(Games!U431), "Side",Games!T431)))</f>
      </c>
      <c r="J431" s="65" t="str">
        <f>IF(ISBLANK(Games!T431), "",IF(Table12[[#This Row],[Bet]]="Spread", Games!X431, ""))</f>
      </c>
      <c r="K431" s="65" t="str">
        <f>IF(ISBLANK(Games!U431), "",IF(ISTEXT(Games!U431), Games!U431, ""))</f>
      </c>
      <c r="L431" s="57" t="str">
        <f>IF(ISBLANK(Games!D431), "", Games!D431)</f>
      </c>
      <c r="M431" s="65"/>
      <c r="N431" s="75" t="str">
        <f>IF(Games!V431="", "",Games!V431)</f>
      </c>
      <c r="O431" s="75" t="str">
        <f>IF(Games!Z431=0, "",Games!Z431)</f>
      </c>
      <c r="P431" s="67"/>
      <c r="Q431" s="67" t="str">
        <f>IF(ISBLANK(Games!W431), "", Games!W431)</f>
      </c>
      <c r="R431" s="67" t="str">
        <f>IF(ISBLANK(Games!AA431), "", Games!AA431)</f>
      </c>
      <c r="S431" s="67"/>
      <c r="T431" s="68" t="str">
        <f t="shared" si="61"/>
      </c>
      <c r="U431" s="68" t="str">
        <f t="shared" si="62"/>
      </c>
      <c r="V431" s="68" t="str">
        <f t="shared" si="63"/>
      </c>
      <c r="W431" s="68" t="str">
        <f t="shared" si="64"/>
      </c>
      <c r="X431" s="68" t="n">
        <f t="shared" si="66"/>
        <v>0</v>
      </c>
      <c r="Y431" s="68" t="n">
        <f t="shared" si="67"/>
        <v>0</v>
      </c>
      <c r="Z431" s="67" t="str">
        <f>IF(OR('Prediction Log'!L432="", Table12[[#This Row],[Bet]]="", Table12[[#This Row],[Bet]]="Spread"), "",IF('Prediction Log'!L432=Table12[[#This Row],[Side]], "W", IF('Prediction Log'!L432&lt;&gt;Table12[[#This Row],[Side]], "L", "")))</f>
      </c>
      <c r="AA431" s="59" t="str">
        <f t="shared" si="68"/>
      </c>
      <c r="AB431" s="67" t="str">
        <f>IF(OR(Table12[[#This Row],[Bet]]="Side",Table12[[#This Row],[Bet]]="", 'Prediction Log'!L432=""), "",IF('Prediction Log'!U432="Y", "W", IF('Prediction Log'!U432="N", "L", "")))</f>
      </c>
      <c r="AC431" s="59" t="str">
        <f t="shared" si="60"/>
      </c>
      <c r="AD431" s="67"/>
      <c r="AE431" s="65" t="str">
        <f t="shared" si="65"/>
      </c>
      <c r="AF4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2">
      <c r="A432" s="65" t="str">
        <f>IF(ISBLANK(Games!A432), "", Games!A432)</f>
      </c>
      <c r="B432" s="65" t="str">
        <f>IF('Prediction Log'!B433=0, "",'Prediction Log'!B433)</f>
      </c>
      <c r="C432" s="65" t="str">
        <f>IF('Prediction Log'!C433=0, "",'Prediction Log'!C433)</f>
      </c>
      <c r="D432" s="65" t="str">
        <f>IF('Prediction Log'!D433=0, "",'Prediction Log'!D433)</f>
      </c>
      <c r="E432" s="58" t="str">
        <f>IF('Prediction Log'!E433=0, "",'Prediction Log'!E433)</f>
      </c>
      <c r="F432" s="65" t="str">
        <f>IF('Prediction Log'!H433=0, "",'Prediction Log'!H433)</f>
      </c>
      <c r="G432" s="64" t="str">
        <f>IF(ISBLANK(Games!B432), "",'Prediction Log'!$I433)</f>
      </c>
      <c r="H432" s="66" t="n">
        <f>'Prediction Log'!$J433</f>
        <v>0</v>
      </c>
      <c r="I432" s="65" t="str">
        <f>IF(ISBLANK(Games!T432), "",IF(AND(Games!T432="",Games!U432=""),"",IF(ISTEXT(Games!U432), "Side",Games!T432)))</f>
      </c>
      <c r="J432" s="65" t="str">
        <f>IF(ISBLANK(Games!T432), "",IF(Table12[[#This Row],[Bet]]="Spread", Games!X432, ""))</f>
      </c>
      <c r="K432" s="65" t="str">
        <f>IF(ISBLANK(Games!U432), "",IF(ISTEXT(Games!U432), Games!U432, ""))</f>
      </c>
      <c r="L432" s="57" t="str">
        <f>IF(ISBLANK(Games!D432), "", Games!D432)</f>
      </c>
      <c r="M432" s="65"/>
      <c r="N432" s="75" t="str">
        <f>IF(Games!V432="", "",Games!V432)</f>
      </c>
      <c r="O432" s="75" t="str">
        <f>IF(Games!Z432=0, "",Games!Z432)</f>
      </c>
      <c r="P432" s="67"/>
      <c r="Q432" s="67" t="str">
        <f>IF(ISBLANK(Games!W432), "", Games!W432)</f>
      </c>
      <c r="R432" s="67" t="str">
        <f>IF(ISBLANK(Games!AA432), "", Games!AA432)</f>
      </c>
      <c r="S432" s="67"/>
      <c r="T432" s="68" t="str">
        <f t="shared" si="61"/>
      </c>
      <c r="U432" s="68" t="str">
        <f t="shared" si="62"/>
      </c>
      <c r="V432" s="68" t="str">
        <f t="shared" si="63"/>
      </c>
      <c r="W432" s="68" t="str">
        <f t="shared" si="64"/>
      </c>
      <c r="X432" s="68" t="n">
        <f t="shared" si="66"/>
        <v>0</v>
      </c>
      <c r="Y432" s="68" t="n">
        <f t="shared" si="67"/>
        <v>0</v>
      </c>
      <c r="Z432" s="67" t="str">
        <f>IF(OR('Prediction Log'!L433="", Table12[[#This Row],[Bet]]="", Table12[[#This Row],[Bet]]="Spread"), "",IF('Prediction Log'!L433=Table12[[#This Row],[Side]], "W", IF('Prediction Log'!L433&lt;&gt;Table12[[#This Row],[Side]], "L", "")))</f>
      </c>
      <c r="AA432" s="59" t="str">
        <f t="shared" si="68"/>
      </c>
      <c r="AB432" s="67" t="str">
        <f>IF(OR(Table12[[#This Row],[Bet]]="Side",Table12[[#This Row],[Bet]]="", 'Prediction Log'!L433=""), "",IF('Prediction Log'!U433="Y", "W", IF('Prediction Log'!U433="N", "L", "")))</f>
      </c>
      <c r="AC432" s="59" t="str">
        <f t="shared" si="60"/>
      </c>
      <c r="AD432" s="67"/>
      <c r="AE432" s="65" t="str">
        <f t="shared" si="65"/>
      </c>
      <c r="AF4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3">
      <c r="A433" s="65" t="str">
        <f>IF(ISBLANK(Games!A433), "", Games!A433)</f>
      </c>
      <c r="B433" s="65" t="str">
        <f>IF('Prediction Log'!B434=0, "",'Prediction Log'!B434)</f>
      </c>
      <c r="C433" s="65" t="str">
        <f>IF('Prediction Log'!C434=0, "",'Prediction Log'!C434)</f>
      </c>
      <c r="D433" s="65" t="str">
        <f>IF('Prediction Log'!D434=0, "",'Prediction Log'!D434)</f>
      </c>
      <c r="E433" s="58" t="str">
        <f>IF('Prediction Log'!E434=0, "",'Prediction Log'!E434)</f>
      </c>
      <c r="F433" s="65" t="str">
        <f>IF('Prediction Log'!H434=0, "",'Prediction Log'!H434)</f>
      </c>
      <c r="G433" s="64" t="str">
        <f>IF(ISBLANK(Games!B433), "",'Prediction Log'!$I434)</f>
      </c>
      <c r="H433" s="66" t="n">
        <f>'Prediction Log'!$J434</f>
        <v>0</v>
      </c>
      <c r="I433" s="65" t="str">
        <f>IF(ISBLANK(Games!T433), "",IF(AND(Games!T433="",Games!U433=""),"",IF(ISTEXT(Games!U433), "Side",Games!T433)))</f>
      </c>
      <c r="J433" s="65" t="str">
        <f>IF(ISBLANK(Games!T433), "",IF(Table12[[#This Row],[Bet]]="Spread", Games!X433, ""))</f>
      </c>
      <c r="K433" s="65" t="str">
        <f>IF(ISBLANK(Games!U433), "",IF(ISTEXT(Games!U433), Games!U433, ""))</f>
      </c>
      <c r="L433" s="57" t="str">
        <f>IF(ISBLANK(Games!D433), "", Games!D433)</f>
      </c>
      <c r="M433" s="65"/>
      <c r="N433" s="75" t="str">
        <f>IF(Games!V433="", "",Games!V433)</f>
      </c>
      <c r="O433" s="75" t="str">
        <f>IF(Games!Z433=0, "",Games!Z433)</f>
      </c>
      <c r="P433" s="67"/>
      <c r="Q433" s="67" t="str">
        <f>IF(ISBLANK(Games!W433), "", Games!W433)</f>
      </c>
      <c r="R433" s="67" t="str">
        <f>IF(ISBLANK(Games!AA433), "", Games!AA433)</f>
      </c>
      <c r="S433" s="67"/>
      <c r="T433" s="68" t="str">
        <f t="shared" si="61"/>
      </c>
      <c r="U433" s="68" t="str">
        <f t="shared" si="62"/>
      </c>
      <c r="V433" s="68" t="str">
        <f t="shared" si="63"/>
      </c>
      <c r="W433" s="68" t="str">
        <f t="shared" si="64"/>
      </c>
      <c r="X433" s="68" t="n">
        <f t="shared" si="66"/>
        <v>0</v>
      </c>
      <c r="Y433" s="68" t="n">
        <f t="shared" si="67"/>
        <v>0</v>
      </c>
      <c r="Z433" s="67" t="str">
        <f>IF(OR('Prediction Log'!L434="", Table12[[#This Row],[Bet]]="", Table12[[#This Row],[Bet]]="Spread"), "",IF('Prediction Log'!L434=Table12[[#This Row],[Side]], "W", IF('Prediction Log'!L434&lt;&gt;Table12[[#This Row],[Side]], "L", "")))</f>
      </c>
      <c r="AA433" s="59" t="str">
        <f t="shared" si="68"/>
      </c>
      <c r="AB433" s="67" t="str">
        <f>IF(OR(Table12[[#This Row],[Bet]]="Side",Table12[[#This Row],[Bet]]="", 'Prediction Log'!L434=""), "",IF('Prediction Log'!U434="Y", "W", IF('Prediction Log'!U434="N", "L", "")))</f>
      </c>
      <c r="AC433" s="59" t="str">
        <f t="shared" si="60"/>
      </c>
      <c r="AD433" s="67"/>
      <c r="AE433" s="65" t="str">
        <f t="shared" si="65"/>
      </c>
      <c r="AF4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4">
      <c r="A434" s="65" t="str">
        <f>IF(ISBLANK(Games!A434), "", Games!A434)</f>
      </c>
      <c r="B434" s="65" t="str">
        <f>IF('Prediction Log'!B435=0, "",'Prediction Log'!B435)</f>
      </c>
      <c r="C434" s="65" t="str">
        <f>IF('Prediction Log'!C435=0, "",'Prediction Log'!C435)</f>
      </c>
      <c r="D434" s="65" t="str">
        <f>IF('Prediction Log'!D435=0, "",'Prediction Log'!D435)</f>
      </c>
      <c r="E434" s="58" t="str">
        <f>IF('Prediction Log'!E435=0, "",'Prediction Log'!E435)</f>
      </c>
      <c r="F434" s="65" t="str">
        <f>IF('Prediction Log'!H435=0, "",'Prediction Log'!H435)</f>
      </c>
      <c r="G434" s="64" t="str">
        <f>IF(ISBLANK(Games!B434), "",'Prediction Log'!$I435)</f>
      </c>
      <c r="H434" s="66" t="n">
        <f>'Prediction Log'!$J435</f>
        <v>0</v>
      </c>
      <c r="I434" s="65" t="str">
        <f>IF(ISBLANK(Games!T434), "",IF(AND(Games!T434="",Games!U434=""),"",IF(ISTEXT(Games!U434), "Side",Games!T434)))</f>
      </c>
      <c r="J434" s="65" t="str">
        <f>IF(ISBLANK(Games!T434), "",IF(Table12[[#This Row],[Bet]]="Spread", Games!X434, ""))</f>
      </c>
      <c r="K434" s="65" t="str">
        <f>IF(ISBLANK(Games!U434), "",IF(ISTEXT(Games!U434), Games!U434, ""))</f>
      </c>
      <c r="L434" s="57" t="str">
        <f>IF(ISBLANK(Games!D434), "", Games!D434)</f>
      </c>
      <c r="M434" s="65"/>
      <c r="N434" s="75" t="str">
        <f>IF(Games!V434="", "",Games!V434)</f>
      </c>
      <c r="O434" s="75" t="str">
        <f>IF(Games!Z434=0, "",Games!Z434)</f>
      </c>
      <c r="P434" s="67"/>
      <c r="Q434" s="67" t="str">
        <f>IF(ISBLANK(Games!W434), "", Games!W434)</f>
      </c>
      <c r="R434" s="67" t="str">
        <f>IF(ISBLANK(Games!AA434), "", Games!AA434)</f>
      </c>
      <c r="S434" s="67"/>
      <c r="T434" s="68" t="str">
        <f t="shared" si="61"/>
      </c>
      <c r="U434" s="68" t="str">
        <f t="shared" si="62"/>
      </c>
      <c r="V434" s="68" t="str">
        <f t="shared" si="63"/>
      </c>
      <c r="W434" s="68" t="str">
        <f t="shared" si="64"/>
      </c>
      <c r="X434" s="68" t="n">
        <f t="shared" si="66"/>
        <v>0</v>
      </c>
      <c r="Y434" s="68" t="n">
        <f t="shared" si="67"/>
        <v>0</v>
      </c>
      <c r="Z434" s="67" t="str">
        <f>IF(OR('Prediction Log'!L435="", Table12[[#This Row],[Bet]]="", Table12[[#This Row],[Bet]]="Spread"), "",IF('Prediction Log'!L435=Table12[[#This Row],[Side]], "W", IF('Prediction Log'!L435&lt;&gt;Table12[[#This Row],[Side]], "L", "")))</f>
      </c>
      <c r="AA434" s="59" t="str">
        <f t="shared" si="68"/>
      </c>
      <c r="AB434" s="67" t="str">
        <f>IF(OR(Table12[[#This Row],[Bet]]="Side",Table12[[#This Row],[Bet]]="", 'Prediction Log'!L435=""), "",IF('Prediction Log'!U435="Y", "W", IF('Prediction Log'!U435="N", "L", "")))</f>
      </c>
      <c r="AC434" s="59" t="str">
        <f t="shared" si="60"/>
      </c>
      <c r="AD434" s="67"/>
      <c r="AE434" s="65" t="str">
        <f t="shared" si="65"/>
      </c>
      <c r="AF4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5">
      <c r="A435" s="65" t="str">
        <f>IF(ISBLANK(Games!A435), "", Games!A435)</f>
      </c>
      <c r="B435" s="65" t="str">
        <f>IF('Prediction Log'!B436=0, "",'Prediction Log'!B436)</f>
      </c>
      <c r="C435" s="65" t="str">
        <f>IF('Prediction Log'!C436=0, "",'Prediction Log'!C436)</f>
      </c>
      <c r="D435" s="65" t="str">
        <f>IF('Prediction Log'!D436=0, "",'Prediction Log'!D436)</f>
      </c>
      <c r="E435" s="58" t="str">
        <f>IF('Prediction Log'!E436=0, "",'Prediction Log'!E436)</f>
      </c>
      <c r="F435" s="65" t="str">
        <f>IF('Prediction Log'!H436=0, "",'Prediction Log'!H436)</f>
      </c>
      <c r="G435" s="64" t="str">
        <f>IF(ISBLANK(Games!B435), "",'Prediction Log'!$I436)</f>
      </c>
      <c r="H435" s="66" t="n">
        <f>'Prediction Log'!$J436</f>
        <v>0</v>
      </c>
      <c r="I435" s="65" t="str">
        <f>IF(ISBLANK(Games!T435), "",IF(AND(Games!T435="",Games!U435=""),"",IF(ISTEXT(Games!U435), "Side",Games!T435)))</f>
      </c>
      <c r="J435" s="65" t="str">
        <f>IF(ISBLANK(Games!T435), "",IF(Table12[[#This Row],[Bet]]="Spread", Games!X435, ""))</f>
      </c>
      <c r="K435" s="65" t="str">
        <f>IF(ISBLANK(Games!U435), "",IF(ISTEXT(Games!U435), Games!U435, ""))</f>
      </c>
      <c r="L435" s="57" t="str">
        <f>IF(ISBLANK(Games!D435), "", Games!D435)</f>
      </c>
      <c r="M435" s="65"/>
      <c r="N435" s="75" t="str">
        <f>IF(Games!V435="", "",Games!V435)</f>
      </c>
      <c r="O435" s="75" t="str">
        <f>IF(Games!Z435=0, "",Games!Z435)</f>
      </c>
      <c r="P435" s="67"/>
      <c r="Q435" s="67" t="str">
        <f>IF(ISBLANK(Games!W435), "", Games!W435)</f>
      </c>
      <c r="R435" s="67" t="str">
        <f>IF(ISBLANK(Games!AA435), "", Games!AA435)</f>
      </c>
      <c r="S435" s="67"/>
      <c r="T435" s="68" t="str">
        <f t="shared" si="61"/>
      </c>
      <c r="U435" s="68" t="str">
        <f t="shared" si="62"/>
      </c>
      <c r="V435" s="68" t="str">
        <f t="shared" si="63"/>
      </c>
      <c r="W435" s="68" t="str">
        <f t="shared" si="64"/>
      </c>
      <c r="X435" s="68" t="n">
        <f t="shared" si="66"/>
        <v>0</v>
      </c>
      <c r="Y435" s="68" t="n">
        <f t="shared" si="67"/>
        <v>0</v>
      </c>
      <c r="Z435" s="67" t="str">
        <f>IF(OR('Prediction Log'!L436="", Table12[[#This Row],[Bet]]="", Table12[[#This Row],[Bet]]="Spread"), "",IF('Prediction Log'!L436=Table12[[#This Row],[Side]], "W", IF('Prediction Log'!L436&lt;&gt;Table12[[#This Row],[Side]], "L", "")))</f>
      </c>
      <c r="AA435" s="59" t="str">
        <f t="shared" si="68"/>
      </c>
      <c r="AB435" s="67" t="str">
        <f>IF(OR(Table12[[#This Row],[Bet]]="Side",Table12[[#This Row],[Bet]]="", 'Prediction Log'!L436=""), "",IF('Prediction Log'!U436="Y", "W", IF('Prediction Log'!U436="N", "L", "")))</f>
      </c>
      <c r="AC435" s="59" t="str">
        <f t="shared" si="60"/>
      </c>
      <c r="AD435" s="67"/>
      <c r="AE435" s="65" t="str">
        <f t="shared" si="65"/>
      </c>
      <c r="AF4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6">
      <c r="A436" s="65" t="str">
        <f>IF(ISBLANK(Games!A436), "", Games!A436)</f>
      </c>
      <c r="B436" s="65" t="str">
        <f>IF('Prediction Log'!B437=0, "",'Prediction Log'!B437)</f>
      </c>
      <c r="C436" s="65" t="str">
        <f>IF('Prediction Log'!C437=0, "",'Prediction Log'!C437)</f>
      </c>
      <c r="D436" s="65" t="str">
        <f>IF('Prediction Log'!D437=0, "",'Prediction Log'!D437)</f>
      </c>
      <c r="E436" s="58" t="str">
        <f>IF('Prediction Log'!E437=0, "",'Prediction Log'!E437)</f>
      </c>
      <c r="F436" s="65" t="str">
        <f>IF('Prediction Log'!H437=0, "",'Prediction Log'!H437)</f>
      </c>
      <c r="G436" s="64" t="str">
        <f>IF(ISBLANK(Games!B436), "",'Prediction Log'!$I437)</f>
      </c>
      <c r="H436" s="66" t="n">
        <f>'Prediction Log'!$J437</f>
        <v>0</v>
      </c>
      <c r="I436" s="65" t="str">
        <f>IF(ISBLANK(Games!T436), "",IF(AND(Games!T436="",Games!U436=""),"",IF(ISTEXT(Games!U436), "Side",Games!T436)))</f>
      </c>
      <c r="J436" s="65" t="str">
        <f>IF(ISBLANK(Games!T436), "",IF(Table12[[#This Row],[Bet]]="Spread", Games!X436, ""))</f>
      </c>
      <c r="K436" s="65" t="str">
        <f>IF(ISBLANK(Games!U436), "",IF(ISTEXT(Games!U436), Games!U436, ""))</f>
      </c>
      <c r="L436" s="57" t="str">
        <f>IF(ISBLANK(Games!D436), "", Games!D436)</f>
      </c>
      <c r="M436" s="65"/>
      <c r="N436" s="75" t="str">
        <f>IF(Games!V436="", "",Games!V436)</f>
      </c>
      <c r="O436" s="75" t="str">
        <f>IF(Games!Z436=0, "",Games!Z436)</f>
      </c>
      <c r="P436" s="67"/>
      <c r="Q436" s="67" t="str">
        <f>IF(ISBLANK(Games!W436), "", Games!W436)</f>
      </c>
      <c r="R436" s="67" t="str">
        <f>IF(ISBLANK(Games!AA436), "", Games!AA436)</f>
      </c>
      <c r="S436" s="67"/>
      <c r="T436" s="68" t="str">
        <f t="shared" si="61"/>
      </c>
      <c r="U436" s="68" t="str">
        <f t="shared" si="62"/>
      </c>
      <c r="V436" s="68" t="str">
        <f t="shared" si="63"/>
      </c>
      <c r="W436" s="68" t="str">
        <f t="shared" si="64"/>
      </c>
      <c r="X436" s="68" t="n">
        <f t="shared" si="66"/>
        <v>0</v>
      </c>
      <c r="Y436" s="68" t="n">
        <f t="shared" si="67"/>
        <v>0</v>
      </c>
      <c r="Z436" s="67" t="str">
        <f>IF(OR('Prediction Log'!L437="", Table12[[#This Row],[Bet]]="", Table12[[#This Row],[Bet]]="Spread"), "",IF('Prediction Log'!L437=Table12[[#This Row],[Side]], "W", IF('Prediction Log'!L437&lt;&gt;Table12[[#This Row],[Side]], "L", "")))</f>
      </c>
      <c r="AA436" s="59" t="str">
        <f t="shared" si="68"/>
      </c>
      <c r="AB436" s="67" t="str">
        <f>IF(OR(Table12[[#This Row],[Bet]]="Side",Table12[[#This Row],[Bet]]="", 'Prediction Log'!L437=""), "",IF('Prediction Log'!U437="Y", "W", IF('Prediction Log'!U437="N", "L", "")))</f>
      </c>
      <c r="AC436" s="59" t="str">
        <f t="shared" si="60"/>
      </c>
      <c r="AD436" s="67"/>
      <c r="AE436" s="65" t="str">
        <f t="shared" si="65"/>
      </c>
      <c r="AF4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7">
      <c r="A437" s="65" t="str">
        <f>IF(ISBLANK(Games!A437), "", Games!A437)</f>
      </c>
      <c r="B437" s="65" t="str">
        <f>IF('Prediction Log'!B438=0, "",'Prediction Log'!B438)</f>
      </c>
      <c r="C437" s="65" t="str">
        <f>IF('Prediction Log'!C438=0, "",'Prediction Log'!C438)</f>
      </c>
      <c r="D437" s="65" t="str">
        <f>IF('Prediction Log'!D438=0, "",'Prediction Log'!D438)</f>
      </c>
      <c r="E437" s="58" t="str">
        <f>IF('Prediction Log'!E438=0, "",'Prediction Log'!E438)</f>
      </c>
      <c r="F437" s="65" t="str">
        <f>IF('Prediction Log'!H438=0, "",'Prediction Log'!H438)</f>
      </c>
      <c r="G437" s="64" t="str">
        <f>IF(ISBLANK(Games!B437), "",'Prediction Log'!$I438)</f>
      </c>
      <c r="H437" s="66" t="n">
        <f>'Prediction Log'!$J438</f>
        <v>0</v>
      </c>
      <c r="I437" s="65" t="str">
        <f>IF(ISBLANK(Games!T437), "",IF(AND(Games!T437="",Games!U437=""),"",IF(ISTEXT(Games!U437), "Side",Games!T437)))</f>
      </c>
      <c r="J437" s="65" t="str">
        <f>IF(ISBLANK(Games!T437), "",IF(Table12[[#This Row],[Bet]]="Spread", Games!X437, ""))</f>
      </c>
      <c r="K437" s="65" t="str">
        <f>IF(ISBLANK(Games!U437), "",IF(ISTEXT(Games!U437), Games!U437, ""))</f>
      </c>
      <c r="L437" s="57" t="str">
        <f>IF(ISBLANK(Games!D437), "", Games!D437)</f>
      </c>
      <c r="M437" s="65"/>
      <c r="N437" s="75" t="str">
        <f>IF(Games!V437="", "",Games!V437)</f>
      </c>
      <c r="O437" s="75" t="str">
        <f>IF(Games!Z437=0, "",Games!Z437)</f>
      </c>
      <c r="P437" s="67"/>
      <c r="Q437" s="67" t="str">
        <f>IF(ISBLANK(Games!W437), "", Games!W437)</f>
      </c>
      <c r="R437" s="67" t="str">
        <f>IF(ISBLANK(Games!AA437), "", Games!AA437)</f>
      </c>
      <c r="S437" s="67"/>
      <c r="T437" s="68" t="str">
        <f t="shared" si="61"/>
      </c>
      <c r="U437" s="68" t="str">
        <f t="shared" si="62"/>
      </c>
      <c r="V437" s="68" t="str">
        <f t="shared" si="63"/>
      </c>
      <c r="W437" s="68" t="str">
        <f t="shared" si="64"/>
      </c>
      <c r="X437" s="68" t="n">
        <f t="shared" si="66"/>
        <v>0</v>
      </c>
      <c r="Y437" s="68" t="n">
        <f t="shared" si="67"/>
        <v>0</v>
      </c>
      <c r="Z437" s="67" t="str">
        <f>IF(OR('Prediction Log'!L438="", Table12[[#This Row],[Bet]]="", Table12[[#This Row],[Bet]]="Spread"), "",IF('Prediction Log'!L438=Table12[[#This Row],[Side]], "W", IF('Prediction Log'!L438&lt;&gt;Table12[[#This Row],[Side]], "L", "")))</f>
      </c>
      <c r="AA437" s="59" t="str">
        <f t="shared" si="68"/>
      </c>
      <c r="AB437" s="67" t="str">
        <f>IF(OR(Table12[[#This Row],[Bet]]="Side",Table12[[#This Row],[Bet]]="", 'Prediction Log'!L438=""), "",IF('Prediction Log'!U438="Y", "W", IF('Prediction Log'!U438="N", "L", "")))</f>
      </c>
      <c r="AC437" s="59" t="str">
        <f t="shared" si="60"/>
      </c>
      <c r="AD437" s="67"/>
      <c r="AE437" s="65" t="str">
        <f t="shared" si="65"/>
      </c>
      <c r="AF4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8">
      <c r="A438" s="65" t="str">
        <f>IF(ISBLANK(Games!A438), "", Games!A438)</f>
      </c>
      <c r="B438" s="65" t="str">
        <f>IF('Prediction Log'!B439=0, "",'Prediction Log'!B439)</f>
      </c>
      <c r="C438" s="65" t="str">
        <f>IF('Prediction Log'!C439=0, "",'Prediction Log'!C439)</f>
      </c>
      <c r="D438" s="65" t="str">
        <f>IF('Prediction Log'!D439=0, "",'Prediction Log'!D439)</f>
      </c>
      <c r="E438" s="58" t="str">
        <f>IF('Prediction Log'!E439=0, "",'Prediction Log'!E439)</f>
      </c>
      <c r="F438" s="65" t="str">
        <f>IF('Prediction Log'!H439=0, "",'Prediction Log'!H439)</f>
      </c>
      <c r="G438" s="64" t="str">
        <f>IF(ISBLANK(Games!B438), "",'Prediction Log'!$I439)</f>
      </c>
      <c r="H438" s="66" t="n">
        <f>'Prediction Log'!$J439</f>
        <v>0</v>
      </c>
      <c r="I438" s="65" t="str">
        <f>IF(ISBLANK(Games!T438), "",IF(AND(Games!T438="",Games!U438=""),"",IF(ISTEXT(Games!U438), "Side",Games!T438)))</f>
      </c>
      <c r="J438" s="65" t="str">
        <f>IF(ISBLANK(Games!T438), "",IF(Table12[[#This Row],[Bet]]="Spread", Games!X438, ""))</f>
      </c>
      <c r="K438" s="65" t="str">
        <f>IF(ISBLANK(Games!U438), "",IF(ISTEXT(Games!U438), Games!U438, ""))</f>
      </c>
      <c r="L438" s="57" t="str">
        <f>IF(ISBLANK(Games!D438), "", Games!D438)</f>
      </c>
      <c r="M438" s="65"/>
      <c r="N438" s="75" t="str">
        <f>IF(Games!V438="", "",Games!V438)</f>
      </c>
      <c r="O438" s="75" t="str">
        <f>IF(Games!Z438=0, "",Games!Z438)</f>
      </c>
      <c r="P438" s="67"/>
      <c r="Q438" s="67" t="str">
        <f>IF(ISBLANK(Games!W438), "", Games!W438)</f>
      </c>
      <c r="R438" s="67" t="str">
        <f>IF(ISBLANK(Games!AA438), "", Games!AA438)</f>
      </c>
      <c r="S438" s="67"/>
      <c r="T438" s="68" t="str">
        <f t="shared" si="61"/>
      </c>
      <c r="U438" s="68" t="str">
        <f t="shared" si="62"/>
      </c>
      <c r="V438" s="68" t="str">
        <f t="shared" si="63"/>
      </c>
      <c r="W438" s="68" t="str">
        <f t="shared" si="64"/>
      </c>
      <c r="X438" s="68" t="n">
        <f t="shared" si="66"/>
        <v>0</v>
      </c>
      <c r="Y438" s="68" t="n">
        <f t="shared" si="67"/>
        <v>0</v>
      </c>
      <c r="Z438" s="67" t="str">
        <f>IF(OR('Prediction Log'!L439="", Table12[[#This Row],[Bet]]="", Table12[[#This Row],[Bet]]="Spread"), "",IF('Prediction Log'!L439=Table12[[#This Row],[Side]], "W", IF('Prediction Log'!L439&lt;&gt;Table12[[#This Row],[Side]], "L", "")))</f>
      </c>
      <c r="AA438" s="59" t="str">
        <f t="shared" si="68"/>
      </c>
      <c r="AB438" s="67" t="str">
        <f>IF(OR(Table12[[#This Row],[Bet]]="Side",Table12[[#This Row],[Bet]]="", 'Prediction Log'!L439=""), "",IF('Prediction Log'!U439="Y", "W", IF('Prediction Log'!U439="N", "L", "")))</f>
      </c>
      <c r="AC438" s="59" t="str">
        <f t="shared" si="60"/>
      </c>
      <c r="AD438" s="67"/>
      <c r="AE438" s="65" t="str">
        <f t="shared" si="65"/>
      </c>
      <c r="AF4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9">
      <c r="A439" s="65" t="str">
        <f>IF(ISBLANK(Games!A439), "", Games!A439)</f>
      </c>
      <c r="B439" s="65" t="str">
        <f>IF('Prediction Log'!B440=0, "",'Prediction Log'!B440)</f>
      </c>
      <c r="C439" s="65" t="str">
        <f>IF('Prediction Log'!C440=0, "",'Prediction Log'!C440)</f>
      </c>
      <c r="D439" s="65" t="str">
        <f>IF('Prediction Log'!D440=0, "",'Prediction Log'!D440)</f>
      </c>
      <c r="E439" s="58" t="str">
        <f>IF('Prediction Log'!E440=0, "",'Prediction Log'!E440)</f>
      </c>
      <c r="F439" s="65" t="str">
        <f>IF('Prediction Log'!H440=0, "",'Prediction Log'!H440)</f>
      </c>
      <c r="G439" s="64" t="str">
        <f>IF(ISBLANK(Games!B439), "",'Prediction Log'!$I440)</f>
      </c>
      <c r="H439" s="66" t="n">
        <f>'Prediction Log'!$J440</f>
        <v>0</v>
      </c>
      <c r="I439" s="65" t="str">
        <f>IF(ISBLANK(Games!T439), "",IF(AND(Games!T439="",Games!U439=""),"",IF(ISTEXT(Games!U439), "Side",Games!T439)))</f>
      </c>
      <c r="J439" s="65" t="str">
        <f>IF(ISBLANK(Games!T439), "",IF(Table12[[#This Row],[Bet]]="Spread", Games!X439, ""))</f>
      </c>
      <c r="K439" s="65" t="str">
        <f>IF(ISBLANK(Games!U439), "",IF(ISTEXT(Games!U439), Games!U439, ""))</f>
      </c>
      <c r="L439" s="57" t="str">
        <f>IF(ISBLANK(Games!D439), "", Games!D439)</f>
      </c>
      <c r="M439" s="65"/>
      <c r="N439" s="75" t="str">
        <f>IF(Games!V439="", "",Games!V439)</f>
      </c>
      <c r="O439" s="75" t="str">
        <f>IF(Games!Z439=0, "",Games!Z439)</f>
      </c>
      <c r="P439" s="67"/>
      <c r="Q439" s="67" t="str">
        <f>IF(ISBLANK(Games!W439), "", Games!W439)</f>
      </c>
      <c r="R439" s="67" t="str">
        <f>IF(ISBLANK(Games!AA439), "", Games!AA439)</f>
      </c>
      <c r="S439" s="67"/>
      <c r="T439" s="68" t="str">
        <f t="shared" si="61"/>
      </c>
      <c r="U439" s="68" t="str">
        <f t="shared" si="62"/>
      </c>
      <c r="V439" s="68" t="str">
        <f t="shared" si="63"/>
      </c>
      <c r="W439" s="68" t="str">
        <f t="shared" si="64"/>
      </c>
      <c r="X439" s="68" t="n">
        <f t="shared" si="66"/>
        <v>0</v>
      </c>
      <c r="Y439" s="68" t="n">
        <f t="shared" si="67"/>
        <v>0</v>
      </c>
      <c r="Z439" s="67" t="str">
        <f>IF(OR('Prediction Log'!L440="", Table12[[#This Row],[Bet]]="", Table12[[#This Row],[Bet]]="Spread"), "",IF('Prediction Log'!L440=Table12[[#This Row],[Side]], "W", IF('Prediction Log'!L440&lt;&gt;Table12[[#This Row],[Side]], "L", "")))</f>
      </c>
      <c r="AA439" s="59" t="str">
        <f t="shared" si="68"/>
      </c>
      <c r="AB439" s="67" t="str">
        <f>IF(OR(Table12[[#This Row],[Bet]]="Side",Table12[[#This Row],[Bet]]="", 'Prediction Log'!L440=""), "",IF('Prediction Log'!U440="Y", "W", IF('Prediction Log'!U440="N", "L", "")))</f>
      </c>
      <c r="AC439" s="59" t="str">
        <f t="shared" si="60"/>
      </c>
      <c r="AD439" s="67"/>
      <c r="AE439" s="65" t="str">
        <f t="shared" si="65"/>
      </c>
      <c r="AF4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0">
      <c r="A440" s="65" t="str">
        <f>IF(ISBLANK(Games!A440), "", Games!A440)</f>
      </c>
      <c r="B440" s="65" t="str">
        <f>IF('Prediction Log'!B441=0, "",'Prediction Log'!B441)</f>
      </c>
      <c r="C440" s="65" t="str">
        <f>IF('Prediction Log'!C441=0, "",'Prediction Log'!C441)</f>
      </c>
      <c r="D440" s="65" t="str">
        <f>IF('Prediction Log'!D441=0, "",'Prediction Log'!D441)</f>
      </c>
      <c r="E440" s="58" t="str">
        <f>IF('Prediction Log'!E441=0, "",'Prediction Log'!E441)</f>
      </c>
      <c r="F440" s="65" t="str">
        <f>IF('Prediction Log'!H441=0, "",'Prediction Log'!H441)</f>
      </c>
      <c r="G440" s="64" t="str">
        <f>IF(ISBLANK(Games!B440), "",'Prediction Log'!$I441)</f>
      </c>
      <c r="H440" s="66" t="n">
        <f>'Prediction Log'!$J441</f>
        <v>0</v>
      </c>
      <c r="I440" s="65" t="str">
        <f>IF(ISBLANK(Games!T440), "",IF(AND(Games!T440="",Games!U440=""),"",IF(ISTEXT(Games!U440), "Side",Games!T440)))</f>
      </c>
      <c r="J440" s="65" t="str">
        <f>IF(ISBLANK(Games!T440), "",IF(Table12[[#This Row],[Bet]]="Spread", Games!X440, ""))</f>
      </c>
      <c r="K440" s="65" t="str">
        <f>IF(ISBLANK(Games!U440), "",IF(ISTEXT(Games!U440), Games!U440, ""))</f>
      </c>
      <c r="L440" s="57" t="str">
        <f>IF(ISBLANK(Games!D440), "", Games!D440)</f>
      </c>
      <c r="M440" s="65"/>
      <c r="N440" s="75" t="str">
        <f>IF(Games!V440="", "",Games!V440)</f>
      </c>
      <c r="O440" s="75" t="str">
        <f>IF(Games!Z440=0, "",Games!Z440)</f>
      </c>
      <c r="P440" s="67"/>
      <c r="Q440" s="67" t="str">
        <f>IF(ISBLANK(Games!W440), "", Games!W440)</f>
      </c>
      <c r="R440" s="67" t="str">
        <f>IF(ISBLANK(Games!AA440), "", Games!AA440)</f>
      </c>
      <c r="S440" s="67"/>
      <c r="T440" s="68" t="str">
        <f t="shared" si="61"/>
      </c>
      <c r="U440" s="68" t="str">
        <f t="shared" si="62"/>
      </c>
      <c r="V440" s="68" t="str">
        <f t="shared" si="63"/>
      </c>
      <c r="W440" s="68" t="str">
        <f t="shared" si="64"/>
      </c>
      <c r="X440" s="68" t="n">
        <f t="shared" si="66"/>
        <v>0</v>
      </c>
      <c r="Y440" s="68" t="n">
        <f t="shared" si="67"/>
        <v>0</v>
      </c>
      <c r="Z440" s="67" t="str">
        <f>IF(OR('Prediction Log'!L441="", Table12[[#This Row],[Bet]]="", Table12[[#This Row],[Bet]]="Spread"), "",IF('Prediction Log'!L441=Table12[[#This Row],[Side]], "W", IF('Prediction Log'!L441&lt;&gt;Table12[[#This Row],[Side]], "L", "")))</f>
      </c>
      <c r="AA440" s="59" t="str">
        <f t="shared" si="68"/>
      </c>
      <c r="AB440" s="67" t="str">
        <f>IF(OR(Table12[[#This Row],[Bet]]="Side",Table12[[#This Row],[Bet]]="", 'Prediction Log'!L441=""), "",IF('Prediction Log'!U441="Y", "W", IF('Prediction Log'!U441="N", "L", "")))</f>
      </c>
      <c r="AC440" s="59" t="str">
        <f t="shared" si="60"/>
      </c>
      <c r="AD440" s="67"/>
      <c r="AE440" s="65" t="str">
        <f t="shared" si="65"/>
      </c>
      <c r="AF4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1">
      <c r="A441" s="65" t="str">
        <f>IF(ISBLANK(Games!A441), "", Games!A441)</f>
      </c>
      <c r="B441" s="65" t="str">
        <f>IF('Prediction Log'!B442=0, "",'Prediction Log'!B442)</f>
      </c>
      <c r="C441" s="65" t="str">
        <f>IF('Prediction Log'!C442=0, "",'Prediction Log'!C442)</f>
      </c>
      <c r="D441" s="65" t="str">
        <f>IF('Prediction Log'!D442=0, "",'Prediction Log'!D442)</f>
      </c>
      <c r="E441" s="58" t="str">
        <f>IF('Prediction Log'!E442=0, "",'Prediction Log'!E442)</f>
      </c>
      <c r="F441" s="65" t="str">
        <f>IF('Prediction Log'!H442=0, "",'Prediction Log'!H442)</f>
      </c>
      <c r="G441" s="64" t="str">
        <f>IF(ISBLANK(Games!B441), "",'Prediction Log'!$I442)</f>
      </c>
      <c r="H441" s="66" t="n">
        <f>'Prediction Log'!$J442</f>
        <v>0</v>
      </c>
      <c r="I441" s="65" t="str">
        <f>IF(ISBLANK(Games!T441), "",IF(AND(Games!T441="",Games!U441=""),"",IF(ISTEXT(Games!U441), "Side",Games!T441)))</f>
      </c>
      <c r="J441" s="65" t="str">
        <f>IF(ISBLANK(Games!T441), "",IF(Table12[[#This Row],[Bet]]="Spread", Games!X441, ""))</f>
      </c>
      <c r="K441" s="65" t="str">
        <f>IF(ISBLANK(Games!U441), "",IF(ISTEXT(Games!U441), Games!U441, ""))</f>
      </c>
      <c r="L441" s="57" t="str">
        <f>IF(ISBLANK(Games!D441), "", Games!D441)</f>
      </c>
      <c r="M441" s="65"/>
      <c r="N441" s="75" t="str">
        <f>IF(Games!V441="", "",Games!V441)</f>
      </c>
      <c r="O441" s="75" t="str">
        <f>IF(Games!Z441=0, "",Games!Z441)</f>
      </c>
      <c r="P441" s="67"/>
      <c r="Q441" s="67" t="str">
        <f>IF(ISBLANK(Games!W441), "", Games!W441)</f>
      </c>
      <c r="R441" s="67" t="str">
        <f>IF(ISBLANK(Games!AA441), "", Games!AA441)</f>
      </c>
      <c r="S441" s="67"/>
      <c r="T441" s="68" t="str">
        <f t="shared" si="61"/>
      </c>
      <c r="U441" s="68" t="str">
        <f t="shared" si="62"/>
      </c>
      <c r="V441" s="68" t="str">
        <f t="shared" si="63"/>
      </c>
      <c r="W441" s="68" t="str">
        <f t="shared" si="64"/>
      </c>
      <c r="X441" s="68" t="n">
        <f t="shared" si="66"/>
        <v>0</v>
      </c>
      <c r="Y441" s="68" t="n">
        <f t="shared" si="67"/>
        <v>0</v>
      </c>
      <c r="Z441" s="67" t="str">
        <f>IF(OR('Prediction Log'!L442="", Table12[[#This Row],[Bet]]="", Table12[[#This Row],[Bet]]="Spread"), "",IF('Prediction Log'!L442=Table12[[#This Row],[Side]], "W", IF('Prediction Log'!L442&lt;&gt;Table12[[#This Row],[Side]], "L", "")))</f>
      </c>
      <c r="AA441" s="59" t="str">
        <f t="shared" si="68"/>
      </c>
      <c r="AB441" s="67" t="str">
        <f>IF(OR(Table12[[#This Row],[Bet]]="Side",Table12[[#This Row],[Bet]]="", 'Prediction Log'!L442=""), "",IF('Prediction Log'!U442="Y", "W", IF('Prediction Log'!U442="N", "L", "")))</f>
      </c>
      <c r="AC441" s="59" t="str">
        <f t="shared" si="60"/>
      </c>
      <c r="AD441" s="67"/>
      <c r="AE441" s="65" t="str">
        <f t="shared" si="65"/>
      </c>
      <c r="AF4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2">
      <c r="A442" s="65" t="str">
        <f>IF(ISBLANK(Games!A442), "", Games!A442)</f>
      </c>
      <c r="B442" s="65" t="str">
        <f>IF('Prediction Log'!B443=0, "",'Prediction Log'!B443)</f>
      </c>
      <c r="C442" s="65" t="str">
        <f>IF('Prediction Log'!C443=0, "",'Prediction Log'!C443)</f>
      </c>
      <c r="D442" s="65" t="str">
        <f>IF('Prediction Log'!D443=0, "",'Prediction Log'!D443)</f>
      </c>
      <c r="E442" s="58" t="str">
        <f>IF('Prediction Log'!E443=0, "",'Prediction Log'!E443)</f>
      </c>
      <c r="F442" s="65" t="str">
        <f>IF('Prediction Log'!H443=0, "",'Prediction Log'!H443)</f>
      </c>
      <c r="G442" s="64" t="str">
        <f>IF(ISBLANK(Games!B442), "",'Prediction Log'!$I443)</f>
      </c>
      <c r="H442" s="66" t="n">
        <f>'Prediction Log'!$J443</f>
        <v>0</v>
      </c>
      <c r="I442" s="65" t="str">
        <f>IF(ISBLANK(Games!T442), "",IF(AND(Games!T442="",Games!U442=""),"",IF(ISTEXT(Games!U442), "Side",Games!T442)))</f>
      </c>
      <c r="J442" s="65" t="str">
        <f>IF(ISBLANK(Games!T442), "",IF(Table12[[#This Row],[Bet]]="Spread", Games!X442, ""))</f>
      </c>
      <c r="K442" s="65" t="str">
        <f>IF(ISBLANK(Games!U442), "",IF(ISTEXT(Games!U442), Games!U442, ""))</f>
      </c>
      <c r="L442" s="57" t="str">
        <f>IF(ISBLANK(Games!D442), "", Games!D442)</f>
      </c>
      <c r="M442" s="65"/>
      <c r="N442" s="75" t="str">
        <f>IF(Games!V442="", "",Games!V442)</f>
      </c>
      <c r="O442" s="75" t="str">
        <f>IF(Games!Z442=0, "",Games!Z442)</f>
      </c>
      <c r="P442" s="67"/>
      <c r="Q442" s="67" t="str">
        <f>IF(ISBLANK(Games!W442), "", Games!W442)</f>
      </c>
      <c r="R442" s="67" t="str">
        <f>IF(ISBLANK(Games!AA442), "", Games!AA442)</f>
      </c>
      <c r="S442" s="67"/>
      <c r="T442" s="68" t="str">
        <f t="shared" si="61"/>
      </c>
      <c r="U442" s="68" t="str">
        <f t="shared" si="62"/>
      </c>
      <c r="V442" s="68" t="str">
        <f t="shared" si="63"/>
      </c>
      <c r="W442" s="68" t="str">
        <f t="shared" si="64"/>
      </c>
      <c r="X442" s="68" t="n">
        <f t="shared" si="66"/>
        <v>0</v>
      </c>
      <c r="Y442" s="68" t="n">
        <f t="shared" si="67"/>
        <v>0</v>
      </c>
      <c r="Z442" s="67" t="str">
        <f>IF(OR('Prediction Log'!L443="", Table12[[#This Row],[Bet]]="", Table12[[#This Row],[Bet]]="Spread"), "",IF('Prediction Log'!L443=Table12[[#This Row],[Side]], "W", IF('Prediction Log'!L443&lt;&gt;Table12[[#This Row],[Side]], "L", "")))</f>
      </c>
      <c r="AA442" s="59" t="str">
        <f t="shared" si="68"/>
      </c>
      <c r="AB442" s="67" t="str">
        <f>IF(OR(Table12[[#This Row],[Bet]]="Side",Table12[[#This Row],[Bet]]="", 'Prediction Log'!L443=""), "",IF('Prediction Log'!U443="Y", "W", IF('Prediction Log'!U443="N", "L", "")))</f>
      </c>
      <c r="AC442" s="59" t="str">
        <f t="shared" si="60"/>
      </c>
      <c r="AD442" s="67"/>
      <c r="AE442" s="65" t="str">
        <f t="shared" si="65"/>
      </c>
      <c r="AF4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3">
      <c r="A443" s="65" t="str">
        <f>IF(ISBLANK(Games!A443), "", Games!A443)</f>
      </c>
      <c r="B443" s="65" t="str">
        <f>IF('Prediction Log'!B444=0, "",'Prediction Log'!B444)</f>
      </c>
      <c r="C443" s="65" t="str">
        <f>IF('Prediction Log'!C444=0, "",'Prediction Log'!C444)</f>
      </c>
      <c r="D443" s="65" t="str">
        <f>IF('Prediction Log'!D444=0, "",'Prediction Log'!D444)</f>
      </c>
      <c r="E443" s="58" t="str">
        <f>IF('Prediction Log'!E444=0, "",'Prediction Log'!E444)</f>
      </c>
      <c r="F443" s="65" t="str">
        <f>IF('Prediction Log'!H444=0, "",'Prediction Log'!H444)</f>
      </c>
      <c r="G443" s="64" t="str">
        <f>IF(ISBLANK(Games!B443), "",'Prediction Log'!$I444)</f>
      </c>
      <c r="H443" s="66" t="n">
        <f>'Prediction Log'!$J444</f>
        <v>0</v>
      </c>
      <c r="I443" s="65" t="str">
        <f>IF(ISBLANK(Games!T443), "",IF(AND(Games!T443="",Games!U443=""),"",IF(ISTEXT(Games!U443), "Side",Games!T443)))</f>
      </c>
      <c r="J443" s="65" t="str">
        <f>IF(ISBLANK(Games!T443), "",IF(Table12[[#This Row],[Bet]]="Spread", Games!X443, ""))</f>
      </c>
      <c r="K443" s="65" t="str">
        <f>IF(ISBLANK(Games!U443), "",IF(ISTEXT(Games!U443), Games!U443, ""))</f>
      </c>
      <c r="L443" s="57" t="str">
        <f>IF(ISBLANK(Games!D443), "", Games!D443)</f>
      </c>
      <c r="M443" s="65"/>
      <c r="N443" s="75" t="str">
        <f>IF(Games!V443="", "",Games!V443)</f>
      </c>
      <c r="O443" s="75" t="str">
        <f>IF(Games!Z443=0, "",Games!Z443)</f>
      </c>
      <c r="P443" s="67"/>
      <c r="Q443" s="67" t="str">
        <f>IF(ISBLANK(Games!W443), "", Games!W443)</f>
      </c>
      <c r="R443" s="67" t="str">
        <f>IF(ISBLANK(Games!AA443), "", Games!AA443)</f>
      </c>
      <c r="S443" s="67"/>
      <c r="T443" s="68" t="str">
        <f t="shared" si="61"/>
      </c>
      <c r="U443" s="68" t="str">
        <f t="shared" si="62"/>
      </c>
      <c r="V443" s="68" t="str">
        <f t="shared" si="63"/>
      </c>
      <c r="W443" s="68" t="str">
        <f t="shared" si="64"/>
      </c>
      <c r="X443" s="68" t="n">
        <f t="shared" si="66"/>
        <v>0</v>
      </c>
      <c r="Y443" s="68" t="n">
        <f t="shared" si="67"/>
        <v>0</v>
      </c>
      <c r="Z443" s="67" t="str">
        <f>IF(OR('Prediction Log'!L444="", Table12[[#This Row],[Bet]]="", Table12[[#This Row],[Bet]]="Spread"), "",IF('Prediction Log'!L444=Table12[[#This Row],[Side]], "W", IF('Prediction Log'!L444&lt;&gt;Table12[[#This Row],[Side]], "L", "")))</f>
      </c>
      <c r="AA443" s="59" t="str">
        <f t="shared" si="68"/>
      </c>
      <c r="AB443" s="67" t="str">
        <f>IF(OR(Table12[[#This Row],[Bet]]="Side",Table12[[#This Row],[Bet]]="", 'Prediction Log'!L444=""), "",IF('Prediction Log'!U444="Y", "W", IF('Prediction Log'!U444="N", "L", "")))</f>
      </c>
      <c r="AC443" s="59" t="str">
        <f t="shared" si="60"/>
      </c>
      <c r="AD443" s="67"/>
      <c r="AE443" s="65" t="str">
        <f t="shared" si="65"/>
      </c>
      <c r="AF4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4">
      <c r="A444" s="65" t="str">
        <f>IF(ISBLANK(Games!A444), "", Games!A444)</f>
      </c>
      <c r="B444" s="65" t="str">
        <f>IF('Prediction Log'!B445=0, "",'Prediction Log'!B445)</f>
      </c>
      <c r="C444" s="65" t="str">
        <f>IF('Prediction Log'!C445=0, "",'Prediction Log'!C445)</f>
      </c>
      <c r="D444" s="65" t="str">
        <f>IF('Prediction Log'!D445=0, "",'Prediction Log'!D445)</f>
      </c>
      <c r="E444" s="58" t="str">
        <f>IF('Prediction Log'!E445=0, "",'Prediction Log'!E445)</f>
      </c>
      <c r="F444" s="65" t="str">
        <f>IF('Prediction Log'!H445=0, "",'Prediction Log'!H445)</f>
      </c>
      <c r="G444" s="64" t="str">
        <f>IF(ISBLANK(Games!B444), "",'Prediction Log'!$I445)</f>
      </c>
      <c r="H444" s="66" t="n">
        <f>'Prediction Log'!$J445</f>
        <v>0</v>
      </c>
      <c r="I444" s="65" t="str">
        <f>IF(ISBLANK(Games!T444), "",IF(AND(Games!T444="",Games!U444=""),"",IF(ISTEXT(Games!U444), "Side",Games!T444)))</f>
      </c>
      <c r="J444" s="65" t="str">
        <f>IF(ISBLANK(Games!T444), "",IF(Table12[[#This Row],[Bet]]="Spread", Games!X444, ""))</f>
      </c>
      <c r="K444" s="65" t="str">
        <f>IF(ISBLANK(Games!U444), "",IF(ISTEXT(Games!U444), Games!U444, ""))</f>
      </c>
      <c r="L444" s="57" t="str">
        <f>IF(ISBLANK(Games!D444), "", Games!D444)</f>
      </c>
      <c r="M444" s="65"/>
      <c r="N444" s="75" t="str">
        <f>IF(Games!V444="", "",Games!V444)</f>
      </c>
      <c r="O444" s="75" t="str">
        <f>IF(Games!Z444=0, "",Games!Z444)</f>
      </c>
      <c r="P444" s="67"/>
      <c r="Q444" s="67" t="str">
        <f>IF(ISBLANK(Games!W444), "", Games!W444)</f>
      </c>
      <c r="R444" s="67" t="str">
        <f>IF(ISBLANK(Games!AA444), "", Games!AA444)</f>
      </c>
      <c r="S444" s="67"/>
      <c r="T444" s="68" t="str">
        <f t="shared" si="61"/>
      </c>
      <c r="U444" s="68" t="str">
        <f t="shared" si="62"/>
      </c>
      <c r="V444" s="68" t="str">
        <f t="shared" si="63"/>
      </c>
      <c r="W444" s="68" t="str">
        <f t="shared" si="64"/>
      </c>
      <c r="X444" s="68" t="n">
        <f t="shared" si="66"/>
        <v>0</v>
      </c>
      <c r="Y444" s="68" t="n">
        <f t="shared" si="67"/>
        <v>0</v>
      </c>
      <c r="Z444" s="67" t="str">
        <f>IF(OR('Prediction Log'!L445="", Table12[[#This Row],[Bet]]="", Table12[[#This Row],[Bet]]="Spread"), "",IF('Prediction Log'!L445=Table12[[#This Row],[Side]], "W", IF('Prediction Log'!L445&lt;&gt;Table12[[#This Row],[Side]], "L", "")))</f>
      </c>
      <c r="AA444" s="59" t="str">
        <f t="shared" si="68"/>
      </c>
      <c r="AB444" s="67" t="str">
        <f>IF(OR(Table12[[#This Row],[Bet]]="Side",Table12[[#This Row],[Bet]]="", 'Prediction Log'!L445=""), "",IF('Prediction Log'!U445="Y", "W", IF('Prediction Log'!U445="N", "L", "")))</f>
      </c>
      <c r="AC444" s="59" t="str">
        <f t="shared" si="60"/>
      </c>
      <c r="AD444" s="67"/>
      <c r="AE444" s="65" t="str">
        <f t="shared" si="65"/>
      </c>
      <c r="AF4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5">
      <c r="A445" s="65" t="str">
        <f>IF(ISBLANK(Games!A445), "", Games!A445)</f>
      </c>
      <c r="B445" s="65" t="str">
        <f>IF('Prediction Log'!B446=0, "",'Prediction Log'!B446)</f>
      </c>
      <c r="C445" s="65" t="str">
        <f>IF('Prediction Log'!C446=0, "",'Prediction Log'!C446)</f>
      </c>
      <c r="D445" s="65" t="str">
        <f>IF('Prediction Log'!D446=0, "",'Prediction Log'!D446)</f>
      </c>
      <c r="E445" s="58" t="str">
        <f>IF('Prediction Log'!E446=0, "",'Prediction Log'!E446)</f>
      </c>
      <c r="F445" s="65" t="str">
        <f>IF('Prediction Log'!H446=0, "",'Prediction Log'!H446)</f>
      </c>
      <c r="G445" s="64" t="str">
        <f>IF(ISBLANK(Games!B445), "",'Prediction Log'!$I446)</f>
      </c>
      <c r="H445" s="66" t="n">
        <f>'Prediction Log'!$J446</f>
        <v>0</v>
      </c>
      <c r="I445" s="65" t="str">
        <f>IF(ISBLANK(Games!T445), "",IF(AND(Games!T445="",Games!U445=""),"",IF(ISTEXT(Games!U445), "Side",Games!T445)))</f>
      </c>
      <c r="J445" s="65" t="str">
        <f>IF(ISBLANK(Games!T445), "",IF(Table12[[#This Row],[Bet]]="Spread", Games!X445, ""))</f>
      </c>
      <c r="K445" s="65" t="str">
        <f>IF(ISBLANK(Games!U445), "",IF(ISTEXT(Games!U445), Games!U445, ""))</f>
      </c>
      <c r="L445" s="57" t="str">
        <f>IF(ISBLANK(Games!D445), "", Games!D445)</f>
      </c>
      <c r="M445" s="65"/>
      <c r="N445" s="75" t="str">
        <f>IF(Games!V445="", "",Games!V445)</f>
      </c>
      <c r="O445" s="75" t="str">
        <f>IF(Games!Z445=0, "",Games!Z445)</f>
      </c>
      <c r="P445" s="67"/>
      <c r="Q445" s="67" t="str">
        <f>IF(ISBLANK(Games!W445), "", Games!W445)</f>
      </c>
      <c r="R445" s="67" t="str">
        <f>IF(ISBLANK(Games!AA445), "", Games!AA445)</f>
      </c>
      <c r="S445" s="67"/>
      <c r="T445" s="68" t="str">
        <f t="shared" si="61"/>
      </c>
      <c r="U445" s="68" t="str">
        <f t="shared" si="62"/>
      </c>
      <c r="V445" s="68" t="str">
        <f t="shared" si="63"/>
      </c>
      <c r="W445" s="68" t="str">
        <f t="shared" si="64"/>
      </c>
      <c r="X445" s="68" t="n">
        <f t="shared" si="66"/>
        <v>0</v>
      </c>
      <c r="Y445" s="68" t="n">
        <f t="shared" si="67"/>
        <v>0</v>
      </c>
      <c r="Z445" s="67" t="str">
        <f>IF(OR('Prediction Log'!L446="", Table12[[#This Row],[Bet]]="", Table12[[#This Row],[Bet]]="Spread"), "",IF('Prediction Log'!L446=Table12[[#This Row],[Side]], "W", IF('Prediction Log'!L446&lt;&gt;Table12[[#This Row],[Side]], "L", "")))</f>
      </c>
      <c r="AA445" s="59" t="str">
        <f t="shared" si="68"/>
      </c>
      <c r="AB445" s="67" t="str">
        <f>IF(OR(Table12[[#This Row],[Bet]]="Side",Table12[[#This Row],[Bet]]="", 'Prediction Log'!L446=""), "",IF('Prediction Log'!U446="Y", "W", IF('Prediction Log'!U446="N", "L", "")))</f>
      </c>
      <c r="AC445" s="59" t="str">
        <f t="shared" si="60"/>
      </c>
      <c r="AD445" s="67"/>
      <c r="AE445" s="65" t="str">
        <f t="shared" si="65"/>
      </c>
      <c r="AF4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6">
      <c r="A446" s="65" t="str">
        <f>IF(ISBLANK(Games!A446), "", Games!A446)</f>
      </c>
      <c r="B446" s="65" t="str">
        <f>IF('Prediction Log'!B447=0, "",'Prediction Log'!B447)</f>
      </c>
      <c r="C446" s="65" t="str">
        <f>IF('Prediction Log'!C447=0, "",'Prediction Log'!C447)</f>
      </c>
      <c r="D446" s="65" t="str">
        <f>IF('Prediction Log'!D447=0, "",'Prediction Log'!D447)</f>
      </c>
      <c r="E446" s="58" t="str">
        <f>IF('Prediction Log'!E447=0, "",'Prediction Log'!E447)</f>
      </c>
      <c r="F446" s="65" t="str">
        <f>IF('Prediction Log'!H447=0, "",'Prediction Log'!H447)</f>
      </c>
      <c r="G446" s="64" t="str">
        <f>IF(ISBLANK(Games!B446), "",'Prediction Log'!$I447)</f>
      </c>
      <c r="H446" s="66" t="n">
        <f>'Prediction Log'!$J447</f>
        <v>0</v>
      </c>
      <c r="I446" s="65" t="str">
        <f>IF(ISBLANK(Games!T446), "",IF(AND(Games!T446="",Games!U446=""),"",IF(ISTEXT(Games!U446), "Side",Games!T446)))</f>
      </c>
      <c r="J446" s="65" t="str">
        <f>IF(ISBLANK(Games!T446), "",IF(Table12[[#This Row],[Bet]]="Spread", Games!X446, ""))</f>
      </c>
      <c r="K446" s="65" t="str">
        <f>IF(ISBLANK(Games!U446), "",IF(ISTEXT(Games!U446), Games!U446, ""))</f>
      </c>
      <c r="L446" s="57" t="str">
        <f>IF(ISBLANK(Games!D446), "", Games!D446)</f>
      </c>
      <c r="M446" s="65"/>
      <c r="N446" s="75" t="str">
        <f>IF(Games!V446="", "",Games!V446)</f>
      </c>
      <c r="O446" s="75" t="str">
        <f>IF(Games!Z446=0, "",Games!Z446)</f>
      </c>
      <c r="P446" s="67"/>
      <c r="Q446" s="67" t="str">
        <f>IF(ISBLANK(Games!W446), "", Games!W446)</f>
      </c>
      <c r="R446" s="67" t="str">
        <f>IF(ISBLANK(Games!AA446), "", Games!AA446)</f>
      </c>
      <c r="S446" s="67"/>
      <c r="T446" s="68" t="str">
        <f t="shared" si="61"/>
      </c>
      <c r="U446" s="68" t="str">
        <f t="shared" si="62"/>
      </c>
      <c r="V446" s="68" t="str">
        <f t="shared" si="63"/>
      </c>
      <c r="W446" s="68" t="str">
        <f t="shared" si="64"/>
      </c>
      <c r="X446" s="68" t="n">
        <f t="shared" si="66"/>
        <v>0</v>
      </c>
      <c r="Y446" s="68" t="n">
        <f t="shared" si="67"/>
        <v>0</v>
      </c>
      <c r="Z446" s="67" t="str">
        <f>IF(OR('Prediction Log'!L447="", Table12[[#This Row],[Bet]]="", Table12[[#This Row],[Bet]]="Spread"), "",IF('Prediction Log'!L447=Table12[[#This Row],[Side]], "W", IF('Prediction Log'!L447&lt;&gt;Table12[[#This Row],[Side]], "L", "")))</f>
      </c>
      <c r="AA446" s="59" t="str">
        <f t="shared" si="68"/>
      </c>
      <c r="AB446" s="67" t="str">
        <f>IF(OR(Table12[[#This Row],[Bet]]="Side",Table12[[#This Row],[Bet]]="", 'Prediction Log'!L447=""), "",IF('Prediction Log'!U447="Y", "W", IF('Prediction Log'!U447="N", "L", "")))</f>
      </c>
      <c r="AC446" s="59" t="str">
        <f t="shared" si="60"/>
      </c>
      <c r="AD446" s="67"/>
      <c r="AE446" s="65" t="str">
        <f t="shared" si="65"/>
      </c>
      <c r="AF4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7">
      <c r="A447" s="65" t="str">
        <f>IF(ISBLANK(Games!A447), "", Games!A447)</f>
      </c>
      <c r="B447" s="65" t="str">
        <f>IF('Prediction Log'!B448=0, "",'Prediction Log'!B448)</f>
      </c>
      <c r="C447" s="65" t="str">
        <f>IF('Prediction Log'!C448=0, "",'Prediction Log'!C448)</f>
      </c>
      <c r="D447" s="65" t="str">
        <f>IF('Prediction Log'!D448=0, "",'Prediction Log'!D448)</f>
      </c>
      <c r="E447" s="58" t="str">
        <f>IF('Prediction Log'!E448=0, "",'Prediction Log'!E448)</f>
      </c>
      <c r="F447" s="65" t="str">
        <f>IF('Prediction Log'!H448=0, "",'Prediction Log'!H448)</f>
      </c>
      <c r="G447" s="64" t="str">
        <f>IF(ISBLANK(Games!B447), "",'Prediction Log'!$I448)</f>
      </c>
      <c r="H447" s="66" t="n">
        <f>'Prediction Log'!$J448</f>
        <v>0</v>
      </c>
      <c r="I447" s="65" t="str">
        <f>IF(ISBLANK(Games!T447), "",IF(AND(Games!T447="",Games!U447=""),"",IF(ISTEXT(Games!U447), "Side",Games!T447)))</f>
      </c>
      <c r="J447" s="65" t="str">
        <f>IF(ISBLANK(Games!T447), "",IF(Table12[[#This Row],[Bet]]="Spread", Games!X447, ""))</f>
      </c>
      <c r="K447" s="65" t="str">
        <f>IF(ISBLANK(Games!U447), "",IF(ISTEXT(Games!U447), Games!U447, ""))</f>
      </c>
      <c r="L447" s="57" t="str">
        <f>IF(ISBLANK(Games!D447), "", Games!D447)</f>
      </c>
      <c r="M447" s="65"/>
      <c r="N447" s="75" t="str">
        <f>IF(Games!V447="", "",Games!V447)</f>
      </c>
      <c r="O447" s="75" t="str">
        <f>IF(Games!Z447=0, "",Games!Z447)</f>
      </c>
      <c r="P447" s="67"/>
      <c r="Q447" s="67" t="str">
        <f>IF(ISBLANK(Games!W447), "", Games!W447)</f>
      </c>
      <c r="R447" s="67" t="str">
        <f>IF(ISBLANK(Games!AA447), "", Games!AA447)</f>
      </c>
      <c r="S447" s="67"/>
      <c r="T447" s="68" t="str">
        <f t="shared" si="61"/>
      </c>
      <c r="U447" s="68" t="str">
        <f t="shared" si="62"/>
      </c>
      <c r="V447" s="68" t="str">
        <f t="shared" si="63"/>
      </c>
      <c r="W447" s="68" t="str">
        <f t="shared" si="64"/>
      </c>
      <c r="X447" s="68" t="n">
        <f t="shared" si="66"/>
        <v>0</v>
      </c>
      <c r="Y447" s="68" t="n">
        <f t="shared" si="67"/>
        <v>0</v>
      </c>
      <c r="Z447" s="67" t="str">
        <f>IF(OR('Prediction Log'!L448="", Table12[[#This Row],[Bet]]="", Table12[[#This Row],[Bet]]="Spread"), "",IF('Prediction Log'!L448=Table12[[#This Row],[Side]], "W", IF('Prediction Log'!L448&lt;&gt;Table12[[#This Row],[Side]], "L", "")))</f>
      </c>
      <c r="AA447" s="59" t="str">
        <f t="shared" si="68"/>
      </c>
      <c r="AB447" s="67" t="str">
        <f>IF(OR(Table12[[#This Row],[Bet]]="Side",Table12[[#This Row],[Bet]]="", 'Prediction Log'!L448=""), "",IF('Prediction Log'!U448="Y", "W", IF('Prediction Log'!U448="N", "L", "")))</f>
      </c>
      <c r="AC447" s="59" t="str">
        <f t="shared" si="60"/>
      </c>
      <c r="AD447" s="67"/>
      <c r="AE447" s="65" t="str">
        <f t="shared" si="65"/>
      </c>
      <c r="AF4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8">
      <c r="A448" s="65" t="str">
        <f>IF(ISBLANK(Games!A448), "", Games!A448)</f>
      </c>
      <c r="B448" s="65" t="str">
        <f>IF('Prediction Log'!B449=0, "",'Prediction Log'!B449)</f>
      </c>
      <c r="C448" s="65" t="str">
        <f>IF('Prediction Log'!C449=0, "",'Prediction Log'!C449)</f>
      </c>
      <c r="D448" s="65" t="str">
        <f>IF('Prediction Log'!D449=0, "",'Prediction Log'!D449)</f>
      </c>
      <c r="E448" s="58" t="str">
        <f>IF('Prediction Log'!E449=0, "",'Prediction Log'!E449)</f>
      </c>
      <c r="F448" s="65" t="str">
        <f>IF('Prediction Log'!H449=0, "",'Prediction Log'!H449)</f>
      </c>
      <c r="G448" s="64" t="str">
        <f>IF(ISBLANK(Games!B448), "",'Prediction Log'!$I449)</f>
      </c>
      <c r="H448" s="66" t="n">
        <f>'Prediction Log'!$J449</f>
        <v>0</v>
      </c>
      <c r="I448" s="65" t="str">
        <f>IF(ISBLANK(Games!T448), "",IF(AND(Games!T448="",Games!U448=""),"",IF(ISTEXT(Games!U448), "Side",Games!T448)))</f>
      </c>
      <c r="J448" s="65" t="str">
        <f>IF(ISBLANK(Games!T448), "",IF(Table12[[#This Row],[Bet]]="Spread", Games!X448, ""))</f>
      </c>
      <c r="K448" s="65" t="str">
        <f>IF(ISBLANK(Games!U448), "",IF(ISTEXT(Games!U448), Games!U448, ""))</f>
      </c>
      <c r="L448" s="57" t="str">
        <f>IF(ISBLANK(Games!D448), "", Games!D448)</f>
      </c>
      <c r="M448" s="65"/>
      <c r="N448" s="75" t="str">
        <f>IF(Games!V448="", "",Games!V448)</f>
      </c>
      <c r="O448" s="75" t="str">
        <f>IF(Games!Z448=0, "",Games!Z448)</f>
      </c>
      <c r="P448" s="67"/>
      <c r="Q448" s="67" t="str">
        <f>IF(ISBLANK(Games!W448), "", Games!W448)</f>
      </c>
      <c r="R448" s="67" t="str">
        <f>IF(ISBLANK(Games!AA448), "", Games!AA448)</f>
      </c>
      <c r="S448" s="67"/>
      <c r="T448" s="68" t="str">
        <f t="shared" si="61"/>
      </c>
      <c r="U448" s="68" t="str">
        <f t="shared" si="62"/>
      </c>
      <c r="V448" s="68" t="str">
        <f t="shared" si="63"/>
      </c>
      <c r="W448" s="68" t="str">
        <f t="shared" si="64"/>
      </c>
      <c r="X448" s="68" t="n">
        <f t="shared" si="66"/>
        <v>0</v>
      </c>
      <c r="Y448" s="68" t="n">
        <f t="shared" si="67"/>
        <v>0</v>
      </c>
      <c r="Z448" s="67" t="str">
        <f>IF(OR('Prediction Log'!L449="", Table12[[#This Row],[Bet]]="", Table12[[#This Row],[Bet]]="Spread"), "",IF('Prediction Log'!L449=Table12[[#This Row],[Side]], "W", IF('Prediction Log'!L449&lt;&gt;Table12[[#This Row],[Side]], "L", "")))</f>
      </c>
      <c r="AA448" s="59" t="str">
        <f t="shared" si="68"/>
      </c>
      <c r="AB448" s="67" t="str">
        <f>IF(OR(Table12[[#This Row],[Bet]]="Side",Table12[[#This Row],[Bet]]="", 'Prediction Log'!L449=""), "",IF('Prediction Log'!U449="Y", "W", IF('Prediction Log'!U449="N", "L", "")))</f>
      </c>
      <c r="AC448" s="59" t="str">
        <f t="shared" si="60"/>
      </c>
      <c r="AD448" s="67"/>
      <c r="AE448" s="65" t="str">
        <f t="shared" si="65"/>
      </c>
      <c r="AF4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9">
      <c r="A449" s="65" t="str">
        <f>IF(ISBLANK(Games!A449), "", Games!A449)</f>
      </c>
      <c r="B449" s="65" t="str">
        <f>IF('Prediction Log'!B450=0, "",'Prediction Log'!B450)</f>
      </c>
      <c r="C449" s="65" t="str">
        <f>IF('Prediction Log'!C450=0, "",'Prediction Log'!C450)</f>
      </c>
      <c r="D449" s="65" t="str">
        <f>IF('Prediction Log'!D450=0, "",'Prediction Log'!D450)</f>
      </c>
      <c r="E449" s="58" t="str">
        <f>IF('Prediction Log'!E450=0, "",'Prediction Log'!E450)</f>
      </c>
      <c r="F449" s="65" t="str">
        <f>IF('Prediction Log'!H450=0, "",'Prediction Log'!H450)</f>
      </c>
      <c r="G449" s="64" t="str">
        <f>IF(ISBLANK(Games!B449), "",'Prediction Log'!$I450)</f>
      </c>
      <c r="H449" s="66" t="n">
        <f>'Prediction Log'!$J450</f>
        <v>0</v>
      </c>
      <c r="I449" s="65" t="str">
        <f>IF(ISBLANK(Games!T449), "",IF(AND(Games!T449="",Games!U449=""),"",IF(ISTEXT(Games!U449), "Side",Games!T449)))</f>
      </c>
      <c r="J449" s="65" t="str">
        <f>IF(ISBLANK(Games!T449), "",IF(Table12[[#This Row],[Bet]]="Spread", Games!X449, ""))</f>
      </c>
      <c r="K449" s="65" t="str">
        <f>IF(ISBLANK(Games!U449), "",IF(ISTEXT(Games!U449), Games!U449, ""))</f>
      </c>
      <c r="L449" s="57" t="str">
        <f>IF(ISBLANK(Games!D449), "", Games!D449)</f>
      </c>
      <c r="M449" s="65"/>
      <c r="N449" s="75" t="str">
        <f>IF(Games!V449="", "",Games!V449)</f>
      </c>
      <c r="O449" s="75" t="str">
        <f>IF(Games!Z449=0, "",Games!Z449)</f>
      </c>
      <c r="P449" s="67"/>
      <c r="Q449" s="67" t="str">
        <f>IF(ISBLANK(Games!W449), "", Games!W449)</f>
      </c>
      <c r="R449" s="67" t="str">
        <f>IF(ISBLANK(Games!AA449), "", Games!AA449)</f>
      </c>
      <c r="S449" s="67"/>
      <c r="T449" s="68" t="str">
        <f t="shared" si="61"/>
      </c>
      <c r="U449" s="68" t="str">
        <f t="shared" si="62"/>
      </c>
      <c r="V449" s="68" t="str">
        <f t="shared" si="63"/>
      </c>
      <c r="W449" s="68" t="str">
        <f t="shared" si="64"/>
      </c>
      <c r="X449" s="68" t="n">
        <f t="shared" si="66"/>
        <v>0</v>
      </c>
      <c r="Y449" s="68" t="n">
        <f t="shared" si="67"/>
        <v>0</v>
      </c>
      <c r="Z449" s="67" t="str">
        <f>IF(OR('Prediction Log'!L450="", Table12[[#This Row],[Bet]]="", Table12[[#This Row],[Bet]]="Spread"), "",IF('Prediction Log'!L450=Table12[[#This Row],[Side]], "W", IF('Prediction Log'!L450&lt;&gt;Table12[[#This Row],[Side]], "L", "")))</f>
      </c>
      <c r="AA449" s="59" t="str">
        <f t="shared" si="68"/>
      </c>
      <c r="AB449" s="67" t="str">
        <f>IF(OR(Table12[[#This Row],[Bet]]="Side",Table12[[#This Row],[Bet]]="", 'Prediction Log'!L450=""), "",IF('Prediction Log'!U450="Y", "W", IF('Prediction Log'!U450="N", "L", "")))</f>
      </c>
      <c r="AC449" s="59" t="str">
        <f t="shared" si="60"/>
      </c>
      <c r="AD449" s="67"/>
      <c r="AE449" s="65" t="str">
        <f t="shared" si="65"/>
      </c>
      <c r="AF4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0">
      <c r="A450" s="65" t="str">
        <f>IF(ISBLANK(Games!A450), "", Games!A450)</f>
      </c>
      <c r="B450" s="65" t="str">
        <f>IF('Prediction Log'!B451=0, "",'Prediction Log'!B451)</f>
      </c>
      <c r="C450" s="65" t="str">
        <f>IF('Prediction Log'!C451=0, "",'Prediction Log'!C451)</f>
      </c>
      <c r="D450" s="65" t="str">
        <f>IF('Prediction Log'!D451=0, "",'Prediction Log'!D451)</f>
      </c>
      <c r="E450" s="58" t="str">
        <f>IF('Prediction Log'!E451=0, "",'Prediction Log'!E451)</f>
      </c>
      <c r="F450" s="65" t="str">
        <f>IF('Prediction Log'!H451=0, "",'Prediction Log'!H451)</f>
      </c>
      <c r="G450" s="64" t="str">
        <f>IF(ISBLANK(Games!B450), "",'Prediction Log'!$I451)</f>
      </c>
      <c r="H450" s="66" t="n">
        <f>'Prediction Log'!$J451</f>
        <v>0</v>
      </c>
      <c r="I450" s="65" t="str">
        <f>IF(ISBLANK(Games!T450), "",IF(AND(Games!T450="",Games!U450=""),"",IF(ISTEXT(Games!U450), "Side",Games!T450)))</f>
      </c>
      <c r="J450" s="65" t="str">
        <f>IF(ISBLANK(Games!T450), "",IF(Table12[[#This Row],[Bet]]="Spread", Games!X450, ""))</f>
      </c>
      <c r="K450" s="65" t="str">
        <f>IF(ISBLANK(Games!U450), "",IF(ISTEXT(Games!U450), Games!U450, ""))</f>
      </c>
      <c r="L450" s="57" t="str">
        <f>IF(ISBLANK(Games!D450), "", Games!D450)</f>
      </c>
      <c r="M450" s="65"/>
      <c r="N450" s="75" t="str">
        <f>IF(Games!V450="", "",Games!V450)</f>
      </c>
      <c r="O450" s="75" t="str">
        <f>IF(Games!Z450=0, "",Games!Z450)</f>
      </c>
      <c r="P450" s="67"/>
      <c r="Q450" s="67" t="str">
        <f>IF(ISBLANK(Games!W450), "", Games!W450)</f>
      </c>
      <c r="R450" s="67" t="str">
        <f>IF(ISBLANK(Games!AA450), "", Games!AA450)</f>
      </c>
      <c r="S450" s="67"/>
      <c r="T450" s="68" t="str">
        <f t="shared" si="61"/>
      </c>
      <c r="U450" s="68" t="str">
        <f t="shared" si="62"/>
      </c>
      <c r="V450" s="68" t="str">
        <f t="shared" si="63"/>
      </c>
      <c r="W450" s="68" t="str">
        <f t="shared" si="64"/>
      </c>
      <c r="X450" s="68" t="n">
        <f t="shared" si="66"/>
        <v>0</v>
      </c>
      <c r="Y450" s="68" t="n">
        <f t="shared" si="67"/>
        <v>0</v>
      </c>
      <c r="Z450" s="67" t="str">
        <f>IF(OR('Prediction Log'!L451="", Table12[[#This Row],[Bet]]="", Table12[[#This Row],[Bet]]="Spread"), "",IF('Prediction Log'!L451=Table12[[#This Row],[Side]], "W", IF('Prediction Log'!L451&lt;&gt;Table12[[#This Row],[Side]], "L", "")))</f>
      </c>
      <c r="AA450" s="59" t="str">
        <f t="shared" si="68"/>
      </c>
      <c r="AB450" s="67" t="str">
        <f>IF(OR(Table12[[#This Row],[Bet]]="Side",Table12[[#This Row],[Bet]]="", 'Prediction Log'!L451=""), "",IF('Prediction Log'!U451="Y", "W", IF('Prediction Log'!U451="N", "L", "")))</f>
      </c>
      <c r="AC450" s="59" t="str">
        <f t="shared" ref="AC450:AC513" si="69">IF(AB450="W", W450, IF(AB450="L",-O450, ""))</f>
      </c>
      <c r="AD450" s="67"/>
      <c r="AE450" s="65" t="str">
        <f t="shared" si="65"/>
      </c>
      <c r="AF4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1">
      <c r="A451" s="65" t="str">
        <f>IF(ISBLANK(Games!A451), "", Games!A451)</f>
      </c>
      <c r="B451" s="65" t="str">
        <f>IF('Prediction Log'!B452=0, "",'Prediction Log'!B452)</f>
      </c>
      <c r="C451" s="65" t="str">
        <f>IF('Prediction Log'!C452=0, "",'Prediction Log'!C452)</f>
      </c>
      <c r="D451" s="65" t="str">
        <f>IF('Prediction Log'!D452=0, "",'Prediction Log'!D452)</f>
      </c>
      <c r="E451" s="58" t="str">
        <f>IF('Prediction Log'!E452=0, "",'Prediction Log'!E452)</f>
      </c>
      <c r="F451" s="65" t="str">
        <f>IF('Prediction Log'!H452=0, "",'Prediction Log'!H452)</f>
      </c>
      <c r="G451" s="64" t="str">
        <f>IF(ISBLANK(Games!B451), "",'Prediction Log'!$I452)</f>
      </c>
      <c r="H451" s="66" t="n">
        <f>'Prediction Log'!$J452</f>
        <v>0</v>
      </c>
      <c r="I451" s="65" t="str">
        <f>IF(ISBLANK(Games!T451), "",IF(AND(Games!T451="",Games!U451=""),"",IF(ISTEXT(Games!U451), "Side",Games!T451)))</f>
      </c>
      <c r="J451" s="65" t="str">
        <f>IF(ISBLANK(Games!T451), "",IF(Table12[[#This Row],[Bet]]="Spread", Games!X451, ""))</f>
      </c>
      <c r="K451" s="65" t="str">
        <f>IF(ISBLANK(Games!U451), "",IF(ISTEXT(Games!U451), Games!U451, ""))</f>
      </c>
      <c r="L451" s="57" t="str">
        <f>IF(ISBLANK(Games!D451), "", Games!D451)</f>
      </c>
      <c r="M451" s="65"/>
      <c r="N451" s="75" t="str">
        <f>IF(Games!V451="", "",Games!V451)</f>
      </c>
      <c r="O451" s="75" t="str">
        <f>IF(Games!Z451=0, "",Games!Z451)</f>
      </c>
      <c r="P451" s="67"/>
      <c r="Q451" s="67" t="str">
        <f>IF(ISBLANK(Games!W451), "", Games!W451)</f>
      </c>
      <c r="R451" s="67" t="str">
        <f>IF(ISBLANK(Games!AA451), "", Games!AA451)</f>
      </c>
      <c r="S451" s="67"/>
      <c r="T451" s="68" t="str">
        <f t="shared" ref="T451:T514" si="70">IFERROR(N451+IF(Q451&lt;0, (N451/(Q451/-100)), N451*(Q451/100)), "")</f>
      </c>
      <c r="U451" s="68" t="str">
        <f t="shared" ref="U451:U514" si="71">IFERROR(T451-N451, "")</f>
      </c>
      <c r="V451" s="68" t="str">
        <f t="shared" ref="V451:V514" si="72">IFERROR(O451+IF(R451&lt;0, (O451/(R451/-100)), O451*(R451/100)), "")</f>
      </c>
      <c r="W451" s="68" t="str">
        <f t="shared" ref="W451:W514" si="73">IFERROR(V451-O451, "")</f>
      </c>
      <c r="X451" s="68" t="n">
        <f t="shared" si="66"/>
        <v>0</v>
      </c>
      <c r="Y451" s="68" t="n">
        <f t="shared" si="67"/>
        <v>0</v>
      </c>
      <c r="Z451" s="67" t="str">
        <f>IF(OR('Prediction Log'!L452="", Table12[[#This Row],[Bet]]="", Table12[[#This Row],[Bet]]="Spread"), "",IF('Prediction Log'!L452=Table12[[#This Row],[Side]], "W", IF('Prediction Log'!L452&lt;&gt;Table12[[#This Row],[Side]], "L", "")))</f>
      </c>
      <c r="AA451" s="59" t="str">
        <f t="shared" si="68"/>
      </c>
      <c r="AB451" s="67" t="str">
        <f>IF(OR(Table12[[#This Row],[Bet]]="Side",Table12[[#This Row],[Bet]]="", 'Prediction Log'!L452=""), "",IF('Prediction Log'!U452="Y", "W", IF('Prediction Log'!U452="N", "L", "")))</f>
      </c>
      <c r="AC451" s="59" t="str">
        <f t="shared" si="69"/>
      </c>
      <c r="AD451" s="67"/>
      <c r="AE451" s="65" t="str">
        <f t="shared" ref="AE451:AE514" si="74">IF(AD451="W", Y451, IF(AD451="L",-R451, ""))</f>
      </c>
      <c r="AF4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2">
      <c r="A452" s="65" t="str">
        <f>IF(ISBLANK(Games!A452), "", Games!A452)</f>
      </c>
      <c r="B452" s="65" t="str">
        <f>IF('Prediction Log'!B453=0, "",'Prediction Log'!B453)</f>
      </c>
      <c r="C452" s="65" t="str">
        <f>IF('Prediction Log'!C453=0, "",'Prediction Log'!C453)</f>
      </c>
      <c r="D452" s="65" t="str">
        <f>IF('Prediction Log'!D453=0, "",'Prediction Log'!D453)</f>
      </c>
      <c r="E452" s="58" t="str">
        <f>IF('Prediction Log'!E453=0, "",'Prediction Log'!E453)</f>
      </c>
      <c r="F452" s="65" t="str">
        <f>IF('Prediction Log'!H453=0, "",'Prediction Log'!H453)</f>
      </c>
      <c r="G452" s="64" t="str">
        <f>IF(ISBLANK(Games!B452), "",'Prediction Log'!$I453)</f>
      </c>
      <c r="H452" s="66" t="n">
        <f>'Prediction Log'!$J453</f>
        <v>0</v>
      </c>
      <c r="I452" s="65" t="str">
        <f>IF(ISBLANK(Games!T452), "",IF(AND(Games!T452="",Games!U452=""),"",IF(ISTEXT(Games!U452), "Side",Games!T452)))</f>
      </c>
      <c r="J452" s="65" t="str">
        <f>IF(ISBLANK(Games!T452), "",IF(Table12[[#This Row],[Bet]]="Spread", Games!X452, ""))</f>
      </c>
      <c r="K452" s="65" t="str">
        <f>IF(ISBLANK(Games!U452), "",IF(ISTEXT(Games!U452), Games!U452, ""))</f>
      </c>
      <c r="L452" s="57" t="str">
        <f>IF(ISBLANK(Games!D452), "", Games!D452)</f>
      </c>
      <c r="M452" s="65"/>
      <c r="N452" s="75" t="str">
        <f>IF(Games!V452="", "",Games!V452)</f>
      </c>
      <c r="O452" s="75" t="str">
        <f>IF(Games!Z452=0, "",Games!Z452)</f>
      </c>
      <c r="P452" s="67"/>
      <c r="Q452" s="67" t="str">
        <f>IF(ISBLANK(Games!W452), "", Games!W452)</f>
      </c>
      <c r="R452" s="67" t="str">
        <f>IF(ISBLANK(Games!AA452), "", Games!AA452)</f>
      </c>
      <c r="S452" s="67"/>
      <c r="T452" s="68" t="str">
        <f t="shared" si="70"/>
      </c>
      <c r="U452" s="68" t="str">
        <f t="shared" si="71"/>
      </c>
      <c r="V452" s="68" t="str">
        <f t="shared" si="72"/>
      </c>
      <c r="W452" s="68" t="str">
        <f t="shared" si="73"/>
      </c>
      <c r="X452" s="68" t="n">
        <f t="shared" si="66"/>
        <v>0</v>
      </c>
      <c r="Y452" s="68" t="n">
        <f t="shared" si="67"/>
        <v>0</v>
      </c>
      <c r="Z452" s="67" t="str">
        <f>IF(OR('Prediction Log'!L453="", Table12[[#This Row],[Bet]]="", Table12[[#This Row],[Bet]]="Spread"), "",IF('Prediction Log'!L453=Table12[[#This Row],[Side]], "W", IF('Prediction Log'!L453&lt;&gt;Table12[[#This Row],[Side]], "L", "")))</f>
      </c>
      <c r="AA452" s="59" t="str">
        <f t="shared" si="68"/>
      </c>
      <c r="AB452" s="67" t="str">
        <f>IF(OR(Table12[[#This Row],[Bet]]="Side",Table12[[#This Row],[Bet]]="", 'Prediction Log'!L453=""), "",IF('Prediction Log'!U453="Y", "W", IF('Prediction Log'!U453="N", "L", "")))</f>
      </c>
      <c r="AC452" s="59" t="str">
        <f t="shared" si="69"/>
      </c>
      <c r="AD452" s="67"/>
      <c r="AE452" s="65" t="str">
        <f t="shared" si="74"/>
      </c>
      <c r="AF4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3">
      <c r="A453" s="65" t="str">
        <f>IF(ISBLANK(Games!A453), "", Games!A453)</f>
      </c>
      <c r="B453" s="65" t="str">
        <f>IF('Prediction Log'!B454=0, "",'Prediction Log'!B454)</f>
      </c>
      <c r="C453" s="65" t="str">
        <f>IF('Prediction Log'!C454=0, "",'Prediction Log'!C454)</f>
      </c>
      <c r="D453" s="65" t="str">
        <f>IF('Prediction Log'!D454=0, "",'Prediction Log'!D454)</f>
      </c>
      <c r="E453" s="58" t="str">
        <f>IF('Prediction Log'!E454=0, "",'Prediction Log'!E454)</f>
      </c>
      <c r="F453" s="65" t="str">
        <f>IF('Prediction Log'!H454=0, "",'Prediction Log'!H454)</f>
      </c>
      <c r="G453" s="64" t="str">
        <f>IF(ISBLANK(Games!B453), "",'Prediction Log'!$I454)</f>
      </c>
      <c r="H453" s="66" t="n">
        <f>'Prediction Log'!$J454</f>
        <v>0</v>
      </c>
      <c r="I453" s="65" t="str">
        <f>IF(ISBLANK(Games!T453), "",IF(AND(Games!T453="",Games!U453=""),"",IF(ISTEXT(Games!U453), "Side",Games!T453)))</f>
      </c>
      <c r="J453" s="65" t="str">
        <f>IF(ISBLANK(Games!T453), "",IF(Table12[[#This Row],[Bet]]="Spread", Games!X453, ""))</f>
      </c>
      <c r="K453" s="65" t="str">
        <f>IF(ISBLANK(Games!U453), "",IF(ISTEXT(Games!U453), Games!U453, ""))</f>
      </c>
      <c r="L453" s="57" t="str">
        <f>IF(ISBLANK(Games!D453), "", Games!D453)</f>
      </c>
      <c r="M453" s="65"/>
      <c r="N453" s="75" t="str">
        <f>IF(Games!V453="", "",Games!V453)</f>
      </c>
      <c r="O453" s="75" t="str">
        <f>IF(Games!Z453=0, "",Games!Z453)</f>
      </c>
      <c r="P453" s="67"/>
      <c r="Q453" s="67" t="str">
        <f>IF(ISBLANK(Games!W453), "", Games!W453)</f>
      </c>
      <c r="R453" s="67" t="str">
        <f>IF(ISBLANK(Games!AA453), "", Games!AA453)</f>
      </c>
      <c r="S453" s="67"/>
      <c r="T453" s="68" t="str">
        <f t="shared" si="70"/>
      </c>
      <c r="U453" s="68" t="str">
        <f t="shared" si="71"/>
      </c>
      <c r="V453" s="68" t="str">
        <f t="shared" si="72"/>
      </c>
      <c r="W453" s="68" t="str">
        <f t="shared" si="73"/>
      </c>
      <c r="X453" s="68" t="n">
        <f t="shared" si="66"/>
        <v>0</v>
      </c>
      <c r="Y453" s="68" t="n">
        <f t="shared" si="67"/>
        <v>0</v>
      </c>
      <c r="Z453" s="67" t="str">
        <f>IF(OR('Prediction Log'!L454="", Table12[[#This Row],[Bet]]="", Table12[[#This Row],[Bet]]="Spread"), "",IF('Prediction Log'!L454=Table12[[#This Row],[Side]], "W", IF('Prediction Log'!L454&lt;&gt;Table12[[#This Row],[Side]], "L", "")))</f>
      </c>
      <c r="AA453" s="59" t="str">
        <f t="shared" si="68"/>
      </c>
      <c r="AB453" s="67" t="str">
        <f>IF(OR(Table12[[#This Row],[Bet]]="Side",Table12[[#This Row],[Bet]]="", 'Prediction Log'!L454=""), "",IF('Prediction Log'!U454="Y", "W", IF('Prediction Log'!U454="N", "L", "")))</f>
      </c>
      <c r="AC453" s="59" t="str">
        <f t="shared" si="69"/>
      </c>
      <c r="AD453" s="67"/>
      <c r="AE453" s="65" t="str">
        <f t="shared" si="74"/>
      </c>
      <c r="AF4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4">
      <c r="A454" s="65" t="str">
        <f>IF(ISBLANK(Games!A454), "", Games!A454)</f>
      </c>
      <c r="B454" s="65" t="str">
        <f>IF('Prediction Log'!B455=0, "",'Prediction Log'!B455)</f>
      </c>
      <c r="C454" s="65" t="str">
        <f>IF('Prediction Log'!C455=0, "",'Prediction Log'!C455)</f>
      </c>
      <c r="D454" s="65" t="str">
        <f>IF('Prediction Log'!D455=0, "",'Prediction Log'!D455)</f>
      </c>
      <c r="E454" s="58" t="str">
        <f>IF('Prediction Log'!E455=0, "",'Prediction Log'!E455)</f>
      </c>
      <c r="F454" s="65" t="str">
        <f>IF('Prediction Log'!H455=0, "",'Prediction Log'!H455)</f>
      </c>
      <c r="G454" s="64" t="str">
        <f>IF(ISBLANK(Games!B454), "",'Prediction Log'!$I455)</f>
      </c>
      <c r="H454" s="66" t="n">
        <f>'Prediction Log'!$J455</f>
        <v>0</v>
      </c>
      <c r="I454" s="65" t="str">
        <f>IF(ISBLANK(Games!T454), "",IF(AND(Games!T454="",Games!U454=""),"",IF(ISTEXT(Games!U454), "Side",Games!T454)))</f>
      </c>
      <c r="J454" s="65" t="str">
        <f>IF(ISBLANK(Games!T454), "",IF(Table12[[#This Row],[Bet]]="Spread", Games!X454, ""))</f>
      </c>
      <c r="K454" s="65" t="str">
        <f>IF(ISBLANK(Games!U454), "",IF(ISTEXT(Games!U454), Games!U454, ""))</f>
      </c>
      <c r="L454" s="57" t="str">
        <f>IF(ISBLANK(Games!D454), "", Games!D454)</f>
      </c>
      <c r="M454" s="65"/>
      <c r="N454" s="75" t="str">
        <f>IF(Games!V454="", "",Games!V454)</f>
      </c>
      <c r="O454" s="75" t="str">
        <f>IF(Games!Z454=0, "",Games!Z454)</f>
      </c>
      <c r="P454" s="67"/>
      <c r="Q454" s="67" t="str">
        <f>IF(ISBLANK(Games!W454), "", Games!W454)</f>
      </c>
      <c r="R454" s="67" t="str">
        <f>IF(ISBLANK(Games!AA454), "", Games!AA454)</f>
      </c>
      <c r="S454" s="67"/>
      <c r="T454" s="68" t="str">
        <f t="shared" si="70"/>
      </c>
      <c r="U454" s="68" t="str">
        <f t="shared" si="71"/>
      </c>
      <c r="V454" s="68" t="str">
        <f t="shared" si="72"/>
      </c>
      <c r="W454" s="68" t="str">
        <f t="shared" si="73"/>
      </c>
      <c r="X454" s="68" t="n">
        <f t="shared" si="66"/>
        <v>0</v>
      </c>
      <c r="Y454" s="68" t="n">
        <f t="shared" si="67"/>
        <v>0</v>
      </c>
      <c r="Z454" s="67" t="str">
        <f>IF(OR('Prediction Log'!L455="", Table12[[#This Row],[Bet]]="", Table12[[#This Row],[Bet]]="Spread"), "",IF('Prediction Log'!L455=Table12[[#This Row],[Side]], "W", IF('Prediction Log'!L455&lt;&gt;Table12[[#This Row],[Side]], "L", "")))</f>
      </c>
      <c r="AA454" s="59" t="str">
        <f t="shared" si="68"/>
      </c>
      <c r="AB454" s="67" t="str">
        <f>IF(OR(Table12[[#This Row],[Bet]]="Side",Table12[[#This Row],[Bet]]="", 'Prediction Log'!L455=""), "",IF('Prediction Log'!U455="Y", "W", IF('Prediction Log'!U455="N", "L", "")))</f>
      </c>
      <c r="AC454" s="59" t="str">
        <f t="shared" si="69"/>
      </c>
      <c r="AD454" s="67"/>
      <c r="AE454" s="65" t="str">
        <f t="shared" si="74"/>
      </c>
      <c r="AF4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5">
      <c r="A455" s="65" t="str">
        <f>IF(ISBLANK(Games!A455), "", Games!A455)</f>
      </c>
      <c r="B455" s="65" t="str">
        <f>IF('Prediction Log'!B456=0, "",'Prediction Log'!B456)</f>
      </c>
      <c r="C455" s="65" t="str">
        <f>IF('Prediction Log'!C456=0, "",'Prediction Log'!C456)</f>
      </c>
      <c r="D455" s="65" t="str">
        <f>IF('Prediction Log'!D456=0, "",'Prediction Log'!D456)</f>
      </c>
      <c r="E455" s="58" t="str">
        <f>IF('Prediction Log'!E456=0, "",'Prediction Log'!E456)</f>
      </c>
      <c r="F455" s="65" t="str">
        <f>IF('Prediction Log'!H456=0, "",'Prediction Log'!H456)</f>
      </c>
      <c r="G455" s="64" t="str">
        <f>IF(ISBLANK(Games!B455), "",'Prediction Log'!$I456)</f>
      </c>
      <c r="H455" s="66" t="n">
        <f>'Prediction Log'!$J456</f>
        <v>0</v>
      </c>
      <c r="I455" s="65" t="str">
        <f>IF(ISBLANK(Games!T455), "",IF(AND(Games!T455="",Games!U455=""),"",IF(ISTEXT(Games!U455), "Side",Games!T455)))</f>
      </c>
      <c r="J455" s="65" t="str">
        <f>IF(ISBLANK(Games!T455), "",IF(Table12[[#This Row],[Bet]]="Spread", Games!X455, ""))</f>
      </c>
      <c r="K455" s="65" t="str">
        <f>IF(ISBLANK(Games!U455), "",IF(ISTEXT(Games!U455), Games!U455, ""))</f>
      </c>
      <c r="L455" s="57" t="str">
        <f>IF(ISBLANK(Games!D455), "", Games!D455)</f>
      </c>
      <c r="M455" s="65"/>
      <c r="N455" s="75" t="str">
        <f>IF(Games!V455="", "",Games!V455)</f>
      </c>
      <c r="O455" s="75" t="str">
        <f>IF(Games!Z455=0, "",Games!Z455)</f>
      </c>
      <c r="P455" s="67"/>
      <c r="Q455" s="67" t="str">
        <f>IF(ISBLANK(Games!W455), "", Games!W455)</f>
      </c>
      <c r="R455" s="67" t="str">
        <f>IF(ISBLANK(Games!AA455), "", Games!AA455)</f>
      </c>
      <c r="S455" s="67"/>
      <c r="T455" s="68" t="str">
        <f t="shared" si="70"/>
      </c>
      <c r="U455" s="68" t="str">
        <f t="shared" si="71"/>
      </c>
      <c r="V455" s="68" t="str">
        <f t="shared" si="72"/>
      </c>
      <c r="W455" s="68" t="str">
        <f t="shared" si="73"/>
      </c>
      <c r="X455" s="68" t="n">
        <f t="shared" si="66"/>
        <v>0</v>
      </c>
      <c r="Y455" s="68" t="n">
        <f t="shared" si="67"/>
        <v>0</v>
      </c>
      <c r="Z455" s="67" t="str">
        <f>IF(OR('Prediction Log'!L456="", Table12[[#This Row],[Bet]]="", Table12[[#This Row],[Bet]]="Spread"), "",IF('Prediction Log'!L456=Table12[[#This Row],[Side]], "W", IF('Prediction Log'!L456&lt;&gt;Table12[[#This Row],[Side]], "L", "")))</f>
      </c>
      <c r="AA455" s="59" t="str">
        <f t="shared" si="68"/>
      </c>
      <c r="AB455" s="67" t="str">
        <f>IF(OR(Table12[[#This Row],[Bet]]="Side",Table12[[#This Row],[Bet]]="", 'Prediction Log'!L456=""), "",IF('Prediction Log'!U456="Y", "W", IF('Prediction Log'!U456="N", "L", "")))</f>
      </c>
      <c r="AC455" s="59" t="str">
        <f t="shared" si="69"/>
      </c>
      <c r="AD455" s="67"/>
      <c r="AE455" s="65" t="str">
        <f t="shared" si="74"/>
      </c>
      <c r="AF4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6">
      <c r="A456" s="65" t="str">
        <f>IF(ISBLANK(Games!A456), "", Games!A456)</f>
      </c>
      <c r="B456" s="65" t="str">
        <f>IF('Prediction Log'!B457=0, "",'Prediction Log'!B457)</f>
      </c>
      <c r="C456" s="65" t="str">
        <f>IF('Prediction Log'!C457=0, "",'Prediction Log'!C457)</f>
      </c>
      <c r="D456" s="65" t="str">
        <f>IF('Prediction Log'!D457=0, "",'Prediction Log'!D457)</f>
      </c>
      <c r="E456" s="58" t="str">
        <f>IF('Prediction Log'!E457=0, "",'Prediction Log'!E457)</f>
      </c>
      <c r="F456" s="65" t="str">
        <f>IF('Prediction Log'!H457=0, "",'Prediction Log'!H457)</f>
      </c>
      <c r="G456" s="64" t="str">
        <f>IF(ISBLANK(Games!B456), "",'Prediction Log'!$I457)</f>
      </c>
      <c r="H456" s="66" t="n">
        <f>'Prediction Log'!$J457</f>
        <v>0</v>
      </c>
      <c r="I456" s="65" t="str">
        <f>IF(ISBLANK(Games!T456), "",IF(AND(Games!T456="",Games!U456=""),"",IF(ISTEXT(Games!U456), "Side",Games!T456)))</f>
      </c>
      <c r="J456" s="65" t="str">
        <f>IF(ISBLANK(Games!T456), "",IF(Table12[[#This Row],[Bet]]="Spread", Games!X456, ""))</f>
      </c>
      <c r="K456" s="65" t="str">
        <f>IF(ISBLANK(Games!U456), "",IF(ISTEXT(Games!U456), Games!U456, ""))</f>
      </c>
      <c r="L456" s="57" t="str">
        <f>IF(ISBLANK(Games!D456), "", Games!D456)</f>
      </c>
      <c r="M456" s="65"/>
      <c r="N456" s="75" t="str">
        <f>IF(Games!V456="", "",Games!V456)</f>
      </c>
      <c r="O456" s="75" t="str">
        <f>IF(Games!Z456=0, "",Games!Z456)</f>
      </c>
      <c r="P456" s="67"/>
      <c r="Q456" s="67" t="str">
        <f>IF(ISBLANK(Games!W456), "", Games!W456)</f>
      </c>
      <c r="R456" s="67" t="str">
        <f>IF(ISBLANK(Games!AA456), "", Games!AA456)</f>
      </c>
      <c r="S456" s="67"/>
      <c r="T456" s="68" t="str">
        <f t="shared" si="70"/>
      </c>
      <c r="U456" s="68" t="str">
        <f t="shared" si="71"/>
      </c>
      <c r="V456" s="68" t="str">
        <f t="shared" si="72"/>
      </c>
      <c r="W456" s="68" t="str">
        <f t="shared" si="73"/>
      </c>
      <c r="X456" s="68" t="n">
        <f t="shared" si="66"/>
        <v>0</v>
      </c>
      <c r="Y456" s="68" t="n">
        <f t="shared" si="67"/>
        <v>0</v>
      </c>
      <c r="Z456" s="67" t="str">
        <f>IF(OR('Prediction Log'!L457="", Table12[[#This Row],[Bet]]="", Table12[[#This Row],[Bet]]="Spread"), "",IF('Prediction Log'!L457=Table12[[#This Row],[Side]], "W", IF('Prediction Log'!L457&lt;&gt;Table12[[#This Row],[Side]], "L", "")))</f>
      </c>
      <c r="AA456" s="59" t="str">
        <f t="shared" si="68"/>
      </c>
      <c r="AB456" s="67" t="str">
        <f>IF(OR(Table12[[#This Row],[Bet]]="Side",Table12[[#This Row],[Bet]]="", 'Prediction Log'!L457=""), "",IF('Prediction Log'!U457="Y", "W", IF('Prediction Log'!U457="N", "L", "")))</f>
      </c>
      <c r="AC456" s="59" t="str">
        <f t="shared" si="69"/>
      </c>
      <c r="AD456" s="67"/>
      <c r="AE456" s="65" t="str">
        <f t="shared" si="74"/>
      </c>
      <c r="AF4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7">
      <c r="A457" s="65" t="str">
        <f>IF(ISBLANK(Games!A457), "", Games!A457)</f>
      </c>
      <c r="B457" s="65" t="str">
        <f>IF('Prediction Log'!B458=0, "",'Prediction Log'!B458)</f>
      </c>
      <c r="C457" s="65" t="str">
        <f>IF('Prediction Log'!C458=0, "",'Prediction Log'!C458)</f>
      </c>
      <c r="D457" s="65" t="str">
        <f>IF('Prediction Log'!D458=0, "",'Prediction Log'!D458)</f>
      </c>
      <c r="E457" s="58" t="str">
        <f>IF('Prediction Log'!E458=0, "",'Prediction Log'!E458)</f>
      </c>
      <c r="F457" s="65" t="str">
        <f>IF('Prediction Log'!H458=0, "",'Prediction Log'!H458)</f>
      </c>
      <c r="G457" s="64" t="str">
        <f>IF(ISBLANK(Games!B457), "",'Prediction Log'!$I458)</f>
      </c>
      <c r="H457" s="66" t="n">
        <f>'Prediction Log'!$J458</f>
        <v>0</v>
      </c>
      <c r="I457" s="65" t="str">
        <f>IF(ISBLANK(Games!T457), "",IF(AND(Games!T457="",Games!U457=""),"",IF(ISTEXT(Games!U457), "Side",Games!T457)))</f>
      </c>
      <c r="J457" s="65" t="str">
        <f>IF(ISBLANK(Games!T457), "",IF(Table12[[#This Row],[Bet]]="Spread", Games!X457, ""))</f>
      </c>
      <c r="K457" s="65" t="str">
        <f>IF(ISBLANK(Games!U457), "",IF(ISTEXT(Games!U457), Games!U457, ""))</f>
      </c>
      <c r="L457" s="57" t="str">
        <f>IF(ISBLANK(Games!D457), "", Games!D457)</f>
      </c>
      <c r="M457" s="65"/>
      <c r="N457" s="75" t="str">
        <f>IF(Games!V457="", "",Games!V457)</f>
      </c>
      <c r="O457" s="75" t="str">
        <f>IF(Games!Z457=0, "",Games!Z457)</f>
      </c>
      <c r="P457" s="67"/>
      <c r="Q457" s="67" t="str">
        <f>IF(ISBLANK(Games!W457), "", Games!W457)</f>
      </c>
      <c r="R457" s="67" t="str">
        <f>IF(ISBLANK(Games!AA457), "", Games!AA457)</f>
      </c>
      <c r="S457" s="67"/>
      <c r="T457" s="68" t="str">
        <f t="shared" si="70"/>
      </c>
      <c r="U457" s="68" t="str">
        <f t="shared" si="71"/>
      </c>
      <c r="V457" s="68" t="str">
        <f t="shared" si="72"/>
      </c>
      <c r="W457" s="68" t="str">
        <f t="shared" si="73"/>
      </c>
      <c r="X457" s="68" t="n">
        <f t="shared" si="66"/>
        <v>0</v>
      </c>
      <c r="Y457" s="68" t="n">
        <f t="shared" si="67"/>
        <v>0</v>
      </c>
      <c r="Z457" s="67" t="str">
        <f>IF(OR('Prediction Log'!L458="", Table12[[#This Row],[Bet]]="", Table12[[#This Row],[Bet]]="Spread"), "",IF('Prediction Log'!L458=Table12[[#This Row],[Side]], "W", IF('Prediction Log'!L458&lt;&gt;Table12[[#This Row],[Side]], "L", "")))</f>
      </c>
      <c r="AA457" s="59" t="str">
        <f t="shared" si="68"/>
      </c>
      <c r="AB457" s="67" t="str">
        <f>IF(OR(Table12[[#This Row],[Bet]]="Side",Table12[[#This Row],[Bet]]="", 'Prediction Log'!L458=""), "",IF('Prediction Log'!U458="Y", "W", IF('Prediction Log'!U458="N", "L", "")))</f>
      </c>
      <c r="AC457" s="59" t="str">
        <f t="shared" si="69"/>
      </c>
      <c r="AD457" s="67"/>
      <c r="AE457" s="65" t="str">
        <f t="shared" si="74"/>
      </c>
      <c r="AF4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8">
      <c r="A458" s="65" t="str">
        <f>IF(ISBLANK(Games!A458), "", Games!A458)</f>
      </c>
      <c r="B458" s="65" t="str">
        <f>IF('Prediction Log'!B459=0, "",'Prediction Log'!B459)</f>
      </c>
      <c r="C458" s="65" t="str">
        <f>IF('Prediction Log'!C459=0, "",'Prediction Log'!C459)</f>
      </c>
      <c r="D458" s="65" t="str">
        <f>IF('Prediction Log'!D459=0, "",'Prediction Log'!D459)</f>
      </c>
      <c r="E458" s="58" t="str">
        <f>IF('Prediction Log'!E459=0, "",'Prediction Log'!E459)</f>
      </c>
      <c r="F458" s="65" t="str">
        <f>IF('Prediction Log'!H459=0, "",'Prediction Log'!H459)</f>
      </c>
      <c r="G458" s="64" t="str">
        <f>IF(ISBLANK(Games!B458), "",'Prediction Log'!$I459)</f>
      </c>
      <c r="H458" s="66" t="n">
        <f>'Prediction Log'!$J459</f>
        <v>0</v>
      </c>
      <c r="I458" s="65" t="str">
        <f>IF(ISBLANK(Games!T458), "",IF(AND(Games!T458="",Games!U458=""),"",IF(ISTEXT(Games!U458), "Side",Games!T458)))</f>
      </c>
      <c r="J458" s="65" t="str">
        <f>IF(ISBLANK(Games!T458), "",IF(Table12[[#This Row],[Bet]]="Spread", Games!X458, ""))</f>
      </c>
      <c r="K458" s="65" t="str">
        <f>IF(ISBLANK(Games!U458), "",IF(ISTEXT(Games!U458), Games!U458, ""))</f>
      </c>
      <c r="L458" s="57" t="str">
        <f>IF(ISBLANK(Games!D458), "", Games!D458)</f>
      </c>
      <c r="M458" s="65"/>
      <c r="N458" s="75" t="str">
        <f>IF(Games!V458="", "",Games!V458)</f>
      </c>
      <c r="O458" s="75" t="str">
        <f>IF(Games!Z458=0, "",Games!Z458)</f>
      </c>
      <c r="P458" s="67"/>
      <c r="Q458" s="67" t="str">
        <f>IF(ISBLANK(Games!W458), "", Games!W458)</f>
      </c>
      <c r="R458" s="67" t="str">
        <f>IF(ISBLANK(Games!AA458), "", Games!AA458)</f>
      </c>
      <c r="S458" s="67"/>
      <c r="T458" s="68" t="str">
        <f t="shared" si="70"/>
      </c>
      <c r="U458" s="68" t="str">
        <f t="shared" si="71"/>
      </c>
      <c r="V458" s="68" t="str">
        <f t="shared" si="72"/>
      </c>
      <c r="W458" s="68" t="str">
        <f t="shared" si="73"/>
      </c>
      <c r="X458" s="68" t="n">
        <f t="shared" si="66"/>
        <v>0</v>
      </c>
      <c r="Y458" s="68" t="n">
        <f t="shared" si="67"/>
        <v>0</v>
      </c>
      <c r="Z458" s="67" t="str">
        <f>IF(OR('Prediction Log'!L459="", Table12[[#This Row],[Bet]]="", Table12[[#This Row],[Bet]]="Spread"), "",IF('Prediction Log'!L459=Table12[[#This Row],[Side]], "W", IF('Prediction Log'!L459&lt;&gt;Table12[[#This Row],[Side]], "L", "")))</f>
      </c>
      <c r="AA458" s="59" t="str">
        <f t="shared" si="68"/>
      </c>
      <c r="AB458" s="67" t="str">
        <f>IF(OR(Table12[[#This Row],[Bet]]="Side",Table12[[#This Row],[Bet]]="", 'Prediction Log'!L459=""), "",IF('Prediction Log'!U459="Y", "W", IF('Prediction Log'!U459="N", "L", "")))</f>
      </c>
      <c r="AC458" s="59" t="str">
        <f t="shared" si="69"/>
      </c>
      <c r="AD458" s="67"/>
      <c r="AE458" s="65" t="str">
        <f t="shared" si="74"/>
      </c>
      <c r="AF4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9">
      <c r="A459" s="65" t="str">
        <f>IF(ISBLANK(Games!A459), "", Games!A459)</f>
      </c>
      <c r="B459" s="65" t="str">
        <f>IF('Prediction Log'!B460=0, "",'Prediction Log'!B460)</f>
      </c>
      <c r="C459" s="65" t="str">
        <f>IF('Prediction Log'!C460=0, "",'Prediction Log'!C460)</f>
      </c>
      <c r="D459" s="65" t="str">
        <f>IF('Prediction Log'!D460=0, "",'Prediction Log'!D460)</f>
      </c>
      <c r="E459" s="58" t="str">
        <f>IF('Prediction Log'!E460=0, "",'Prediction Log'!E460)</f>
      </c>
      <c r="F459" s="65" t="str">
        <f>IF('Prediction Log'!H460=0, "",'Prediction Log'!H460)</f>
      </c>
      <c r="G459" s="64" t="str">
        <f>IF(ISBLANK(Games!B459), "",'Prediction Log'!$I460)</f>
      </c>
      <c r="H459" s="66" t="n">
        <f>'Prediction Log'!$J460</f>
        <v>0</v>
      </c>
      <c r="I459" s="65" t="str">
        <f>IF(ISBLANK(Games!T459), "",IF(AND(Games!T459="",Games!U459=""),"",IF(ISTEXT(Games!U459), "Side",Games!T459)))</f>
      </c>
      <c r="J459" s="65" t="str">
        <f>IF(ISBLANK(Games!T459), "",IF(Table12[[#This Row],[Bet]]="Spread", Games!X459, ""))</f>
      </c>
      <c r="K459" s="65" t="str">
        <f>IF(ISBLANK(Games!U459), "",IF(ISTEXT(Games!U459), Games!U459, ""))</f>
      </c>
      <c r="L459" s="57" t="str">
        <f>IF(ISBLANK(Games!D459), "", Games!D459)</f>
      </c>
      <c r="M459" s="65"/>
      <c r="N459" s="75" t="str">
        <f>IF(Games!V459="", "",Games!V459)</f>
      </c>
      <c r="O459" s="75" t="str">
        <f>IF(Games!Z459=0, "",Games!Z459)</f>
      </c>
      <c r="P459" s="67"/>
      <c r="Q459" s="67" t="str">
        <f>IF(ISBLANK(Games!W459), "", Games!W459)</f>
      </c>
      <c r="R459" s="67" t="str">
        <f>IF(ISBLANK(Games!AA459), "", Games!AA459)</f>
      </c>
      <c r="S459" s="67"/>
      <c r="T459" s="68" t="str">
        <f t="shared" si="70"/>
      </c>
      <c r="U459" s="68" t="str">
        <f t="shared" si="71"/>
      </c>
      <c r="V459" s="68" t="str">
        <f t="shared" si="72"/>
      </c>
      <c r="W459" s="68" t="str">
        <f t="shared" si="73"/>
      </c>
      <c r="X459" s="68" t="n">
        <f t="shared" si="66"/>
        <v>0</v>
      </c>
      <c r="Y459" s="68" t="n">
        <f t="shared" si="67"/>
        <v>0</v>
      </c>
      <c r="Z459" s="67" t="str">
        <f>IF(OR('Prediction Log'!L460="", Table12[[#This Row],[Bet]]="", Table12[[#This Row],[Bet]]="Spread"), "",IF('Prediction Log'!L460=Table12[[#This Row],[Side]], "W", IF('Prediction Log'!L460&lt;&gt;Table12[[#This Row],[Side]], "L", "")))</f>
      </c>
      <c r="AA459" s="59" t="str">
        <f t="shared" si="68"/>
      </c>
      <c r="AB459" s="67" t="str">
        <f>IF(OR(Table12[[#This Row],[Bet]]="Side",Table12[[#This Row],[Bet]]="", 'Prediction Log'!L460=""), "",IF('Prediction Log'!U460="Y", "W", IF('Prediction Log'!U460="N", "L", "")))</f>
      </c>
      <c r="AC459" s="59" t="str">
        <f t="shared" si="69"/>
      </c>
      <c r="AD459" s="67"/>
      <c r="AE459" s="65" t="str">
        <f t="shared" si="74"/>
      </c>
      <c r="AF4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0">
      <c r="A460" s="65" t="str">
        <f>IF(ISBLANK(Games!A460), "", Games!A460)</f>
      </c>
      <c r="B460" s="65" t="str">
        <f>IF('Prediction Log'!B461=0, "",'Prediction Log'!B461)</f>
      </c>
      <c r="C460" s="65" t="str">
        <f>IF('Prediction Log'!C461=0, "",'Prediction Log'!C461)</f>
      </c>
      <c r="D460" s="65" t="str">
        <f>IF('Prediction Log'!D461=0, "",'Prediction Log'!D461)</f>
      </c>
      <c r="E460" s="58" t="str">
        <f>IF('Prediction Log'!E461=0, "",'Prediction Log'!E461)</f>
      </c>
      <c r="F460" s="65" t="str">
        <f>IF('Prediction Log'!H461=0, "",'Prediction Log'!H461)</f>
      </c>
      <c r="G460" s="64" t="str">
        <f>IF(ISBLANK(Games!B460), "",'Prediction Log'!$I461)</f>
      </c>
      <c r="H460" s="66" t="n">
        <f>'Prediction Log'!$J461</f>
        <v>0</v>
      </c>
      <c r="I460" s="65" t="str">
        <f>IF(ISBLANK(Games!T460), "",IF(AND(Games!T460="",Games!U460=""),"",IF(ISTEXT(Games!U460), "Side",Games!T460)))</f>
      </c>
      <c r="J460" s="65" t="str">
        <f>IF(ISBLANK(Games!T460), "",IF(Table12[[#This Row],[Bet]]="Spread", Games!X460, ""))</f>
      </c>
      <c r="K460" s="65" t="str">
        <f>IF(ISBLANK(Games!U460), "",IF(ISTEXT(Games!U460), Games!U460, ""))</f>
      </c>
      <c r="L460" s="57" t="str">
        <f>IF(ISBLANK(Games!D460), "", Games!D460)</f>
      </c>
      <c r="M460" s="65"/>
      <c r="N460" s="75" t="str">
        <f>IF(Games!V460="", "",Games!V460)</f>
      </c>
      <c r="O460" s="75" t="str">
        <f>IF(Games!Z460=0, "",Games!Z460)</f>
      </c>
      <c r="P460" s="67"/>
      <c r="Q460" s="67" t="str">
        <f>IF(ISBLANK(Games!W460), "", Games!W460)</f>
      </c>
      <c r="R460" s="67" t="str">
        <f>IF(ISBLANK(Games!AA460), "", Games!AA460)</f>
      </c>
      <c r="S460" s="67"/>
      <c r="T460" s="68" t="str">
        <f t="shared" si="70"/>
      </c>
      <c r="U460" s="68" t="str">
        <f t="shared" si="71"/>
      </c>
      <c r="V460" s="68" t="str">
        <f t="shared" si="72"/>
      </c>
      <c r="W460" s="68" t="str">
        <f t="shared" si="73"/>
      </c>
      <c r="X460" s="68" t="n">
        <f t="shared" si="66"/>
        <v>0</v>
      </c>
      <c r="Y460" s="68" t="n">
        <f t="shared" si="67"/>
        <v>0</v>
      </c>
      <c r="Z460" s="67" t="str">
        <f>IF(OR('Prediction Log'!L461="", Table12[[#This Row],[Bet]]="", Table12[[#This Row],[Bet]]="Spread"), "",IF('Prediction Log'!L461=Table12[[#This Row],[Side]], "W", IF('Prediction Log'!L461&lt;&gt;Table12[[#This Row],[Side]], "L", "")))</f>
      </c>
      <c r="AA460" s="59" t="str">
        <f t="shared" si="68"/>
      </c>
      <c r="AB460" s="67" t="str">
        <f>IF(OR(Table12[[#This Row],[Bet]]="Side",Table12[[#This Row],[Bet]]="", 'Prediction Log'!L461=""), "",IF('Prediction Log'!U461="Y", "W", IF('Prediction Log'!U461="N", "L", "")))</f>
      </c>
      <c r="AC460" s="59" t="str">
        <f t="shared" si="69"/>
      </c>
      <c r="AD460" s="67"/>
      <c r="AE460" s="65" t="str">
        <f t="shared" si="74"/>
      </c>
      <c r="AF4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1">
      <c r="A461" s="65" t="str">
        <f>IF(ISBLANK(Games!A461), "", Games!A461)</f>
      </c>
      <c r="B461" s="65" t="str">
        <f>IF('Prediction Log'!B462=0, "",'Prediction Log'!B462)</f>
      </c>
      <c r="C461" s="65" t="str">
        <f>IF('Prediction Log'!C462=0, "",'Prediction Log'!C462)</f>
      </c>
      <c r="D461" s="65" t="str">
        <f>IF('Prediction Log'!D462=0, "",'Prediction Log'!D462)</f>
      </c>
      <c r="E461" s="58" t="str">
        <f>IF('Prediction Log'!E462=0, "",'Prediction Log'!E462)</f>
      </c>
      <c r="F461" s="65" t="str">
        <f>IF('Prediction Log'!H462=0, "",'Prediction Log'!H462)</f>
      </c>
      <c r="G461" s="64" t="str">
        <f>IF(ISBLANK(Games!B461), "",'Prediction Log'!$I462)</f>
      </c>
      <c r="H461" s="66" t="n">
        <f>'Prediction Log'!$J462</f>
        <v>0</v>
      </c>
      <c r="I461" s="65" t="str">
        <f>IF(ISBLANK(Games!T461), "",IF(AND(Games!T461="",Games!U461=""),"",IF(ISTEXT(Games!U461), "Side",Games!T461)))</f>
      </c>
      <c r="J461" s="65" t="str">
        <f>IF(ISBLANK(Games!T461), "",IF(Table12[[#This Row],[Bet]]="Spread", Games!X461, ""))</f>
      </c>
      <c r="K461" s="65" t="str">
        <f>IF(ISBLANK(Games!U461), "",IF(ISTEXT(Games!U461), Games!U461, ""))</f>
      </c>
      <c r="L461" s="57" t="str">
        <f>IF(ISBLANK(Games!D461), "", Games!D461)</f>
      </c>
      <c r="M461" s="65"/>
      <c r="N461" s="75" t="str">
        <f>IF(Games!V461="", "",Games!V461)</f>
      </c>
      <c r="O461" s="75" t="str">
        <f>IF(Games!Z461=0, "",Games!Z461)</f>
      </c>
      <c r="P461" s="67"/>
      <c r="Q461" s="67" t="str">
        <f>IF(ISBLANK(Games!W461), "", Games!W461)</f>
      </c>
      <c r="R461" s="67" t="str">
        <f>IF(ISBLANK(Games!AA461), "", Games!AA461)</f>
      </c>
      <c r="S461" s="67"/>
      <c r="T461" s="68" t="str">
        <f t="shared" si="70"/>
      </c>
      <c r="U461" s="68" t="str">
        <f t="shared" si="71"/>
      </c>
      <c r="V461" s="68" t="str">
        <f t="shared" si="72"/>
      </c>
      <c r="W461" s="68" t="str">
        <f t="shared" si="73"/>
      </c>
      <c r="X461" s="68" t="n">
        <f t="shared" si="66"/>
        <v>0</v>
      </c>
      <c r="Y461" s="68" t="n">
        <f t="shared" si="67"/>
        <v>0</v>
      </c>
      <c r="Z461" s="67" t="str">
        <f>IF(OR('Prediction Log'!L462="", Table12[[#This Row],[Bet]]="", Table12[[#This Row],[Bet]]="Spread"), "",IF('Prediction Log'!L462=Table12[[#This Row],[Side]], "W", IF('Prediction Log'!L462&lt;&gt;Table12[[#This Row],[Side]], "L", "")))</f>
      </c>
      <c r="AA461" s="59" t="str">
        <f t="shared" si="68"/>
      </c>
      <c r="AB461" s="67" t="str">
        <f>IF(OR(Table12[[#This Row],[Bet]]="Side",Table12[[#This Row],[Bet]]="", 'Prediction Log'!L462=""), "",IF('Prediction Log'!U462="Y", "W", IF('Prediction Log'!U462="N", "L", "")))</f>
      </c>
      <c r="AC461" s="59" t="str">
        <f t="shared" si="69"/>
      </c>
      <c r="AD461" s="67"/>
      <c r="AE461" s="65" t="str">
        <f t="shared" si="74"/>
      </c>
      <c r="AF4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2">
      <c r="A462" s="65" t="str">
        <f>IF(ISBLANK(Games!A462), "", Games!A462)</f>
      </c>
      <c r="B462" s="65" t="str">
        <f>IF('Prediction Log'!B463=0, "",'Prediction Log'!B463)</f>
      </c>
      <c r="C462" s="65" t="str">
        <f>IF('Prediction Log'!C463=0, "",'Prediction Log'!C463)</f>
      </c>
      <c r="D462" s="65" t="str">
        <f>IF('Prediction Log'!D463=0, "",'Prediction Log'!D463)</f>
      </c>
      <c r="E462" s="58" t="str">
        <f>IF('Prediction Log'!E463=0, "",'Prediction Log'!E463)</f>
      </c>
      <c r="F462" s="65" t="str">
        <f>IF('Prediction Log'!H463=0, "",'Prediction Log'!H463)</f>
      </c>
      <c r="G462" s="64" t="str">
        <f>IF(ISBLANK(Games!B462), "",'Prediction Log'!$I463)</f>
      </c>
      <c r="H462" s="66" t="n">
        <f>'Prediction Log'!$J463</f>
        <v>0</v>
      </c>
      <c r="I462" s="65" t="str">
        <f>IF(ISBLANK(Games!T462), "",IF(AND(Games!T462="",Games!U462=""),"",IF(ISTEXT(Games!U462), "Side",Games!T462)))</f>
      </c>
      <c r="J462" s="65" t="str">
        <f>IF(ISBLANK(Games!T462), "",IF(Table12[[#This Row],[Bet]]="Spread", Games!X462, ""))</f>
      </c>
      <c r="K462" s="65" t="str">
        <f>IF(ISBLANK(Games!U462), "",IF(ISTEXT(Games!U462), Games!U462, ""))</f>
      </c>
      <c r="L462" s="57" t="str">
        <f>IF(ISBLANK(Games!D462), "", Games!D462)</f>
      </c>
      <c r="M462" s="65"/>
      <c r="N462" s="75" t="str">
        <f>IF(Games!V462="", "",Games!V462)</f>
      </c>
      <c r="O462" s="75" t="str">
        <f>IF(Games!Z462=0, "",Games!Z462)</f>
      </c>
      <c r="P462" s="67"/>
      <c r="Q462" s="67" t="str">
        <f>IF(ISBLANK(Games!W462), "", Games!W462)</f>
      </c>
      <c r="R462" s="67" t="str">
        <f>IF(ISBLANK(Games!AA462), "", Games!AA462)</f>
      </c>
      <c r="S462" s="67"/>
      <c r="T462" s="68" t="str">
        <f t="shared" si="70"/>
      </c>
      <c r="U462" s="68" t="str">
        <f t="shared" si="71"/>
      </c>
      <c r="V462" s="68" t="str">
        <f t="shared" si="72"/>
      </c>
      <c r="W462" s="68" t="str">
        <f t="shared" si="73"/>
      </c>
      <c r="X462" s="68" t="n">
        <f t="shared" si="66"/>
        <v>0</v>
      </c>
      <c r="Y462" s="68" t="n">
        <f t="shared" si="67"/>
        <v>0</v>
      </c>
      <c r="Z462" s="67" t="str">
        <f>IF(OR('Prediction Log'!L463="", Table12[[#This Row],[Bet]]="", Table12[[#This Row],[Bet]]="Spread"), "",IF('Prediction Log'!L463=Table12[[#This Row],[Side]], "W", IF('Prediction Log'!L463&lt;&gt;Table12[[#This Row],[Side]], "L", "")))</f>
      </c>
      <c r="AA462" s="59" t="str">
        <f t="shared" si="68"/>
      </c>
      <c r="AB462" s="67" t="str">
        <f>IF(OR(Table12[[#This Row],[Bet]]="Side",Table12[[#This Row],[Bet]]="", 'Prediction Log'!L463=""), "",IF('Prediction Log'!U463="Y", "W", IF('Prediction Log'!U463="N", "L", "")))</f>
      </c>
      <c r="AC462" s="59" t="str">
        <f t="shared" si="69"/>
      </c>
      <c r="AD462" s="67"/>
      <c r="AE462" s="65" t="str">
        <f t="shared" si="74"/>
      </c>
      <c r="AF4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3">
      <c r="A463" s="65" t="str">
        <f>IF(ISBLANK(Games!A463), "", Games!A463)</f>
      </c>
      <c r="B463" s="65" t="str">
        <f>IF('Prediction Log'!B464=0, "",'Prediction Log'!B464)</f>
      </c>
      <c r="C463" s="65" t="str">
        <f>IF('Prediction Log'!C464=0, "",'Prediction Log'!C464)</f>
      </c>
      <c r="D463" s="65" t="str">
        <f>IF('Prediction Log'!D464=0, "",'Prediction Log'!D464)</f>
      </c>
      <c r="E463" s="58" t="str">
        <f>IF('Prediction Log'!E464=0, "",'Prediction Log'!E464)</f>
      </c>
      <c r="F463" s="65" t="str">
        <f>IF('Prediction Log'!H464=0, "",'Prediction Log'!H464)</f>
      </c>
      <c r="G463" s="64" t="str">
        <f>IF(ISBLANK(Games!B463), "",'Prediction Log'!$I464)</f>
      </c>
      <c r="H463" s="66" t="n">
        <f>'Prediction Log'!$J464</f>
        <v>0</v>
      </c>
      <c r="I463" s="65" t="str">
        <f>IF(ISBLANK(Games!T463), "",IF(AND(Games!T463="",Games!U463=""),"",IF(ISTEXT(Games!U463), "Side",Games!T463)))</f>
      </c>
      <c r="J463" s="65" t="str">
        <f>IF(ISBLANK(Games!T463), "",IF(Table12[[#This Row],[Bet]]="Spread", Games!X463, ""))</f>
      </c>
      <c r="K463" s="65" t="str">
        <f>IF(ISBLANK(Games!U463), "",IF(ISTEXT(Games!U463), Games!U463, ""))</f>
      </c>
      <c r="L463" s="57" t="str">
        <f>IF(ISBLANK(Games!D463), "", Games!D463)</f>
      </c>
      <c r="M463" s="65"/>
      <c r="N463" s="75" t="str">
        <f>IF(Games!V463="", "",Games!V463)</f>
      </c>
      <c r="O463" s="75" t="str">
        <f>IF(Games!Z463=0, "",Games!Z463)</f>
      </c>
      <c r="P463" s="67"/>
      <c r="Q463" s="67" t="str">
        <f>IF(ISBLANK(Games!W463), "", Games!W463)</f>
      </c>
      <c r="R463" s="67" t="str">
        <f>IF(ISBLANK(Games!AA463), "", Games!AA463)</f>
      </c>
      <c r="S463" s="67"/>
      <c r="T463" s="68" t="str">
        <f t="shared" si="70"/>
      </c>
      <c r="U463" s="68" t="str">
        <f t="shared" si="71"/>
      </c>
      <c r="V463" s="68" t="str">
        <f t="shared" si="72"/>
      </c>
      <c r="W463" s="68" t="str">
        <f t="shared" si="73"/>
      </c>
      <c r="X463" s="68" t="n">
        <f t="shared" si="66"/>
        <v>0</v>
      </c>
      <c r="Y463" s="68" t="n">
        <f t="shared" si="67"/>
        <v>0</v>
      </c>
      <c r="Z463" s="67" t="str">
        <f>IF(OR('Prediction Log'!L464="", Table12[[#This Row],[Bet]]="", Table12[[#This Row],[Bet]]="Spread"), "",IF('Prediction Log'!L464=Table12[[#This Row],[Side]], "W", IF('Prediction Log'!L464&lt;&gt;Table12[[#This Row],[Side]], "L", "")))</f>
      </c>
      <c r="AA463" s="59" t="str">
        <f t="shared" si="68"/>
      </c>
      <c r="AB463" s="67" t="str">
        <f>IF(OR(Table12[[#This Row],[Bet]]="Side",Table12[[#This Row],[Bet]]="", 'Prediction Log'!L464=""), "",IF('Prediction Log'!U464="Y", "W", IF('Prediction Log'!U464="N", "L", "")))</f>
      </c>
      <c r="AC463" s="59" t="str">
        <f t="shared" si="69"/>
      </c>
      <c r="AD463" s="67"/>
      <c r="AE463" s="65" t="str">
        <f t="shared" si="74"/>
      </c>
      <c r="AF4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4">
      <c r="A464" s="65" t="str">
        <f>IF(ISBLANK(Games!A464), "", Games!A464)</f>
      </c>
      <c r="B464" s="65" t="str">
        <f>IF('Prediction Log'!B465=0, "",'Prediction Log'!B465)</f>
      </c>
      <c r="C464" s="65" t="str">
        <f>IF('Prediction Log'!C465=0, "",'Prediction Log'!C465)</f>
      </c>
      <c r="D464" s="65" t="str">
        <f>IF('Prediction Log'!D465=0, "",'Prediction Log'!D465)</f>
      </c>
      <c r="E464" s="58" t="str">
        <f>IF('Prediction Log'!E465=0, "",'Prediction Log'!E465)</f>
      </c>
      <c r="F464" s="65" t="str">
        <f>IF('Prediction Log'!H465=0, "",'Prediction Log'!H465)</f>
      </c>
      <c r="G464" s="64" t="str">
        <f>IF(ISBLANK(Games!B464), "",'Prediction Log'!$I465)</f>
      </c>
      <c r="H464" s="66" t="n">
        <f>'Prediction Log'!$J465</f>
        <v>0</v>
      </c>
      <c r="I464" s="65" t="str">
        <f>IF(ISBLANK(Games!T464), "",IF(AND(Games!T464="",Games!U464=""),"",IF(ISTEXT(Games!U464), "Side",Games!T464)))</f>
      </c>
      <c r="J464" s="65" t="str">
        <f>IF(ISBLANK(Games!T464), "",IF(Table12[[#This Row],[Bet]]="Spread", Games!X464, ""))</f>
      </c>
      <c r="K464" s="65" t="str">
        <f>IF(ISBLANK(Games!U464), "",IF(ISTEXT(Games!U464), Games!U464, ""))</f>
      </c>
      <c r="L464" s="57" t="str">
        <f>IF(ISBLANK(Games!D464), "", Games!D464)</f>
      </c>
      <c r="M464" s="65"/>
      <c r="N464" s="75" t="str">
        <f>IF(Games!V464="", "",Games!V464)</f>
      </c>
      <c r="O464" s="75" t="str">
        <f>IF(Games!Z464=0, "",Games!Z464)</f>
      </c>
      <c r="P464" s="67"/>
      <c r="Q464" s="67" t="str">
        <f>IF(ISBLANK(Games!W464), "", Games!W464)</f>
      </c>
      <c r="R464" s="67" t="str">
        <f>IF(ISBLANK(Games!AA464), "", Games!AA464)</f>
      </c>
      <c r="S464" s="67"/>
      <c r="T464" s="68" t="str">
        <f t="shared" si="70"/>
      </c>
      <c r="U464" s="68" t="str">
        <f t="shared" si="71"/>
      </c>
      <c r="V464" s="68" t="str">
        <f t="shared" si="72"/>
      </c>
      <c r="W464" s="68" t="str">
        <f t="shared" si="73"/>
      </c>
      <c r="X464" s="68" t="n">
        <f t="shared" si="66"/>
        <v>0</v>
      </c>
      <c r="Y464" s="68" t="n">
        <f t="shared" si="67"/>
        <v>0</v>
      </c>
      <c r="Z464" s="67" t="str">
        <f>IF(OR('Prediction Log'!L465="", Table12[[#This Row],[Bet]]="", Table12[[#This Row],[Bet]]="Spread"), "",IF('Prediction Log'!L465=Table12[[#This Row],[Side]], "W", IF('Prediction Log'!L465&lt;&gt;Table12[[#This Row],[Side]], "L", "")))</f>
      </c>
      <c r="AA464" s="59" t="str">
        <f t="shared" si="68"/>
      </c>
      <c r="AB464" s="67" t="str">
        <f>IF(OR(Table12[[#This Row],[Bet]]="Side",Table12[[#This Row],[Bet]]="", 'Prediction Log'!L465=""), "",IF('Prediction Log'!U465="Y", "W", IF('Prediction Log'!U465="N", "L", "")))</f>
      </c>
      <c r="AC464" s="59" t="str">
        <f t="shared" si="69"/>
      </c>
      <c r="AD464" s="67"/>
      <c r="AE464" s="65" t="str">
        <f t="shared" si="74"/>
      </c>
      <c r="AF4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5">
      <c r="A465" s="65" t="str">
        <f>IF(ISBLANK(Games!A465), "", Games!A465)</f>
      </c>
      <c r="B465" s="65" t="str">
        <f>IF('Prediction Log'!B466=0, "",'Prediction Log'!B466)</f>
      </c>
      <c r="C465" s="65" t="str">
        <f>IF('Prediction Log'!C466=0, "",'Prediction Log'!C466)</f>
      </c>
      <c r="D465" s="65" t="str">
        <f>IF('Prediction Log'!D466=0, "",'Prediction Log'!D466)</f>
      </c>
      <c r="E465" s="58" t="str">
        <f>IF('Prediction Log'!E466=0, "",'Prediction Log'!E466)</f>
      </c>
      <c r="F465" s="65" t="str">
        <f>IF('Prediction Log'!H466=0, "",'Prediction Log'!H466)</f>
      </c>
      <c r="G465" s="64" t="str">
        <f>IF(ISBLANK(Games!B465), "",'Prediction Log'!$I466)</f>
      </c>
      <c r="H465" s="66" t="n">
        <f>'Prediction Log'!$J466</f>
        <v>0</v>
      </c>
      <c r="I465" s="65" t="str">
        <f>IF(ISBLANK(Games!T465), "",IF(AND(Games!T465="",Games!U465=""),"",IF(ISTEXT(Games!U465), "Side",Games!T465)))</f>
      </c>
      <c r="J465" s="65" t="str">
        <f>IF(ISBLANK(Games!T465), "",IF(Table12[[#This Row],[Bet]]="Spread", Games!X465, ""))</f>
      </c>
      <c r="K465" s="65" t="str">
        <f>IF(ISBLANK(Games!U465), "",IF(ISTEXT(Games!U465), Games!U465, ""))</f>
      </c>
      <c r="L465" s="57" t="str">
        <f>IF(ISBLANK(Games!D465), "", Games!D465)</f>
      </c>
      <c r="M465" s="65"/>
      <c r="N465" s="75" t="str">
        <f>IF(Games!V465="", "",Games!V465)</f>
      </c>
      <c r="O465" s="75" t="str">
        <f>IF(Games!Z465=0, "",Games!Z465)</f>
      </c>
      <c r="P465" s="67"/>
      <c r="Q465" s="67" t="str">
        <f>IF(ISBLANK(Games!W465), "", Games!W465)</f>
      </c>
      <c r="R465" s="67" t="str">
        <f>IF(ISBLANK(Games!AA465), "", Games!AA465)</f>
      </c>
      <c r="S465" s="67"/>
      <c r="T465" s="68" t="str">
        <f t="shared" si="70"/>
      </c>
      <c r="U465" s="68" t="str">
        <f t="shared" si="71"/>
      </c>
      <c r="V465" s="68" t="str">
        <f t="shared" si="72"/>
      </c>
      <c r="W465" s="68" t="str">
        <f t="shared" si="73"/>
      </c>
      <c r="X465" s="68" t="n">
        <f t="shared" si="66"/>
        <v>0</v>
      </c>
      <c r="Y465" s="68" t="n">
        <f t="shared" si="67"/>
        <v>0</v>
      </c>
      <c r="Z465" s="67" t="str">
        <f>IF(OR('Prediction Log'!L466="", Table12[[#This Row],[Bet]]="", Table12[[#This Row],[Bet]]="Spread"), "",IF('Prediction Log'!L466=Table12[[#This Row],[Side]], "W", IF('Prediction Log'!L466&lt;&gt;Table12[[#This Row],[Side]], "L", "")))</f>
      </c>
      <c r="AA465" s="59" t="str">
        <f t="shared" si="68"/>
      </c>
      <c r="AB465" s="67" t="str">
        <f>IF(OR(Table12[[#This Row],[Bet]]="Side",Table12[[#This Row],[Bet]]="", 'Prediction Log'!L466=""), "",IF('Prediction Log'!U466="Y", "W", IF('Prediction Log'!U466="N", "L", "")))</f>
      </c>
      <c r="AC465" s="59" t="str">
        <f t="shared" si="69"/>
      </c>
      <c r="AD465" s="67"/>
      <c r="AE465" s="65" t="str">
        <f t="shared" si="74"/>
      </c>
      <c r="AF4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6">
      <c r="A466" s="65" t="str">
        <f>IF(ISBLANK(Games!A466), "", Games!A466)</f>
      </c>
      <c r="B466" s="65" t="str">
        <f>IF('Prediction Log'!B467=0, "",'Prediction Log'!B467)</f>
      </c>
      <c r="C466" s="65" t="str">
        <f>IF('Prediction Log'!C467=0, "",'Prediction Log'!C467)</f>
      </c>
      <c r="D466" s="65" t="str">
        <f>IF('Prediction Log'!D467=0, "",'Prediction Log'!D467)</f>
      </c>
      <c r="E466" s="58" t="str">
        <f>IF('Prediction Log'!E467=0, "",'Prediction Log'!E467)</f>
      </c>
      <c r="F466" s="65" t="str">
        <f>IF('Prediction Log'!H467=0, "",'Prediction Log'!H467)</f>
      </c>
      <c r="G466" s="64" t="str">
        <f>IF(ISBLANK(Games!B466), "",'Prediction Log'!$I467)</f>
      </c>
      <c r="H466" s="66" t="n">
        <f>'Prediction Log'!$J467</f>
        <v>0</v>
      </c>
      <c r="I466" s="65" t="str">
        <f>IF(ISBLANK(Games!T466), "",IF(AND(Games!T466="",Games!U466=""),"",IF(ISTEXT(Games!U466), "Side",Games!T466)))</f>
      </c>
      <c r="J466" s="65" t="str">
        <f>IF(ISBLANK(Games!T466), "",IF(Table12[[#This Row],[Bet]]="Spread", Games!X466, ""))</f>
      </c>
      <c r="K466" s="65" t="str">
        <f>IF(ISBLANK(Games!U466), "",IF(ISTEXT(Games!U466), Games!U466, ""))</f>
      </c>
      <c r="L466" s="57" t="str">
        <f>IF(ISBLANK(Games!D466), "", Games!D466)</f>
      </c>
      <c r="M466" s="65"/>
      <c r="N466" s="75" t="str">
        <f>IF(Games!V466="", "",Games!V466)</f>
      </c>
      <c r="O466" s="75" t="str">
        <f>IF(Games!Z466=0, "",Games!Z466)</f>
      </c>
      <c r="P466" s="67"/>
      <c r="Q466" s="67" t="str">
        <f>IF(ISBLANK(Games!W466), "", Games!W466)</f>
      </c>
      <c r="R466" s="67" t="str">
        <f>IF(ISBLANK(Games!AA466), "", Games!AA466)</f>
      </c>
      <c r="S466" s="67"/>
      <c r="T466" s="68" t="str">
        <f t="shared" si="70"/>
      </c>
      <c r="U466" s="68" t="str">
        <f t="shared" si="71"/>
      </c>
      <c r="V466" s="68" t="str">
        <f t="shared" si="72"/>
      </c>
      <c r="W466" s="68" t="str">
        <f t="shared" si="73"/>
      </c>
      <c r="X466" s="68" t="n">
        <f t="shared" si="66"/>
        <v>0</v>
      </c>
      <c r="Y466" s="68" t="n">
        <f t="shared" si="67"/>
        <v>0</v>
      </c>
      <c r="Z466" s="67" t="str">
        <f>IF(OR('Prediction Log'!L467="", Table12[[#This Row],[Bet]]="", Table12[[#This Row],[Bet]]="Spread"), "",IF('Prediction Log'!L467=Table12[[#This Row],[Side]], "W", IF('Prediction Log'!L467&lt;&gt;Table12[[#This Row],[Side]], "L", "")))</f>
      </c>
      <c r="AA466" s="59" t="str">
        <f t="shared" si="68"/>
      </c>
      <c r="AB466" s="67" t="str">
        <f>IF(OR(Table12[[#This Row],[Bet]]="Side",Table12[[#This Row],[Bet]]="", 'Prediction Log'!L467=""), "",IF('Prediction Log'!U467="Y", "W", IF('Prediction Log'!U467="N", "L", "")))</f>
      </c>
      <c r="AC466" s="59" t="str">
        <f t="shared" si="69"/>
      </c>
      <c r="AD466" s="67"/>
      <c r="AE466" s="65" t="str">
        <f t="shared" si="74"/>
      </c>
      <c r="AF4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7">
      <c r="A467" s="65" t="str">
        <f>IF(ISBLANK(Games!A467), "", Games!A467)</f>
      </c>
      <c r="B467" s="65" t="str">
        <f>IF('Prediction Log'!B468=0, "",'Prediction Log'!B468)</f>
      </c>
      <c r="C467" s="65" t="str">
        <f>IF('Prediction Log'!C468=0, "",'Prediction Log'!C468)</f>
      </c>
      <c r="D467" s="65" t="str">
        <f>IF('Prediction Log'!D468=0, "",'Prediction Log'!D468)</f>
      </c>
      <c r="E467" s="58" t="str">
        <f>IF('Prediction Log'!E468=0, "",'Prediction Log'!E468)</f>
      </c>
      <c r="F467" s="65" t="str">
        <f>IF('Prediction Log'!H468=0, "",'Prediction Log'!H468)</f>
      </c>
      <c r="G467" s="64" t="str">
        <f>IF(ISBLANK(Games!B467), "",'Prediction Log'!$I468)</f>
      </c>
      <c r="H467" s="66" t="n">
        <f>'Prediction Log'!$J468</f>
        <v>0</v>
      </c>
      <c r="I467" s="65" t="str">
        <f>IF(ISBLANK(Games!T467), "",IF(AND(Games!T467="",Games!U467=""),"",IF(ISTEXT(Games!U467), "Side",Games!T467)))</f>
      </c>
      <c r="J467" s="65" t="str">
        <f>IF(ISBLANK(Games!T467), "",IF(Table12[[#This Row],[Bet]]="Spread", Games!X467, ""))</f>
      </c>
      <c r="K467" s="65" t="str">
        <f>IF(ISBLANK(Games!U467), "",IF(ISTEXT(Games!U467), Games!U467, ""))</f>
      </c>
      <c r="L467" s="57" t="str">
        <f>IF(ISBLANK(Games!D467), "", Games!D467)</f>
      </c>
      <c r="M467" s="65"/>
      <c r="N467" s="75" t="str">
        <f>IF(Games!V467="", "",Games!V467)</f>
      </c>
      <c r="O467" s="75" t="str">
        <f>IF(Games!Z467=0, "",Games!Z467)</f>
      </c>
      <c r="P467" s="67"/>
      <c r="Q467" s="67" t="str">
        <f>IF(ISBLANK(Games!W467), "", Games!W467)</f>
      </c>
      <c r="R467" s="67" t="str">
        <f>IF(ISBLANK(Games!AA467), "", Games!AA467)</f>
      </c>
      <c r="S467" s="67"/>
      <c r="T467" s="68" t="str">
        <f t="shared" si="70"/>
      </c>
      <c r="U467" s="68" t="str">
        <f t="shared" si="71"/>
      </c>
      <c r="V467" s="68" t="str">
        <f t="shared" si="72"/>
      </c>
      <c r="W467" s="68" t="str">
        <f t="shared" si="73"/>
      </c>
      <c r="X467" s="68" t="n">
        <f t="shared" si="66"/>
        <v>0</v>
      </c>
      <c r="Y467" s="68" t="n">
        <f t="shared" si="67"/>
        <v>0</v>
      </c>
      <c r="Z467" s="67" t="str">
        <f>IF(OR('Prediction Log'!L468="", Table12[[#This Row],[Bet]]="", Table12[[#This Row],[Bet]]="Spread"), "",IF('Prediction Log'!L468=Table12[[#This Row],[Side]], "W", IF('Prediction Log'!L468&lt;&gt;Table12[[#This Row],[Side]], "L", "")))</f>
      </c>
      <c r="AA467" s="59" t="str">
        <f t="shared" si="68"/>
      </c>
      <c r="AB467" s="67" t="str">
        <f>IF(OR(Table12[[#This Row],[Bet]]="Side",Table12[[#This Row],[Bet]]="", 'Prediction Log'!L468=""), "",IF('Prediction Log'!U468="Y", "W", IF('Prediction Log'!U468="N", "L", "")))</f>
      </c>
      <c r="AC467" s="59" t="str">
        <f t="shared" si="69"/>
      </c>
      <c r="AD467" s="67"/>
      <c r="AE467" s="65" t="str">
        <f t="shared" si="74"/>
      </c>
      <c r="AF4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8">
      <c r="A468" s="65" t="str">
        <f>IF(ISBLANK(Games!A468), "", Games!A468)</f>
      </c>
      <c r="B468" s="65" t="str">
        <f>IF('Prediction Log'!B469=0, "",'Prediction Log'!B469)</f>
      </c>
      <c r="C468" s="65" t="str">
        <f>IF('Prediction Log'!C469=0, "",'Prediction Log'!C469)</f>
      </c>
      <c r="D468" s="65" t="str">
        <f>IF('Prediction Log'!D469=0, "",'Prediction Log'!D469)</f>
      </c>
      <c r="E468" s="58" t="str">
        <f>IF('Prediction Log'!E469=0, "",'Prediction Log'!E469)</f>
      </c>
      <c r="F468" s="65" t="str">
        <f>IF('Prediction Log'!H469=0, "",'Prediction Log'!H469)</f>
      </c>
      <c r="G468" s="64" t="str">
        <f>IF(ISBLANK(Games!B468), "",'Prediction Log'!$I469)</f>
      </c>
      <c r="H468" s="66" t="n">
        <f>'Prediction Log'!$J469</f>
        <v>0</v>
      </c>
      <c r="I468" s="65" t="str">
        <f>IF(ISBLANK(Games!T468), "",IF(AND(Games!T468="",Games!U468=""),"",IF(ISTEXT(Games!U468), "Side",Games!T468)))</f>
      </c>
      <c r="J468" s="65" t="str">
        <f>IF(ISBLANK(Games!T468), "",IF(Table12[[#This Row],[Bet]]="Spread", Games!X468, ""))</f>
      </c>
      <c r="K468" s="65" t="str">
        <f>IF(ISBLANK(Games!U468), "",IF(ISTEXT(Games!U468), Games!U468, ""))</f>
      </c>
      <c r="L468" s="57" t="str">
        <f>IF(ISBLANK(Games!D468), "", Games!D468)</f>
      </c>
      <c r="M468" s="65"/>
      <c r="N468" s="75" t="str">
        <f>IF(Games!V468="", "",Games!V468)</f>
      </c>
      <c r="O468" s="75" t="str">
        <f>IF(Games!Z468=0, "",Games!Z468)</f>
      </c>
      <c r="P468" s="67"/>
      <c r="Q468" s="67" t="str">
        <f>IF(ISBLANK(Games!W468), "", Games!W468)</f>
      </c>
      <c r="R468" s="67" t="str">
        <f>IF(ISBLANK(Games!AA468), "", Games!AA468)</f>
      </c>
      <c r="S468" s="67"/>
      <c r="T468" s="68" t="str">
        <f t="shared" si="70"/>
      </c>
      <c r="U468" s="68" t="str">
        <f t="shared" si="71"/>
      </c>
      <c r="V468" s="68" t="str">
        <f t="shared" si="72"/>
      </c>
      <c r="W468" s="68" t="str">
        <f t="shared" si="73"/>
      </c>
      <c r="X468" s="68" t="n">
        <f t="shared" si="66"/>
        <v>0</v>
      </c>
      <c r="Y468" s="68" t="n">
        <f t="shared" si="67"/>
        <v>0</v>
      </c>
      <c r="Z468" s="67" t="str">
        <f>IF(OR('Prediction Log'!L469="", Table12[[#This Row],[Bet]]="", Table12[[#This Row],[Bet]]="Spread"), "",IF('Prediction Log'!L469=Table12[[#This Row],[Side]], "W", IF('Prediction Log'!L469&lt;&gt;Table12[[#This Row],[Side]], "L", "")))</f>
      </c>
      <c r="AA468" s="59" t="str">
        <f t="shared" si="68"/>
      </c>
      <c r="AB468" s="67" t="str">
        <f>IF(OR(Table12[[#This Row],[Bet]]="Side",Table12[[#This Row],[Bet]]="", 'Prediction Log'!L469=""), "",IF('Prediction Log'!U469="Y", "W", IF('Prediction Log'!U469="N", "L", "")))</f>
      </c>
      <c r="AC468" s="59" t="str">
        <f t="shared" si="69"/>
      </c>
      <c r="AD468" s="67"/>
      <c r="AE468" s="65" t="str">
        <f t="shared" si="74"/>
      </c>
      <c r="AF4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9">
      <c r="A469" s="65" t="str">
        <f>IF(ISBLANK(Games!A469), "", Games!A469)</f>
      </c>
      <c r="B469" s="65" t="str">
        <f>IF('Prediction Log'!B470=0, "",'Prediction Log'!B470)</f>
      </c>
      <c r="C469" s="65" t="str">
        <f>IF('Prediction Log'!C470=0, "",'Prediction Log'!C470)</f>
      </c>
      <c r="D469" s="65" t="str">
        <f>IF('Prediction Log'!D470=0, "",'Prediction Log'!D470)</f>
      </c>
      <c r="E469" s="58" t="str">
        <f>IF('Prediction Log'!E470=0, "",'Prediction Log'!E470)</f>
      </c>
      <c r="F469" s="65" t="str">
        <f>IF('Prediction Log'!H470=0, "",'Prediction Log'!H470)</f>
      </c>
      <c r="G469" s="64" t="str">
        <f>IF(ISBLANK(Games!B469), "",'Prediction Log'!$I470)</f>
      </c>
      <c r="H469" s="66" t="n">
        <f>'Prediction Log'!$J470</f>
        <v>0</v>
      </c>
      <c r="I469" s="65" t="str">
        <f>IF(ISBLANK(Games!T469), "",IF(AND(Games!T469="",Games!U469=""),"",IF(ISTEXT(Games!U469), "Side",Games!T469)))</f>
      </c>
      <c r="J469" s="65" t="str">
        <f>IF(ISBLANK(Games!T469), "",IF(Table12[[#This Row],[Bet]]="Spread", Games!X469, ""))</f>
      </c>
      <c r="K469" s="65" t="str">
        <f>IF(ISBLANK(Games!U469), "",IF(ISTEXT(Games!U469), Games!U469, ""))</f>
      </c>
      <c r="L469" s="57" t="str">
        <f>IF(ISBLANK(Games!D469), "", Games!D469)</f>
      </c>
      <c r="M469" s="65"/>
      <c r="N469" s="75" t="str">
        <f>IF(Games!V469="", "",Games!V469)</f>
      </c>
      <c r="O469" s="75" t="str">
        <f>IF(Games!Z469=0, "",Games!Z469)</f>
      </c>
      <c r="P469" s="67"/>
      <c r="Q469" s="67" t="str">
        <f>IF(ISBLANK(Games!W469), "", Games!W469)</f>
      </c>
      <c r="R469" s="67" t="str">
        <f>IF(ISBLANK(Games!AA469), "", Games!AA469)</f>
      </c>
      <c r="S469" s="67"/>
      <c r="T469" s="68" t="str">
        <f t="shared" si="70"/>
      </c>
      <c r="U469" s="68" t="str">
        <f t="shared" si="71"/>
      </c>
      <c r="V469" s="68" t="str">
        <f t="shared" si="72"/>
      </c>
      <c r="W469" s="68" t="str">
        <f t="shared" si="73"/>
      </c>
      <c r="X469" s="68" t="n">
        <f t="shared" si="66"/>
        <v>0</v>
      </c>
      <c r="Y469" s="68" t="n">
        <f t="shared" si="67"/>
        <v>0</v>
      </c>
      <c r="Z469" s="67" t="str">
        <f>IF(OR('Prediction Log'!L470="", Table12[[#This Row],[Bet]]="", Table12[[#This Row],[Bet]]="Spread"), "",IF('Prediction Log'!L470=Table12[[#This Row],[Side]], "W", IF('Prediction Log'!L470&lt;&gt;Table12[[#This Row],[Side]], "L", "")))</f>
      </c>
      <c r="AA469" s="59" t="str">
        <f t="shared" si="68"/>
      </c>
      <c r="AB469" s="67" t="str">
        <f>IF(OR(Table12[[#This Row],[Bet]]="Side",Table12[[#This Row],[Bet]]="", 'Prediction Log'!L470=""), "",IF('Prediction Log'!U470="Y", "W", IF('Prediction Log'!U470="N", "L", "")))</f>
      </c>
      <c r="AC469" s="59" t="str">
        <f t="shared" si="69"/>
      </c>
      <c r="AD469" s="67"/>
      <c r="AE469" s="65" t="str">
        <f t="shared" si="74"/>
      </c>
      <c r="AF4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0">
      <c r="A470" s="65" t="str">
        <f>IF(ISBLANK(Games!A470), "", Games!A470)</f>
      </c>
      <c r="B470" s="65" t="str">
        <f>IF('Prediction Log'!B471=0, "",'Prediction Log'!B471)</f>
      </c>
      <c r="C470" s="65" t="str">
        <f>IF('Prediction Log'!C471=0, "",'Prediction Log'!C471)</f>
      </c>
      <c r="D470" s="65" t="str">
        <f>IF('Prediction Log'!D471=0, "",'Prediction Log'!D471)</f>
      </c>
      <c r="E470" s="58" t="str">
        <f>IF('Prediction Log'!E471=0, "",'Prediction Log'!E471)</f>
      </c>
      <c r="F470" s="65" t="str">
        <f>IF('Prediction Log'!H471=0, "",'Prediction Log'!H471)</f>
      </c>
      <c r="G470" s="64" t="str">
        <f>IF(ISBLANK(Games!B470), "",'Prediction Log'!$I471)</f>
      </c>
      <c r="H470" s="66" t="n">
        <f>'Prediction Log'!$J471</f>
        <v>0</v>
      </c>
      <c r="I470" s="65" t="str">
        <f>IF(ISBLANK(Games!T470), "",IF(AND(Games!T470="",Games!U470=""),"",IF(ISTEXT(Games!U470), "Side",Games!T470)))</f>
      </c>
      <c r="J470" s="65" t="str">
        <f>IF(ISBLANK(Games!T470), "",IF(Table12[[#This Row],[Bet]]="Spread", Games!X470, ""))</f>
      </c>
      <c r="K470" s="65" t="str">
        <f>IF(ISBLANK(Games!U470), "",IF(ISTEXT(Games!U470), Games!U470, ""))</f>
      </c>
      <c r="L470" s="57" t="str">
        <f>IF(ISBLANK(Games!D470), "", Games!D470)</f>
      </c>
      <c r="M470" s="65"/>
      <c r="N470" s="75" t="str">
        <f>IF(Games!V470="", "",Games!V470)</f>
      </c>
      <c r="O470" s="75" t="str">
        <f>IF(Games!Z470=0, "",Games!Z470)</f>
      </c>
      <c r="P470" s="67"/>
      <c r="Q470" s="67" t="str">
        <f>IF(ISBLANK(Games!W470), "", Games!W470)</f>
      </c>
      <c r="R470" s="67" t="str">
        <f>IF(ISBLANK(Games!AA470), "", Games!AA470)</f>
      </c>
      <c r="S470" s="67"/>
      <c r="T470" s="68" t="str">
        <f t="shared" si="70"/>
      </c>
      <c r="U470" s="68" t="str">
        <f t="shared" si="71"/>
      </c>
      <c r="V470" s="68" t="str">
        <f t="shared" si="72"/>
      </c>
      <c r="W470" s="68" t="str">
        <f t="shared" si="73"/>
      </c>
      <c r="X470" s="68" t="n">
        <f t="shared" si="66"/>
        <v>0</v>
      </c>
      <c r="Y470" s="68" t="n">
        <f t="shared" si="67"/>
        <v>0</v>
      </c>
      <c r="Z470" s="67" t="str">
        <f>IF(OR('Prediction Log'!L471="", Table12[[#This Row],[Bet]]="", Table12[[#This Row],[Bet]]="Spread"), "",IF('Prediction Log'!L471=Table12[[#This Row],[Side]], "W", IF('Prediction Log'!L471&lt;&gt;Table12[[#This Row],[Side]], "L", "")))</f>
      </c>
      <c r="AA470" s="59" t="str">
        <f t="shared" si="68"/>
      </c>
      <c r="AB470" s="67" t="str">
        <f>IF(OR(Table12[[#This Row],[Bet]]="Side",Table12[[#This Row],[Bet]]="", 'Prediction Log'!L471=""), "",IF('Prediction Log'!U471="Y", "W", IF('Prediction Log'!U471="N", "L", "")))</f>
      </c>
      <c r="AC470" s="59" t="str">
        <f t="shared" si="69"/>
      </c>
      <c r="AD470" s="67"/>
      <c r="AE470" s="65" t="str">
        <f t="shared" si="74"/>
      </c>
      <c r="AF4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1">
      <c r="A471" s="65" t="str">
        <f>IF(ISBLANK(Games!A471), "", Games!A471)</f>
      </c>
      <c r="B471" s="65" t="str">
        <f>IF('Prediction Log'!B472=0, "",'Prediction Log'!B472)</f>
      </c>
      <c r="C471" s="65" t="str">
        <f>IF('Prediction Log'!C472=0, "",'Prediction Log'!C472)</f>
      </c>
      <c r="D471" s="65" t="str">
        <f>IF('Prediction Log'!D472=0, "",'Prediction Log'!D472)</f>
      </c>
      <c r="E471" s="58" t="str">
        <f>IF('Prediction Log'!E472=0, "",'Prediction Log'!E472)</f>
      </c>
      <c r="F471" s="65" t="str">
        <f>IF('Prediction Log'!H472=0, "",'Prediction Log'!H472)</f>
      </c>
      <c r="G471" s="64" t="str">
        <f>IF(ISBLANK(Games!B471), "",'Prediction Log'!$I472)</f>
      </c>
      <c r="H471" s="66" t="n">
        <f>'Prediction Log'!$J472</f>
        <v>0</v>
      </c>
      <c r="I471" s="65" t="str">
        <f>IF(ISBLANK(Games!T471), "",IF(AND(Games!T471="",Games!U471=""),"",IF(ISTEXT(Games!U471), "Side",Games!T471)))</f>
      </c>
      <c r="J471" s="65" t="str">
        <f>IF(ISBLANK(Games!T471), "",IF(Table12[[#This Row],[Bet]]="Spread", Games!X471, ""))</f>
      </c>
      <c r="K471" s="65" t="str">
        <f>IF(ISBLANK(Games!U471), "",IF(ISTEXT(Games!U471), Games!U471, ""))</f>
      </c>
      <c r="L471" s="57" t="str">
        <f>IF(ISBLANK(Games!D471), "", Games!D471)</f>
      </c>
      <c r="M471" s="65"/>
      <c r="N471" s="75" t="str">
        <f>IF(Games!V471="", "",Games!V471)</f>
      </c>
      <c r="O471" s="75" t="str">
        <f>IF(Games!Z471=0, "",Games!Z471)</f>
      </c>
      <c r="P471" s="67"/>
      <c r="Q471" s="67" t="str">
        <f>IF(ISBLANK(Games!W471), "", Games!W471)</f>
      </c>
      <c r="R471" s="67" t="str">
        <f>IF(ISBLANK(Games!AA471), "", Games!AA471)</f>
      </c>
      <c r="S471" s="67"/>
      <c r="T471" s="68" t="str">
        <f t="shared" si="70"/>
      </c>
      <c r="U471" s="68" t="str">
        <f t="shared" si="71"/>
      </c>
      <c r="V471" s="68" t="str">
        <f t="shared" si="72"/>
      </c>
      <c r="W471" s="68" t="str">
        <f t="shared" si="73"/>
      </c>
      <c r="X471" s="68" t="n">
        <f t="shared" si="66"/>
        <v>0</v>
      </c>
      <c r="Y471" s="68" t="n">
        <f t="shared" si="67"/>
        <v>0</v>
      </c>
      <c r="Z471" s="67" t="str">
        <f>IF(OR('Prediction Log'!L472="", Table12[[#This Row],[Bet]]="", Table12[[#This Row],[Bet]]="Spread"), "",IF('Prediction Log'!L472=Table12[[#This Row],[Side]], "W", IF('Prediction Log'!L472&lt;&gt;Table12[[#This Row],[Side]], "L", "")))</f>
      </c>
      <c r="AA471" s="59" t="str">
        <f t="shared" si="68"/>
      </c>
      <c r="AB471" s="67" t="str">
        <f>IF(OR(Table12[[#This Row],[Bet]]="Side",Table12[[#This Row],[Bet]]="", 'Prediction Log'!L472=""), "",IF('Prediction Log'!U472="Y", "W", IF('Prediction Log'!U472="N", "L", "")))</f>
      </c>
      <c r="AC471" s="59" t="str">
        <f t="shared" si="69"/>
      </c>
      <c r="AD471" s="67"/>
      <c r="AE471" s="65" t="str">
        <f t="shared" si="74"/>
      </c>
      <c r="AF4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2">
      <c r="A472" s="65" t="str">
        <f>IF(ISBLANK(Games!A472), "", Games!A472)</f>
      </c>
      <c r="B472" s="65" t="str">
        <f>IF('Prediction Log'!B473=0, "",'Prediction Log'!B473)</f>
      </c>
      <c r="C472" s="65" t="str">
        <f>IF('Prediction Log'!C473=0, "",'Prediction Log'!C473)</f>
      </c>
      <c r="D472" s="65" t="str">
        <f>IF('Prediction Log'!D473=0, "",'Prediction Log'!D473)</f>
      </c>
      <c r="E472" s="58" t="str">
        <f>IF('Prediction Log'!E473=0, "",'Prediction Log'!E473)</f>
      </c>
      <c r="F472" s="65" t="str">
        <f>IF('Prediction Log'!H473=0, "",'Prediction Log'!H473)</f>
      </c>
      <c r="G472" s="64" t="str">
        <f>IF(ISBLANK(Games!B472), "",'Prediction Log'!$I473)</f>
      </c>
      <c r="H472" s="66" t="n">
        <f>'Prediction Log'!$J473</f>
        <v>0</v>
      </c>
      <c r="I472" s="65" t="str">
        <f>IF(ISBLANK(Games!T472), "",IF(AND(Games!T472="",Games!U472=""),"",IF(ISTEXT(Games!U472), "Side",Games!T472)))</f>
      </c>
      <c r="J472" s="65" t="str">
        <f>IF(ISBLANK(Games!T472), "",IF(Table12[[#This Row],[Bet]]="Spread", Games!X472, ""))</f>
      </c>
      <c r="K472" s="65" t="str">
        <f>IF(ISBLANK(Games!U472), "",IF(ISTEXT(Games!U472), Games!U472, ""))</f>
      </c>
      <c r="L472" s="57" t="str">
        <f>IF(ISBLANK(Games!D472), "", Games!D472)</f>
      </c>
      <c r="M472" s="65"/>
      <c r="N472" s="75" t="str">
        <f>IF(Games!V472="", "",Games!V472)</f>
      </c>
      <c r="O472" s="75" t="str">
        <f>IF(Games!Z472=0, "",Games!Z472)</f>
      </c>
      <c r="P472" s="67"/>
      <c r="Q472" s="67" t="str">
        <f>IF(ISBLANK(Games!W472), "", Games!W472)</f>
      </c>
      <c r="R472" s="67" t="str">
        <f>IF(ISBLANK(Games!AA472), "", Games!AA472)</f>
      </c>
      <c r="S472" s="67"/>
      <c r="T472" s="68" t="str">
        <f t="shared" si="70"/>
      </c>
      <c r="U472" s="68" t="str">
        <f t="shared" si="71"/>
      </c>
      <c r="V472" s="68" t="str">
        <f t="shared" si="72"/>
      </c>
      <c r="W472" s="68" t="str">
        <f t="shared" si="73"/>
      </c>
      <c r="X472" s="68" t="n">
        <f t="shared" si="66"/>
        <v>0</v>
      </c>
      <c r="Y472" s="68" t="n">
        <f t="shared" si="67"/>
        <v>0</v>
      </c>
      <c r="Z472" s="67" t="str">
        <f>IF(OR('Prediction Log'!L473="", Table12[[#This Row],[Bet]]="", Table12[[#This Row],[Bet]]="Spread"), "",IF('Prediction Log'!L473=Table12[[#This Row],[Side]], "W", IF('Prediction Log'!L473&lt;&gt;Table12[[#This Row],[Side]], "L", "")))</f>
      </c>
      <c r="AA472" s="59" t="str">
        <f t="shared" si="68"/>
      </c>
      <c r="AB472" s="67" t="str">
        <f>IF(OR(Table12[[#This Row],[Bet]]="Side",Table12[[#This Row],[Bet]]="", 'Prediction Log'!L473=""), "",IF('Prediction Log'!U473="Y", "W", IF('Prediction Log'!U473="N", "L", "")))</f>
      </c>
      <c r="AC472" s="59" t="str">
        <f t="shared" si="69"/>
      </c>
      <c r="AD472" s="67"/>
      <c r="AE472" s="65" t="str">
        <f t="shared" si="74"/>
      </c>
      <c r="AF4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3">
      <c r="A473" s="65" t="str">
        <f>IF(ISBLANK(Games!A473), "", Games!A473)</f>
      </c>
      <c r="B473" s="65" t="str">
        <f>IF('Prediction Log'!B474=0, "",'Prediction Log'!B474)</f>
      </c>
      <c r="C473" s="65" t="str">
        <f>IF('Prediction Log'!C474=0, "",'Prediction Log'!C474)</f>
      </c>
      <c r="D473" s="65" t="str">
        <f>IF('Prediction Log'!D474=0, "",'Prediction Log'!D474)</f>
      </c>
      <c r="E473" s="58" t="str">
        <f>IF('Prediction Log'!E474=0, "",'Prediction Log'!E474)</f>
      </c>
      <c r="F473" s="65" t="str">
        <f>IF('Prediction Log'!H474=0, "",'Prediction Log'!H474)</f>
      </c>
      <c r="G473" s="64" t="str">
        <f>IF(ISBLANK(Games!B473), "",'Prediction Log'!$I474)</f>
      </c>
      <c r="H473" s="66" t="n">
        <f>'Prediction Log'!$J474</f>
        <v>0</v>
      </c>
      <c r="I473" s="65" t="str">
        <f>IF(ISBLANK(Games!T473), "",IF(AND(Games!T473="",Games!U473=""),"",IF(ISTEXT(Games!U473), "Side",Games!T473)))</f>
      </c>
      <c r="J473" s="65" t="str">
        <f>IF(ISBLANK(Games!T473), "",IF(Table12[[#This Row],[Bet]]="Spread", Games!X473, ""))</f>
      </c>
      <c r="K473" s="65" t="str">
        <f>IF(ISBLANK(Games!U473), "",IF(ISTEXT(Games!U473), Games!U473, ""))</f>
      </c>
      <c r="L473" s="57" t="str">
        <f>IF(ISBLANK(Games!D473), "", Games!D473)</f>
      </c>
      <c r="M473" s="65"/>
      <c r="N473" s="75" t="str">
        <f>IF(Games!V473="", "",Games!V473)</f>
      </c>
      <c r="O473" s="75" t="str">
        <f>IF(Games!Z473=0, "",Games!Z473)</f>
      </c>
      <c r="P473" s="67"/>
      <c r="Q473" s="67" t="str">
        <f>IF(ISBLANK(Games!W473), "", Games!W473)</f>
      </c>
      <c r="R473" s="67" t="str">
        <f>IF(ISBLANK(Games!AA473), "", Games!AA473)</f>
      </c>
      <c r="S473" s="67"/>
      <c r="T473" s="68" t="str">
        <f t="shared" si="70"/>
      </c>
      <c r="U473" s="68" t="str">
        <f t="shared" si="71"/>
      </c>
      <c r="V473" s="68" t="str">
        <f t="shared" si="72"/>
      </c>
      <c r="W473" s="68" t="str">
        <f t="shared" si="73"/>
      </c>
      <c r="X473" s="68" t="n">
        <f t="shared" si="66"/>
        <v>0</v>
      </c>
      <c r="Y473" s="68" t="n">
        <f t="shared" si="67"/>
        <v>0</v>
      </c>
      <c r="Z473" s="67" t="str">
        <f>IF(OR('Prediction Log'!L474="", Table12[[#This Row],[Bet]]="", Table12[[#This Row],[Bet]]="Spread"), "",IF('Prediction Log'!L474=Table12[[#This Row],[Side]], "W", IF('Prediction Log'!L474&lt;&gt;Table12[[#This Row],[Side]], "L", "")))</f>
      </c>
      <c r="AA473" s="59" t="str">
        <f t="shared" si="68"/>
      </c>
      <c r="AB473" s="67" t="str">
        <f>IF(OR(Table12[[#This Row],[Bet]]="Side",Table12[[#This Row],[Bet]]="", 'Prediction Log'!L474=""), "",IF('Prediction Log'!U474="Y", "W", IF('Prediction Log'!U474="N", "L", "")))</f>
      </c>
      <c r="AC473" s="59" t="str">
        <f t="shared" si="69"/>
      </c>
      <c r="AD473" s="67"/>
      <c r="AE473" s="65" t="str">
        <f t="shared" si="74"/>
      </c>
      <c r="AF4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4">
      <c r="A474" s="65" t="str">
        <f>IF(ISBLANK(Games!A474), "", Games!A474)</f>
      </c>
      <c r="B474" s="65" t="str">
        <f>IF('Prediction Log'!B475=0, "",'Prediction Log'!B475)</f>
      </c>
      <c r="C474" s="65" t="str">
        <f>IF('Prediction Log'!C475=0, "",'Prediction Log'!C475)</f>
      </c>
      <c r="D474" s="65" t="str">
        <f>IF('Prediction Log'!D475=0, "",'Prediction Log'!D475)</f>
      </c>
      <c r="E474" s="58" t="str">
        <f>IF('Prediction Log'!E475=0, "",'Prediction Log'!E475)</f>
      </c>
      <c r="F474" s="65" t="str">
        <f>IF('Prediction Log'!H475=0, "",'Prediction Log'!H475)</f>
      </c>
      <c r="G474" s="64" t="str">
        <f>IF(ISBLANK(Games!B474), "",'Prediction Log'!$I475)</f>
      </c>
      <c r="H474" s="66" t="n">
        <f>'Prediction Log'!$J475</f>
        <v>0</v>
      </c>
      <c r="I474" s="65" t="str">
        <f>IF(ISBLANK(Games!T474), "",IF(AND(Games!T474="",Games!U474=""),"",IF(ISTEXT(Games!U474), "Side",Games!T474)))</f>
      </c>
      <c r="J474" s="65" t="str">
        <f>IF(ISBLANK(Games!T474), "",IF(Table12[[#This Row],[Bet]]="Spread", Games!X474, ""))</f>
      </c>
      <c r="K474" s="65" t="str">
        <f>IF(ISBLANK(Games!U474), "",IF(ISTEXT(Games!U474), Games!U474, ""))</f>
      </c>
      <c r="L474" s="57" t="str">
        <f>IF(ISBLANK(Games!D474), "", Games!D474)</f>
      </c>
      <c r="M474" s="65"/>
      <c r="N474" s="75" t="str">
        <f>IF(Games!V474="", "",Games!V474)</f>
      </c>
      <c r="O474" s="75" t="str">
        <f>IF(Games!Z474=0, "",Games!Z474)</f>
      </c>
      <c r="P474" s="67"/>
      <c r="Q474" s="67" t="str">
        <f>IF(ISBLANK(Games!W474), "", Games!W474)</f>
      </c>
      <c r="R474" s="67" t="str">
        <f>IF(ISBLANK(Games!AA474), "", Games!AA474)</f>
      </c>
      <c r="S474" s="67"/>
      <c r="T474" s="68" t="str">
        <f t="shared" si="70"/>
      </c>
      <c r="U474" s="68" t="str">
        <f t="shared" si="71"/>
      </c>
      <c r="V474" s="68" t="str">
        <f t="shared" si="72"/>
      </c>
      <c r="W474" s="68" t="str">
        <f t="shared" si="73"/>
      </c>
      <c r="X474" s="68" t="n">
        <f t="shared" si="66"/>
        <v>0</v>
      </c>
      <c r="Y474" s="68" t="n">
        <f t="shared" si="67"/>
        <v>0</v>
      </c>
      <c r="Z474" s="67" t="str">
        <f>IF(OR('Prediction Log'!L475="", Table12[[#This Row],[Bet]]="", Table12[[#This Row],[Bet]]="Spread"), "",IF('Prediction Log'!L475=Table12[[#This Row],[Side]], "W", IF('Prediction Log'!L475&lt;&gt;Table12[[#This Row],[Side]], "L", "")))</f>
      </c>
      <c r="AA474" s="59" t="str">
        <f t="shared" si="68"/>
      </c>
      <c r="AB474" s="67" t="str">
        <f>IF(OR(Table12[[#This Row],[Bet]]="Side",Table12[[#This Row],[Bet]]="", 'Prediction Log'!L475=""), "",IF('Prediction Log'!U475="Y", "W", IF('Prediction Log'!U475="N", "L", "")))</f>
      </c>
      <c r="AC474" s="59" t="str">
        <f t="shared" si="69"/>
      </c>
      <c r="AD474" s="67"/>
      <c r="AE474" s="65" t="str">
        <f t="shared" si="74"/>
      </c>
      <c r="AF4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5">
      <c r="A475" s="65" t="str">
        <f>IF(ISBLANK(Games!A475), "", Games!A475)</f>
      </c>
      <c r="B475" s="65" t="str">
        <f>IF('Prediction Log'!B476=0, "",'Prediction Log'!B476)</f>
      </c>
      <c r="C475" s="65" t="str">
        <f>IF('Prediction Log'!C476=0, "",'Prediction Log'!C476)</f>
      </c>
      <c r="D475" s="65" t="str">
        <f>IF('Prediction Log'!D476=0, "",'Prediction Log'!D476)</f>
      </c>
      <c r="E475" s="58" t="str">
        <f>IF('Prediction Log'!E476=0, "",'Prediction Log'!E476)</f>
      </c>
      <c r="F475" s="65" t="str">
        <f>IF('Prediction Log'!H476=0, "",'Prediction Log'!H476)</f>
      </c>
      <c r="G475" s="64" t="str">
        <f>IF(ISBLANK(Games!B475), "",'Prediction Log'!$I476)</f>
      </c>
      <c r="H475" s="66" t="n">
        <f>'Prediction Log'!$J476</f>
        <v>0</v>
      </c>
      <c r="I475" s="65" t="str">
        <f>IF(ISBLANK(Games!T475), "",IF(AND(Games!T475="",Games!U475=""),"",IF(ISTEXT(Games!U475), "Side",Games!T475)))</f>
      </c>
      <c r="J475" s="65" t="str">
        <f>IF(ISBLANK(Games!T475), "",IF(Table12[[#This Row],[Bet]]="Spread", Games!X475, ""))</f>
      </c>
      <c r="K475" s="65" t="str">
        <f>IF(ISBLANK(Games!U475), "",IF(ISTEXT(Games!U475), Games!U475, ""))</f>
      </c>
      <c r="L475" s="57" t="str">
        <f>IF(ISBLANK(Games!D475), "", Games!D475)</f>
      </c>
      <c r="M475" s="65"/>
      <c r="N475" s="75" t="str">
        <f>IF(Games!V475="", "",Games!V475)</f>
      </c>
      <c r="O475" s="75" t="str">
        <f>IF(Games!Z475=0, "",Games!Z475)</f>
      </c>
      <c r="P475" s="67"/>
      <c r="Q475" s="67" t="str">
        <f>IF(ISBLANK(Games!W475), "", Games!W475)</f>
      </c>
      <c r="R475" s="67" t="str">
        <f>IF(ISBLANK(Games!AA475), "", Games!AA475)</f>
      </c>
      <c r="S475" s="67"/>
      <c r="T475" s="68" t="str">
        <f t="shared" si="70"/>
      </c>
      <c r="U475" s="68" t="str">
        <f t="shared" si="71"/>
      </c>
      <c r="V475" s="68" t="str">
        <f t="shared" si="72"/>
      </c>
      <c r="W475" s="68" t="str">
        <f t="shared" si="73"/>
      </c>
      <c r="X475" s="68" t="n">
        <f t="shared" si="66"/>
        <v>0</v>
      </c>
      <c r="Y475" s="68" t="n">
        <f t="shared" si="67"/>
        <v>0</v>
      </c>
      <c r="Z475" s="67" t="str">
        <f>IF(OR('Prediction Log'!L476="", Table12[[#This Row],[Bet]]="", Table12[[#This Row],[Bet]]="Spread"), "",IF('Prediction Log'!L476=Table12[[#This Row],[Side]], "W", IF('Prediction Log'!L476&lt;&gt;Table12[[#This Row],[Side]], "L", "")))</f>
      </c>
      <c r="AA475" s="59" t="str">
        <f t="shared" si="68"/>
      </c>
      <c r="AB475" s="67" t="str">
        <f>IF(OR(Table12[[#This Row],[Bet]]="Side",Table12[[#This Row],[Bet]]="", 'Prediction Log'!L476=""), "",IF('Prediction Log'!U476="Y", "W", IF('Prediction Log'!U476="N", "L", "")))</f>
      </c>
      <c r="AC475" s="59" t="str">
        <f t="shared" si="69"/>
      </c>
      <c r="AD475" s="67"/>
      <c r="AE475" s="65" t="str">
        <f t="shared" si="74"/>
      </c>
      <c r="AF4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6">
      <c r="A476" s="65" t="str">
        <f>IF(ISBLANK(Games!A476), "", Games!A476)</f>
      </c>
      <c r="B476" s="65" t="str">
        <f>IF('Prediction Log'!B477=0, "",'Prediction Log'!B477)</f>
      </c>
      <c r="C476" s="65" t="str">
        <f>IF('Prediction Log'!C477=0, "",'Prediction Log'!C477)</f>
      </c>
      <c r="D476" s="65" t="str">
        <f>IF('Prediction Log'!D477=0, "",'Prediction Log'!D477)</f>
      </c>
      <c r="E476" s="58" t="str">
        <f>IF('Prediction Log'!E477=0, "",'Prediction Log'!E477)</f>
      </c>
      <c r="F476" s="65" t="str">
        <f>IF('Prediction Log'!H477=0, "",'Prediction Log'!H477)</f>
      </c>
      <c r="G476" s="64" t="str">
        <f>IF(ISBLANK(Games!B476), "",'Prediction Log'!$I477)</f>
      </c>
      <c r="H476" s="66" t="n">
        <f>'Prediction Log'!$J477</f>
        <v>0</v>
      </c>
      <c r="I476" s="65" t="str">
        <f>IF(ISBLANK(Games!T476), "",IF(AND(Games!T476="",Games!U476=""),"",IF(ISTEXT(Games!U476), "Side",Games!T476)))</f>
      </c>
      <c r="J476" s="65" t="str">
        <f>IF(ISBLANK(Games!T476), "",IF(Table12[[#This Row],[Bet]]="Spread", Games!X476, ""))</f>
      </c>
      <c r="K476" s="65" t="str">
        <f>IF(ISBLANK(Games!U476), "",IF(ISTEXT(Games!U476), Games!U476, ""))</f>
      </c>
      <c r="L476" s="57" t="str">
        <f>IF(ISBLANK(Games!D476), "", Games!D476)</f>
      </c>
      <c r="M476" s="65"/>
      <c r="N476" s="75" t="str">
        <f>IF(Games!V476="", "",Games!V476)</f>
      </c>
      <c r="O476" s="75" t="str">
        <f>IF(Games!Z476=0, "",Games!Z476)</f>
      </c>
      <c r="P476" s="67"/>
      <c r="Q476" s="67" t="str">
        <f>IF(ISBLANK(Games!W476), "", Games!W476)</f>
      </c>
      <c r="R476" s="67" t="str">
        <f>IF(ISBLANK(Games!AA476), "", Games!AA476)</f>
      </c>
      <c r="S476" s="67"/>
      <c r="T476" s="68" t="str">
        <f t="shared" si="70"/>
      </c>
      <c r="U476" s="68" t="str">
        <f t="shared" si="71"/>
      </c>
      <c r="V476" s="68" t="str">
        <f t="shared" si="72"/>
      </c>
      <c r="W476" s="68" t="str">
        <f t="shared" si="73"/>
      </c>
      <c r="X476" s="68" t="n">
        <f t="shared" si="66"/>
        <v>0</v>
      </c>
      <c r="Y476" s="68" t="n">
        <f t="shared" si="67"/>
        <v>0</v>
      </c>
      <c r="Z476" s="67" t="str">
        <f>IF(OR('Prediction Log'!L477="", Table12[[#This Row],[Bet]]="", Table12[[#This Row],[Bet]]="Spread"), "",IF('Prediction Log'!L477=Table12[[#This Row],[Side]], "W", IF('Prediction Log'!L477&lt;&gt;Table12[[#This Row],[Side]], "L", "")))</f>
      </c>
      <c r="AA476" s="59" t="str">
        <f t="shared" si="68"/>
      </c>
      <c r="AB476" s="67" t="str">
        <f>IF(OR(Table12[[#This Row],[Bet]]="Side",Table12[[#This Row],[Bet]]="", 'Prediction Log'!L477=""), "",IF('Prediction Log'!U477="Y", "W", IF('Prediction Log'!U477="N", "L", "")))</f>
      </c>
      <c r="AC476" s="59" t="str">
        <f t="shared" si="69"/>
      </c>
      <c r="AD476" s="67"/>
      <c r="AE476" s="65" t="str">
        <f t="shared" si="74"/>
      </c>
      <c r="AF4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7">
      <c r="A477" s="65" t="str">
        <f>IF(ISBLANK(Games!A477), "", Games!A477)</f>
      </c>
      <c r="B477" s="65" t="str">
        <f>IF('Prediction Log'!B478=0, "",'Prediction Log'!B478)</f>
      </c>
      <c r="C477" s="65" t="str">
        <f>IF('Prediction Log'!C478=0, "",'Prediction Log'!C478)</f>
      </c>
      <c r="D477" s="65" t="str">
        <f>IF('Prediction Log'!D478=0, "",'Prediction Log'!D478)</f>
      </c>
      <c r="E477" s="58" t="str">
        <f>IF('Prediction Log'!E478=0, "",'Prediction Log'!E478)</f>
      </c>
      <c r="F477" s="65" t="str">
        <f>IF('Prediction Log'!H478=0, "",'Prediction Log'!H478)</f>
      </c>
      <c r="G477" s="64" t="str">
        <f>IF(ISBLANK(Games!B477), "",'Prediction Log'!$I478)</f>
      </c>
      <c r="H477" s="66" t="n">
        <f>'Prediction Log'!$J478</f>
        <v>0</v>
      </c>
      <c r="I477" s="65" t="str">
        <f>IF(ISBLANK(Games!T477), "",IF(AND(Games!T477="",Games!U477=""),"",IF(ISTEXT(Games!U477), "Side",Games!T477)))</f>
      </c>
      <c r="J477" s="65" t="str">
        <f>IF(ISBLANK(Games!T477), "",IF(Table12[[#This Row],[Bet]]="Spread", Games!X477, ""))</f>
      </c>
      <c r="K477" s="65" t="str">
        <f>IF(ISBLANK(Games!U477), "",IF(ISTEXT(Games!U477), Games!U477, ""))</f>
      </c>
      <c r="L477" s="57" t="str">
        <f>IF(ISBLANK(Games!D477), "", Games!D477)</f>
      </c>
      <c r="M477" s="65"/>
      <c r="N477" s="75" t="str">
        <f>IF(Games!V477="", "",Games!V477)</f>
      </c>
      <c r="O477" s="75" t="str">
        <f>IF(Games!Z477=0, "",Games!Z477)</f>
      </c>
      <c r="P477" s="67"/>
      <c r="Q477" s="67" t="str">
        <f>IF(ISBLANK(Games!W477), "", Games!W477)</f>
      </c>
      <c r="R477" s="67" t="str">
        <f>IF(ISBLANK(Games!AA477), "", Games!AA477)</f>
      </c>
      <c r="S477" s="67"/>
      <c r="T477" s="68" t="str">
        <f t="shared" si="70"/>
      </c>
      <c r="U477" s="68" t="str">
        <f t="shared" si="71"/>
      </c>
      <c r="V477" s="68" t="str">
        <f t="shared" si="72"/>
      </c>
      <c r="W477" s="68" t="str">
        <f t="shared" si="73"/>
      </c>
      <c r="X477" s="68" t="n">
        <f t="shared" si="66"/>
        <v>0</v>
      </c>
      <c r="Y477" s="68" t="n">
        <f t="shared" si="67"/>
        <v>0</v>
      </c>
      <c r="Z477" s="67" t="str">
        <f>IF(OR('Prediction Log'!L478="", Table12[[#This Row],[Bet]]="", Table12[[#This Row],[Bet]]="Spread"), "",IF('Prediction Log'!L478=Table12[[#This Row],[Side]], "W", IF('Prediction Log'!L478&lt;&gt;Table12[[#This Row],[Side]], "L", "")))</f>
      </c>
      <c r="AA477" s="59" t="str">
        <f t="shared" si="68"/>
      </c>
      <c r="AB477" s="67" t="str">
        <f>IF(OR(Table12[[#This Row],[Bet]]="Side",Table12[[#This Row],[Bet]]="", 'Prediction Log'!L478=""), "",IF('Prediction Log'!U478="Y", "W", IF('Prediction Log'!U478="N", "L", "")))</f>
      </c>
      <c r="AC477" s="59" t="str">
        <f t="shared" si="69"/>
      </c>
      <c r="AD477" s="67"/>
      <c r="AE477" s="65" t="str">
        <f t="shared" si="74"/>
      </c>
      <c r="AF4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8">
      <c r="A478" s="65" t="str">
        <f>IF(ISBLANK(Games!A478), "", Games!A478)</f>
      </c>
      <c r="B478" s="65" t="str">
        <f>IF('Prediction Log'!B479=0, "",'Prediction Log'!B479)</f>
      </c>
      <c r="C478" s="65" t="str">
        <f>IF('Prediction Log'!C479=0, "",'Prediction Log'!C479)</f>
      </c>
      <c r="D478" s="65" t="str">
        <f>IF('Prediction Log'!D479=0, "",'Prediction Log'!D479)</f>
      </c>
      <c r="E478" s="58" t="str">
        <f>IF('Prediction Log'!E479=0, "",'Prediction Log'!E479)</f>
      </c>
      <c r="F478" s="65" t="str">
        <f>IF('Prediction Log'!H479=0, "",'Prediction Log'!H479)</f>
      </c>
      <c r="G478" s="64" t="str">
        <f>IF(ISBLANK(Games!B478), "",'Prediction Log'!$I479)</f>
      </c>
      <c r="H478" s="66" t="n">
        <f>'Prediction Log'!$J479</f>
        <v>0</v>
      </c>
      <c r="I478" s="65" t="str">
        <f>IF(ISBLANK(Games!T478), "",IF(AND(Games!T478="",Games!U478=""),"",IF(ISTEXT(Games!U478), "Side",Games!T478)))</f>
      </c>
      <c r="J478" s="65" t="str">
        <f>IF(ISBLANK(Games!T478), "",IF(Table12[[#This Row],[Bet]]="Spread", Games!X478, ""))</f>
      </c>
      <c r="K478" s="65" t="str">
        <f>IF(ISBLANK(Games!U478), "",IF(ISTEXT(Games!U478), Games!U478, ""))</f>
      </c>
      <c r="L478" s="57" t="str">
        <f>IF(ISBLANK(Games!D478), "", Games!D478)</f>
      </c>
      <c r="M478" s="65"/>
      <c r="N478" s="75" t="str">
        <f>IF(Games!V478="", "",Games!V478)</f>
      </c>
      <c r="O478" s="75" t="str">
        <f>IF(Games!Z478=0, "",Games!Z478)</f>
      </c>
      <c r="P478" s="67"/>
      <c r="Q478" s="67" t="str">
        <f>IF(ISBLANK(Games!W478), "", Games!W478)</f>
      </c>
      <c r="R478" s="67" t="str">
        <f>IF(ISBLANK(Games!AA478), "", Games!AA478)</f>
      </c>
      <c r="S478" s="67"/>
      <c r="T478" s="68" t="str">
        <f t="shared" si="70"/>
      </c>
      <c r="U478" s="68" t="str">
        <f t="shared" si="71"/>
      </c>
      <c r="V478" s="68" t="str">
        <f t="shared" si="72"/>
      </c>
      <c r="W478" s="68" t="str">
        <f t="shared" si="73"/>
      </c>
      <c r="X478" s="68" t="n">
        <f t="shared" si="66"/>
        <v>0</v>
      </c>
      <c r="Y478" s="68" t="n">
        <f t="shared" si="67"/>
        <v>0</v>
      </c>
      <c r="Z478" s="67" t="str">
        <f>IF(OR('Prediction Log'!L479="", Table12[[#This Row],[Bet]]="", Table12[[#This Row],[Bet]]="Spread"), "",IF('Prediction Log'!L479=Table12[[#This Row],[Side]], "W", IF('Prediction Log'!L479&lt;&gt;Table12[[#This Row],[Side]], "L", "")))</f>
      </c>
      <c r="AA478" s="59" t="str">
        <f t="shared" si="68"/>
      </c>
      <c r="AB478" s="67" t="str">
        <f>IF(OR(Table12[[#This Row],[Bet]]="Side",Table12[[#This Row],[Bet]]="", 'Prediction Log'!L479=""), "",IF('Prediction Log'!U479="Y", "W", IF('Prediction Log'!U479="N", "L", "")))</f>
      </c>
      <c r="AC478" s="59" t="str">
        <f t="shared" si="69"/>
      </c>
      <c r="AD478" s="67"/>
      <c r="AE478" s="65" t="str">
        <f t="shared" si="74"/>
      </c>
      <c r="AF4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9">
      <c r="A479" s="65" t="str">
        <f>IF(ISBLANK(Games!A479), "", Games!A479)</f>
      </c>
      <c r="B479" s="65" t="str">
        <f>IF('Prediction Log'!B480=0, "",'Prediction Log'!B480)</f>
      </c>
      <c r="C479" s="65" t="str">
        <f>IF('Prediction Log'!C480=0, "",'Prediction Log'!C480)</f>
      </c>
      <c r="D479" s="65" t="str">
        <f>IF('Prediction Log'!D480=0, "",'Prediction Log'!D480)</f>
      </c>
      <c r="E479" s="58" t="str">
        <f>IF('Prediction Log'!E480=0, "",'Prediction Log'!E480)</f>
      </c>
      <c r="F479" s="65" t="str">
        <f>IF('Prediction Log'!H480=0, "",'Prediction Log'!H480)</f>
      </c>
      <c r="G479" s="64" t="str">
        <f>IF(ISBLANK(Games!B479), "",'Prediction Log'!$I480)</f>
      </c>
      <c r="H479" s="66" t="n">
        <f>'Prediction Log'!$J480</f>
        <v>0</v>
      </c>
      <c r="I479" s="65" t="str">
        <f>IF(ISBLANK(Games!T479), "",IF(AND(Games!T479="",Games!U479=""),"",IF(ISTEXT(Games!U479), "Side",Games!T479)))</f>
      </c>
      <c r="J479" s="65" t="str">
        <f>IF(ISBLANK(Games!T479), "",IF(Table12[[#This Row],[Bet]]="Spread", Games!X479, ""))</f>
      </c>
      <c r="K479" s="65" t="str">
        <f>IF(ISBLANK(Games!U479), "",IF(ISTEXT(Games!U479), Games!U479, ""))</f>
      </c>
      <c r="L479" s="57" t="str">
        <f>IF(ISBLANK(Games!D479), "", Games!D479)</f>
      </c>
      <c r="M479" s="65"/>
      <c r="N479" s="75" t="str">
        <f>IF(Games!V479="", "",Games!V479)</f>
      </c>
      <c r="O479" s="75" t="str">
        <f>IF(Games!Z479=0, "",Games!Z479)</f>
      </c>
      <c r="P479" s="67"/>
      <c r="Q479" s="67" t="str">
        <f>IF(ISBLANK(Games!W479), "", Games!W479)</f>
      </c>
      <c r="R479" s="67" t="str">
        <f>IF(ISBLANK(Games!AA479), "", Games!AA479)</f>
      </c>
      <c r="S479" s="67"/>
      <c r="T479" s="68" t="str">
        <f t="shared" si="70"/>
      </c>
      <c r="U479" s="68" t="str">
        <f t="shared" si="71"/>
      </c>
      <c r="V479" s="68" t="str">
        <f t="shared" si="72"/>
      </c>
      <c r="W479" s="68" t="str">
        <f t="shared" si="73"/>
      </c>
      <c r="X479" s="68" t="n">
        <f t="shared" si="66"/>
        <v>0</v>
      </c>
      <c r="Y479" s="68" t="n">
        <f t="shared" si="67"/>
        <v>0</v>
      </c>
      <c r="Z479" s="67" t="str">
        <f>IF(OR('Prediction Log'!L480="", Table12[[#This Row],[Bet]]="", Table12[[#This Row],[Bet]]="Spread"), "",IF('Prediction Log'!L480=Table12[[#This Row],[Side]], "W", IF('Prediction Log'!L480&lt;&gt;Table12[[#This Row],[Side]], "L", "")))</f>
      </c>
      <c r="AA479" s="59" t="str">
        <f t="shared" si="68"/>
      </c>
      <c r="AB479" s="67" t="str">
        <f>IF(OR(Table12[[#This Row],[Bet]]="Side",Table12[[#This Row],[Bet]]="", 'Prediction Log'!L480=""), "",IF('Prediction Log'!U480="Y", "W", IF('Prediction Log'!U480="N", "L", "")))</f>
      </c>
      <c r="AC479" s="59" t="str">
        <f t="shared" si="69"/>
      </c>
      <c r="AD479" s="67"/>
      <c r="AE479" s="65" t="str">
        <f t="shared" si="74"/>
      </c>
      <c r="AF4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0">
      <c r="A480" s="65" t="str">
        <f>IF(ISBLANK(Games!A480), "", Games!A480)</f>
      </c>
      <c r="B480" s="65" t="str">
        <f>IF('Prediction Log'!B481=0, "",'Prediction Log'!B481)</f>
      </c>
      <c r="C480" s="65" t="str">
        <f>IF('Prediction Log'!C481=0, "",'Prediction Log'!C481)</f>
      </c>
      <c r="D480" s="65" t="str">
        <f>IF('Prediction Log'!D481=0, "",'Prediction Log'!D481)</f>
      </c>
      <c r="E480" s="58" t="str">
        <f>IF('Prediction Log'!E481=0, "",'Prediction Log'!E481)</f>
      </c>
      <c r="F480" s="65" t="str">
        <f>IF('Prediction Log'!H481=0, "",'Prediction Log'!H481)</f>
      </c>
      <c r="G480" s="64" t="str">
        <f>IF(ISBLANK(Games!B480), "",'Prediction Log'!$I481)</f>
      </c>
      <c r="H480" s="66" t="n">
        <f>'Prediction Log'!$J481</f>
        <v>0</v>
      </c>
      <c r="I480" s="65" t="str">
        <f>IF(ISBLANK(Games!T480), "",IF(AND(Games!T480="",Games!U480=""),"",IF(ISTEXT(Games!U480), "Side",Games!T480)))</f>
      </c>
      <c r="J480" s="65" t="str">
        <f>IF(ISBLANK(Games!T480), "",IF(Table12[[#This Row],[Bet]]="Spread", Games!X480, ""))</f>
      </c>
      <c r="K480" s="65" t="str">
        <f>IF(ISBLANK(Games!U480), "",IF(ISTEXT(Games!U480), Games!U480, ""))</f>
      </c>
      <c r="L480" s="57" t="str">
        <f>IF(ISBLANK(Games!D480), "", Games!D480)</f>
      </c>
      <c r="M480" s="65"/>
      <c r="N480" s="75" t="str">
        <f>IF(Games!V480="", "",Games!V480)</f>
      </c>
      <c r="O480" s="75" t="str">
        <f>IF(Games!Z480=0, "",Games!Z480)</f>
      </c>
      <c r="P480" s="67"/>
      <c r="Q480" s="67" t="str">
        <f>IF(ISBLANK(Games!W480), "", Games!W480)</f>
      </c>
      <c r="R480" s="67" t="str">
        <f>IF(ISBLANK(Games!AA480), "", Games!AA480)</f>
      </c>
      <c r="S480" s="67"/>
      <c r="T480" s="68" t="str">
        <f t="shared" si="70"/>
      </c>
      <c r="U480" s="68" t="str">
        <f t="shared" si="71"/>
      </c>
      <c r="V480" s="68" t="str">
        <f t="shared" si="72"/>
      </c>
      <c r="W480" s="68" t="str">
        <f t="shared" si="73"/>
      </c>
      <c r="X480" s="68" t="n">
        <f t="shared" si="66"/>
        <v>0</v>
      </c>
      <c r="Y480" s="68" t="n">
        <f t="shared" si="67"/>
        <v>0</v>
      </c>
      <c r="Z480" s="67" t="str">
        <f>IF(OR('Prediction Log'!L481="", Table12[[#This Row],[Bet]]="", Table12[[#This Row],[Bet]]="Spread"), "",IF('Prediction Log'!L481=Table12[[#This Row],[Side]], "W", IF('Prediction Log'!L481&lt;&gt;Table12[[#This Row],[Side]], "L", "")))</f>
      </c>
      <c r="AA480" s="59" t="str">
        <f t="shared" si="68"/>
      </c>
      <c r="AB480" s="67" t="str">
        <f>IF(OR(Table12[[#This Row],[Bet]]="Side",Table12[[#This Row],[Bet]]="", 'Prediction Log'!L481=""), "",IF('Prediction Log'!U481="Y", "W", IF('Prediction Log'!U481="N", "L", "")))</f>
      </c>
      <c r="AC480" s="59" t="str">
        <f t="shared" si="69"/>
      </c>
      <c r="AD480" s="67"/>
      <c r="AE480" s="65" t="str">
        <f t="shared" si="74"/>
      </c>
      <c r="AF4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1">
      <c r="A481" s="65" t="str">
        <f>IF(ISBLANK(Games!A481), "", Games!A481)</f>
      </c>
      <c r="B481" s="65" t="str">
        <f>IF('Prediction Log'!B482=0, "",'Prediction Log'!B482)</f>
      </c>
      <c r="C481" s="65" t="str">
        <f>IF('Prediction Log'!C482=0, "",'Prediction Log'!C482)</f>
      </c>
      <c r="D481" s="65" t="str">
        <f>IF('Prediction Log'!D482=0, "",'Prediction Log'!D482)</f>
      </c>
      <c r="E481" s="58" t="str">
        <f>IF('Prediction Log'!E482=0, "",'Prediction Log'!E482)</f>
      </c>
      <c r="F481" s="65" t="str">
        <f>IF('Prediction Log'!H482=0, "",'Prediction Log'!H482)</f>
      </c>
      <c r="G481" s="64" t="str">
        <f>IF(ISBLANK(Games!B481), "",'Prediction Log'!$I482)</f>
      </c>
      <c r="H481" s="66" t="n">
        <f>'Prediction Log'!$J482</f>
        <v>0</v>
      </c>
      <c r="I481" s="65" t="str">
        <f>IF(ISBLANK(Games!T481), "",IF(AND(Games!T481="",Games!U481=""),"",IF(ISTEXT(Games!U481), "Side",Games!T481)))</f>
      </c>
      <c r="J481" s="65" t="str">
        <f>IF(ISBLANK(Games!T481), "",IF(Table12[[#This Row],[Bet]]="Spread", Games!X481, ""))</f>
      </c>
      <c r="K481" s="65" t="str">
        <f>IF(ISBLANK(Games!U481), "",IF(ISTEXT(Games!U481), Games!U481, ""))</f>
      </c>
      <c r="L481" s="57" t="str">
        <f>IF(ISBLANK(Games!D481), "", Games!D481)</f>
      </c>
      <c r="M481" s="65"/>
      <c r="N481" s="75" t="str">
        <f>IF(Games!V481="", "",Games!V481)</f>
      </c>
      <c r="O481" s="75" t="str">
        <f>IF(Games!Z481=0, "",Games!Z481)</f>
      </c>
      <c r="P481" s="67"/>
      <c r="Q481" s="67" t="str">
        <f>IF(ISBLANK(Games!W481), "", Games!W481)</f>
      </c>
      <c r="R481" s="67" t="str">
        <f>IF(ISBLANK(Games!AA481), "", Games!AA481)</f>
      </c>
      <c r="S481" s="67"/>
      <c r="T481" s="68" t="str">
        <f t="shared" si="70"/>
      </c>
      <c r="U481" s="68" t="str">
        <f t="shared" si="71"/>
      </c>
      <c r="V481" s="68" t="str">
        <f t="shared" si="72"/>
      </c>
      <c r="W481" s="68" t="str">
        <f t="shared" si="73"/>
      </c>
      <c r="X481" s="68" t="n">
        <f t="shared" si="66"/>
        <v>0</v>
      </c>
      <c r="Y481" s="68" t="n">
        <f t="shared" si="67"/>
        <v>0</v>
      </c>
      <c r="Z481" s="67" t="str">
        <f>IF(OR('Prediction Log'!L482="", Table12[[#This Row],[Bet]]="", Table12[[#This Row],[Bet]]="Spread"), "",IF('Prediction Log'!L482=Table12[[#This Row],[Side]], "W", IF('Prediction Log'!L482&lt;&gt;Table12[[#This Row],[Side]], "L", "")))</f>
      </c>
      <c r="AA481" s="59" t="str">
        <f t="shared" si="68"/>
      </c>
      <c r="AB481" s="67" t="str">
        <f>IF(OR(Table12[[#This Row],[Bet]]="Side",Table12[[#This Row],[Bet]]="", 'Prediction Log'!L482=""), "",IF('Prediction Log'!U482="Y", "W", IF('Prediction Log'!U482="N", "L", "")))</f>
      </c>
      <c r="AC481" s="59" t="str">
        <f t="shared" si="69"/>
      </c>
      <c r="AD481" s="67"/>
      <c r="AE481" s="65" t="str">
        <f t="shared" si="74"/>
      </c>
      <c r="AF4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2">
      <c r="A482" s="65" t="str">
        <f>IF(ISBLANK(Games!A482), "", Games!A482)</f>
      </c>
      <c r="B482" s="65" t="str">
        <f>IF('Prediction Log'!B483=0, "",'Prediction Log'!B483)</f>
      </c>
      <c r="C482" s="65" t="str">
        <f>IF('Prediction Log'!C483=0, "",'Prediction Log'!C483)</f>
      </c>
      <c r="D482" s="65" t="str">
        <f>IF('Prediction Log'!D483=0, "",'Prediction Log'!D483)</f>
      </c>
      <c r="E482" s="58" t="str">
        <f>IF('Prediction Log'!E483=0, "",'Prediction Log'!E483)</f>
      </c>
      <c r="F482" s="65" t="str">
        <f>IF('Prediction Log'!H483=0, "",'Prediction Log'!H483)</f>
      </c>
      <c r="G482" s="64" t="str">
        <f>IF(ISBLANK(Games!B482), "",'Prediction Log'!$I483)</f>
      </c>
      <c r="H482" s="66" t="n">
        <f>'Prediction Log'!$J483</f>
        <v>0</v>
      </c>
      <c r="I482" s="65" t="str">
        <f>IF(ISBLANK(Games!T482), "",IF(AND(Games!T482="",Games!U482=""),"",IF(ISTEXT(Games!U482), "Side",Games!T482)))</f>
      </c>
      <c r="J482" s="65" t="str">
        <f>IF(ISBLANK(Games!T482), "",IF(Table12[[#This Row],[Bet]]="Spread", Games!X482, ""))</f>
      </c>
      <c r="K482" s="65" t="str">
        <f>IF(ISBLANK(Games!U482), "",IF(ISTEXT(Games!U482), Games!U482, ""))</f>
      </c>
      <c r="L482" s="57" t="str">
        <f>IF(ISBLANK(Games!D482), "", Games!D482)</f>
      </c>
      <c r="M482" s="65"/>
      <c r="N482" s="75" t="str">
        <f>IF(Games!V482="", "",Games!V482)</f>
      </c>
      <c r="O482" s="75" t="str">
        <f>IF(Games!Z482=0, "",Games!Z482)</f>
      </c>
      <c r="P482" s="67"/>
      <c r="Q482" s="67" t="str">
        <f>IF(ISBLANK(Games!W482), "", Games!W482)</f>
      </c>
      <c r="R482" s="67" t="str">
        <f>IF(ISBLANK(Games!AA482), "", Games!AA482)</f>
      </c>
      <c r="S482" s="67"/>
      <c r="T482" s="68" t="str">
        <f t="shared" si="70"/>
      </c>
      <c r="U482" s="68" t="str">
        <f t="shared" si="71"/>
      </c>
      <c r="V482" s="68" t="str">
        <f t="shared" si="72"/>
      </c>
      <c r="W482" s="68" t="str">
        <f t="shared" si="73"/>
      </c>
      <c r="X482" s="68" t="n">
        <f t="shared" si="66"/>
        <v>0</v>
      </c>
      <c r="Y482" s="68" t="n">
        <f t="shared" si="67"/>
        <v>0</v>
      </c>
      <c r="Z482" s="67" t="str">
        <f>IF(OR('Prediction Log'!L483="", Table12[[#This Row],[Bet]]="", Table12[[#This Row],[Bet]]="Spread"), "",IF('Prediction Log'!L483=Table12[[#This Row],[Side]], "W", IF('Prediction Log'!L483&lt;&gt;Table12[[#This Row],[Side]], "L", "")))</f>
      </c>
      <c r="AA482" s="59" t="str">
        <f t="shared" si="68"/>
      </c>
      <c r="AB482" s="67" t="str">
        <f>IF(OR(Table12[[#This Row],[Bet]]="Side",Table12[[#This Row],[Bet]]="", 'Prediction Log'!L483=""), "",IF('Prediction Log'!U483="Y", "W", IF('Prediction Log'!U483="N", "L", "")))</f>
      </c>
      <c r="AC482" s="59" t="str">
        <f t="shared" si="69"/>
      </c>
      <c r="AD482" s="67"/>
      <c r="AE482" s="65" t="str">
        <f t="shared" si="74"/>
      </c>
      <c r="AF4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3">
      <c r="A483" s="65" t="str">
        <f>IF(ISBLANK(Games!A483), "", Games!A483)</f>
      </c>
      <c r="B483" s="65" t="str">
        <f>IF('Prediction Log'!B484=0, "",'Prediction Log'!B484)</f>
      </c>
      <c r="C483" s="65" t="str">
        <f>IF('Prediction Log'!C484=0, "",'Prediction Log'!C484)</f>
      </c>
      <c r="D483" s="65" t="str">
        <f>IF('Prediction Log'!D484=0, "",'Prediction Log'!D484)</f>
      </c>
      <c r="E483" s="58" t="str">
        <f>IF('Prediction Log'!E484=0, "",'Prediction Log'!E484)</f>
      </c>
      <c r="F483" s="65" t="str">
        <f>IF('Prediction Log'!H484=0, "",'Prediction Log'!H484)</f>
      </c>
      <c r="G483" s="64" t="str">
        <f>IF(ISBLANK(Games!B483), "",'Prediction Log'!$I484)</f>
      </c>
      <c r="H483" s="66" t="n">
        <f>'Prediction Log'!$J484</f>
        <v>0</v>
      </c>
      <c r="I483" s="65" t="str">
        <f>IF(ISBLANK(Games!T483), "",IF(AND(Games!T483="",Games!U483=""),"",IF(ISTEXT(Games!U483), "Side",Games!T483)))</f>
      </c>
      <c r="J483" s="65" t="str">
        <f>IF(ISBLANK(Games!T483), "",IF(Table12[[#This Row],[Bet]]="Spread", Games!X483, ""))</f>
      </c>
      <c r="K483" s="65" t="str">
        <f>IF(ISBLANK(Games!U483), "",IF(ISTEXT(Games!U483), Games!U483, ""))</f>
      </c>
      <c r="L483" s="57" t="str">
        <f>IF(ISBLANK(Games!D483), "", Games!D483)</f>
      </c>
      <c r="M483" s="65"/>
      <c r="N483" s="75" t="str">
        <f>IF(Games!V483="", "",Games!V483)</f>
      </c>
      <c r="O483" s="75" t="str">
        <f>IF(Games!Z483=0, "",Games!Z483)</f>
      </c>
      <c r="P483" s="67"/>
      <c r="Q483" s="67" t="str">
        <f>IF(ISBLANK(Games!W483), "", Games!W483)</f>
      </c>
      <c r="R483" s="67" t="str">
        <f>IF(ISBLANK(Games!AA483), "", Games!AA483)</f>
      </c>
      <c r="S483" s="67"/>
      <c r="T483" s="68" t="str">
        <f t="shared" si="70"/>
      </c>
      <c r="U483" s="68" t="str">
        <f t="shared" si="71"/>
      </c>
      <c r="V483" s="68" t="str">
        <f t="shared" si="72"/>
      </c>
      <c r="W483" s="68" t="str">
        <f t="shared" si="73"/>
      </c>
      <c r="X483" s="68" t="n">
        <f t="shared" si="66"/>
        <v>0</v>
      </c>
      <c r="Y483" s="68" t="n">
        <f t="shared" si="67"/>
        <v>0</v>
      </c>
      <c r="Z483" s="67" t="str">
        <f>IF(OR('Prediction Log'!L484="", Table12[[#This Row],[Bet]]="", Table12[[#This Row],[Bet]]="Spread"), "",IF('Prediction Log'!L484=Table12[[#This Row],[Side]], "W", IF('Prediction Log'!L484&lt;&gt;Table12[[#This Row],[Side]], "L", "")))</f>
      </c>
      <c r="AA483" s="59" t="str">
        <f t="shared" si="68"/>
      </c>
      <c r="AB483" s="67" t="str">
        <f>IF(OR(Table12[[#This Row],[Bet]]="Side",Table12[[#This Row],[Bet]]="", 'Prediction Log'!L484=""), "",IF('Prediction Log'!U484="Y", "W", IF('Prediction Log'!U484="N", "L", "")))</f>
      </c>
      <c r="AC483" s="59" t="str">
        <f t="shared" si="69"/>
      </c>
      <c r="AD483" s="67"/>
      <c r="AE483" s="65" t="str">
        <f t="shared" si="74"/>
      </c>
      <c r="AF4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4">
      <c r="A484" s="65" t="str">
        <f>IF(ISBLANK(Games!A484), "", Games!A484)</f>
      </c>
      <c r="B484" s="65" t="str">
        <f>IF('Prediction Log'!B485=0, "",'Prediction Log'!B485)</f>
      </c>
      <c r="C484" s="65" t="str">
        <f>IF('Prediction Log'!C485=0, "",'Prediction Log'!C485)</f>
      </c>
      <c r="D484" s="65" t="str">
        <f>IF('Prediction Log'!D485=0, "",'Prediction Log'!D485)</f>
      </c>
      <c r="E484" s="58" t="str">
        <f>IF('Prediction Log'!E485=0, "",'Prediction Log'!E485)</f>
      </c>
      <c r="F484" s="65" t="str">
        <f>IF('Prediction Log'!H485=0, "",'Prediction Log'!H485)</f>
      </c>
      <c r="G484" s="64" t="str">
        <f>IF(ISBLANK(Games!B484), "",'Prediction Log'!$I485)</f>
      </c>
      <c r="H484" s="66" t="n">
        <f>'Prediction Log'!$J485</f>
        <v>0</v>
      </c>
      <c r="I484" s="65" t="str">
        <f>IF(ISBLANK(Games!T484), "",IF(AND(Games!T484="",Games!U484=""),"",IF(ISTEXT(Games!U484), "Side",Games!T484)))</f>
      </c>
      <c r="J484" s="65" t="str">
        <f>IF(ISBLANK(Games!T484), "",IF(Table12[[#This Row],[Bet]]="Spread", Games!X484, ""))</f>
      </c>
      <c r="K484" s="65" t="str">
        <f>IF(ISBLANK(Games!U484), "",IF(ISTEXT(Games!U484), Games!U484, ""))</f>
      </c>
      <c r="L484" s="57" t="str">
        <f>IF(ISBLANK(Games!D484), "", Games!D484)</f>
      </c>
      <c r="M484" s="65"/>
      <c r="N484" s="75" t="str">
        <f>IF(Games!V484="", "",Games!V484)</f>
      </c>
      <c r="O484" s="75" t="str">
        <f>IF(Games!Z484=0, "",Games!Z484)</f>
      </c>
      <c r="P484" s="67"/>
      <c r="Q484" s="67" t="str">
        <f>IF(ISBLANK(Games!W484), "", Games!W484)</f>
      </c>
      <c r="R484" s="67" t="str">
        <f>IF(ISBLANK(Games!AA484), "", Games!AA484)</f>
      </c>
      <c r="S484" s="67"/>
      <c r="T484" s="68" t="str">
        <f t="shared" si="70"/>
      </c>
      <c r="U484" s="68" t="str">
        <f t="shared" si="71"/>
      </c>
      <c r="V484" s="68" t="str">
        <f t="shared" si="72"/>
      </c>
      <c r="W484" s="68" t="str">
        <f t="shared" si="73"/>
      </c>
      <c r="X484" s="68" t="n">
        <f t="shared" si="66"/>
        <v>0</v>
      </c>
      <c r="Y484" s="68" t="n">
        <f t="shared" si="67"/>
        <v>0</v>
      </c>
      <c r="Z484" s="67" t="str">
        <f>IF(OR('Prediction Log'!L485="", Table12[[#This Row],[Bet]]="", Table12[[#This Row],[Bet]]="Spread"), "",IF('Prediction Log'!L485=Table12[[#This Row],[Side]], "W", IF('Prediction Log'!L485&lt;&gt;Table12[[#This Row],[Side]], "L", "")))</f>
      </c>
      <c r="AA484" s="59" t="str">
        <f t="shared" si="68"/>
      </c>
      <c r="AB484" s="67" t="str">
        <f>IF(OR(Table12[[#This Row],[Bet]]="Side",Table12[[#This Row],[Bet]]="", 'Prediction Log'!L485=""), "",IF('Prediction Log'!U485="Y", "W", IF('Prediction Log'!U485="N", "L", "")))</f>
      </c>
      <c r="AC484" s="59" t="str">
        <f t="shared" si="69"/>
      </c>
      <c r="AD484" s="67"/>
      <c r="AE484" s="65" t="str">
        <f t="shared" si="74"/>
      </c>
      <c r="AF4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5">
      <c r="A485" s="65" t="str">
        <f>IF(ISBLANK(Games!A485), "", Games!A485)</f>
      </c>
      <c r="B485" s="65" t="str">
        <f>IF('Prediction Log'!B486=0, "",'Prediction Log'!B486)</f>
      </c>
      <c r="C485" s="65" t="str">
        <f>IF('Prediction Log'!C486=0, "",'Prediction Log'!C486)</f>
      </c>
      <c r="D485" s="65" t="str">
        <f>IF('Prediction Log'!D486=0, "",'Prediction Log'!D486)</f>
      </c>
      <c r="E485" s="58" t="str">
        <f>IF('Prediction Log'!E486=0, "",'Prediction Log'!E486)</f>
      </c>
      <c r="F485" s="65" t="str">
        <f>IF('Prediction Log'!H486=0, "",'Prediction Log'!H486)</f>
      </c>
      <c r="G485" s="64" t="str">
        <f>IF(ISBLANK(Games!B485), "",'Prediction Log'!$I486)</f>
      </c>
      <c r="H485" s="66" t="n">
        <f>'Prediction Log'!$J486</f>
        <v>0</v>
      </c>
      <c r="I485" s="65" t="str">
        <f>IF(ISBLANK(Games!T485), "",IF(AND(Games!T485="",Games!U485=""),"",IF(ISTEXT(Games!U485), "Side",Games!T485)))</f>
      </c>
      <c r="J485" s="65" t="str">
        <f>IF(ISBLANK(Games!T485), "",IF(Table12[[#This Row],[Bet]]="Spread", Games!X485, ""))</f>
      </c>
      <c r="K485" s="65" t="str">
        <f>IF(ISBLANK(Games!U485), "",IF(ISTEXT(Games!U485), Games!U485, ""))</f>
      </c>
      <c r="L485" s="57" t="str">
        <f>IF(ISBLANK(Games!D485), "", Games!D485)</f>
      </c>
      <c r="M485" s="65"/>
      <c r="N485" s="75" t="str">
        <f>IF(Games!V485="", "",Games!V485)</f>
      </c>
      <c r="O485" s="75" t="str">
        <f>IF(Games!Z485=0, "",Games!Z485)</f>
      </c>
      <c r="P485" s="67"/>
      <c r="Q485" s="67" t="str">
        <f>IF(ISBLANK(Games!W485), "", Games!W485)</f>
      </c>
      <c r="R485" s="67" t="str">
        <f>IF(ISBLANK(Games!AA485), "", Games!AA485)</f>
      </c>
      <c r="S485" s="67"/>
      <c r="T485" s="68" t="str">
        <f t="shared" si="70"/>
      </c>
      <c r="U485" s="68" t="str">
        <f t="shared" si="71"/>
      </c>
      <c r="V485" s="68" t="str">
        <f t="shared" si="72"/>
      </c>
      <c r="W485" s="68" t="str">
        <f t="shared" si="73"/>
      </c>
      <c r="X485" s="68" t="n">
        <f t="shared" si="66"/>
        <v>0</v>
      </c>
      <c r="Y485" s="68" t="n">
        <f t="shared" si="67"/>
        <v>0</v>
      </c>
      <c r="Z485" s="67" t="str">
        <f>IF(OR('Prediction Log'!L486="", Table12[[#This Row],[Bet]]="", Table12[[#This Row],[Bet]]="Spread"), "",IF('Prediction Log'!L486=Table12[[#This Row],[Side]], "W", IF('Prediction Log'!L486&lt;&gt;Table12[[#This Row],[Side]], "L", "")))</f>
      </c>
      <c r="AA485" s="59" t="str">
        <f t="shared" si="68"/>
      </c>
      <c r="AB485" s="67" t="str">
        <f>IF(OR(Table12[[#This Row],[Bet]]="Side",Table12[[#This Row],[Bet]]="", 'Prediction Log'!L486=""), "",IF('Prediction Log'!U486="Y", "W", IF('Prediction Log'!U486="N", "L", "")))</f>
      </c>
      <c r="AC485" s="59" t="str">
        <f t="shared" si="69"/>
      </c>
      <c r="AD485" s="67"/>
      <c r="AE485" s="65" t="str">
        <f t="shared" si="74"/>
      </c>
      <c r="AF4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6">
      <c r="A486" s="65" t="str">
        <f>IF(ISBLANK(Games!A486), "", Games!A486)</f>
      </c>
      <c r="B486" s="65" t="str">
        <f>IF('Prediction Log'!B487=0, "",'Prediction Log'!B487)</f>
      </c>
      <c r="C486" s="65" t="str">
        <f>IF('Prediction Log'!C487=0, "",'Prediction Log'!C487)</f>
      </c>
      <c r="D486" s="65" t="str">
        <f>IF('Prediction Log'!D487=0, "",'Prediction Log'!D487)</f>
      </c>
      <c r="E486" s="58" t="str">
        <f>IF('Prediction Log'!E487=0, "",'Prediction Log'!E487)</f>
      </c>
      <c r="F486" s="65" t="str">
        <f>IF('Prediction Log'!H487=0, "",'Prediction Log'!H487)</f>
      </c>
      <c r="G486" s="64" t="str">
        <f>IF(ISBLANK(Games!B486), "",'Prediction Log'!$I487)</f>
      </c>
      <c r="H486" s="66" t="n">
        <f>'Prediction Log'!$J487</f>
        <v>0</v>
      </c>
      <c r="I486" s="65" t="str">
        <f>IF(ISBLANK(Games!T486), "",IF(AND(Games!T486="",Games!U486=""),"",IF(ISTEXT(Games!U486), "Side",Games!T486)))</f>
      </c>
      <c r="J486" s="65" t="str">
        <f>IF(ISBLANK(Games!T486), "",IF(Table12[[#This Row],[Bet]]="Spread", Games!X486, ""))</f>
      </c>
      <c r="K486" s="65" t="str">
        <f>IF(ISBLANK(Games!U486), "",IF(ISTEXT(Games!U486), Games!U486, ""))</f>
      </c>
      <c r="L486" s="57" t="str">
        <f>IF(ISBLANK(Games!D486), "", Games!D486)</f>
      </c>
      <c r="M486" s="65"/>
      <c r="N486" s="75" t="str">
        <f>IF(Games!V486="", "",Games!V486)</f>
      </c>
      <c r="O486" s="75" t="str">
        <f>IF(Games!Z486=0, "",Games!Z486)</f>
      </c>
      <c r="P486" s="67"/>
      <c r="Q486" s="67" t="str">
        <f>IF(ISBLANK(Games!W486), "", Games!W486)</f>
      </c>
      <c r="R486" s="67" t="str">
        <f>IF(ISBLANK(Games!AA486), "", Games!AA486)</f>
      </c>
      <c r="S486" s="67"/>
      <c r="T486" s="68" t="str">
        <f t="shared" si="70"/>
      </c>
      <c r="U486" s="68" t="str">
        <f t="shared" si="71"/>
      </c>
      <c r="V486" s="68" t="str">
        <f t="shared" si="72"/>
      </c>
      <c r="W486" s="68" t="str">
        <f t="shared" si="73"/>
      </c>
      <c r="X486" s="68" t="n">
        <f t="shared" ref="X486:X549" si="75">P486+IF(S486&lt;0, (P486/(S486/-100)), P486*(S486/100))</f>
        <v>0</v>
      </c>
      <c r="Y486" s="68" t="n">
        <f t="shared" ref="Y486:Y549" si="76">S486-P486</f>
        <v>0</v>
      </c>
      <c r="Z486" s="67" t="str">
        <f>IF(OR('Prediction Log'!L487="", Table12[[#This Row],[Bet]]="", Table12[[#This Row],[Bet]]="Spread"), "",IF('Prediction Log'!L487=Table12[[#This Row],[Side]], "W", IF('Prediction Log'!L487&lt;&gt;Table12[[#This Row],[Side]], "L", "")))</f>
      </c>
      <c r="AA486" s="59" t="str">
        <f t="shared" ref="AA486:AA549" si="77">IF(Z486="W", U486, IF(Z486="L",-N486, ""))</f>
      </c>
      <c r="AB486" s="67" t="str">
        <f>IF(OR(Table12[[#This Row],[Bet]]="Side",Table12[[#This Row],[Bet]]="", 'Prediction Log'!L487=""), "",IF('Prediction Log'!U487="Y", "W", IF('Prediction Log'!U487="N", "L", "")))</f>
      </c>
      <c r="AC486" s="59" t="str">
        <f t="shared" si="69"/>
      </c>
      <c r="AD486" s="67"/>
      <c r="AE486" s="65" t="str">
        <f t="shared" si="74"/>
      </c>
      <c r="AF4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7">
      <c r="A487" s="65" t="str">
        <f>IF(ISBLANK(Games!A487), "", Games!A487)</f>
      </c>
      <c r="B487" s="65" t="str">
        <f>IF('Prediction Log'!B488=0, "",'Prediction Log'!B488)</f>
      </c>
      <c r="C487" s="65" t="str">
        <f>IF('Prediction Log'!C488=0, "",'Prediction Log'!C488)</f>
      </c>
      <c r="D487" s="65" t="str">
        <f>IF('Prediction Log'!D488=0, "",'Prediction Log'!D488)</f>
      </c>
      <c r="E487" s="58" t="str">
        <f>IF('Prediction Log'!E488=0, "",'Prediction Log'!E488)</f>
      </c>
      <c r="F487" s="65" t="str">
        <f>IF('Prediction Log'!H488=0, "",'Prediction Log'!H488)</f>
      </c>
      <c r="G487" s="64" t="str">
        <f>IF(ISBLANK(Games!B487), "",'Prediction Log'!$I488)</f>
      </c>
      <c r="H487" s="66" t="n">
        <f>'Prediction Log'!$J488</f>
        <v>0</v>
      </c>
      <c r="I487" s="65" t="str">
        <f>IF(ISBLANK(Games!T487), "",IF(AND(Games!T487="",Games!U487=""),"",IF(ISTEXT(Games!U487), "Side",Games!T487)))</f>
      </c>
      <c r="J487" s="65" t="str">
        <f>IF(ISBLANK(Games!T487), "",IF(Table12[[#This Row],[Bet]]="Spread", Games!X487, ""))</f>
      </c>
      <c r="K487" s="65" t="str">
        <f>IF(ISBLANK(Games!U487), "",IF(ISTEXT(Games!U487), Games!U487, ""))</f>
      </c>
      <c r="L487" s="57" t="str">
        <f>IF(ISBLANK(Games!D487), "", Games!D487)</f>
      </c>
      <c r="M487" s="65"/>
      <c r="N487" s="75" t="str">
        <f>IF(Games!V487="", "",Games!V487)</f>
      </c>
      <c r="O487" s="75" t="str">
        <f>IF(Games!Z487=0, "",Games!Z487)</f>
      </c>
      <c r="P487" s="67"/>
      <c r="Q487" s="67" t="str">
        <f>IF(ISBLANK(Games!W487), "", Games!W487)</f>
      </c>
      <c r="R487" s="67" t="str">
        <f>IF(ISBLANK(Games!AA487), "", Games!AA487)</f>
      </c>
      <c r="S487" s="67"/>
      <c r="T487" s="68" t="str">
        <f t="shared" si="70"/>
      </c>
      <c r="U487" s="68" t="str">
        <f t="shared" si="71"/>
      </c>
      <c r="V487" s="68" t="str">
        <f t="shared" si="72"/>
      </c>
      <c r="W487" s="68" t="str">
        <f t="shared" si="73"/>
      </c>
      <c r="X487" s="68" t="n">
        <f t="shared" si="75"/>
        <v>0</v>
      </c>
      <c r="Y487" s="68" t="n">
        <f t="shared" si="76"/>
        <v>0</v>
      </c>
      <c r="Z487" s="67" t="str">
        <f>IF(OR('Prediction Log'!L488="", Table12[[#This Row],[Bet]]="", Table12[[#This Row],[Bet]]="Spread"), "",IF('Prediction Log'!L488=Table12[[#This Row],[Side]], "W", IF('Prediction Log'!L488&lt;&gt;Table12[[#This Row],[Side]], "L", "")))</f>
      </c>
      <c r="AA487" s="59" t="str">
        <f t="shared" si="77"/>
      </c>
      <c r="AB487" s="67" t="str">
        <f>IF(OR(Table12[[#This Row],[Bet]]="Side",Table12[[#This Row],[Bet]]="", 'Prediction Log'!L488=""), "",IF('Prediction Log'!U488="Y", "W", IF('Prediction Log'!U488="N", "L", "")))</f>
      </c>
      <c r="AC487" s="59" t="str">
        <f t="shared" si="69"/>
      </c>
      <c r="AD487" s="67"/>
      <c r="AE487" s="65" t="str">
        <f t="shared" si="74"/>
      </c>
      <c r="AF4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8">
      <c r="A488" s="65" t="str">
        <f>IF(ISBLANK(Games!A488), "", Games!A488)</f>
      </c>
      <c r="B488" s="65" t="str">
        <f>IF('Prediction Log'!B489=0, "",'Prediction Log'!B489)</f>
      </c>
      <c r="C488" s="65" t="str">
        <f>IF('Prediction Log'!C489=0, "",'Prediction Log'!C489)</f>
      </c>
      <c r="D488" s="65" t="str">
        <f>IF('Prediction Log'!D489=0, "",'Prediction Log'!D489)</f>
      </c>
      <c r="E488" s="58" t="str">
        <f>IF('Prediction Log'!E489=0, "",'Prediction Log'!E489)</f>
      </c>
      <c r="F488" s="65" t="str">
        <f>IF('Prediction Log'!H489=0, "",'Prediction Log'!H489)</f>
      </c>
      <c r="G488" s="64" t="str">
        <f>IF(ISBLANK(Games!B488), "",'Prediction Log'!$I489)</f>
      </c>
      <c r="H488" s="66" t="n">
        <f>'Prediction Log'!$J489</f>
        <v>0</v>
      </c>
      <c r="I488" s="65" t="str">
        <f>IF(ISBLANK(Games!T488), "",IF(AND(Games!T488="",Games!U488=""),"",IF(ISTEXT(Games!U488), "Side",Games!T488)))</f>
      </c>
      <c r="J488" s="65" t="str">
        <f>IF(ISBLANK(Games!T488), "",IF(Table12[[#This Row],[Bet]]="Spread", Games!X488, ""))</f>
      </c>
      <c r="K488" s="65" t="str">
        <f>IF(ISBLANK(Games!U488), "",IF(ISTEXT(Games!U488), Games!U488, ""))</f>
      </c>
      <c r="L488" s="57" t="str">
        <f>IF(ISBLANK(Games!D488), "", Games!D488)</f>
      </c>
      <c r="M488" s="65"/>
      <c r="N488" s="75" t="str">
        <f>IF(Games!V488="", "",Games!V488)</f>
      </c>
      <c r="O488" s="75" t="str">
        <f>IF(Games!Z488=0, "",Games!Z488)</f>
      </c>
      <c r="P488" s="67"/>
      <c r="Q488" s="67" t="str">
        <f>IF(ISBLANK(Games!W488), "", Games!W488)</f>
      </c>
      <c r="R488" s="67" t="str">
        <f>IF(ISBLANK(Games!AA488), "", Games!AA488)</f>
      </c>
      <c r="S488" s="67"/>
      <c r="T488" s="68" t="str">
        <f t="shared" si="70"/>
      </c>
      <c r="U488" s="68" t="str">
        <f t="shared" si="71"/>
      </c>
      <c r="V488" s="68" t="str">
        <f t="shared" si="72"/>
      </c>
      <c r="W488" s="68" t="str">
        <f t="shared" si="73"/>
      </c>
      <c r="X488" s="68" t="n">
        <f t="shared" si="75"/>
        <v>0</v>
      </c>
      <c r="Y488" s="68" t="n">
        <f t="shared" si="76"/>
        <v>0</v>
      </c>
      <c r="Z488" s="67" t="str">
        <f>IF(OR('Prediction Log'!L489="", Table12[[#This Row],[Bet]]="", Table12[[#This Row],[Bet]]="Spread"), "",IF('Prediction Log'!L489=Table12[[#This Row],[Side]], "W", IF('Prediction Log'!L489&lt;&gt;Table12[[#This Row],[Side]], "L", "")))</f>
      </c>
      <c r="AA488" s="59" t="str">
        <f t="shared" si="77"/>
      </c>
      <c r="AB488" s="67" t="str">
        <f>IF(OR(Table12[[#This Row],[Bet]]="Side",Table12[[#This Row],[Bet]]="", 'Prediction Log'!L489=""), "",IF('Prediction Log'!U489="Y", "W", IF('Prediction Log'!U489="N", "L", "")))</f>
      </c>
      <c r="AC488" s="59" t="str">
        <f t="shared" si="69"/>
      </c>
      <c r="AD488" s="67"/>
      <c r="AE488" s="65" t="str">
        <f t="shared" si="74"/>
      </c>
      <c r="AF4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9">
      <c r="A489" s="65" t="str">
        <f>IF(ISBLANK(Games!A489), "", Games!A489)</f>
      </c>
      <c r="B489" s="65" t="str">
        <f>IF('Prediction Log'!B490=0, "",'Prediction Log'!B490)</f>
      </c>
      <c r="C489" s="65" t="str">
        <f>IF('Prediction Log'!C490=0, "",'Prediction Log'!C490)</f>
      </c>
      <c r="D489" s="65" t="str">
        <f>IF('Prediction Log'!D490=0, "",'Prediction Log'!D490)</f>
      </c>
      <c r="E489" s="58" t="str">
        <f>IF('Prediction Log'!E490=0, "",'Prediction Log'!E490)</f>
      </c>
      <c r="F489" s="65" t="str">
        <f>IF('Prediction Log'!H490=0, "",'Prediction Log'!H490)</f>
      </c>
      <c r="G489" s="64" t="str">
        <f>IF(ISBLANK(Games!B489), "",'Prediction Log'!$I490)</f>
      </c>
      <c r="H489" s="66" t="n">
        <f>'Prediction Log'!$J490</f>
        <v>0</v>
      </c>
      <c r="I489" s="65" t="str">
        <f>IF(ISBLANK(Games!T489), "",IF(AND(Games!T489="",Games!U489=""),"",IF(ISTEXT(Games!U489), "Side",Games!T489)))</f>
      </c>
      <c r="J489" s="65" t="str">
        <f>IF(ISBLANK(Games!T489), "",IF(Table12[[#This Row],[Bet]]="Spread", Games!X489, ""))</f>
      </c>
      <c r="K489" s="65" t="str">
        <f>IF(ISBLANK(Games!U489), "",IF(ISTEXT(Games!U489), Games!U489, ""))</f>
      </c>
      <c r="L489" s="57" t="str">
        <f>IF(ISBLANK(Games!D489), "", Games!D489)</f>
      </c>
      <c r="M489" s="65"/>
      <c r="N489" s="75" t="str">
        <f>IF(Games!V489="", "",Games!V489)</f>
      </c>
      <c r="O489" s="75" t="str">
        <f>IF(Games!Z489=0, "",Games!Z489)</f>
      </c>
      <c r="P489" s="67"/>
      <c r="Q489" s="67" t="str">
        <f>IF(ISBLANK(Games!W489), "", Games!W489)</f>
      </c>
      <c r="R489" s="67" t="str">
        <f>IF(ISBLANK(Games!AA489), "", Games!AA489)</f>
      </c>
      <c r="S489" s="67"/>
      <c r="T489" s="68" t="str">
        <f t="shared" si="70"/>
      </c>
      <c r="U489" s="68" t="str">
        <f t="shared" si="71"/>
      </c>
      <c r="V489" s="68" t="str">
        <f t="shared" si="72"/>
      </c>
      <c r="W489" s="68" t="str">
        <f t="shared" si="73"/>
      </c>
      <c r="X489" s="68" t="n">
        <f t="shared" si="75"/>
        <v>0</v>
      </c>
      <c r="Y489" s="68" t="n">
        <f t="shared" si="76"/>
        <v>0</v>
      </c>
      <c r="Z489" s="67" t="str">
        <f>IF(OR('Prediction Log'!L490="", Table12[[#This Row],[Bet]]="", Table12[[#This Row],[Bet]]="Spread"), "",IF('Prediction Log'!L490=Table12[[#This Row],[Side]], "W", IF('Prediction Log'!L490&lt;&gt;Table12[[#This Row],[Side]], "L", "")))</f>
      </c>
      <c r="AA489" s="59" t="str">
        <f t="shared" si="77"/>
      </c>
      <c r="AB489" s="67" t="str">
        <f>IF(OR(Table12[[#This Row],[Bet]]="Side",Table12[[#This Row],[Bet]]="", 'Prediction Log'!L490=""), "",IF('Prediction Log'!U490="Y", "W", IF('Prediction Log'!U490="N", "L", "")))</f>
      </c>
      <c r="AC489" s="59" t="str">
        <f t="shared" si="69"/>
      </c>
      <c r="AD489" s="67"/>
      <c r="AE489" s="65" t="str">
        <f t="shared" si="74"/>
      </c>
      <c r="AF4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0">
      <c r="A490" s="65" t="str">
        <f>IF(ISBLANK(Games!A490), "", Games!A490)</f>
      </c>
      <c r="B490" s="65" t="str">
        <f>IF('Prediction Log'!B491=0, "",'Prediction Log'!B491)</f>
      </c>
      <c r="C490" s="65" t="str">
        <f>IF('Prediction Log'!C491=0, "",'Prediction Log'!C491)</f>
      </c>
      <c r="D490" s="65" t="str">
        <f>IF('Prediction Log'!D491=0, "",'Prediction Log'!D491)</f>
      </c>
      <c r="E490" s="58" t="str">
        <f>IF('Prediction Log'!E491=0, "",'Prediction Log'!E491)</f>
      </c>
      <c r="F490" s="65" t="str">
        <f>IF('Prediction Log'!H491=0, "",'Prediction Log'!H491)</f>
      </c>
      <c r="G490" s="64" t="str">
        <f>IF(ISBLANK(Games!B490), "",'Prediction Log'!$I491)</f>
      </c>
      <c r="H490" s="66" t="n">
        <f>'Prediction Log'!$J491</f>
        <v>0</v>
      </c>
      <c r="I490" s="65" t="str">
        <f>IF(ISBLANK(Games!T490), "",IF(AND(Games!T490="",Games!U490=""),"",IF(ISTEXT(Games!U490), "Side",Games!T490)))</f>
      </c>
      <c r="J490" s="65" t="str">
        <f>IF(ISBLANK(Games!T490), "",IF(Table12[[#This Row],[Bet]]="Spread", Games!X490, ""))</f>
      </c>
      <c r="K490" s="65" t="str">
        <f>IF(ISBLANK(Games!U490), "",IF(ISTEXT(Games!U490), Games!U490, ""))</f>
      </c>
      <c r="L490" s="57" t="str">
        <f>IF(ISBLANK(Games!D490), "", Games!D490)</f>
      </c>
      <c r="M490" s="65"/>
      <c r="N490" s="75" t="str">
        <f>IF(Games!V490="", "",Games!V490)</f>
      </c>
      <c r="O490" s="75" t="str">
        <f>IF(Games!Z490=0, "",Games!Z490)</f>
      </c>
      <c r="P490" s="67"/>
      <c r="Q490" s="67" t="str">
        <f>IF(ISBLANK(Games!W490), "", Games!W490)</f>
      </c>
      <c r="R490" s="67" t="str">
        <f>IF(ISBLANK(Games!AA490), "", Games!AA490)</f>
      </c>
      <c r="S490" s="67"/>
      <c r="T490" s="68" t="str">
        <f t="shared" si="70"/>
      </c>
      <c r="U490" s="68" t="str">
        <f t="shared" si="71"/>
      </c>
      <c r="V490" s="68" t="str">
        <f t="shared" si="72"/>
      </c>
      <c r="W490" s="68" t="str">
        <f t="shared" si="73"/>
      </c>
      <c r="X490" s="68" t="n">
        <f t="shared" si="75"/>
        <v>0</v>
      </c>
      <c r="Y490" s="68" t="n">
        <f t="shared" si="76"/>
        <v>0</v>
      </c>
      <c r="Z490" s="67" t="str">
        <f>IF(OR('Prediction Log'!L491="", Table12[[#This Row],[Bet]]="", Table12[[#This Row],[Bet]]="Spread"), "",IF('Prediction Log'!L491=Table12[[#This Row],[Side]], "W", IF('Prediction Log'!L491&lt;&gt;Table12[[#This Row],[Side]], "L", "")))</f>
      </c>
      <c r="AA490" s="59" t="str">
        <f t="shared" si="77"/>
      </c>
      <c r="AB490" s="67" t="str">
        <f>IF(OR(Table12[[#This Row],[Bet]]="Side",Table12[[#This Row],[Bet]]="", 'Prediction Log'!L491=""), "",IF('Prediction Log'!U491="Y", "W", IF('Prediction Log'!U491="N", "L", "")))</f>
      </c>
      <c r="AC490" s="59" t="str">
        <f t="shared" si="69"/>
      </c>
      <c r="AD490" s="67"/>
      <c r="AE490" s="65" t="str">
        <f t="shared" si="74"/>
      </c>
      <c r="AF4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1">
      <c r="A491" s="65" t="str">
        <f>IF(ISBLANK(Games!A491), "", Games!A491)</f>
      </c>
      <c r="B491" s="65" t="str">
        <f>IF('Prediction Log'!B492=0, "",'Prediction Log'!B492)</f>
      </c>
      <c r="C491" s="65" t="str">
        <f>IF('Prediction Log'!C492=0, "",'Prediction Log'!C492)</f>
      </c>
      <c r="D491" s="65" t="str">
        <f>IF('Prediction Log'!D492=0, "",'Prediction Log'!D492)</f>
      </c>
      <c r="E491" s="58" t="str">
        <f>IF('Prediction Log'!E492=0, "",'Prediction Log'!E492)</f>
      </c>
      <c r="F491" s="65" t="str">
        <f>IF('Prediction Log'!H492=0, "",'Prediction Log'!H492)</f>
      </c>
      <c r="G491" s="64" t="str">
        <f>IF(ISBLANK(Games!B491), "",'Prediction Log'!$I492)</f>
      </c>
      <c r="H491" s="66" t="n">
        <f>'Prediction Log'!$J492</f>
        <v>0</v>
      </c>
      <c r="I491" s="65" t="str">
        <f>IF(ISBLANK(Games!T491), "",IF(AND(Games!T491="",Games!U491=""),"",IF(ISTEXT(Games!U491), "Side",Games!T491)))</f>
      </c>
      <c r="J491" s="65" t="str">
        <f>IF(ISBLANK(Games!T491), "",IF(Table12[[#This Row],[Bet]]="Spread", Games!X491, ""))</f>
      </c>
      <c r="K491" s="65" t="str">
        <f>IF(ISBLANK(Games!U491), "",IF(ISTEXT(Games!U491), Games!U491, ""))</f>
      </c>
      <c r="L491" s="57" t="str">
        <f>IF(ISBLANK(Games!D491), "", Games!D491)</f>
      </c>
      <c r="M491" s="65"/>
      <c r="N491" s="75" t="str">
        <f>IF(Games!V491="", "",Games!V491)</f>
      </c>
      <c r="O491" s="75" t="str">
        <f>IF(Games!Z491=0, "",Games!Z491)</f>
      </c>
      <c r="P491" s="67"/>
      <c r="Q491" s="67" t="str">
        <f>IF(ISBLANK(Games!W491), "", Games!W491)</f>
      </c>
      <c r="R491" s="67" t="str">
        <f>IF(ISBLANK(Games!AA491), "", Games!AA491)</f>
      </c>
      <c r="S491" s="67"/>
      <c r="T491" s="68" t="str">
        <f t="shared" si="70"/>
      </c>
      <c r="U491" s="68" t="str">
        <f t="shared" si="71"/>
      </c>
      <c r="V491" s="68" t="str">
        <f t="shared" si="72"/>
      </c>
      <c r="W491" s="68" t="str">
        <f t="shared" si="73"/>
      </c>
      <c r="X491" s="68" t="n">
        <f t="shared" si="75"/>
        <v>0</v>
      </c>
      <c r="Y491" s="68" t="n">
        <f t="shared" si="76"/>
        <v>0</v>
      </c>
      <c r="Z491" s="67" t="str">
        <f>IF(OR('Prediction Log'!L492="", Table12[[#This Row],[Bet]]="", Table12[[#This Row],[Bet]]="Spread"), "",IF('Prediction Log'!L492=Table12[[#This Row],[Side]], "W", IF('Prediction Log'!L492&lt;&gt;Table12[[#This Row],[Side]], "L", "")))</f>
      </c>
      <c r="AA491" s="59" t="str">
        <f t="shared" si="77"/>
      </c>
      <c r="AB491" s="67" t="str">
        <f>IF(OR(Table12[[#This Row],[Bet]]="Side",Table12[[#This Row],[Bet]]="", 'Prediction Log'!L492=""), "",IF('Prediction Log'!U492="Y", "W", IF('Prediction Log'!U492="N", "L", "")))</f>
      </c>
      <c r="AC491" s="59" t="str">
        <f t="shared" si="69"/>
      </c>
      <c r="AD491" s="67"/>
      <c r="AE491" s="65" t="str">
        <f t="shared" si="74"/>
      </c>
      <c r="AF4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2">
      <c r="A492" s="65" t="str">
        <f>IF(ISBLANK(Games!A492), "", Games!A492)</f>
      </c>
      <c r="B492" s="65" t="str">
        <f>IF('Prediction Log'!B493=0, "",'Prediction Log'!B493)</f>
      </c>
      <c r="C492" s="65" t="str">
        <f>IF('Prediction Log'!C493=0, "",'Prediction Log'!C493)</f>
      </c>
      <c r="D492" s="65" t="str">
        <f>IF('Prediction Log'!D493=0, "",'Prediction Log'!D493)</f>
      </c>
      <c r="E492" s="58" t="str">
        <f>IF('Prediction Log'!E493=0, "",'Prediction Log'!E493)</f>
      </c>
      <c r="F492" s="65" t="str">
        <f>IF('Prediction Log'!H493=0, "",'Prediction Log'!H493)</f>
      </c>
      <c r="G492" s="64" t="str">
        <f>IF(ISBLANK(Games!B492), "",'Prediction Log'!$I493)</f>
      </c>
      <c r="H492" s="66" t="n">
        <f>'Prediction Log'!$J493</f>
        <v>0</v>
      </c>
      <c r="I492" s="65" t="str">
        <f>IF(ISBLANK(Games!T492), "",IF(AND(Games!T492="",Games!U492=""),"",IF(ISTEXT(Games!U492), "Side",Games!T492)))</f>
      </c>
      <c r="J492" s="65" t="str">
        <f>IF(ISBLANK(Games!T492), "",IF(Table12[[#This Row],[Bet]]="Spread", Games!X492, ""))</f>
      </c>
      <c r="K492" s="65" t="str">
        <f>IF(ISBLANK(Games!U492), "",IF(ISTEXT(Games!U492), Games!U492, ""))</f>
      </c>
      <c r="L492" s="57" t="str">
        <f>IF(ISBLANK(Games!D492), "", Games!D492)</f>
      </c>
      <c r="M492" s="65"/>
      <c r="N492" s="75" t="str">
        <f>IF(Games!V492="", "",Games!V492)</f>
      </c>
      <c r="O492" s="75" t="str">
        <f>IF(Games!Z492=0, "",Games!Z492)</f>
      </c>
      <c r="P492" s="67"/>
      <c r="Q492" s="67" t="str">
        <f>IF(ISBLANK(Games!W492), "", Games!W492)</f>
      </c>
      <c r="R492" s="67" t="str">
        <f>IF(ISBLANK(Games!AA492), "", Games!AA492)</f>
      </c>
      <c r="S492" s="67"/>
      <c r="T492" s="68" t="str">
        <f t="shared" si="70"/>
      </c>
      <c r="U492" s="68" t="str">
        <f t="shared" si="71"/>
      </c>
      <c r="V492" s="68" t="str">
        <f t="shared" si="72"/>
      </c>
      <c r="W492" s="68" t="str">
        <f t="shared" si="73"/>
      </c>
      <c r="X492" s="68" t="n">
        <f t="shared" si="75"/>
        <v>0</v>
      </c>
      <c r="Y492" s="68" t="n">
        <f t="shared" si="76"/>
        <v>0</v>
      </c>
      <c r="Z492" s="67" t="str">
        <f>IF(OR('Prediction Log'!L493="", Table12[[#This Row],[Bet]]="", Table12[[#This Row],[Bet]]="Spread"), "",IF('Prediction Log'!L493=Table12[[#This Row],[Side]], "W", IF('Prediction Log'!L493&lt;&gt;Table12[[#This Row],[Side]], "L", "")))</f>
      </c>
      <c r="AA492" s="59" t="str">
        <f t="shared" si="77"/>
      </c>
      <c r="AB492" s="67" t="str">
        <f>IF(OR(Table12[[#This Row],[Bet]]="Side",Table12[[#This Row],[Bet]]="", 'Prediction Log'!L493=""), "",IF('Prediction Log'!U493="Y", "W", IF('Prediction Log'!U493="N", "L", "")))</f>
      </c>
      <c r="AC492" s="59" t="str">
        <f t="shared" si="69"/>
      </c>
      <c r="AD492" s="67"/>
      <c r="AE492" s="65" t="str">
        <f t="shared" si="74"/>
      </c>
      <c r="AF4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3">
      <c r="A493" s="65" t="str">
        <f>IF(ISBLANK(Games!A493), "", Games!A493)</f>
      </c>
      <c r="B493" s="65" t="str">
        <f>IF('Prediction Log'!B494=0, "",'Prediction Log'!B494)</f>
      </c>
      <c r="C493" s="65" t="str">
        <f>IF('Prediction Log'!C494=0, "",'Prediction Log'!C494)</f>
      </c>
      <c r="D493" s="65" t="str">
        <f>IF('Prediction Log'!D494=0, "",'Prediction Log'!D494)</f>
      </c>
      <c r="E493" s="58" t="str">
        <f>IF('Prediction Log'!E494=0, "",'Prediction Log'!E494)</f>
      </c>
      <c r="F493" s="65" t="str">
        <f>IF('Prediction Log'!H494=0, "",'Prediction Log'!H494)</f>
      </c>
      <c r="G493" s="64" t="str">
        <f>IF(ISBLANK(Games!B493), "",'Prediction Log'!$I494)</f>
      </c>
      <c r="H493" s="66" t="n">
        <f>'Prediction Log'!$J494</f>
        <v>0</v>
      </c>
      <c r="I493" s="65" t="str">
        <f>IF(ISBLANK(Games!T493), "",IF(AND(Games!T493="",Games!U493=""),"",IF(ISTEXT(Games!U493), "Side",Games!T493)))</f>
      </c>
      <c r="J493" s="65" t="str">
        <f>IF(ISBLANK(Games!T493), "",IF(Table12[[#This Row],[Bet]]="Spread", Games!X493, ""))</f>
      </c>
      <c r="K493" s="65" t="str">
        <f>IF(ISBLANK(Games!U493), "",IF(ISTEXT(Games!U493), Games!U493, ""))</f>
      </c>
      <c r="L493" s="57" t="str">
        <f>IF(ISBLANK(Games!D493), "", Games!D493)</f>
      </c>
      <c r="M493" s="65"/>
      <c r="N493" s="75" t="str">
        <f>IF(Games!V493="", "",Games!V493)</f>
      </c>
      <c r="O493" s="75" t="str">
        <f>IF(Games!Z493=0, "",Games!Z493)</f>
      </c>
      <c r="P493" s="67"/>
      <c r="Q493" s="67" t="str">
        <f>IF(ISBLANK(Games!W493), "", Games!W493)</f>
      </c>
      <c r="R493" s="67" t="str">
        <f>IF(ISBLANK(Games!AA493), "", Games!AA493)</f>
      </c>
      <c r="S493" s="67"/>
      <c r="T493" s="68" t="str">
        <f t="shared" si="70"/>
      </c>
      <c r="U493" s="68" t="str">
        <f t="shared" si="71"/>
      </c>
      <c r="V493" s="68" t="str">
        <f t="shared" si="72"/>
      </c>
      <c r="W493" s="68" t="str">
        <f t="shared" si="73"/>
      </c>
      <c r="X493" s="68" t="n">
        <f t="shared" si="75"/>
        <v>0</v>
      </c>
      <c r="Y493" s="68" t="n">
        <f t="shared" si="76"/>
        <v>0</v>
      </c>
      <c r="Z493" s="67" t="str">
        <f>IF(OR('Prediction Log'!L494="", Table12[[#This Row],[Bet]]="", Table12[[#This Row],[Bet]]="Spread"), "",IF('Prediction Log'!L494=Table12[[#This Row],[Side]], "W", IF('Prediction Log'!L494&lt;&gt;Table12[[#This Row],[Side]], "L", "")))</f>
      </c>
      <c r="AA493" s="59" t="str">
        <f t="shared" si="77"/>
      </c>
      <c r="AB493" s="67" t="str">
        <f>IF(OR(Table12[[#This Row],[Bet]]="Side",Table12[[#This Row],[Bet]]="", 'Prediction Log'!L494=""), "",IF('Prediction Log'!U494="Y", "W", IF('Prediction Log'!U494="N", "L", "")))</f>
      </c>
      <c r="AC493" s="59" t="str">
        <f t="shared" si="69"/>
      </c>
      <c r="AD493" s="67"/>
      <c r="AE493" s="65" t="str">
        <f t="shared" si="74"/>
      </c>
      <c r="AF4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4">
      <c r="A494" s="65" t="str">
        <f>IF(ISBLANK(Games!A494), "", Games!A494)</f>
      </c>
      <c r="B494" s="65" t="str">
        <f>IF('Prediction Log'!B495=0, "",'Prediction Log'!B495)</f>
      </c>
      <c r="C494" s="65" t="str">
        <f>IF('Prediction Log'!C495=0, "",'Prediction Log'!C495)</f>
      </c>
      <c r="D494" s="65" t="str">
        <f>IF('Prediction Log'!D495=0, "",'Prediction Log'!D495)</f>
      </c>
      <c r="E494" s="58" t="str">
        <f>IF('Prediction Log'!E495=0, "",'Prediction Log'!E495)</f>
      </c>
      <c r="F494" s="65" t="str">
        <f>IF('Prediction Log'!H495=0, "",'Prediction Log'!H495)</f>
      </c>
      <c r="G494" s="64" t="str">
        <f>IF(ISBLANK(Games!B494), "",'Prediction Log'!$I495)</f>
      </c>
      <c r="H494" s="66" t="n">
        <f>'Prediction Log'!$J495</f>
        <v>0</v>
      </c>
      <c r="I494" s="65" t="str">
        <f>IF(ISBLANK(Games!T494), "",IF(AND(Games!T494="",Games!U494=""),"",IF(ISTEXT(Games!U494), "Side",Games!T494)))</f>
      </c>
      <c r="J494" s="65" t="str">
        <f>IF(ISBLANK(Games!T494), "",IF(Table12[[#This Row],[Bet]]="Spread", Games!X494, ""))</f>
      </c>
      <c r="K494" s="65" t="str">
        <f>IF(ISBLANK(Games!U494), "",IF(ISTEXT(Games!U494), Games!U494, ""))</f>
      </c>
      <c r="L494" s="57" t="str">
        <f>IF(ISBLANK(Games!D494), "", Games!D494)</f>
      </c>
      <c r="M494" s="65"/>
      <c r="N494" s="75" t="str">
        <f>IF(Games!V494="", "",Games!V494)</f>
      </c>
      <c r="O494" s="75" t="str">
        <f>IF(Games!Z494=0, "",Games!Z494)</f>
      </c>
      <c r="P494" s="67"/>
      <c r="Q494" s="67" t="str">
        <f>IF(ISBLANK(Games!W494), "", Games!W494)</f>
      </c>
      <c r="R494" s="67" t="str">
        <f>IF(ISBLANK(Games!AA494), "", Games!AA494)</f>
      </c>
      <c r="S494" s="67"/>
      <c r="T494" s="68" t="str">
        <f t="shared" si="70"/>
      </c>
      <c r="U494" s="68" t="str">
        <f t="shared" si="71"/>
      </c>
      <c r="V494" s="68" t="str">
        <f t="shared" si="72"/>
      </c>
      <c r="W494" s="68" t="str">
        <f t="shared" si="73"/>
      </c>
      <c r="X494" s="68" t="n">
        <f t="shared" si="75"/>
        <v>0</v>
      </c>
      <c r="Y494" s="68" t="n">
        <f t="shared" si="76"/>
        <v>0</v>
      </c>
      <c r="Z494" s="67" t="str">
        <f>IF(OR('Prediction Log'!L495="", Table12[[#This Row],[Bet]]="", Table12[[#This Row],[Bet]]="Spread"), "",IF('Prediction Log'!L495=Table12[[#This Row],[Side]], "W", IF('Prediction Log'!L495&lt;&gt;Table12[[#This Row],[Side]], "L", "")))</f>
      </c>
      <c r="AA494" s="59" t="str">
        <f t="shared" si="77"/>
      </c>
      <c r="AB494" s="67" t="str">
        <f>IF(OR(Table12[[#This Row],[Bet]]="Side",Table12[[#This Row],[Bet]]="", 'Prediction Log'!L495=""), "",IF('Prediction Log'!U495="Y", "W", IF('Prediction Log'!U495="N", "L", "")))</f>
      </c>
      <c r="AC494" s="59" t="str">
        <f t="shared" si="69"/>
      </c>
      <c r="AD494" s="67"/>
      <c r="AE494" s="65" t="str">
        <f t="shared" si="74"/>
      </c>
      <c r="AF4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5">
      <c r="A495" s="65" t="str">
        <f>IF(ISBLANK(Games!A495), "", Games!A495)</f>
      </c>
      <c r="B495" s="65" t="str">
        <f>IF('Prediction Log'!B496=0, "",'Prediction Log'!B496)</f>
      </c>
      <c r="C495" s="65" t="str">
        <f>IF('Prediction Log'!C496=0, "",'Prediction Log'!C496)</f>
      </c>
      <c r="D495" s="65" t="str">
        <f>IF('Prediction Log'!D496=0, "",'Prediction Log'!D496)</f>
      </c>
      <c r="E495" s="58" t="str">
        <f>IF('Prediction Log'!E496=0, "",'Prediction Log'!E496)</f>
      </c>
      <c r="F495" s="65" t="str">
        <f>IF('Prediction Log'!H496=0, "",'Prediction Log'!H496)</f>
      </c>
      <c r="G495" s="64" t="str">
        <f>IF(ISBLANK(Games!B495), "",'Prediction Log'!$I496)</f>
      </c>
      <c r="H495" s="66" t="n">
        <f>'Prediction Log'!$J496</f>
        <v>0</v>
      </c>
      <c r="I495" s="65" t="str">
        <f>IF(ISBLANK(Games!T495), "",IF(AND(Games!T495="",Games!U495=""),"",IF(ISTEXT(Games!U495), "Side",Games!T495)))</f>
      </c>
      <c r="J495" s="65" t="str">
        <f>IF(ISBLANK(Games!T495), "",IF(Table12[[#This Row],[Bet]]="Spread", Games!X495, ""))</f>
      </c>
      <c r="K495" s="65" t="str">
        <f>IF(ISBLANK(Games!U495), "",IF(ISTEXT(Games!U495), Games!U495, ""))</f>
      </c>
      <c r="L495" s="57" t="str">
        <f>IF(ISBLANK(Games!D495), "", Games!D495)</f>
      </c>
      <c r="M495" s="65"/>
      <c r="N495" s="75" t="str">
        <f>IF(Games!V495="", "",Games!V495)</f>
      </c>
      <c r="O495" s="75" t="str">
        <f>IF(Games!Z495=0, "",Games!Z495)</f>
      </c>
      <c r="P495" s="67"/>
      <c r="Q495" s="67" t="str">
        <f>IF(ISBLANK(Games!W495), "", Games!W495)</f>
      </c>
      <c r="R495" s="67" t="str">
        <f>IF(ISBLANK(Games!AA495), "", Games!AA495)</f>
      </c>
      <c r="S495" s="67"/>
      <c r="T495" s="68" t="str">
        <f t="shared" si="70"/>
      </c>
      <c r="U495" s="68" t="str">
        <f t="shared" si="71"/>
      </c>
      <c r="V495" s="68" t="str">
        <f t="shared" si="72"/>
      </c>
      <c r="W495" s="68" t="str">
        <f t="shared" si="73"/>
      </c>
      <c r="X495" s="68" t="n">
        <f t="shared" si="75"/>
        <v>0</v>
      </c>
      <c r="Y495" s="68" t="n">
        <f t="shared" si="76"/>
        <v>0</v>
      </c>
      <c r="Z495" s="67" t="str">
        <f>IF(OR('Prediction Log'!L496="", Table12[[#This Row],[Bet]]="", Table12[[#This Row],[Bet]]="Spread"), "",IF('Prediction Log'!L496=Table12[[#This Row],[Side]], "W", IF('Prediction Log'!L496&lt;&gt;Table12[[#This Row],[Side]], "L", "")))</f>
      </c>
      <c r="AA495" s="59" t="str">
        <f t="shared" si="77"/>
      </c>
      <c r="AB495" s="67" t="str">
        <f>IF(OR(Table12[[#This Row],[Bet]]="Side",Table12[[#This Row],[Bet]]="", 'Prediction Log'!L496=""), "",IF('Prediction Log'!U496="Y", "W", IF('Prediction Log'!U496="N", "L", "")))</f>
      </c>
      <c r="AC495" s="59" t="str">
        <f t="shared" si="69"/>
      </c>
      <c r="AD495" s="67"/>
      <c r="AE495" s="65" t="str">
        <f t="shared" si="74"/>
      </c>
      <c r="AF4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6">
      <c r="A496" s="65" t="str">
        <f>IF(ISBLANK(Games!A496), "", Games!A496)</f>
      </c>
      <c r="B496" s="65" t="str">
        <f>IF('Prediction Log'!B497=0, "",'Prediction Log'!B497)</f>
      </c>
      <c r="C496" s="65" t="str">
        <f>IF('Prediction Log'!C497=0, "",'Prediction Log'!C497)</f>
      </c>
      <c r="D496" s="65" t="str">
        <f>IF('Prediction Log'!D497=0, "",'Prediction Log'!D497)</f>
      </c>
      <c r="E496" s="58" t="str">
        <f>IF('Prediction Log'!E497=0, "",'Prediction Log'!E497)</f>
      </c>
      <c r="F496" s="65" t="str">
        <f>IF('Prediction Log'!H497=0, "",'Prediction Log'!H497)</f>
      </c>
      <c r="G496" s="64" t="str">
        <f>IF(ISBLANK(Games!B496), "",'Prediction Log'!$I497)</f>
      </c>
      <c r="H496" s="66" t="n">
        <f>'Prediction Log'!$J497</f>
        <v>0</v>
      </c>
      <c r="I496" s="65" t="str">
        <f>IF(ISBLANK(Games!T496), "",IF(AND(Games!T496="",Games!U496=""),"",IF(ISTEXT(Games!U496), "Side",Games!T496)))</f>
      </c>
      <c r="J496" s="65" t="str">
        <f>IF(ISBLANK(Games!T496), "",IF(Table12[[#This Row],[Bet]]="Spread", Games!X496, ""))</f>
      </c>
      <c r="K496" s="65" t="str">
        <f>IF(ISBLANK(Games!U496), "",IF(ISTEXT(Games!U496), Games!U496, ""))</f>
      </c>
      <c r="L496" s="57" t="str">
        <f>IF(ISBLANK(Games!D496), "", Games!D496)</f>
      </c>
      <c r="M496" s="65"/>
      <c r="N496" s="75" t="str">
        <f>IF(Games!V496="", "",Games!V496)</f>
      </c>
      <c r="O496" s="75" t="str">
        <f>IF(Games!Z496=0, "",Games!Z496)</f>
      </c>
      <c r="P496" s="67"/>
      <c r="Q496" s="67" t="str">
        <f>IF(ISBLANK(Games!W496), "", Games!W496)</f>
      </c>
      <c r="R496" s="67" t="str">
        <f>IF(ISBLANK(Games!AA496), "", Games!AA496)</f>
      </c>
      <c r="S496" s="67"/>
      <c r="T496" s="68" t="str">
        <f t="shared" si="70"/>
      </c>
      <c r="U496" s="68" t="str">
        <f t="shared" si="71"/>
      </c>
      <c r="V496" s="68" t="str">
        <f t="shared" si="72"/>
      </c>
      <c r="W496" s="68" t="str">
        <f t="shared" si="73"/>
      </c>
      <c r="X496" s="68" t="n">
        <f t="shared" si="75"/>
        <v>0</v>
      </c>
      <c r="Y496" s="68" t="n">
        <f t="shared" si="76"/>
        <v>0</v>
      </c>
      <c r="Z496" s="67" t="str">
        <f>IF(OR('Prediction Log'!L497="", Table12[[#This Row],[Bet]]="", Table12[[#This Row],[Bet]]="Spread"), "",IF('Prediction Log'!L497=Table12[[#This Row],[Side]], "W", IF('Prediction Log'!L497&lt;&gt;Table12[[#This Row],[Side]], "L", "")))</f>
      </c>
      <c r="AA496" s="59" t="str">
        <f t="shared" si="77"/>
      </c>
      <c r="AB496" s="67" t="str">
        <f>IF(OR(Table12[[#This Row],[Bet]]="Side",Table12[[#This Row],[Bet]]="", 'Prediction Log'!L497=""), "",IF('Prediction Log'!U497="Y", "W", IF('Prediction Log'!U497="N", "L", "")))</f>
      </c>
      <c r="AC496" s="59" t="str">
        <f t="shared" si="69"/>
      </c>
      <c r="AD496" s="67"/>
      <c r="AE496" s="65" t="str">
        <f t="shared" si="74"/>
      </c>
      <c r="AF4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7">
      <c r="A497" s="65" t="str">
        <f>IF(ISBLANK(Games!A497), "", Games!A497)</f>
      </c>
      <c r="B497" s="65" t="str">
        <f>IF('Prediction Log'!B498=0, "",'Prediction Log'!B498)</f>
      </c>
      <c r="C497" s="65" t="str">
        <f>IF('Prediction Log'!C498=0, "",'Prediction Log'!C498)</f>
      </c>
      <c r="D497" s="65" t="str">
        <f>IF('Prediction Log'!D498=0, "",'Prediction Log'!D498)</f>
      </c>
      <c r="E497" s="58" t="str">
        <f>IF('Prediction Log'!E498=0, "",'Prediction Log'!E498)</f>
      </c>
      <c r="F497" s="65" t="str">
        <f>IF('Prediction Log'!H498=0, "",'Prediction Log'!H498)</f>
      </c>
      <c r="G497" s="64" t="str">
        <f>IF(ISBLANK(Games!B497), "",'Prediction Log'!$I498)</f>
      </c>
      <c r="H497" s="66" t="n">
        <f>'Prediction Log'!$J498</f>
        <v>0</v>
      </c>
      <c r="I497" s="65" t="str">
        <f>IF(ISBLANK(Games!T497), "",IF(AND(Games!T497="",Games!U497=""),"",IF(ISTEXT(Games!U497), "Side",Games!T497)))</f>
      </c>
      <c r="J497" s="65" t="str">
        <f>IF(ISBLANK(Games!T497), "",IF(Table12[[#This Row],[Bet]]="Spread", Games!X497, ""))</f>
      </c>
      <c r="K497" s="65" t="str">
        <f>IF(ISBLANK(Games!U497), "",IF(ISTEXT(Games!U497), Games!U497, ""))</f>
      </c>
      <c r="L497" s="57" t="str">
        <f>IF(ISBLANK(Games!D497), "", Games!D497)</f>
      </c>
      <c r="M497" s="65"/>
      <c r="N497" s="75" t="str">
        <f>IF(Games!V497="", "",Games!V497)</f>
      </c>
      <c r="O497" s="75" t="str">
        <f>IF(Games!Z497=0, "",Games!Z497)</f>
      </c>
      <c r="P497" s="67"/>
      <c r="Q497" s="67" t="str">
        <f>IF(ISBLANK(Games!W497), "", Games!W497)</f>
      </c>
      <c r="R497" s="67" t="str">
        <f>IF(ISBLANK(Games!AA497), "", Games!AA497)</f>
      </c>
      <c r="S497" s="67"/>
      <c r="T497" s="68" t="str">
        <f t="shared" si="70"/>
      </c>
      <c r="U497" s="68" t="str">
        <f t="shared" si="71"/>
      </c>
      <c r="V497" s="68" t="str">
        <f t="shared" si="72"/>
      </c>
      <c r="W497" s="68" t="str">
        <f t="shared" si="73"/>
      </c>
      <c r="X497" s="68" t="n">
        <f t="shared" si="75"/>
        <v>0</v>
      </c>
      <c r="Y497" s="68" t="n">
        <f t="shared" si="76"/>
        <v>0</v>
      </c>
      <c r="Z497" s="67" t="str">
        <f>IF(OR('Prediction Log'!L498="", Table12[[#This Row],[Bet]]="", Table12[[#This Row],[Bet]]="Spread"), "",IF('Prediction Log'!L498=Table12[[#This Row],[Side]], "W", IF('Prediction Log'!L498&lt;&gt;Table12[[#This Row],[Side]], "L", "")))</f>
      </c>
      <c r="AA497" s="59" t="str">
        <f t="shared" si="77"/>
      </c>
      <c r="AB497" s="67" t="str">
        <f>IF(OR(Table12[[#This Row],[Bet]]="Side",Table12[[#This Row],[Bet]]="", 'Prediction Log'!L498=""), "",IF('Prediction Log'!U498="Y", "W", IF('Prediction Log'!U498="N", "L", "")))</f>
      </c>
      <c r="AC497" s="59" t="str">
        <f t="shared" si="69"/>
      </c>
      <c r="AD497" s="67"/>
      <c r="AE497" s="65" t="str">
        <f t="shared" si="74"/>
      </c>
      <c r="AF4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8">
      <c r="A498" s="65" t="str">
        <f>IF(ISBLANK(Games!A498), "", Games!A498)</f>
      </c>
      <c r="B498" s="65" t="str">
        <f>IF('Prediction Log'!B499=0, "",'Prediction Log'!B499)</f>
      </c>
      <c r="C498" s="65" t="str">
        <f>IF('Prediction Log'!C499=0, "",'Prediction Log'!C499)</f>
      </c>
      <c r="D498" s="65" t="str">
        <f>IF('Prediction Log'!D499=0, "",'Prediction Log'!D499)</f>
      </c>
      <c r="E498" s="58" t="str">
        <f>IF('Prediction Log'!E499=0, "",'Prediction Log'!E499)</f>
      </c>
      <c r="F498" s="65" t="str">
        <f>IF('Prediction Log'!H499=0, "",'Prediction Log'!H499)</f>
      </c>
      <c r="G498" s="64" t="str">
        <f>IF(ISBLANK(Games!B498), "",'Prediction Log'!$I499)</f>
      </c>
      <c r="H498" s="66" t="n">
        <f>'Prediction Log'!$J499</f>
        <v>0</v>
      </c>
      <c r="I498" s="65" t="str">
        <f>IF(ISBLANK(Games!T498), "",IF(AND(Games!T498="",Games!U498=""),"",IF(ISTEXT(Games!U498), "Side",Games!T498)))</f>
      </c>
      <c r="J498" s="65" t="str">
        <f>IF(ISBLANK(Games!T498), "",IF(Table12[[#This Row],[Bet]]="Spread", Games!X498, ""))</f>
      </c>
      <c r="K498" s="65" t="str">
        <f>IF(ISBLANK(Games!U498), "",IF(ISTEXT(Games!U498), Games!U498, ""))</f>
      </c>
      <c r="L498" s="57" t="str">
        <f>IF(ISBLANK(Games!D498), "", Games!D498)</f>
      </c>
      <c r="M498" s="65"/>
      <c r="N498" s="75" t="str">
        <f>IF(Games!V498="", "",Games!V498)</f>
      </c>
      <c r="O498" s="75" t="str">
        <f>IF(Games!Z498=0, "",Games!Z498)</f>
      </c>
      <c r="P498" s="67"/>
      <c r="Q498" s="67" t="str">
        <f>IF(ISBLANK(Games!W498), "", Games!W498)</f>
      </c>
      <c r="R498" s="67" t="str">
        <f>IF(ISBLANK(Games!AA498), "", Games!AA498)</f>
      </c>
      <c r="S498" s="67"/>
      <c r="T498" s="68" t="str">
        <f t="shared" si="70"/>
      </c>
      <c r="U498" s="68" t="str">
        <f t="shared" si="71"/>
      </c>
      <c r="V498" s="68" t="str">
        <f t="shared" si="72"/>
      </c>
      <c r="W498" s="68" t="str">
        <f t="shared" si="73"/>
      </c>
      <c r="X498" s="68" t="n">
        <f t="shared" si="75"/>
        <v>0</v>
      </c>
      <c r="Y498" s="68" t="n">
        <f t="shared" si="76"/>
        <v>0</v>
      </c>
      <c r="Z498" s="67" t="str">
        <f>IF(OR('Prediction Log'!L499="", Table12[[#This Row],[Bet]]="", Table12[[#This Row],[Bet]]="Spread"), "",IF('Prediction Log'!L499=Table12[[#This Row],[Side]], "W", IF('Prediction Log'!L499&lt;&gt;Table12[[#This Row],[Side]], "L", "")))</f>
      </c>
      <c r="AA498" s="59" t="str">
        <f t="shared" si="77"/>
      </c>
      <c r="AB498" s="67" t="str">
        <f>IF(OR(Table12[[#This Row],[Bet]]="Side",Table12[[#This Row],[Bet]]="", 'Prediction Log'!L499=""), "",IF('Prediction Log'!U499="Y", "W", IF('Prediction Log'!U499="N", "L", "")))</f>
      </c>
      <c r="AC498" s="59" t="str">
        <f t="shared" si="69"/>
      </c>
      <c r="AD498" s="67"/>
      <c r="AE498" s="65" t="str">
        <f t="shared" si="74"/>
      </c>
      <c r="AF4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9">
      <c r="A499" s="65" t="str">
        <f>IF(ISBLANK(Games!A499), "", Games!A499)</f>
      </c>
      <c r="B499" s="65" t="str">
        <f>IF('Prediction Log'!B500=0, "",'Prediction Log'!B500)</f>
      </c>
      <c r="C499" s="65" t="str">
        <f>IF('Prediction Log'!C500=0, "",'Prediction Log'!C500)</f>
      </c>
      <c r="D499" s="65" t="str">
        <f>IF('Prediction Log'!D500=0, "",'Prediction Log'!D500)</f>
      </c>
      <c r="E499" s="58" t="str">
        <f>IF('Prediction Log'!E500=0, "",'Prediction Log'!E500)</f>
      </c>
      <c r="F499" s="65" t="str">
        <f>IF('Prediction Log'!H500=0, "",'Prediction Log'!H500)</f>
      </c>
      <c r="G499" s="64" t="str">
        <f>IF(ISBLANK(Games!B499), "",'Prediction Log'!$I500)</f>
      </c>
      <c r="H499" s="66" t="n">
        <f>'Prediction Log'!$J500</f>
        <v>0</v>
      </c>
      <c r="I499" s="65" t="str">
        <f>IF(ISBLANK(Games!T499), "",IF(AND(Games!T499="",Games!U499=""),"",IF(ISTEXT(Games!U499), "Side",Games!T499)))</f>
      </c>
      <c r="J499" s="65" t="str">
        <f>IF(ISBLANK(Games!T499), "",IF(Table12[[#This Row],[Bet]]="Spread", Games!X499, ""))</f>
      </c>
      <c r="K499" s="65" t="str">
        <f>IF(ISBLANK(Games!U499), "",IF(ISTEXT(Games!U499), Games!U499, ""))</f>
      </c>
      <c r="L499" s="57" t="str">
        <f>IF(ISBLANK(Games!D499), "", Games!D499)</f>
      </c>
      <c r="M499" s="65"/>
      <c r="N499" s="75" t="str">
        <f>IF(Games!V499="", "",Games!V499)</f>
      </c>
      <c r="O499" s="75" t="str">
        <f>IF(Games!Z499=0, "",Games!Z499)</f>
      </c>
      <c r="P499" s="67"/>
      <c r="Q499" s="67" t="str">
        <f>IF(ISBLANK(Games!W499), "", Games!W499)</f>
      </c>
      <c r="R499" s="67" t="str">
        <f>IF(ISBLANK(Games!AA499), "", Games!AA499)</f>
      </c>
      <c r="S499" s="67"/>
      <c r="T499" s="68" t="str">
        <f t="shared" si="70"/>
      </c>
      <c r="U499" s="68" t="str">
        <f t="shared" si="71"/>
      </c>
      <c r="V499" s="68" t="str">
        <f t="shared" si="72"/>
      </c>
      <c r="W499" s="68" t="str">
        <f t="shared" si="73"/>
      </c>
      <c r="X499" s="68" t="n">
        <f t="shared" si="75"/>
        <v>0</v>
      </c>
      <c r="Y499" s="68" t="n">
        <f t="shared" si="76"/>
        <v>0</v>
      </c>
      <c r="Z499" s="67" t="str">
        <f>IF(OR('Prediction Log'!L500="", Table12[[#This Row],[Bet]]="", Table12[[#This Row],[Bet]]="Spread"), "",IF('Prediction Log'!L500=Table12[[#This Row],[Side]], "W", IF('Prediction Log'!L500&lt;&gt;Table12[[#This Row],[Side]], "L", "")))</f>
      </c>
      <c r="AA499" s="59" t="str">
        <f t="shared" si="77"/>
      </c>
      <c r="AB499" s="67" t="str">
        <f>IF(OR(Table12[[#This Row],[Bet]]="Side",Table12[[#This Row],[Bet]]="", 'Prediction Log'!L500=""), "",IF('Prediction Log'!U500="Y", "W", IF('Prediction Log'!U500="N", "L", "")))</f>
      </c>
      <c r="AC499" s="59" t="str">
        <f t="shared" si="69"/>
      </c>
      <c r="AD499" s="67"/>
      <c r="AE499" s="65" t="str">
        <f t="shared" si="74"/>
      </c>
      <c r="AF4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0">
      <c r="A500" s="65" t="str">
        <f>IF(ISBLANK(Games!A500), "", Games!A500)</f>
      </c>
      <c r="B500" s="65" t="str">
        <f>IF('Prediction Log'!B501=0, "",'Prediction Log'!B501)</f>
      </c>
      <c r="C500" s="65" t="str">
        <f>IF('Prediction Log'!C501=0, "",'Prediction Log'!C501)</f>
      </c>
      <c r="D500" s="65" t="str">
        <f>IF('Prediction Log'!D501=0, "",'Prediction Log'!D501)</f>
      </c>
      <c r="E500" s="58" t="str">
        <f>IF('Prediction Log'!E501=0, "",'Prediction Log'!E501)</f>
      </c>
      <c r="F500" s="65" t="str">
        <f>IF('Prediction Log'!H501=0, "",'Prediction Log'!H501)</f>
      </c>
      <c r="G500" s="64" t="str">
        <f>IF(ISBLANK(Games!B500), "",'Prediction Log'!$I501)</f>
      </c>
      <c r="H500" s="66" t="n">
        <f>'Prediction Log'!$J501</f>
        <v>0</v>
      </c>
      <c r="I500" s="65" t="str">
        <f>IF(ISBLANK(Games!T500), "",IF(AND(Games!T500="",Games!U500=""),"",IF(ISTEXT(Games!U500), "Side",Games!T500)))</f>
      </c>
      <c r="J500" s="65" t="str">
        <f>IF(ISBLANK(Games!T500), "",IF(Table12[[#This Row],[Bet]]="Spread", Games!X500, ""))</f>
      </c>
      <c r="K500" s="65" t="str">
        <f>IF(ISBLANK(Games!U500), "",IF(ISTEXT(Games!U500), Games!U500, ""))</f>
      </c>
      <c r="L500" s="57" t="str">
        <f>IF(ISBLANK(Games!D500), "", Games!D500)</f>
      </c>
      <c r="M500" s="65"/>
      <c r="N500" s="75" t="str">
        <f>IF(Games!V500="", "",Games!V500)</f>
      </c>
      <c r="O500" s="75" t="str">
        <f>IF(Games!Z500=0, "",Games!Z500)</f>
      </c>
      <c r="P500" s="67"/>
      <c r="Q500" s="67" t="str">
        <f>IF(ISBLANK(Games!W500), "", Games!W500)</f>
      </c>
      <c r="R500" s="67" t="str">
        <f>IF(ISBLANK(Games!AA500), "", Games!AA500)</f>
      </c>
      <c r="S500" s="67"/>
      <c r="T500" s="68" t="str">
        <f t="shared" si="70"/>
      </c>
      <c r="U500" s="68" t="str">
        <f t="shared" si="71"/>
      </c>
      <c r="V500" s="68" t="str">
        <f t="shared" si="72"/>
      </c>
      <c r="W500" s="68" t="str">
        <f t="shared" si="73"/>
      </c>
      <c r="X500" s="68" t="n">
        <f t="shared" si="75"/>
        <v>0</v>
      </c>
      <c r="Y500" s="68" t="n">
        <f t="shared" si="76"/>
        <v>0</v>
      </c>
      <c r="Z500" s="67" t="str">
        <f>IF(OR('Prediction Log'!L501="", Table12[[#This Row],[Bet]]="", Table12[[#This Row],[Bet]]="Spread"), "",IF('Prediction Log'!L501=Table12[[#This Row],[Side]], "W", IF('Prediction Log'!L501&lt;&gt;Table12[[#This Row],[Side]], "L", "")))</f>
      </c>
      <c r="AA500" s="59" t="str">
        <f t="shared" si="77"/>
      </c>
      <c r="AB500" s="67" t="str">
        <f>IF(OR(Table12[[#This Row],[Bet]]="Side",Table12[[#This Row],[Bet]]="", 'Prediction Log'!L501=""), "",IF('Prediction Log'!U501="Y", "W", IF('Prediction Log'!U501="N", "L", "")))</f>
      </c>
      <c r="AC500" s="59" t="str">
        <f t="shared" si="69"/>
      </c>
      <c r="AD500" s="67"/>
      <c r="AE500" s="65" t="str">
        <f t="shared" si="74"/>
      </c>
      <c r="AF5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1">
      <c r="A501" s="65" t="str">
        <f>IF(ISBLANK(Games!A501), "", Games!A501)</f>
      </c>
      <c r="B501" s="65" t="str">
        <f>IF('Prediction Log'!B502=0, "",'Prediction Log'!B502)</f>
      </c>
      <c r="C501" s="65" t="str">
        <f>IF('Prediction Log'!C502=0, "",'Prediction Log'!C502)</f>
      </c>
      <c r="D501" s="65" t="str">
        <f>IF('Prediction Log'!D502=0, "",'Prediction Log'!D502)</f>
      </c>
      <c r="E501" s="58" t="str">
        <f>IF('Prediction Log'!E502=0, "",'Prediction Log'!E502)</f>
      </c>
      <c r="F501" s="65" t="str">
        <f>IF('Prediction Log'!H502=0, "",'Prediction Log'!H502)</f>
      </c>
      <c r="G501" s="64" t="str">
        <f>IF(ISBLANK(Games!B501), "",'Prediction Log'!$I502)</f>
      </c>
      <c r="H501" s="66" t="n">
        <f>'Prediction Log'!$J502</f>
        <v>0</v>
      </c>
      <c r="I501" s="65" t="str">
        <f>IF(ISBLANK(Games!T501), "",IF(AND(Games!T501="",Games!U501=""),"",IF(ISTEXT(Games!U501), "Side",Games!T501)))</f>
      </c>
      <c r="J501" s="65" t="str">
        <f>IF(ISBLANK(Games!T501), "",IF(Table12[[#This Row],[Bet]]="Spread", Games!X501, ""))</f>
      </c>
      <c r="K501" s="65" t="str">
        <f>IF(ISBLANK(Games!U501), "",IF(ISTEXT(Games!U501), Games!U501, ""))</f>
      </c>
      <c r="L501" s="57" t="str">
        <f>IF(ISBLANK(Games!D501), "", Games!D501)</f>
      </c>
      <c r="M501" s="65"/>
      <c r="N501" s="75" t="str">
        <f>IF(Games!V501="", "",Games!V501)</f>
      </c>
      <c r="O501" s="75" t="str">
        <f>IF(Games!Z501=0, "",Games!Z501)</f>
      </c>
      <c r="P501" s="67"/>
      <c r="Q501" s="67" t="str">
        <f>IF(ISBLANK(Games!W501), "", Games!W501)</f>
      </c>
      <c r="R501" s="67" t="str">
        <f>IF(ISBLANK(Games!AA501), "", Games!AA501)</f>
      </c>
      <c r="S501" s="67"/>
      <c r="T501" s="68" t="str">
        <f t="shared" si="70"/>
      </c>
      <c r="U501" s="68" t="str">
        <f t="shared" si="71"/>
      </c>
      <c r="V501" s="68" t="str">
        <f t="shared" si="72"/>
      </c>
      <c r="W501" s="68" t="str">
        <f t="shared" si="73"/>
      </c>
      <c r="X501" s="68" t="n">
        <f t="shared" si="75"/>
        <v>0</v>
      </c>
      <c r="Y501" s="68" t="n">
        <f t="shared" si="76"/>
        <v>0</v>
      </c>
      <c r="Z501" s="67" t="str">
        <f>IF(OR('Prediction Log'!L502="", Table12[[#This Row],[Bet]]="", Table12[[#This Row],[Bet]]="Spread"), "",IF('Prediction Log'!L502=Table12[[#This Row],[Side]], "W", IF('Prediction Log'!L502&lt;&gt;Table12[[#This Row],[Side]], "L", "")))</f>
      </c>
      <c r="AA501" s="59" t="str">
        <f t="shared" si="77"/>
      </c>
      <c r="AB501" s="67" t="str">
        <f>IF(OR(Table12[[#This Row],[Bet]]="Side",Table12[[#This Row],[Bet]]="", 'Prediction Log'!L502=""), "",IF('Prediction Log'!U502="Y", "W", IF('Prediction Log'!U502="N", "L", "")))</f>
      </c>
      <c r="AC501" s="59" t="str">
        <f t="shared" si="69"/>
      </c>
      <c r="AD501" s="67"/>
      <c r="AE501" s="65" t="str">
        <f t="shared" si="74"/>
      </c>
      <c r="AF5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2">
      <c r="A502" s="65" t="str">
        <f>IF(ISBLANK(Games!A502), "", Games!A502)</f>
      </c>
      <c r="B502" s="65" t="str">
        <f>IF('Prediction Log'!B503=0, "",'Prediction Log'!B503)</f>
      </c>
      <c r="C502" s="65" t="str">
        <f>IF('Prediction Log'!C503=0, "",'Prediction Log'!C503)</f>
      </c>
      <c r="D502" s="65" t="str">
        <f>IF('Prediction Log'!D503=0, "",'Prediction Log'!D503)</f>
      </c>
      <c r="E502" s="58" t="str">
        <f>IF('Prediction Log'!E503=0, "",'Prediction Log'!E503)</f>
      </c>
      <c r="F502" s="65" t="str">
        <f>IF('Prediction Log'!H503=0, "",'Prediction Log'!H503)</f>
      </c>
      <c r="G502" s="64" t="str">
        <f>IF(ISBLANK(Games!B502), "",'Prediction Log'!$I503)</f>
      </c>
      <c r="H502" s="66" t="n">
        <f>'Prediction Log'!$J503</f>
        <v>0</v>
      </c>
      <c r="I502" s="65" t="str">
        <f>IF(ISBLANK(Games!T502), "",IF(AND(Games!T502="",Games!U502=""),"",IF(ISTEXT(Games!U502), "Side",Games!T502)))</f>
      </c>
      <c r="J502" s="65" t="str">
        <f>IF(ISBLANK(Games!T502), "",IF(Table12[[#This Row],[Bet]]="Spread", Games!X502, ""))</f>
      </c>
      <c r="K502" s="65" t="str">
        <f>IF(ISBLANK(Games!U502), "",IF(ISTEXT(Games!U502), Games!U502, ""))</f>
      </c>
      <c r="L502" s="57" t="str">
        <f>IF(ISBLANK(Games!D502), "", Games!D502)</f>
      </c>
      <c r="M502" s="65"/>
      <c r="N502" s="75" t="str">
        <f>IF(Games!V502="", "",Games!V502)</f>
      </c>
      <c r="O502" s="75" t="str">
        <f>IF(Games!Z502=0, "",Games!Z502)</f>
      </c>
      <c r="P502" s="67"/>
      <c r="Q502" s="67" t="str">
        <f>IF(ISBLANK(Games!W502), "", Games!W502)</f>
      </c>
      <c r="R502" s="67" t="str">
        <f>IF(ISBLANK(Games!AA502), "", Games!AA502)</f>
      </c>
      <c r="S502" s="67"/>
      <c r="T502" s="68" t="str">
        <f t="shared" si="70"/>
      </c>
      <c r="U502" s="68" t="str">
        <f t="shared" si="71"/>
      </c>
      <c r="V502" s="68" t="str">
        <f t="shared" si="72"/>
      </c>
      <c r="W502" s="68" t="str">
        <f t="shared" si="73"/>
      </c>
      <c r="X502" s="68" t="n">
        <f t="shared" si="75"/>
        <v>0</v>
      </c>
      <c r="Y502" s="68" t="n">
        <f t="shared" si="76"/>
        <v>0</v>
      </c>
      <c r="Z502" s="67" t="str">
        <f>IF(OR('Prediction Log'!L503="", Table12[[#This Row],[Bet]]="", Table12[[#This Row],[Bet]]="Spread"), "",IF('Prediction Log'!L503=Table12[[#This Row],[Side]], "W", IF('Prediction Log'!L503&lt;&gt;Table12[[#This Row],[Side]], "L", "")))</f>
      </c>
      <c r="AA502" s="59" t="str">
        <f t="shared" si="77"/>
      </c>
      <c r="AB502" s="67" t="str">
        <f>IF(OR(Table12[[#This Row],[Bet]]="Side",Table12[[#This Row],[Bet]]="", 'Prediction Log'!L503=""), "",IF('Prediction Log'!U503="Y", "W", IF('Prediction Log'!U503="N", "L", "")))</f>
      </c>
      <c r="AC502" s="59" t="str">
        <f t="shared" si="69"/>
      </c>
      <c r="AD502" s="67"/>
      <c r="AE502" s="65" t="str">
        <f t="shared" si="74"/>
      </c>
      <c r="AF5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3">
      <c r="A503" s="65" t="str">
        <f>IF(ISBLANK(Games!A503), "", Games!A503)</f>
      </c>
      <c r="B503" s="65" t="str">
        <f>IF('Prediction Log'!B504=0, "",'Prediction Log'!B504)</f>
      </c>
      <c r="C503" s="65" t="str">
        <f>IF('Prediction Log'!C504=0, "",'Prediction Log'!C504)</f>
      </c>
      <c r="D503" s="65" t="str">
        <f>IF('Prediction Log'!D504=0, "",'Prediction Log'!D504)</f>
      </c>
      <c r="E503" s="58" t="str">
        <f>IF('Prediction Log'!E504=0, "",'Prediction Log'!E504)</f>
      </c>
      <c r="F503" s="65" t="str">
        <f>IF('Prediction Log'!H504=0, "",'Prediction Log'!H504)</f>
      </c>
      <c r="G503" s="64" t="str">
        <f>IF(ISBLANK(Games!B503), "",'Prediction Log'!$I504)</f>
      </c>
      <c r="H503" s="66" t="n">
        <f>'Prediction Log'!$J504</f>
        <v>0</v>
      </c>
      <c r="I503" s="65" t="str">
        <f>IF(ISBLANK(Games!T503), "",IF(AND(Games!T503="",Games!U503=""),"",IF(ISTEXT(Games!U503), "Side",Games!T503)))</f>
      </c>
      <c r="J503" s="65" t="str">
        <f>IF(ISBLANK(Games!T503), "",IF(Table12[[#This Row],[Bet]]="Spread", Games!X503, ""))</f>
      </c>
      <c r="K503" s="65" t="str">
        <f>IF(ISBLANK(Games!U503), "",IF(ISTEXT(Games!U503), Games!U503, ""))</f>
      </c>
      <c r="L503" s="57" t="str">
        <f>IF(ISBLANK(Games!D503), "", Games!D503)</f>
      </c>
      <c r="M503" s="65"/>
      <c r="N503" s="75" t="str">
        <f>IF(Games!V503="", "",Games!V503)</f>
      </c>
      <c r="O503" s="75" t="str">
        <f>IF(Games!Z503=0, "",Games!Z503)</f>
      </c>
      <c r="P503" s="67"/>
      <c r="Q503" s="67" t="str">
        <f>IF(ISBLANK(Games!W503), "", Games!W503)</f>
      </c>
      <c r="R503" s="67" t="str">
        <f>IF(ISBLANK(Games!AA503), "", Games!AA503)</f>
      </c>
      <c r="S503" s="67"/>
      <c r="T503" s="68" t="str">
        <f t="shared" si="70"/>
      </c>
      <c r="U503" s="68" t="str">
        <f t="shared" si="71"/>
      </c>
      <c r="V503" s="68" t="str">
        <f t="shared" si="72"/>
      </c>
      <c r="W503" s="68" t="str">
        <f t="shared" si="73"/>
      </c>
      <c r="X503" s="68" t="n">
        <f t="shared" si="75"/>
        <v>0</v>
      </c>
      <c r="Y503" s="68" t="n">
        <f t="shared" si="76"/>
        <v>0</v>
      </c>
      <c r="Z503" s="67" t="str">
        <f>IF(OR('Prediction Log'!L504="", Table12[[#This Row],[Bet]]="", Table12[[#This Row],[Bet]]="Spread"), "",IF('Prediction Log'!L504=Table12[[#This Row],[Side]], "W", IF('Prediction Log'!L504&lt;&gt;Table12[[#This Row],[Side]], "L", "")))</f>
      </c>
      <c r="AA503" s="59" t="str">
        <f t="shared" si="77"/>
      </c>
      <c r="AB503" s="67" t="str">
        <f>IF(OR(Table12[[#This Row],[Bet]]="Side",Table12[[#This Row],[Bet]]="", 'Prediction Log'!L504=""), "",IF('Prediction Log'!U504="Y", "W", IF('Prediction Log'!U504="N", "L", "")))</f>
      </c>
      <c r="AC503" s="59" t="str">
        <f t="shared" si="69"/>
      </c>
      <c r="AD503" s="67"/>
      <c r="AE503" s="65" t="str">
        <f t="shared" si="74"/>
      </c>
      <c r="AF5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4">
      <c r="A504" s="65" t="str">
        <f>IF(ISBLANK(Games!A504), "", Games!A504)</f>
      </c>
      <c r="B504" s="65" t="str">
        <f>IF('Prediction Log'!B505=0, "",'Prediction Log'!B505)</f>
      </c>
      <c r="C504" s="65" t="str">
        <f>IF('Prediction Log'!C505=0, "",'Prediction Log'!C505)</f>
      </c>
      <c r="D504" s="65" t="str">
        <f>IF('Prediction Log'!D505=0, "",'Prediction Log'!D505)</f>
      </c>
      <c r="E504" s="58" t="str">
        <f>IF('Prediction Log'!E505=0, "",'Prediction Log'!E505)</f>
      </c>
      <c r="F504" s="65" t="str">
        <f>IF('Prediction Log'!H505=0, "",'Prediction Log'!H505)</f>
      </c>
      <c r="G504" s="64" t="str">
        <f>IF(ISBLANK(Games!B504), "",'Prediction Log'!$I505)</f>
      </c>
      <c r="H504" s="66" t="n">
        <f>'Prediction Log'!$J505</f>
        <v>0</v>
      </c>
      <c r="I504" s="65" t="str">
        <f>IF(ISBLANK(Games!T504), "",IF(AND(Games!T504="",Games!U504=""),"",IF(ISTEXT(Games!U504), "Side",Games!T504)))</f>
      </c>
      <c r="J504" s="65" t="str">
        <f>IF(ISBLANK(Games!T504), "",IF(Table12[[#This Row],[Bet]]="Spread", Games!X504, ""))</f>
      </c>
      <c r="K504" s="65" t="str">
        <f>IF(ISBLANK(Games!U504), "",IF(ISTEXT(Games!U504), Games!U504, ""))</f>
      </c>
      <c r="L504" s="57" t="str">
        <f>IF(ISBLANK(Games!D504), "", Games!D504)</f>
      </c>
      <c r="M504" s="65"/>
      <c r="N504" s="75" t="str">
        <f>IF(Games!V504="", "",Games!V504)</f>
      </c>
      <c r="O504" s="75" t="str">
        <f>IF(Games!Z504=0, "",Games!Z504)</f>
      </c>
      <c r="P504" s="67"/>
      <c r="Q504" s="67" t="str">
        <f>IF(ISBLANK(Games!W504), "", Games!W504)</f>
      </c>
      <c r="R504" s="67" t="str">
        <f>IF(ISBLANK(Games!AA504), "", Games!AA504)</f>
      </c>
      <c r="S504" s="67"/>
      <c r="T504" s="68" t="str">
        <f t="shared" si="70"/>
      </c>
      <c r="U504" s="68" t="str">
        <f t="shared" si="71"/>
      </c>
      <c r="V504" s="68" t="str">
        <f t="shared" si="72"/>
      </c>
      <c r="W504" s="68" t="str">
        <f t="shared" si="73"/>
      </c>
      <c r="X504" s="68" t="n">
        <f t="shared" si="75"/>
        <v>0</v>
      </c>
      <c r="Y504" s="68" t="n">
        <f t="shared" si="76"/>
        <v>0</v>
      </c>
      <c r="Z504" s="67" t="str">
        <f>IF(OR('Prediction Log'!L505="", Table12[[#This Row],[Bet]]="", Table12[[#This Row],[Bet]]="Spread"), "",IF('Prediction Log'!L505=Table12[[#This Row],[Side]], "W", IF('Prediction Log'!L505&lt;&gt;Table12[[#This Row],[Side]], "L", "")))</f>
      </c>
      <c r="AA504" s="59" t="str">
        <f t="shared" si="77"/>
      </c>
      <c r="AB504" s="67" t="str">
        <f>IF(OR(Table12[[#This Row],[Bet]]="Side",Table12[[#This Row],[Bet]]="", 'Prediction Log'!L505=""), "",IF('Prediction Log'!U505="Y", "W", IF('Prediction Log'!U505="N", "L", "")))</f>
      </c>
      <c r="AC504" s="59" t="str">
        <f t="shared" si="69"/>
      </c>
      <c r="AD504" s="67"/>
      <c r="AE504" s="65" t="str">
        <f t="shared" si="74"/>
      </c>
      <c r="AF5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5">
      <c r="A505" s="65" t="str">
        <f>IF(ISBLANK(Games!A505), "", Games!A505)</f>
      </c>
      <c r="B505" s="65" t="str">
        <f>IF('Prediction Log'!B506=0, "",'Prediction Log'!B506)</f>
      </c>
      <c r="C505" s="65" t="str">
        <f>IF('Prediction Log'!C506=0, "",'Prediction Log'!C506)</f>
      </c>
      <c r="D505" s="65" t="str">
        <f>IF('Prediction Log'!D506=0, "",'Prediction Log'!D506)</f>
      </c>
      <c r="E505" s="58" t="str">
        <f>IF('Prediction Log'!E506=0, "",'Prediction Log'!E506)</f>
      </c>
      <c r="F505" s="65" t="str">
        <f>IF('Prediction Log'!H506=0, "",'Prediction Log'!H506)</f>
      </c>
      <c r="G505" s="64" t="str">
        <f>IF(ISBLANK(Games!B505), "",'Prediction Log'!$I506)</f>
      </c>
      <c r="H505" s="66" t="n">
        <f>'Prediction Log'!$J506</f>
        <v>0</v>
      </c>
      <c r="I505" s="65" t="str">
        <f>IF(ISBLANK(Games!T505), "",IF(AND(Games!T505="",Games!U505=""),"",IF(ISTEXT(Games!U505), "Side",Games!T505)))</f>
      </c>
      <c r="J505" s="65" t="str">
        <f>IF(ISBLANK(Games!T505), "",IF(Table12[[#This Row],[Bet]]="Spread", Games!X505, ""))</f>
      </c>
      <c r="K505" s="65" t="str">
        <f>IF(ISBLANK(Games!U505), "",IF(ISTEXT(Games!U505), Games!U505, ""))</f>
      </c>
      <c r="L505" s="57" t="str">
        <f>IF(ISBLANK(Games!D505), "", Games!D505)</f>
      </c>
      <c r="M505" s="65"/>
      <c r="N505" s="75" t="str">
        <f>IF(Games!V505="", "",Games!V505)</f>
      </c>
      <c r="O505" s="75" t="str">
        <f>IF(Games!Z505=0, "",Games!Z505)</f>
      </c>
      <c r="P505" s="67"/>
      <c r="Q505" s="67" t="str">
        <f>IF(ISBLANK(Games!W505), "", Games!W505)</f>
      </c>
      <c r="R505" s="67" t="str">
        <f>IF(ISBLANK(Games!AA505), "", Games!AA505)</f>
      </c>
      <c r="S505" s="67"/>
      <c r="T505" s="68" t="str">
        <f t="shared" si="70"/>
      </c>
      <c r="U505" s="68" t="str">
        <f t="shared" si="71"/>
      </c>
      <c r="V505" s="68" t="str">
        <f t="shared" si="72"/>
      </c>
      <c r="W505" s="68" t="str">
        <f t="shared" si="73"/>
      </c>
      <c r="X505" s="68" t="n">
        <f t="shared" si="75"/>
        <v>0</v>
      </c>
      <c r="Y505" s="68" t="n">
        <f t="shared" si="76"/>
        <v>0</v>
      </c>
      <c r="Z505" s="67" t="str">
        <f>IF(OR('Prediction Log'!L506="", Table12[[#This Row],[Bet]]="", Table12[[#This Row],[Bet]]="Spread"), "",IF('Prediction Log'!L506=Table12[[#This Row],[Side]], "W", IF('Prediction Log'!L506&lt;&gt;Table12[[#This Row],[Side]], "L", "")))</f>
      </c>
      <c r="AA505" s="59" t="str">
        <f t="shared" si="77"/>
      </c>
      <c r="AB505" s="67" t="str">
        <f>IF(OR(Table12[[#This Row],[Bet]]="Side",Table12[[#This Row],[Bet]]="", 'Prediction Log'!L506=""), "",IF('Prediction Log'!U506="Y", "W", IF('Prediction Log'!U506="N", "L", "")))</f>
      </c>
      <c r="AC505" s="59" t="str">
        <f t="shared" si="69"/>
      </c>
      <c r="AD505" s="67"/>
      <c r="AE505" s="65" t="str">
        <f t="shared" si="74"/>
      </c>
      <c r="AF5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6">
      <c r="A506" s="65" t="str">
        <f>IF(ISBLANK(Games!A506), "", Games!A506)</f>
      </c>
      <c r="B506" s="65" t="str">
        <f>IF('Prediction Log'!B507=0, "",'Prediction Log'!B507)</f>
      </c>
      <c r="C506" s="65" t="str">
        <f>IF('Prediction Log'!C507=0, "",'Prediction Log'!C507)</f>
      </c>
      <c r="D506" s="65" t="str">
        <f>IF('Prediction Log'!D507=0, "",'Prediction Log'!D507)</f>
      </c>
      <c r="E506" s="58" t="str">
        <f>IF('Prediction Log'!E507=0, "",'Prediction Log'!E507)</f>
      </c>
      <c r="F506" s="65" t="str">
        <f>IF('Prediction Log'!H507=0, "",'Prediction Log'!H507)</f>
      </c>
      <c r="G506" s="64" t="str">
        <f>IF(ISBLANK(Games!B506), "",'Prediction Log'!$I507)</f>
      </c>
      <c r="H506" s="66" t="n">
        <f>'Prediction Log'!$J507</f>
        <v>0</v>
      </c>
      <c r="I506" s="65" t="str">
        <f>IF(ISBLANK(Games!T506), "",IF(AND(Games!T506="",Games!U506=""),"",IF(ISTEXT(Games!U506), "Side",Games!T506)))</f>
      </c>
      <c r="J506" s="65" t="str">
        <f>IF(ISBLANK(Games!T506), "",IF(Table12[[#This Row],[Bet]]="Spread", Games!X506, ""))</f>
      </c>
      <c r="K506" s="65" t="str">
        <f>IF(ISBLANK(Games!U506), "",IF(ISTEXT(Games!U506), Games!U506, ""))</f>
      </c>
      <c r="L506" s="57" t="str">
        <f>IF(ISBLANK(Games!D506), "", Games!D506)</f>
      </c>
      <c r="M506" s="65"/>
      <c r="N506" s="75" t="str">
        <f>IF(Games!V506="", "",Games!V506)</f>
      </c>
      <c r="O506" s="75" t="str">
        <f>IF(Games!Z506=0, "",Games!Z506)</f>
      </c>
      <c r="P506" s="67"/>
      <c r="Q506" s="67" t="str">
        <f>IF(ISBLANK(Games!W506), "", Games!W506)</f>
      </c>
      <c r="R506" s="67" t="str">
        <f>IF(ISBLANK(Games!AA506), "", Games!AA506)</f>
      </c>
      <c r="S506" s="67"/>
      <c r="T506" s="68" t="str">
        <f t="shared" si="70"/>
      </c>
      <c r="U506" s="68" t="str">
        <f t="shared" si="71"/>
      </c>
      <c r="V506" s="68" t="str">
        <f t="shared" si="72"/>
      </c>
      <c r="W506" s="68" t="str">
        <f t="shared" si="73"/>
      </c>
      <c r="X506" s="68" t="n">
        <f t="shared" si="75"/>
        <v>0</v>
      </c>
      <c r="Y506" s="68" t="n">
        <f t="shared" si="76"/>
        <v>0</v>
      </c>
      <c r="Z506" s="67" t="str">
        <f>IF(OR('Prediction Log'!L507="", Table12[[#This Row],[Bet]]="", Table12[[#This Row],[Bet]]="Spread"), "",IF('Prediction Log'!L507=Table12[[#This Row],[Side]], "W", IF('Prediction Log'!L507&lt;&gt;Table12[[#This Row],[Side]], "L", "")))</f>
      </c>
      <c r="AA506" s="59" t="str">
        <f t="shared" si="77"/>
      </c>
      <c r="AB506" s="67" t="str">
        <f>IF(OR(Table12[[#This Row],[Bet]]="Side",Table12[[#This Row],[Bet]]="", 'Prediction Log'!L507=""), "",IF('Prediction Log'!U507="Y", "W", IF('Prediction Log'!U507="N", "L", "")))</f>
      </c>
      <c r="AC506" s="59" t="str">
        <f t="shared" si="69"/>
      </c>
      <c r="AD506" s="67"/>
      <c r="AE506" s="65" t="str">
        <f t="shared" si="74"/>
      </c>
      <c r="AF5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7">
      <c r="A507" s="65" t="str">
        <f>IF(ISBLANK(Games!A507), "", Games!A507)</f>
      </c>
      <c r="B507" s="65" t="str">
        <f>IF('Prediction Log'!B508=0, "",'Prediction Log'!B508)</f>
      </c>
      <c r="C507" s="65" t="str">
        <f>IF('Prediction Log'!C508=0, "",'Prediction Log'!C508)</f>
      </c>
      <c r="D507" s="65" t="str">
        <f>IF('Prediction Log'!D508=0, "",'Prediction Log'!D508)</f>
      </c>
      <c r="E507" s="58" t="str">
        <f>IF('Prediction Log'!E508=0, "",'Prediction Log'!E508)</f>
      </c>
      <c r="F507" s="65" t="str">
        <f>IF('Prediction Log'!H508=0, "",'Prediction Log'!H508)</f>
      </c>
      <c r="G507" s="64" t="str">
        <f>IF(ISBLANK(Games!B507), "",'Prediction Log'!$I508)</f>
      </c>
      <c r="H507" s="66" t="n">
        <f>'Prediction Log'!$J508</f>
        <v>0</v>
      </c>
      <c r="I507" s="65" t="str">
        <f>IF(ISBLANK(Games!T507), "",IF(AND(Games!T507="",Games!U507=""),"",IF(ISTEXT(Games!U507), "Side",Games!T507)))</f>
      </c>
      <c r="J507" s="65" t="str">
        <f>IF(ISBLANK(Games!T507), "",IF(Table12[[#This Row],[Bet]]="Spread", Games!X507, ""))</f>
      </c>
      <c r="K507" s="65" t="str">
        <f>IF(ISBLANK(Games!U507), "",IF(ISTEXT(Games!U507), Games!U507, ""))</f>
      </c>
      <c r="L507" s="57" t="str">
        <f>IF(ISBLANK(Games!D507), "", Games!D507)</f>
      </c>
      <c r="M507" s="65"/>
      <c r="N507" s="75" t="str">
        <f>IF(Games!V507="", "",Games!V507)</f>
      </c>
      <c r="O507" s="75" t="str">
        <f>IF(Games!Z507=0, "",Games!Z507)</f>
      </c>
      <c r="P507" s="67"/>
      <c r="Q507" s="67" t="str">
        <f>IF(ISBLANK(Games!W507), "", Games!W507)</f>
      </c>
      <c r="R507" s="67" t="str">
        <f>IF(ISBLANK(Games!AA507), "", Games!AA507)</f>
      </c>
      <c r="S507" s="67"/>
      <c r="T507" s="68" t="str">
        <f t="shared" si="70"/>
      </c>
      <c r="U507" s="68" t="str">
        <f t="shared" si="71"/>
      </c>
      <c r="V507" s="68" t="str">
        <f t="shared" si="72"/>
      </c>
      <c r="W507" s="68" t="str">
        <f t="shared" si="73"/>
      </c>
      <c r="X507" s="68" t="n">
        <f t="shared" si="75"/>
        <v>0</v>
      </c>
      <c r="Y507" s="68" t="n">
        <f t="shared" si="76"/>
        <v>0</v>
      </c>
      <c r="Z507" s="67" t="str">
        <f>IF(OR('Prediction Log'!L508="", Table12[[#This Row],[Bet]]="", Table12[[#This Row],[Bet]]="Spread"), "",IF('Prediction Log'!L508=Table12[[#This Row],[Side]], "W", IF('Prediction Log'!L508&lt;&gt;Table12[[#This Row],[Side]], "L", "")))</f>
      </c>
      <c r="AA507" s="59" t="str">
        <f t="shared" si="77"/>
      </c>
      <c r="AB507" s="67" t="str">
        <f>IF(OR(Table12[[#This Row],[Bet]]="Side",Table12[[#This Row],[Bet]]="", 'Prediction Log'!L508=""), "",IF('Prediction Log'!U508="Y", "W", IF('Prediction Log'!U508="N", "L", "")))</f>
      </c>
      <c r="AC507" s="59" t="str">
        <f t="shared" si="69"/>
      </c>
      <c r="AD507" s="67"/>
      <c r="AE507" s="65" t="str">
        <f t="shared" si="74"/>
      </c>
      <c r="AF5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8">
      <c r="A508" s="65" t="str">
        <f>IF(ISBLANK(Games!A508), "", Games!A508)</f>
      </c>
      <c r="B508" s="65" t="str">
        <f>IF('Prediction Log'!B509=0, "",'Prediction Log'!B509)</f>
      </c>
      <c r="C508" s="65" t="str">
        <f>IF('Prediction Log'!C509=0, "",'Prediction Log'!C509)</f>
      </c>
      <c r="D508" s="65" t="str">
        <f>IF('Prediction Log'!D509=0, "",'Prediction Log'!D509)</f>
      </c>
      <c r="E508" s="58" t="str">
        <f>IF('Prediction Log'!E509=0, "",'Prediction Log'!E509)</f>
      </c>
      <c r="F508" s="65" t="str">
        <f>IF('Prediction Log'!H509=0, "",'Prediction Log'!H509)</f>
      </c>
      <c r="G508" s="64" t="str">
        <f>IF(ISBLANK(Games!B508), "",'Prediction Log'!$I509)</f>
      </c>
      <c r="H508" s="66" t="n">
        <f>'Prediction Log'!$J509</f>
        <v>0</v>
      </c>
      <c r="I508" s="65" t="str">
        <f>IF(ISBLANK(Games!T508), "",IF(AND(Games!T508="",Games!U508=""),"",IF(ISTEXT(Games!U508), "Side",Games!T508)))</f>
      </c>
      <c r="J508" s="65" t="str">
        <f>IF(ISBLANK(Games!T508), "",IF(Table12[[#This Row],[Bet]]="Spread", Games!X508, ""))</f>
      </c>
      <c r="K508" s="65" t="str">
        <f>IF(ISBLANK(Games!U508), "",IF(ISTEXT(Games!U508), Games!U508, ""))</f>
      </c>
      <c r="L508" s="57" t="str">
        <f>IF(ISBLANK(Games!D508), "", Games!D508)</f>
      </c>
      <c r="M508" s="65"/>
      <c r="N508" s="75" t="str">
        <f>IF(Games!V508="", "",Games!V508)</f>
      </c>
      <c r="O508" s="75" t="str">
        <f>IF(Games!Z508=0, "",Games!Z508)</f>
      </c>
      <c r="P508" s="67"/>
      <c r="Q508" s="67" t="str">
        <f>IF(ISBLANK(Games!W508), "", Games!W508)</f>
      </c>
      <c r="R508" s="67" t="str">
        <f>IF(ISBLANK(Games!AA508), "", Games!AA508)</f>
      </c>
      <c r="S508" s="67"/>
      <c r="T508" s="68" t="str">
        <f t="shared" si="70"/>
      </c>
      <c r="U508" s="68" t="str">
        <f t="shared" si="71"/>
      </c>
      <c r="V508" s="68" t="str">
        <f t="shared" si="72"/>
      </c>
      <c r="W508" s="68" t="str">
        <f t="shared" si="73"/>
      </c>
      <c r="X508" s="68" t="n">
        <f t="shared" si="75"/>
        <v>0</v>
      </c>
      <c r="Y508" s="68" t="n">
        <f t="shared" si="76"/>
        <v>0</v>
      </c>
      <c r="Z508" s="67" t="str">
        <f>IF(OR('Prediction Log'!L509="", Table12[[#This Row],[Bet]]="", Table12[[#This Row],[Bet]]="Spread"), "",IF('Prediction Log'!L509=Table12[[#This Row],[Side]], "W", IF('Prediction Log'!L509&lt;&gt;Table12[[#This Row],[Side]], "L", "")))</f>
      </c>
      <c r="AA508" s="59" t="str">
        <f t="shared" si="77"/>
      </c>
      <c r="AB508" s="67" t="str">
        <f>IF(OR(Table12[[#This Row],[Bet]]="Side",Table12[[#This Row],[Bet]]="", 'Prediction Log'!L509=""), "",IF('Prediction Log'!U509="Y", "W", IF('Prediction Log'!U509="N", "L", "")))</f>
      </c>
      <c r="AC508" s="59" t="str">
        <f t="shared" si="69"/>
      </c>
      <c r="AD508" s="67"/>
      <c r="AE508" s="65" t="str">
        <f t="shared" si="74"/>
      </c>
      <c r="AF5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9">
      <c r="A509" s="65" t="str">
        <f>IF(ISBLANK(Games!A509), "", Games!A509)</f>
      </c>
      <c r="B509" s="65" t="str">
        <f>IF('Prediction Log'!B510=0, "",'Prediction Log'!B510)</f>
      </c>
      <c r="C509" s="65" t="str">
        <f>IF('Prediction Log'!C510=0, "",'Prediction Log'!C510)</f>
      </c>
      <c r="D509" s="65" t="str">
        <f>IF('Prediction Log'!D510=0, "",'Prediction Log'!D510)</f>
      </c>
      <c r="E509" s="58" t="str">
        <f>IF('Prediction Log'!E510=0, "",'Prediction Log'!E510)</f>
      </c>
      <c r="F509" s="65" t="str">
        <f>IF('Prediction Log'!H510=0, "",'Prediction Log'!H510)</f>
      </c>
      <c r="G509" s="64" t="str">
        <f>IF(ISBLANK(Games!B509), "",'Prediction Log'!$I510)</f>
      </c>
      <c r="H509" s="66" t="n">
        <f>'Prediction Log'!$J510</f>
        <v>0</v>
      </c>
      <c r="I509" s="65" t="str">
        <f>IF(ISBLANK(Games!T509), "",IF(AND(Games!T509="",Games!U509=""),"",IF(ISTEXT(Games!U509), "Side",Games!T509)))</f>
      </c>
      <c r="J509" s="65" t="str">
        <f>IF(ISBLANK(Games!T509), "",IF(Table12[[#This Row],[Bet]]="Spread", Games!X509, ""))</f>
      </c>
      <c r="K509" s="65" t="str">
        <f>IF(ISBLANK(Games!U509), "",IF(ISTEXT(Games!U509), Games!U509, ""))</f>
      </c>
      <c r="L509" s="57" t="str">
        <f>IF(ISBLANK(Games!D509), "", Games!D509)</f>
      </c>
      <c r="M509" s="65"/>
      <c r="N509" s="75" t="str">
        <f>IF(Games!V509="", "",Games!V509)</f>
      </c>
      <c r="O509" s="75" t="str">
        <f>IF(Games!Z509=0, "",Games!Z509)</f>
      </c>
      <c r="P509" s="67"/>
      <c r="Q509" s="67" t="str">
        <f>IF(ISBLANK(Games!W509), "", Games!W509)</f>
      </c>
      <c r="R509" s="67" t="str">
        <f>IF(ISBLANK(Games!AA509), "", Games!AA509)</f>
      </c>
      <c r="S509" s="67"/>
      <c r="T509" s="68" t="str">
        <f t="shared" si="70"/>
      </c>
      <c r="U509" s="68" t="str">
        <f t="shared" si="71"/>
      </c>
      <c r="V509" s="68" t="str">
        <f t="shared" si="72"/>
      </c>
      <c r="W509" s="68" t="str">
        <f t="shared" si="73"/>
      </c>
      <c r="X509" s="68" t="n">
        <f t="shared" si="75"/>
        <v>0</v>
      </c>
      <c r="Y509" s="68" t="n">
        <f t="shared" si="76"/>
        <v>0</v>
      </c>
      <c r="Z509" s="67" t="str">
        <f>IF(OR('Prediction Log'!L510="", Table12[[#This Row],[Bet]]="", Table12[[#This Row],[Bet]]="Spread"), "",IF('Prediction Log'!L510=Table12[[#This Row],[Side]], "W", IF('Prediction Log'!L510&lt;&gt;Table12[[#This Row],[Side]], "L", "")))</f>
      </c>
      <c r="AA509" s="59" t="str">
        <f t="shared" si="77"/>
      </c>
      <c r="AB509" s="67" t="str">
        <f>IF(OR(Table12[[#This Row],[Bet]]="Side",Table12[[#This Row],[Bet]]="", 'Prediction Log'!L510=""), "",IF('Prediction Log'!U510="Y", "W", IF('Prediction Log'!U510="N", "L", "")))</f>
      </c>
      <c r="AC509" s="59" t="str">
        <f t="shared" si="69"/>
      </c>
      <c r="AD509" s="67"/>
      <c r="AE509" s="65" t="str">
        <f t="shared" si="74"/>
      </c>
      <c r="AF5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0">
      <c r="A510" s="65" t="str">
        <f>IF(ISBLANK(Games!A510), "", Games!A510)</f>
      </c>
      <c r="B510" s="65" t="str">
        <f>IF('Prediction Log'!B511=0, "",'Prediction Log'!B511)</f>
      </c>
      <c r="C510" s="65" t="str">
        <f>IF('Prediction Log'!C511=0, "",'Prediction Log'!C511)</f>
      </c>
      <c r="D510" s="65" t="str">
        <f>IF('Prediction Log'!D511=0, "",'Prediction Log'!D511)</f>
      </c>
      <c r="E510" s="58" t="str">
        <f>IF('Prediction Log'!E511=0, "",'Prediction Log'!E511)</f>
      </c>
      <c r="F510" s="65" t="str">
        <f>IF('Prediction Log'!H511=0, "",'Prediction Log'!H511)</f>
      </c>
      <c r="G510" s="64" t="str">
        <f>IF(ISBLANK(Games!B510), "",'Prediction Log'!$I511)</f>
      </c>
      <c r="H510" s="66" t="n">
        <f>'Prediction Log'!$J511</f>
        <v>0</v>
      </c>
      <c r="I510" s="65" t="str">
        <f>IF(ISBLANK(Games!T510), "",IF(AND(Games!T510="",Games!U510=""),"",IF(ISTEXT(Games!U510), "Side",Games!T510)))</f>
      </c>
      <c r="J510" s="65" t="str">
        <f>IF(ISBLANK(Games!T510), "",IF(Table12[[#This Row],[Bet]]="Spread", Games!X510, ""))</f>
      </c>
      <c r="K510" s="65" t="str">
        <f>IF(ISBLANK(Games!U510), "",IF(ISTEXT(Games!U510), Games!U510, ""))</f>
      </c>
      <c r="L510" s="57" t="str">
        <f>IF(ISBLANK(Games!D510), "", Games!D510)</f>
      </c>
      <c r="M510" s="65"/>
      <c r="N510" s="75" t="str">
        <f>IF(Games!V510="", "",Games!V510)</f>
      </c>
      <c r="O510" s="75" t="str">
        <f>IF(Games!Z510=0, "",Games!Z510)</f>
      </c>
      <c r="P510" s="67"/>
      <c r="Q510" s="67" t="str">
        <f>IF(ISBLANK(Games!W510), "", Games!W510)</f>
      </c>
      <c r="R510" s="67" t="str">
        <f>IF(ISBLANK(Games!AA510), "", Games!AA510)</f>
      </c>
      <c r="S510" s="67"/>
      <c r="T510" s="68" t="str">
        <f t="shared" si="70"/>
      </c>
      <c r="U510" s="68" t="str">
        <f t="shared" si="71"/>
      </c>
      <c r="V510" s="68" t="str">
        <f t="shared" si="72"/>
      </c>
      <c r="W510" s="68" t="str">
        <f t="shared" si="73"/>
      </c>
      <c r="X510" s="68" t="n">
        <f t="shared" si="75"/>
        <v>0</v>
      </c>
      <c r="Y510" s="68" t="n">
        <f t="shared" si="76"/>
        <v>0</v>
      </c>
      <c r="Z510" s="67" t="str">
        <f>IF(OR('Prediction Log'!L511="", Table12[[#This Row],[Bet]]="", Table12[[#This Row],[Bet]]="Spread"), "",IF('Prediction Log'!L511=Table12[[#This Row],[Side]], "W", IF('Prediction Log'!L511&lt;&gt;Table12[[#This Row],[Side]], "L", "")))</f>
      </c>
      <c r="AA510" s="59" t="str">
        <f t="shared" si="77"/>
      </c>
      <c r="AB510" s="67" t="str">
        <f>IF(OR(Table12[[#This Row],[Bet]]="Side",Table12[[#This Row],[Bet]]="", 'Prediction Log'!L511=""), "",IF('Prediction Log'!U511="Y", "W", IF('Prediction Log'!U511="N", "L", "")))</f>
      </c>
      <c r="AC510" s="59" t="str">
        <f t="shared" si="69"/>
      </c>
      <c r="AD510" s="67"/>
      <c r="AE510" s="65" t="str">
        <f t="shared" si="74"/>
      </c>
      <c r="AF5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1">
      <c r="A511" s="65" t="str">
        <f>IF(ISBLANK(Games!A511), "", Games!A511)</f>
      </c>
      <c r="B511" s="65" t="str">
        <f>IF('Prediction Log'!B512=0, "",'Prediction Log'!B512)</f>
      </c>
      <c r="C511" s="65" t="str">
        <f>IF('Prediction Log'!C512=0, "",'Prediction Log'!C512)</f>
      </c>
      <c r="D511" s="65" t="str">
        <f>IF('Prediction Log'!D512=0, "",'Prediction Log'!D512)</f>
      </c>
      <c r="E511" s="58" t="str">
        <f>IF('Prediction Log'!E512=0, "",'Prediction Log'!E512)</f>
      </c>
      <c r="F511" s="65" t="str">
        <f>IF('Prediction Log'!H512=0, "",'Prediction Log'!H512)</f>
      </c>
      <c r="G511" s="64" t="str">
        <f>IF(ISBLANK(Games!B511), "",'Prediction Log'!$I512)</f>
      </c>
      <c r="H511" s="66" t="n">
        <f>'Prediction Log'!$J512</f>
        <v>0</v>
      </c>
      <c r="I511" s="65" t="str">
        <f>IF(ISBLANK(Games!T511), "",IF(AND(Games!T511="",Games!U511=""),"",IF(ISTEXT(Games!U511), "Side",Games!T511)))</f>
      </c>
      <c r="J511" s="65" t="str">
        <f>IF(ISBLANK(Games!T511), "",IF(Table12[[#This Row],[Bet]]="Spread", Games!X511, ""))</f>
      </c>
      <c r="K511" s="65" t="str">
        <f>IF(ISBLANK(Games!U511), "",IF(ISTEXT(Games!U511), Games!U511, ""))</f>
      </c>
      <c r="L511" s="57" t="str">
        <f>IF(ISBLANK(Games!D511), "", Games!D511)</f>
      </c>
      <c r="M511" s="65"/>
      <c r="N511" s="75" t="str">
        <f>IF(Games!V511="", "",Games!V511)</f>
      </c>
      <c r="O511" s="75" t="str">
        <f>IF(Games!Z511=0, "",Games!Z511)</f>
      </c>
      <c r="P511" s="67"/>
      <c r="Q511" s="67" t="str">
        <f>IF(ISBLANK(Games!W511), "", Games!W511)</f>
      </c>
      <c r="R511" s="67" t="str">
        <f>IF(ISBLANK(Games!AA511), "", Games!AA511)</f>
      </c>
      <c r="S511" s="67"/>
      <c r="T511" s="68" t="str">
        <f t="shared" si="70"/>
      </c>
      <c r="U511" s="68" t="str">
        <f t="shared" si="71"/>
      </c>
      <c r="V511" s="68" t="str">
        <f t="shared" si="72"/>
      </c>
      <c r="W511" s="68" t="str">
        <f t="shared" si="73"/>
      </c>
      <c r="X511" s="68" t="n">
        <f t="shared" si="75"/>
        <v>0</v>
      </c>
      <c r="Y511" s="68" t="n">
        <f t="shared" si="76"/>
        <v>0</v>
      </c>
      <c r="Z511" s="67" t="str">
        <f>IF(OR('Prediction Log'!L512="", Table12[[#This Row],[Bet]]="", Table12[[#This Row],[Bet]]="Spread"), "",IF('Prediction Log'!L512=Table12[[#This Row],[Side]], "W", IF('Prediction Log'!L512&lt;&gt;Table12[[#This Row],[Side]], "L", "")))</f>
      </c>
      <c r="AA511" s="59" t="str">
        <f t="shared" si="77"/>
      </c>
      <c r="AB511" s="67" t="str">
        <f>IF(OR(Table12[[#This Row],[Bet]]="Side",Table12[[#This Row],[Bet]]="", 'Prediction Log'!L512=""), "",IF('Prediction Log'!U512="Y", "W", IF('Prediction Log'!U512="N", "L", "")))</f>
      </c>
      <c r="AC511" s="59" t="str">
        <f t="shared" si="69"/>
      </c>
      <c r="AD511" s="67"/>
      <c r="AE511" s="65" t="str">
        <f t="shared" si="74"/>
      </c>
      <c r="AF5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2">
      <c r="A512" s="65" t="str">
        <f>IF(ISBLANK(Games!A512), "", Games!A512)</f>
      </c>
      <c r="B512" s="65" t="str">
        <f>IF('Prediction Log'!B513=0, "",'Prediction Log'!B513)</f>
      </c>
      <c r="C512" s="65" t="str">
        <f>IF('Prediction Log'!C513=0, "",'Prediction Log'!C513)</f>
      </c>
      <c r="D512" s="65" t="str">
        <f>IF('Prediction Log'!D513=0, "",'Prediction Log'!D513)</f>
      </c>
      <c r="E512" s="58" t="str">
        <f>IF('Prediction Log'!E513=0, "",'Prediction Log'!E513)</f>
      </c>
      <c r="F512" s="65" t="str">
        <f>IF('Prediction Log'!H513=0, "",'Prediction Log'!H513)</f>
      </c>
      <c r="G512" s="64" t="str">
        <f>IF(ISBLANK(Games!B512), "",'Prediction Log'!$I513)</f>
      </c>
      <c r="H512" s="66" t="n">
        <f>'Prediction Log'!$J513</f>
        <v>0</v>
      </c>
      <c r="I512" s="65" t="str">
        <f>IF(ISBLANK(Games!T512), "",IF(AND(Games!T512="",Games!U512=""),"",IF(ISTEXT(Games!U512), "Side",Games!T512)))</f>
      </c>
      <c r="J512" s="65" t="str">
        <f>IF(ISBLANK(Games!T512), "",IF(Table12[[#This Row],[Bet]]="Spread", Games!X512, ""))</f>
      </c>
      <c r="K512" s="65" t="str">
        <f>IF(ISBLANK(Games!U512), "",IF(ISTEXT(Games!U512), Games!U512, ""))</f>
      </c>
      <c r="L512" s="57" t="str">
        <f>IF(ISBLANK(Games!D512), "", Games!D512)</f>
      </c>
      <c r="M512" s="65"/>
      <c r="N512" s="75" t="str">
        <f>IF(Games!V512="", "",Games!V512)</f>
      </c>
      <c r="O512" s="75" t="str">
        <f>IF(Games!Z512=0, "",Games!Z512)</f>
      </c>
      <c r="P512" s="67"/>
      <c r="Q512" s="67" t="str">
        <f>IF(ISBLANK(Games!W512), "", Games!W512)</f>
      </c>
      <c r="R512" s="67" t="str">
        <f>IF(ISBLANK(Games!AA512), "", Games!AA512)</f>
      </c>
      <c r="S512" s="67"/>
      <c r="T512" s="68" t="str">
        <f t="shared" si="70"/>
      </c>
      <c r="U512" s="68" t="str">
        <f t="shared" si="71"/>
      </c>
      <c r="V512" s="68" t="str">
        <f t="shared" si="72"/>
      </c>
      <c r="W512" s="68" t="str">
        <f t="shared" si="73"/>
      </c>
      <c r="X512" s="68" t="n">
        <f t="shared" si="75"/>
        <v>0</v>
      </c>
      <c r="Y512" s="68" t="n">
        <f t="shared" si="76"/>
        <v>0</v>
      </c>
      <c r="Z512" s="67" t="str">
        <f>IF(OR('Prediction Log'!L513="", Table12[[#This Row],[Bet]]="", Table12[[#This Row],[Bet]]="Spread"), "",IF('Prediction Log'!L513=Table12[[#This Row],[Side]], "W", IF('Prediction Log'!L513&lt;&gt;Table12[[#This Row],[Side]], "L", "")))</f>
      </c>
      <c r="AA512" s="59" t="str">
        <f t="shared" si="77"/>
      </c>
      <c r="AB512" s="67" t="str">
        <f>IF(OR(Table12[[#This Row],[Bet]]="Side",Table12[[#This Row],[Bet]]="", 'Prediction Log'!L513=""), "",IF('Prediction Log'!U513="Y", "W", IF('Prediction Log'!U513="N", "L", "")))</f>
      </c>
      <c r="AC512" s="59" t="str">
        <f t="shared" si="69"/>
      </c>
      <c r="AD512" s="67"/>
      <c r="AE512" s="65" t="str">
        <f t="shared" si="74"/>
      </c>
      <c r="AF5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3">
      <c r="A513" s="65" t="str">
        <f>IF(ISBLANK(Games!A513), "", Games!A513)</f>
      </c>
      <c r="B513" s="65" t="str">
        <f>IF('Prediction Log'!B514=0, "",'Prediction Log'!B514)</f>
      </c>
      <c r="C513" s="65" t="str">
        <f>IF('Prediction Log'!C514=0, "",'Prediction Log'!C514)</f>
      </c>
      <c r="D513" s="65" t="str">
        <f>IF('Prediction Log'!D514=0, "",'Prediction Log'!D514)</f>
      </c>
      <c r="E513" s="58" t="str">
        <f>IF('Prediction Log'!E514=0, "",'Prediction Log'!E514)</f>
      </c>
      <c r="F513" s="65" t="str">
        <f>IF('Prediction Log'!H514=0, "",'Prediction Log'!H514)</f>
      </c>
      <c r="G513" s="64" t="str">
        <f>IF(ISBLANK(Games!B513), "",'Prediction Log'!$I514)</f>
      </c>
      <c r="H513" s="66" t="n">
        <f>'Prediction Log'!$J514</f>
        <v>0</v>
      </c>
      <c r="I513" s="65" t="str">
        <f>IF(ISBLANK(Games!T513), "",IF(AND(Games!T513="",Games!U513=""),"",IF(ISTEXT(Games!U513), "Side",Games!T513)))</f>
      </c>
      <c r="J513" s="65" t="str">
        <f>IF(ISBLANK(Games!T513), "",IF(Table12[[#This Row],[Bet]]="Spread", Games!X513, ""))</f>
      </c>
      <c r="K513" s="65" t="str">
        <f>IF(ISBLANK(Games!U513), "",IF(ISTEXT(Games!U513), Games!U513, ""))</f>
      </c>
      <c r="L513" s="57" t="str">
        <f>IF(ISBLANK(Games!D513), "", Games!D513)</f>
      </c>
      <c r="M513" s="65"/>
      <c r="N513" s="75" t="str">
        <f>IF(Games!V513="", "",Games!V513)</f>
      </c>
      <c r="O513" s="75" t="str">
        <f>IF(Games!Z513=0, "",Games!Z513)</f>
      </c>
      <c r="P513" s="67"/>
      <c r="Q513" s="67" t="str">
        <f>IF(ISBLANK(Games!W513), "", Games!W513)</f>
      </c>
      <c r="R513" s="67" t="str">
        <f>IF(ISBLANK(Games!AA513), "", Games!AA513)</f>
      </c>
      <c r="S513" s="67"/>
      <c r="T513" s="68" t="str">
        <f t="shared" si="70"/>
      </c>
      <c r="U513" s="68" t="str">
        <f t="shared" si="71"/>
      </c>
      <c r="V513" s="68" t="str">
        <f t="shared" si="72"/>
      </c>
      <c r="W513" s="68" t="str">
        <f t="shared" si="73"/>
      </c>
      <c r="X513" s="68" t="n">
        <f t="shared" si="75"/>
        <v>0</v>
      </c>
      <c r="Y513" s="68" t="n">
        <f t="shared" si="76"/>
        <v>0</v>
      </c>
      <c r="Z513" s="67" t="str">
        <f>IF(OR('Prediction Log'!L514="", Table12[[#This Row],[Bet]]="", Table12[[#This Row],[Bet]]="Spread"), "",IF('Prediction Log'!L514=Table12[[#This Row],[Side]], "W", IF('Prediction Log'!L514&lt;&gt;Table12[[#This Row],[Side]], "L", "")))</f>
      </c>
      <c r="AA513" s="59" t="str">
        <f t="shared" si="77"/>
      </c>
      <c r="AB513" s="67" t="str">
        <f>IF(OR(Table12[[#This Row],[Bet]]="Side",Table12[[#This Row],[Bet]]="", 'Prediction Log'!L514=""), "",IF('Prediction Log'!U514="Y", "W", IF('Prediction Log'!U514="N", "L", "")))</f>
      </c>
      <c r="AC513" s="59" t="str">
        <f t="shared" si="69"/>
      </c>
      <c r="AD513" s="67"/>
      <c r="AE513" s="65" t="str">
        <f t="shared" si="74"/>
      </c>
      <c r="AF5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4">
      <c r="A514" s="65" t="str">
        <f>IF(ISBLANK(Games!A514), "", Games!A514)</f>
      </c>
      <c r="B514" s="65" t="str">
        <f>IF('Prediction Log'!B515=0, "",'Prediction Log'!B515)</f>
      </c>
      <c r="C514" s="65" t="str">
        <f>IF('Prediction Log'!C515=0, "",'Prediction Log'!C515)</f>
      </c>
      <c r="D514" s="65" t="str">
        <f>IF('Prediction Log'!D515=0, "",'Prediction Log'!D515)</f>
      </c>
      <c r="E514" s="58" t="str">
        <f>IF('Prediction Log'!E515=0, "",'Prediction Log'!E515)</f>
      </c>
      <c r="F514" s="65" t="str">
        <f>IF('Prediction Log'!H515=0, "",'Prediction Log'!H515)</f>
      </c>
      <c r="G514" s="64" t="str">
        <f>IF(ISBLANK(Games!B514), "",'Prediction Log'!$I515)</f>
      </c>
      <c r="H514" s="66" t="n">
        <f>'Prediction Log'!$J515</f>
        <v>0</v>
      </c>
      <c r="I514" s="65" t="str">
        <f>IF(ISBLANK(Games!T514), "",IF(AND(Games!T514="",Games!U514=""),"",IF(ISTEXT(Games!U514), "Side",Games!T514)))</f>
      </c>
      <c r="J514" s="65" t="str">
        <f>IF(ISBLANK(Games!T514), "",IF(Table12[[#This Row],[Bet]]="Spread", Games!X514, ""))</f>
      </c>
      <c r="K514" s="65" t="str">
        <f>IF(ISBLANK(Games!U514), "",IF(ISTEXT(Games!U514), Games!U514, ""))</f>
      </c>
      <c r="L514" s="57" t="str">
        <f>IF(ISBLANK(Games!D514), "", Games!D514)</f>
      </c>
      <c r="M514" s="65"/>
      <c r="N514" s="75" t="str">
        <f>IF(Games!V514="", "",Games!V514)</f>
      </c>
      <c r="O514" s="75" t="str">
        <f>IF(Games!Z514=0, "",Games!Z514)</f>
      </c>
      <c r="P514" s="67"/>
      <c r="Q514" s="67" t="str">
        <f>IF(ISBLANK(Games!W514), "", Games!W514)</f>
      </c>
      <c r="R514" s="67" t="str">
        <f>IF(ISBLANK(Games!AA514), "", Games!AA514)</f>
      </c>
      <c r="S514" s="67"/>
      <c r="T514" s="68" t="str">
        <f t="shared" si="70"/>
      </c>
      <c r="U514" s="68" t="str">
        <f t="shared" si="71"/>
      </c>
      <c r="V514" s="68" t="str">
        <f t="shared" si="72"/>
      </c>
      <c r="W514" s="68" t="str">
        <f t="shared" si="73"/>
      </c>
      <c r="X514" s="68" t="n">
        <f t="shared" si="75"/>
        <v>0</v>
      </c>
      <c r="Y514" s="68" t="n">
        <f t="shared" si="76"/>
        <v>0</v>
      </c>
      <c r="Z514" s="67" t="str">
        <f>IF(OR('Prediction Log'!L515="", Table12[[#This Row],[Bet]]="", Table12[[#This Row],[Bet]]="Spread"), "",IF('Prediction Log'!L515=Table12[[#This Row],[Side]], "W", IF('Prediction Log'!L515&lt;&gt;Table12[[#This Row],[Side]], "L", "")))</f>
      </c>
      <c r="AA514" s="59" t="str">
        <f t="shared" si="77"/>
      </c>
      <c r="AB514" s="67" t="str">
        <f>IF(OR(Table12[[#This Row],[Bet]]="Side",Table12[[#This Row],[Bet]]="", 'Prediction Log'!L515=""), "",IF('Prediction Log'!U515="Y", "W", IF('Prediction Log'!U515="N", "L", "")))</f>
      </c>
      <c r="AC514" s="59" t="str">
        <f t="shared" ref="AC514:AC577" si="78">IF(AB514="W", W514, IF(AB514="L",-O514, ""))</f>
      </c>
      <c r="AD514" s="67"/>
      <c r="AE514" s="65" t="str">
        <f t="shared" si="74"/>
      </c>
      <c r="AF5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5">
      <c r="A515" s="65" t="str">
        <f>IF(ISBLANK(Games!A515), "", Games!A515)</f>
      </c>
      <c r="B515" s="65" t="str">
        <f>IF('Prediction Log'!B516=0, "",'Prediction Log'!B516)</f>
      </c>
      <c r="C515" s="65" t="str">
        <f>IF('Prediction Log'!C516=0, "",'Prediction Log'!C516)</f>
      </c>
      <c r="D515" s="65" t="str">
        <f>IF('Prediction Log'!D516=0, "",'Prediction Log'!D516)</f>
      </c>
      <c r="E515" s="58" t="str">
        <f>IF('Prediction Log'!E516=0, "",'Prediction Log'!E516)</f>
      </c>
      <c r="F515" s="65" t="str">
        <f>IF('Prediction Log'!H516=0, "",'Prediction Log'!H516)</f>
      </c>
      <c r="G515" s="64" t="str">
        <f>IF(ISBLANK(Games!B515), "",'Prediction Log'!$I516)</f>
      </c>
      <c r="H515" s="66" t="n">
        <f>'Prediction Log'!$J516</f>
        <v>0</v>
      </c>
      <c r="I515" s="65" t="str">
        <f>IF(ISBLANK(Games!T515), "",IF(AND(Games!T515="",Games!U515=""),"",IF(ISTEXT(Games!U515), "Side",Games!T515)))</f>
      </c>
      <c r="J515" s="65" t="str">
        <f>IF(ISBLANK(Games!T515), "",IF(Table12[[#This Row],[Bet]]="Spread", Games!X515, ""))</f>
      </c>
      <c r="K515" s="65" t="str">
        <f>IF(ISBLANK(Games!U515), "",IF(ISTEXT(Games!U515), Games!U515, ""))</f>
      </c>
      <c r="L515" s="57" t="str">
        <f>IF(ISBLANK(Games!D515), "", Games!D515)</f>
      </c>
      <c r="M515" s="65"/>
      <c r="N515" s="75" t="str">
        <f>IF(Games!V515="", "",Games!V515)</f>
      </c>
      <c r="O515" s="75" t="str">
        <f>IF(Games!Z515=0, "",Games!Z515)</f>
      </c>
      <c r="P515" s="67"/>
      <c r="Q515" s="67" t="str">
        <f>IF(ISBLANK(Games!W515), "", Games!W515)</f>
      </c>
      <c r="R515" s="67" t="str">
        <f>IF(ISBLANK(Games!AA515), "", Games!AA515)</f>
      </c>
      <c r="S515" s="67"/>
      <c r="T515" s="68" t="str">
        <f t="shared" ref="T515:T578" si="79">IFERROR(N515+IF(Q515&lt;0, (N515/(Q515/-100)), N515*(Q515/100)), "")</f>
      </c>
      <c r="U515" s="68" t="str">
        <f t="shared" ref="U515:U578" si="80">IFERROR(T515-N515, "")</f>
      </c>
      <c r="V515" s="68" t="str">
        <f t="shared" ref="V515:V578" si="81">IFERROR(O515+IF(R515&lt;0, (O515/(R515/-100)), O515*(R515/100)), "")</f>
      </c>
      <c r="W515" s="68" t="str">
        <f t="shared" ref="W515:W578" si="82">IFERROR(V515-O515, "")</f>
      </c>
      <c r="X515" s="68" t="n">
        <f t="shared" si="75"/>
        <v>0</v>
      </c>
      <c r="Y515" s="68" t="n">
        <f t="shared" si="76"/>
        <v>0</v>
      </c>
      <c r="Z515" s="67" t="str">
        <f>IF(OR('Prediction Log'!L516="", Table12[[#This Row],[Bet]]="", Table12[[#This Row],[Bet]]="Spread"), "",IF('Prediction Log'!L516=Table12[[#This Row],[Side]], "W", IF('Prediction Log'!L516&lt;&gt;Table12[[#This Row],[Side]], "L", "")))</f>
      </c>
      <c r="AA515" s="59" t="str">
        <f t="shared" si="77"/>
      </c>
      <c r="AB515" s="67" t="str">
        <f>IF(OR(Table12[[#This Row],[Bet]]="Side",Table12[[#This Row],[Bet]]="", 'Prediction Log'!L516=""), "",IF('Prediction Log'!U516="Y", "W", IF('Prediction Log'!U516="N", "L", "")))</f>
      </c>
      <c r="AC515" s="59" t="str">
        <f t="shared" si="78"/>
      </c>
      <c r="AD515" s="67"/>
      <c r="AE515" s="65" t="str">
        <f t="shared" ref="AE515:AE578" si="83">IF(AD515="W", Y515, IF(AD515="L",-R515, ""))</f>
      </c>
      <c r="AF5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6">
      <c r="A516" s="65" t="str">
        <f>IF(ISBLANK(Games!A516), "", Games!A516)</f>
      </c>
      <c r="B516" s="65" t="str">
        <f>IF('Prediction Log'!B517=0, "",'Prediction Log'!B517)</f>
      </c>
      <c r="C516" s="65" t="str">
        <f>IF('Prediction Log'!C517=0, "",'Prediction Log'!C517)</f>
      </c>
      <c r="D516" s="65" t="str">
        <f>IF('Prediction Log'!D517=0, "",'Prediction Log'!D517)</f>
      </c>
      <c r="E516" s="58" t="str">
        <f>IF('Prediction Log'!E517=0, "",'Prediction Log'!E517)</f>
      </c>
      <c r="F516" s="65" t="str">
        <f>IF('Prediction Log'!H517=0, "",'Prediction Log'!H517)</f>
      </c>
      <c r="G516" s="64" t="str">
        <f>IF(ISBLANK(Games!B516), "",'Prediction Log'!$I517)</f>
      </c>
      <c r="H516" s="66" t="n">
        <f>'Prediction Log'!$J517</f>
        <v>0</v>
      </c>
      <c r="I516" s="65" t="str">
        <f>IF(ISBLANK(Games!T516), "",IF(AND(Games!T516="",Games!U516=""),"",IF(ISTEXT(Games!U516), "Side",Games!T516)))</f>
      </c>
      <c r="J516" s="65" t="str">
        <f>IF(ISBLANK(Games!T516), "",IF(Table12[[#This Row],[Bet]]="Spread", Games!X516, ""))</f>
      </c>
      <c r="K516" s="65" t="str">
        <f>IF(ISBLANK(Games!U516), "",IF(ISTEXT(Games!U516), Games!U516, ""))</f>
      </c>
      <c r="L516" s="57" t="str">
        <f>IF(ISBLANK(Games!D516), "", Games!D516)</f>
      </c>
      <c r="M516" s="65"/>
      <c r="N516" s="75" t="str">
        <f>IF(Games!V516="", "",Games!V516)</f>
      </c>
      <c r="O516" s="75" t="str">
        <f>IF(Games!Z516=0, "",Games!Z516)</f>
      </c>
      <c r="P516" s="67"/>
      <c r="Q516" s="67" t="str">
        <f>IF(ISBLANK(Games!W516), "", Games!W516)</f>
      </c>
      <c r="R516" s="67" t="str">
        <f>IF(ISBLANK(Games!AA516), "", Games!AA516)</f>
      </c>
      <c r="S516" s="67"/>
      <c r="T516" s="68" t="str">
        <f t="shared" si="79"/>
      </c>
      <c r="U516" s="68" t="str">
        <f t="shared" si="80"/>
      </c>
      <c r="V516" s="68" t="str">
        <f t="shared" si="81"/>
      </c>
      <c r="W516" s="68" t="str">
        <f t="shared" si="82"/>
      </c>
      <c r="X516" s="68" t="n">
        <f t="shared" si="75"/>
        <v>0</v>
      </c>
      <c r="Y516" s="68" t="n">
        <f t="shared" si="76"/>
        <v>0</v>
      </c>
      <c r="Z516" s="67" t="str">
        <f>IF(OR('Prediction Log'!L517="", Table12[[#This Row],[Bet]]="", Table12[[#This Row],[Bet]]="Spread"), "",IF('Prediction Log'!L517=Table12[[#This Row],[Side]], "W", IF('Prediction Log'!L517&lt;&gt;Table12[[#This Row],[Side]], "L", "")))</f>
      </c>
      <c r="AA516" s="59" t="str">
        <f t="shared" si="77"/>
      </c>
      <c r="AB516" s="67" t="str">
        <f>IF(OR(Table12[[#This Row],[Bet]]="Side",Table12[[#This Row],[Bet]]="", 'Prediction Log'!L517=""), "",IF('Prediction Log'!U517="Y", "W", IF('Prediction Log'!U517="N", "L", "")))</f>
      </c>
      <c r="AC516" s="59" t="str">
        <f t="shared" si="78"/>
      </c>
      <c r="AD516" s="67"/>
      <c r="AE516" s="65" t="str">
        <f t="shared" si="83"/>
      </c>
      <c r="AF5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7">
      <c r="A517" s="65" t="str">
        <f>IF(ISBLANK(Games!A517), "", Games!A517)</f>
      </c>
      <c r="B517" s="65" t="str">
        <f>IF('Prediction Log'!B518=0, "",'Prediction Log'!B518)</f>
      </c>
      <c r="C517" s="65" t="str">
        <f>IF('Prediction Log'!C518=0, "",'Prediction Log'!C518)</f>
      </c>
      <c r="D517" s="65" t="str">
        <f>IF('Prediction Log'!D518=0, "",'Prediction Log'!D518)</f>
      </c>
      <c r="E517" s="58" t="str">
        <f>IF('Prediction Log'!E518=0, "",'Prediction Log'!E518)</f>
      </c>
      <c r="F517" s="65" t="str">
        <f>IF('Prediction Log'!H518=0, "",'Prediction Log'!H518)</f>
      </c>
      <c r="G517" s="64" t="str">
        <f>IF(ISBLANK(Games!B517), "",'Prediction Log'!$I518)</f>
      </c>
      <c r="H517" s="66" t="n">
        <f>'Prediction Log'!$J518</f>
        <v>0</v>
      </c>
      <c r="I517" s="65" t="str">
        <f>IF(ISBLANK(Games!T517), "",IF(AND(Games!T517="",Games!U517=""),"",IF(ISTEXT(Games!U517), "Side",Games!T517)))</f>
      </c>
      <c r="J517" s="65" t="str">
        <f>IF(ISBLANK(Games!T517), "",IF(Table12[[#This Row],[Bet]]="Spread", Games!X517, ""))</f>
      </c>
      <c r="K517" s="65" t="str">
        <f>IF(ISBLANK(Games!U517), "",IF(ISTEXT(Games!U517), Games!U517, ""))</f>
      </c>
      <c r="L517" s="57" t="str">
        <f>IF(ISBLANK(Games!D517), "", Games!D517)</f>
      </c>
      <c r="M517" s="65"/>
      <c r="N517" s="75" t="str">
        <f>IF(Games!V517="", "",Games!V517)</f>
      </c>
      <c r="O517" s="75" t="str">
        <f>IF(Games!Z517=0, "",Games!Z517)</f>
      </c>
      <c r="P517" s="67"/>
      <c r="Q517" s="67" t="str">
        <f>IF(ISBLANK(Games!W517), "", Games!W517)</f>
      </c>
      <c r="R517" s="67" t="str">
        <f>IF(ISBLANK(Games!AA517), "", Games!AA517)</f>
      </c>
      <c r="S517" s="67"/>
      <c r="T517" s="68" t="str">
        <f t="shared" si="79"/>
      </c>
      <c r="U517" s="68" t="str">
        <f t="shared" si="80"/>
      </c>
      <c r="V517" s="68" t="str">
        <f t="shared" si="81"/>
      </c>
      <c r="W517" s="68" t="str">
        <f t="shared" si="82"/>
      </c>
      <c r="X517" s="68" t="n">
        <f t="shared" si="75"/>
        <v>0</v>
      </c>
      <c r="Y517" s="68" t="n">
        <f t="shared" si="76"/>
        <v>0</v>
      </c>
      <c r="Z517" s="67" t="str">
        <f>IF(OR('Prediction Log'!L518="", Table12[[#This Row],[Bet]]="", Table12[[#This Row],[Bet]]="Spread"), "",IF('Prediction Log'!L518=Table12[[#This Row],[Side]], "W", IF('Prediction Log'!L518&lt;&gt;Table12[[#This Row],[Side]], "L", "")))</f>
      </c>
      <c r="AA517" s="59" t="str">
        <f t="shared" si="77"/>
      </c>
      <c r="AB517" s="67" t="str">
        <f>IF(OR(Table12[[#This Row],[Bet]]="Side",Table12[[#This Row],[Bet]]="", 'Prediction Log'!L518=""), "",IF('Prediction Log'!U518="Y", "W", IF('Prediction Log'!U518="N", "L", "")))</f>
      </c>
      <c r="AC517" s="59" t="str">
        <f t="shared" si="78"/>
      </c>
      <c r="AD517" s="67"/>
      <c r="AE517" s="65" t="str">
        <f t="shared" si="83"/>
      </c>
      <c r="AF5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8">
      <c r="A518" s="65" t="str">
        <f>IF(ISBLANK(Games!A518), "", Games!A518)</f>
      </c>
      <c r="B518" s="65" t="str">
        <f>IF('Prediction Log'!B519=0, "",'Prediction Log'!B519)</f>
      </c>
      <c r="C518" s="65" t="str">
        <f>IF('Prediction Log'!C519=0, "",'Prediction Log'!C519)</f>
      </c>
      <c r="D518" s="65" t="str">
        <f>IF('Prediction Log'!D519=0, "",'Prediction Log'!D519)</f>
      </c>
      <c r="E518" s="58" t="str">
        <f>IF('Prediction Log'!E519=0, "",'Prediction Log'!E519)</f>
      </c>
      <c r="F518" s="65" t="str">
        <f>IF('Prediction Log'!H519=0, "",'Prediction Log'!H519)</f>
      </c>
      <c r="G518" s="64" t="str">
        <f>IF(ISBLANK(Games!B518), "",'Prediction Log'!$I519)</f>
      </c>
      <c r="H518" s="66" t="n">
        <f>'Prediction Log'!$J519</f>
        <v>0</v>
      </c>
      <c r="I518" s="65" t="str">
        <f>IF(ISBLANK(Games!T518), "",IF(AND(Games!T518="",Games!U518=""),"",IF(ISTEXT(Games!U518), "Side",Games!T518)))</f>
      </c>
      <c r="J518" s="65" t="str">
        <f>IF(ISBLANK(Games!T518), "",IF(Table12[[#This Row],[Bet]]="Spread", Games!X518, ""))</f>
      </c>
      <c r="K518" s="65" t="str">
        <f>IF(ISBLANK(Games!U518), "",IF(ISTEXT(Games!U518), Games!U518, ""))</f>
      </c>
      <c r="L518" s="57" t="str">
        <f>IF(ISBLANK(Games!D518), "", Games!D518)</f>
      </c>
      <c r="M518" s="65"/>
      <c r="N518" s="75" t="str">
        <f>IF(Games!V518="", "",Games!V518)</f>
      </c>
      <c r="O518" s="75" t="str">
        <f>IF(Games!Z518=0, "",Games!Z518)</f>
      </c>
      <c r="P518" s="67"/>
      <c r="Q518" s="67" t="str">
        <f>IF(ISBLANK(Games!W518), "", Games!W518)</f>
      </c>
      <c r="R518" s="67" t="str">
        <f>IF(ISBLANK(Games!AA518), "", Games!AA518)</f>
      </c>
      <c r="S518" s="67"/>
      <c r="T518" s="68" t="str">
        <f t="shared" si="79"/>
      </c>
      <c r="U518" s="68" t="str">
        <f t="shared" si="80"/>
      </c>
      <c r="V518" s="68" t="str">
        <f t="shared" si="81"/>
      </c>
      <c r="W518" s="68" t="str">
        <f t="shared" si="82"/>
      </c>
      <c r="X518" s="68" t="n">
        <f t="shared" si="75"/>
        <v>0</v>
      </c>
      <c r="Y518" s="68" t="n">
        <f t="shared" si="76"/>
        <v>0</v>
      </c>
      <c r="Z518" s="67" t="str">
        <f>IF(OR('Prediction Log'!L519="", Table12[[#This Row],[Bet]]="", Table12[[#This Row],[Bet]]="Spread"), "",IF('Prediction Log'!L519=Table12[[#This Row],[Side]], "W", IF('Prediction Log'!L519&lt;&gt;Table12[[#This Row],[Side]], "L", "")))</f>
      </c>
      <c r="AA518" s="59" t="str">
        <f t="shared" si="77"/>
      </c>
      <c r="AB518" s="67" t="str">
        <f>IF(OR(Table12[[#This Row],[Bet]]="Side",Table12[[#This Row],[Bet]]="", 'Prediction Log'!L519=""), "",IF('Prediction Log'!U519="Y", "W", IF('Prediction Log'!U519="N", "L", "")))</f>
      </c>
      <c r="AC518" s="59" t="str">
        <f t="shared" si="78"/>
      </c>
      <c r="AD518" s="67"/>
      <c r="AE518" s="65" t="str">
        <f t="shared" si="83"/>
      </c>
      <c r="AF5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9">
      <c r="A519" s="65" t="str">
        <f>IF(ISBLANK(Games!A519), "", Games!A519)</f>
      </c>
      <c r="B519" s="65" t="str">
        <f>IF('Prediction Log'!B520=0, "",'Prediction Log'!B520)</f>
      </c>
      <c r="C519" s="65" t="str">
        <f>IF('Prediction Log'!C520=0, "",'Prediction Log'!C520)</f>
      </c>
      <c r="D519" s="65" t="str">
        <f>IF('Prediction Log'!D520=0, "",'Prediction Log'!D520)</f>
      </c>
      <c r="E519" s="58" t="str">
        <f>IF('Prediction Log'!E520=0, "",'Prediction Log'!E520)</f>
      </c>
      <c r="F519" s="65" t="str">
        <f>IF('Prediction Log'!H520=0, "",'Prediction Log'!H520)</f>
      </c>
      <c r="G519" s="64" t="str">
        <f>IF(ISBLANK(Games!B519), "",'Prediction Log'!$I520)</f>
      </c>
      <c r="H519" s="66" t="n">
        <f>'Prediction Log'!$J520</f>
        <v>0</v>
      </c>
      <c r="I519" s="65" t="str">
        <f>IF(ISBLANK(Games!T519), "",IF(AND(Games!T519="",Games!U519=""),"",IF(ISTEXT(Games!U519), "Side",Games!T519)))</f>
      </c>
      <c r="J519" s="65" t="str">
        <f>IF(ISBLANK(Games!T519), "",IF(Table12[[#This Row],[Bet]]="Spread", Games!X519, ""))</f>
      </c>
      <c r="K519" s="65" t="str">
        <f>IF(ISBLANK(Games!U519), "",IF(ISTEXT(Games!U519), Games!U519, ""))</f>
      </c>
      <c r="L519" s="57" t="str">
        <f>IF(ISBLANK(Games!D519), "", Games!D519)</f>
      </c>
      <c r="M519" s="65"/>
      <c r="N519" s="75" t="str">
        <f>IF(Games!V519="", "",Games!V519)</f>
      </c>
      <c r="O519" s="75" t="str">
        <f>IF(Games!Z519=0, "",Games!Z519)</f>
      </c>
      <c r="P519" s="67"/>
      <c r="Q519" s="67" t="str">
        <f>IF(ISBLANK(Games!W519), "", Games!W519)</f>
      </c>
      <c r="R519" s="67" t="str">
        <f>IF(ISBLANK(Games!AA519), "", Games!AA519)</f>
      </c>
      <c r="S519" s="67"/>
      <c r="T519" s="68" t="str">
        <f t="shared" si="79"/>
      </c>
      <c r="U519" s="68" t="str">
        <f t="shared" si="80"/>
      </c>
      <c r="V519" s="68" t="str">
        <f t="shared" si="81"/>
      </c>
      <c r="W519" s="68" t="str">
        <f t="shared" si="82"/>
      </c>
      <c r="X519" s="68" t="n">
        <f t="shared" si="75"/>
        <v>0</v>
      </c>
      <c r="Y519" s="68" t="n">
        <f t="shared" si="76"/>
        <v>0</v>
      </c>
      <c r="Z519" s="67" t="str">
        <f>IF(OR('Prediction Log'!L520="", Table12[[#This Row],[Bet]]="", Table12[[#This Row],[Bet]]="Spread"), "",IF('Prediction Log'!L520=Table12[[#This Row],[Side]], "W", IF('Prediction Log'!L520&lt;&gt;Table12[[#This Row],[Side]], "L", "")))</f>
      </c>
      <c r="AA519" s="59" t="str">
        <f t="shared" si="77"/>
      </c>
      <c r="AB519" s="67" t="str">
        <f>IF(OR(Table12[[#This Row],[Bet]]="Side",Table12[[#This Row],[Bet]]="", 'Prediction Log'!L520=""), "",IF('Prediction Log'!U520="Y", "W", IF('Prediction Log'!U520="N", "L", "")))</f>
      </c>
      <c r="AC519" s="59" t="str">
        <f t="shared" si="78"/>
      </c>
      <c r="AD519" s="67"/>
      <c r="AE519" s="65" t="str">
        <f t="shared" si="83"/>
      </c>
      <c r="AF5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0">
      <c r="A520" s="65" t="str">
        <f>IF(ISBLANK(Games!A520), "", Games!A520)</f>
      </c>
      <c r="B520" s="65" t="str">
        <f>IF('Prediction Log'!B521=0, "",'Prediction Log'!B521)</f>
      </c>
      <c r="C520" s="65" t="str">
        <f>IF('Prediction Log'!C521=0, "",'Prediction Log'!C521)</f>
      </c>
      <c r="D520" s="65" t="str">
        <f>IF('Prediction Log'!D521=0, "",'Prediction Log'!D521)</f>
      </c>
      <c r="E520" s="58" t="str">
        <f>IF('Prediction Log'!E521=0, "",'Prediction Log'!E521)</f>
      </c>
      <c r="F520" s="65" t="str">
        <f>IF('Prediction Log'!H521=0, "",'Prediction Log'!H521)</f>
      </c>
      <c r="G520" s="64" t="str">
        <f>IF(ISBLANK(Games!B520), "",'Prediction Log'!$I521)</f>
      </c>
      <c r="H520" s="66" t="n">
        <f>'Prediction Log'!$J521</f>
        <v>0</v>
      </c>
      <c r="I520" s="65" t="str">
        <f>IF(ISBLANK(Games!T520), "",IF(AND(Games!T520="",Games!U520=""),"",IF(ISTEXT(Games!U520), "Side",Games!T520)))</f>
      </c>
      <c r="J520" s="65" t="str">
        <f>IF(ISBLANK(Games!T520), "",IF(Table12[[#This Row],[Bet]]="Spread", Games!X520, ""))</f>
      </c>
      <c r="K520" s="65" t="str">
        <f>IF(ISBLANK(Games!U520), "",IF(ISTEXT(Games!U520), Games!U520, ""))</f>
      </c>
      <c r="L520" s="57" t="str">
        <f>IF(ISBLANK(Games!D520), "", Games!D520)</f>
      </c>
      <c r="M520" s="65"/>
      <c r="N520" s="75" t="str">
        <f>IF(Games!V520="", "",Games!V520)</f>
      </c>
      <c r="O520" s="75" t="str">
        <f>IF(Games!Z520=0, "",Games!Z520)</f>
      </c>
      <c r="P520" s="67"/>
      <c r="Q520" s="67" t="str">
        <f>IF(ISBLANK(Games!W520), "", Games!W520)</f>
      </c>
      <c r="R520" s="67" t="str">
        <f>IF(ISBLANK(Games!AA520), "", Games!AA520)</f>
      </c>
      <c r="S520" s="67"/>
      <c r="T520" s="68" t="str">
        <f t="shared" si="79"/>
      </c>
      <c r="U520" s="68" t="str">
        <f t="shared" si="80"/>
      </c>
      <c r="V520" s="68" t="str">
        <f t="shared" si="81"/>
      </c>
      <c r="W520" s="68" t="str">
        <f t="shared" si="82"/>
      </c>
      <c r="X520" s="68" t="n">
        <f t="shared" si="75"/>
        <v>0</v>
      </c>
      <c r="Y520" s="68" t="n">
        <f t="shared" si="76"/>
        <v>0</v>
      </c>
      <c r="Z520" s="67" t="str">
        <f>IF(OR('Prediction Log'!L521="", Table12[[#This Row],[Bet]]="", Table12[[#This Row],[Bet]]="Spread"), "",IF('Prediction Log'!L521=Table12[[#This Row],[Side]], "W", IF('Prediction Log'!L521&lt;&gt;Table12[[#This Row],[Side]], "L", "")))</f>
      </c>
      <c r="AA520" s="59" t="str">
        <f t="shared" si="77"/>
      </c>
      <c r="AB520" s="67" t="str">
        <f>IF(OR(Table12[[#This Row],[Bet]]="Side",Table12[[#This Row],[Bet]]="", 'Prediction Log'!L521=""), "",IF('Prediction Log'!U521="Y", "W", IF('Prediction Log'!U521="N", "L", "")))</f>
      </c>
      <c r="AC520" s="59" t="str">
        <f t="shared" si="78"/>
      </c>
      <c r="AD520" s="67"/>
      <c r="AE520" s="65" t="str">
        <f t="shared" si="83"/>
      </c>
      <c r="AF5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1">
      <c r="A521" s="65" t="str">
        <f>IF(ISBLANK(Games!A521), "", Games!A521)</f>
      </c>
      <c r="B521" s="65" t="str">
        <f>IF('Prediction Log'!B522=0, "",'Prediction Log'!B522)</f>
      </c>
      <c r="C521" s="65" t="str">
        <f>IF('Prediction Log'!C522=0, "",'Prediction Log'!C522)</f>
      </c>
      <c r="D521" s="65" t="str">
        <f>IF('Prediction Log'!D522=0, "",'Prediction Log'!D522)</f>
      </c>
      <c r="E521" s="58" t="str">
        <f>IF('Prediction Log'!E522=0, "",'Prediction Log'!E522)</f>
      </c>
      <c r="F521" s="65" t="str">
        <f>IF('Prediction Log'!H522=0, "",'Prediction Log'!H522)</f>
      </c>
      <c r="G521" s="64" t="str">
        <f>IF(ISBLANK(Games!B521), "",'Prediction Log'!$I522)</f>
      </c>
      <c r="H521" s="66" t="n">
        <f>'Prediction Log'!$J522</f>
        <v>0</v>
      </c>
      <c r="I521" s="65" t="str">
        <f>IF(ISBLANK(Games!T521), "",IF(AND(Games!T521="",Games!U521=""),"",IF(ISTEXT(Games!U521), "Side",Games!T521)))</f>
      </c>
      <c r="J521" s="65" t="str">
        <f>IF(ISBLANK(Games!T521), "",IF(Table12[[#This Row],[Bet]]="Spread", Games!X521, ""))</f>
      </c>
      <c r="K521" s="65" t="str">
        <f>IF(ISBLANK(Games!U521), "",IF(ISTEXT(Games!U521), Games!U521, ""))</f>
      </c>
      <c r="L521" s="57" t="str">
        <f>IF(ISBLANK(Games!D521), "", Games!D521)</f>
      </c>
      <c r="M521" s="65"/>
      <c r="N521" s="75" t="str">
        <f>IF(Games!V521="", "",Games!V521)</f>
      </c>
      <c r="O521" s="75" t="str">
        <f>IF(Games!Z521=0, "",Games!Z521)</f>
      </c>
      <c r="P521" s="67"/>
      <c r="Q521" s="67" t="str">
        <f>IF(ISBLANK(Games!W521), "", Games!W521)</f>
      </c>
      <c r="R521" s="67" t="str">
        <f>IF(ISBLANK(Games!AA521), "", Games!AA521)</f>
      </c>
      <c r="S521" s="67"/>
      <c r="T521" s="68" t="str">
        <f t="shared" si="79"/>
      </c>
      <c r="U521" s="68" t="str">
        <f t="shared" si="80"/>
      </c>
      <c r="V521" s="68" t="str">
        <f t="shared" si="81"/>
      </c>
      <c r="W521" s="68" t="str">
        <f t="shared" si="82"/>
      </c>
      <c r="X521" s="68" t="n">
        <f t="shared" si="75"/>
        <v>0</v>
      </c>
      <c r="Y521" s="68" t="n">
        <f t="shared" si="76"/>
        <v>0</v>
      </c>
      <c r="Z521" s="67" t="str">
        <f>IF(OR('Prediction Log'!L522="", Table12[[#This Row],[Bet]]="", Table12[[#This Row],[Bet]]="Spread"), "",IF('Prediction Log'!L522=Table12[[#This Row],[Side]], "W", IF('Prediction Log'!L522&lt;&gt;Table12[[#This Row],[Side]], "L", "")))</f>
      </c>
      <c r="AA521" s="59" t="str">
        <f t="shared" si="77"/>
      </c>
      <c r="AB521" s="67" t="str">
        <f>IF(OR(Table12[[#This Row],[Bet]]="Side",Table12[[#This Row],[Bet]]="", 'Prediction Log'!L522=""), "",IF('Prediction Log'!U522="Y", "W", IF('Prediction Log'!U522="N", "L", "")))</f>
      </c>
      <c r="AC521" s="59" t="str">
        <f t="shared" si="78"/>
      </c>
      <c r="AD521" s="67"/>
      <c r="AE521" s="65" t="str">
        <f t="shared" si="83"/>
      </c>
      <c r="AF5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2">
      <c r="A522" s="65" t="str">
        <f>IF(ISBLANK(Games!A522), "", Games!A522)</f>
      </c>
      <c r="B522" s="65" t="str">
        <f>IF('Prediction Log'!B523=0, "",'Prediction Log'!B523)</f>
      </c>
      <c r="C522" s="65" t="str">
        <f>IF('Prediction Log'!C523=0, "",'Prediction Log'!C523)</f>
      </c>
      <c r="D522" s="65" t="str">
        <f>IF('Prediction Log'!D523=0, "",'Prediction Log'!D523)</f>
      </c>
      <c r="E522" s="58" t="str">
        <f>IF('Prediction Log'!E523=0, "",'Prediction Log'!E523)</f>
      </c>
      <c r="F522" s="65" t="str">
        <f>IF('Prediction Log'!H523=0, "",'Prediction Log'!H523)</f>
      </c>
      <c r="G522" s="64" t="str">
        <f>IF(ISBLANK(Games!B522), "",'Prediction Log'!$I523)</f>
      </c>
      <c r="H522" s="66" t="n">
        <f>'Prediction Log'!$J523</f>
        <v>0</v>
      </c>
      <c r="I522" s="65" t="str">
        <f>IF(ISBLANK(Games!T522), "",IF(AND(Games!T522="",Games!U522=""),"",IF(ISTEXT(Games!U522), "Side",Games!T522)))</f>
      </c>
      <c r="J522" s="65" t="str">
        <f>IF(ISBLANK(Games!T522), "",IF(Table12[[#This Row],[Bet]]="Spread", Games!X522, ""))</f>
      </c>
      <c r="K522" s="65" t="str">
        <f>IF(ISBLANK(Games!U522), "",IF(ISTEXT(Games!U522), Games!U522, ""))</f>
      </c>
      <c r="L522" s="57" t="str">
        <f>IF(ISBLANK(Games!D522), "", Games!D522)</f>
      </c>
      <c r="M522" s="65"/>
      <c r="N522" s="75" t="str">
        <f>IF(Games!V522="", "",Games!V522)</f>
      </c>
      <c r="O522" s="75" t="str">
        <f>IF(Games!Z522=0, "",Games!Z522)</f>
      </c>
      <c r="P522" s="67"/>
      <c r="Q522" s="67" t="str">
        <f>IF(ISBLANK(Games!W522), "", Games!W522)</f>
      </c>
      <c r="R522" s="67" t="str">
        <f>IF(ISBLANK(Games!AA522), "", Games!AA522)</f>
      </c>
      <c r="S522" s="67"/>
      <c r="T522" s="68" t="str">
        <f t="shared" si="79"/>
      </c>
      <c r="U522" s="68" t="str">
        <f t="shared" si="80"/>
      </c>
      <c r="V522" s="68" t="str">
        <f t="shared" si="81"/>
      </c>
      <c r="W522" s="68" t="str">
        <f t="shared" si="82"/>
      </c>
      <c r="X522" s="68" t="n">
        <f t="shared" si="75"/>
        <v>0</v>
      </c>
      <c r="Y522" s="68" t="n">
        <f t="shared" si="76"/>
        <v>0</v>
      </c>
      <c r="Z522" s="67" t="str">
        <f>IF(OR('Prediction Log'!L523="", Table12[[#This Row],[Bet]]="", Table12[[#This Row],[Bet]]="Spread"), "",IF('Prediction Log'!L523=Table12[[#This Row],[Side]], "W", IF('Prediction Log'!L523&lt;&gt;Table12[[#This Row],[Side]], "L", "")))</f>
      </c>
      <c r="AA522" s="59" t="str">
        <f t="shared" si="77"/>
      </c>
      <c r="AB522" s="67" t="str">
        <f>IF(OR(Table12[[#This Row],[Bet]]="Side",Table12[[#This Row],[Bet]]="", 'Prediction Log'!L523=""), "",IF('Prediction Log'!U523="Y", "W", IF('Prediction Log'!U523="N", "L", "")))</f>
      </c>
      <c r="AC522" s="59" t="str">
        <f t="shared" si="78"/>
      </c>
      <c r="AD522" s="67"/>
      <c r="AE522" s="65" t="str">
        <f t="shared" si="83"/>
      </c>
      <c r="AF5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3">
      <c r="A523" s="65" t="str">
        <f>IF(ISBLANK(Games!A523), "", Games!A523)</f>
      </c>
      <c r="B523" s="65" t="str">
        <f>IF('Prediction Log'!B524=0, "",'Prediction Log'!B524)</f>
      </c>
      <c r="C523" s="65" t="str">
        <f>IF('Prediction Log'!C524=0, "",'Prediction Log'!C524)</f>
      </c>
      <c r="D523" s="65" t="str">
        <f>IF('Prediction Log'!D524=0, "",'Prediction Log'!D524)</f>
      </c>
      <c r="E523" s="58" t="str">
        <f>IF('Prediction Log'!E524=0, "",'Prediction Log'!E524)</f>
      </c>
      <c r="F523" s="65" t="str">
        <f>IF('Prediction Log'!H524=0, "",'Prediction Log'!H524)</f>
      </c>
      <c r="G523" s="64" t="str">
        <f>IF(ISBLANK(Games!B523), "",'Prediction Log'!$I524)</f>
      </c>
      <c r="H523" s="66" t="n">
        <f>'Prediction Log'!$J524</f>
        <v>0</v>
      </c>
      <c r="I523" s="65" t="str">
        <f>IF(ISBLANK(Games!T523), "",IF(AND(Games!T523="",Games!U523=""),"",IF(ISTEXT(Games!U523), "Side",Games!T523)))</f>
      </c>
      <c r="J523" s="65" t="str">
        <f>IF(ISBLANK(Games!T523), "",IF(Table12[[#This Row],[Bet]]="Spread", Games!X523, ""))</f>
      </c>
      <c r="K523" s="65" t="str">
        <f>IF(ISBLANK(Games!U523), "",IF(ISTEXT(Games!U523), Games!U523, ""))</f>
      </c>
      <c r="L523" s="57" t="str">
        <f>IF(ISBLANK(Games!D523), "", Games!D523)</f>
      </c>
      <c r="M523" s="65"/>
      <c r="N523" s="75" t="str">
        <f>IF(Games!V523="", "",Games!V523)</f>
      </c>
      <c r="O523" s="75" t="str">
        <f>IF(Games!Z523=0, "",Games!Z523)</f>
      </c>
      <c r="P523" s="67"/>
      <c r="Q523" s="67" t="str">
        <f>IF(ISBLANK(Games!W523), "", Games!W523)</f>
      </c>
      <c r="R523" s="67" t="str">
        <f>IF(ISBLANK(Games!AA523), "", Games!AA523)</f>
      </c>
      <c r="S523" s="67"/>
      <c r="T523" s="68" t="str">
        <f t="shared" si="79"/>
      </c>
      <c r="U523" s="68" t="str">
        <f t="shared" si="80"/>
      </c>
      <c r="V523" s="68" t="str">
        <f t="shared" si="81"/>
      </c>
      <c r="W523" s="68" t="str">
        <f t="shared" si="82"/>
      </c>
      <c r="X523" s="68" t="n">
        <f t="shared" si="75"/>
        <v>0</v>
      </c>
      <c r="Y523" s="68" t="n">
        <f t="shared" si="76"/>
        <v>0</v>
      </c>
      <c r="Z523" s="67" t="str">
        <f>IF(OR('Prediction Log'!L524="", Table12[[#This Row],[Bet]]="", Table12[[#This Row],[Bet]]="Spread"), "",IF('Prediction Log'!L524=Table12[[#This Row],[Side]], "W", IF('Prediction Log'!L524&lt;&gt;Table12[[#This Row],[Side]], "L", "")))</f>
      </c>
      <c r="AA523" s="59" t="str">
        <f t="shared" si="77"/>
      </c>
      <c r="AB523" s="67" t="str">
        <f>IF(OR(Table12[[#This Row],[Bet]]="Side",Table12[[#This Row],[Bet]]="", 'Prediction Log'!L524=""), "",IF('Prediction Log'!U524="Y", "W", IF('Prediction Log'!U524="N", "L", "")))</f>
      </c>
      <c r="AC523" s="59" t="str">
        <f t="shared" si="78"/>
      </c>
      <c r="AD523" s="67"/>
      <c r="AE523" s="65" t="str">
        <f t="shared" si="83"/>
      </c>
      <c r="AF5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4">
      <c r="A524" s="65" t="str">
        <f>IF(ISBLANK(Games!A524), "", Games!A524)</f>
      </c>
      <c r="B524" s="65" t="str">
        <f>IF('Prediction Log'!B525=0, "",'Prediction Log'!B525)</f>
      </c>
      <c r="C524" s="65" t="str">
        <f>IF('Prediction Log'!C525=0, "",'Prediction Log'!C525)</f>
      </c>
      <c r="D524" s="65" t="str">
        <f>IF('Prediction Log'!D525=0, "",'Prediction Log'!D525)</f>
      </c>
      <c r="E524" s="58" t="str">
        <f>IF('Prediction Log'!E525=0, "",'Prediction Log'!E525)</f>
      </c>
      <c r="F524" s="65" t="str">
        <f>IF('Prediction Log'!H525=0, "",'Prediction Log'!H525)</f>
      </c>
      <c r="G524" s="64" t="str">
        <f>IF(ISBLANK(Games!B524), "",'Prediction Log'!$I525)</f>
      </c>
      <c r="H524" s="66" t="n">
        <f>'Prediction Log'!$J525</f>
        <v>0</v>
      </c>
      <c r="I524" s="65" t="str">
        <f>IF(ISBLANK(Games!T524), "",IF(AND(Games!T524="",Games!U524=""),"",IF(ISTEXT(Games!U524), "Side",Games!T524)))</f>
      </c>
      <c r="J524" s="65" t="str">
        <f>IF(ISBLANK(Games!T524), "",IF(Table12[[#This Row],[Bet]]="Spread", Games!X524, ""))</f>
      </c>
      <c r="K524" s="65" t="str">
        <f>IF(ISBLANK(Games!U524), "",IF(ISTEXT(Games!U524), Games!U524, ""))</f>
      </c>
      <c r="L524" s="57" t="str">
        <f>IF(ISBLANK(Games!D524), "", Games!D524)</f>
      </c>
      <c r="M524" s="65"/>
      <c r="N524" s="75" t="str">
        <f>IF(Games!V524="", "",Games!V524)</f>
      </c>
      <c r="O524" s="75" t="str">
        <f>IF(Games!Z524=0, "",Games!Z524)</f>
      </c>
      <c r="P524" s="67"/>
      <c r="Q524" s="67" t="str">
        <f>IF(ISBLANK(Games!W524), "", Games!W524)</f>
      </c>
      <c r="R524" s="67" t="str">
        <f>IF(ISBLANK(Games!AA524), "", Games!AA524)</f>
      </c>
      <c r="S524" s="67"/>
      <c r="T524" s="68" t="str">
        <f t="shared" si="79"/>
      </c>
      <c r="U524" s="68" t="str">
        <f t="shared" si="80"/>
      </c>
      <c r="V524" s="68" t="str">
        <f t="shared" si="81"/>
      </c>
      <c r="W524" s="68" t="str">
        <f t="shared" si="82"/>
      </c>
      <c r="X524" s="68" t="n">
        <f t="shared" si="75"/>
        <v>0</v>
      </c>
      <c r="Y524" s="68" t="n">
        <f t="shared" si="76"/>
        <v>0</v>
      </c>
      <c r="Z524" s="67" t="str">
        <f>IF(OR('Prediction Log'!L525="", Table12[[#This Row],[Bet]]="", Table12[[#This Row],[Bet]]="Spread"), "",IF('Prediction Log'!L525=Table12[[#This Row],[Side]], "W", IF('Prediction Log'!L525&lt;&gt;Table12[[#This Row],[Side]], "L", "")))</f>
      </c>
      <c r="AA524" s="59" t="str">
        <f t="shared" si="77"/>
      </c>
      <c r="AB524" s="67" t="str">
        <f>IF(OR(Table12[[#This Row],[Bet]]="Side",Table12[[#This Row],[Bet]]="", 'Prediction Log'!L525=""), "",IF('Prediction Log'!U525="Y", "W", IF('Prediction Log'!U525="N", "L", "")))</f>
      </c>
      <c r="AC524" s="59" t="str">
        <f t="shared" si="78"/>
      </c>
      <c r="AD524" s="67"/>
      <c r="AE524" s="65" t="str">
        <f t="shared" si="83"/>
      </c>
      <c r="AF5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5">
      <c r="A525" s="65" t="str">
        <f>IF(ISBLANK(Games!A525), "", Games!A525)</f>
      </c>
      <c r="B525" s="65" t="str">
        <f>IF('Prediction Log'!B526=0, "",'Prediction Log'!B526)</f>
      </c>
      <c r="C525" s="65" t="str">
        <f>IF('Prediction Log'!C526=0, "",'Prediction Log'!C526)</f>
      </c>
      <c r="D525" s="65" t="str">
        <f>IF('Prediction Log'!D526=0, "",'Prediction Log'!D526)</f>
      </c>
      <c r="E525" s="58" t="str">
        <f>IF('Prediction Log'!E526=0, "",'Prediction Log'!E526)</f>
      </c>
      <c r="F525" s="65" t="str">
        <f>IF('Prediction Log'!H526=0, "",'Prediction Log'!H526)</f>
      </c>
      <c r="G525" s="64" t="str">
        <f>IF(ISBLANK(Games!B525), "",'Prediction Log'!$I526)</f>
      </c>
      <c r="H525" s="66" t="n">
        <f>'Prediction Log'!$J526</f>
        <v>0</v>
      </c>
      <c r="I525" s="65" t="str">
        <f>IF(ISBLANK(Games!T525), "",IF(AND(Games!T525="",Games!U525=""),"",IF(ISTEXT(Games!U525), "Side",Games!T525)))</f>
      </c>
      <c r="J525" s="65" t="str">
        <f>IF(ISBLANK(Games!T525), "",IF(Table12[[#This Row],[Bet]]="Spread", Games!X525, ""))</f>
      </c>
      <c r="K525" s="65" t="str">
        <f>IF(ISBLANK(Games!U525), "",IF(ISTEXT(Games!U525), Games!U525, ""))</f>
      </c>
      <c r="L525" s="57" t="str">
        <f>IF(ISBLANK(Games!D525), "", Games!D525)</f>
      </c>
      <c r="M525" s="65"/>
      <c r="N525" s="75" t="str">
        <f>IF(Games!V525="", "",Games!V525)</f>
      </c>
      <c r="O525" s="75" t="str">
        <f>IF(Games!Z525=0, "",Games!Z525)</f>
      </c>
      <c r="P525" s="67"/>
      <c r="Q525" s="67" t="str">
        <f>IF(ISBLANK(Games!W525), "", Games!W525)</f>
      </c>
      <c r="R525" s="67" t="str">
        <f>IF(ISBLANK(Games!AA525), "", Games!AA525)</f>
      </c>
      <c r="S525" s="67"/>
      <c r="T525" s="68" t="str">
        <f t="shared" si="79"/>
      </c>
      <c r="U525" s="68" t="str">
        <f t="shared" si="80"/>
      </c>
      <c r="V525" s="68" t="str">
        <f t="shared" si="81"/>
      </c>
      <c r="W525" s="68" t="str">
        <f t="shared" si="82"/>
      </c>
      <c r="X525" s="68" t="n">
        <f t="shared" si="75"/>
        <v>0</v>
      </c>
      <c r="Y525" s="68" t="n">
        <f t="shared" si="76"/>
        <v>0</v>
      </c>
      <c r="Z525" s="67" t="str">
        <f>IF(OR('Prediction Log'!L526="", Table12[[#This Row],[Bet]]="", Table12[[#This Row],[Bet]]="Spread"), "",IF('Prediction Log'!L526=Table12[[#This Row],[Side]], "W", IF('Prediction Log'!L526&lt;&gt;Table12[[#This Row],[Side]], "L", "")))</f>
      </c>
      <c r="AA525" s="59" t="str">
        <f t="shared" si="77"/>
      </c>
      <c r="AB525" s="67" t="str">
        <f>IF(OR(Table12[[#This Row],[Bet]]="Side",Table12[[#This Row],[Bet]]="", 'Prediction Log'!L526=""), "",IF('Prediction Log'!U526="Y", "W", IF('Prediction Log'!U526="N", "L", "")))</f>
      </c>
      <c r="AC525" s="59" t="str">
        <f t="shared" si="78"/>
      </c>
      <c r="AD525" s="67"/>
      <c r="AE525" s="65" t="str">
        <f t="shared" si="83"/>
      </c>
      <c r="AF5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6">
      <c r="A526" s="65" t="str">
        <f>IF(ISBLANK(Games!A526), "", Games!A526)</f>
      </c>
      <c r="B526" s="65" t="str">
        <f>IF('Prediction Log'!B527=0, "",'Prediction Log'!B527)</f>
      </c>
      <c r="C526" s="65" t="str">
        <f>IF('Prediction Log'!C527=0, "",'Prediction Log'!C527)</f>
      </c>
      <c r="D526" s="65" t="str">
        <f>IF('Prediction Log'!D527=0, "",'Prediction Log'!D527)</f>
      </c>
      <c r="E526" s="58" t="str">
        <f>IF('Prediction Log'!E527=0, "",'Prediction Log'!E527)</f>
      </c>
      <c r="F526" s="65" t="str">
        <f>IF('Prediction Log'!H527=0, "",'Prediction Log'!H527)</f>
      </c>
      <c r="G526" s="64" t="str">
        <f>IF(ISBLANK(Games!B526), "",'Prediction Log'!$I527)</f>
      </c>
      <c r="H526" s="66" t="n">
        <f>'Prediction Log'!$J527</f>
        <v>0</v>
      </c>
      <c r="I526" s="65" t="str">
        <f>IF(ISBLANK(Games!T526), "",IF(AND(Games!T526="",Games!U526=""),"",IF(ISTEXT(Games!U526), "Side",Games!T526)))</f>
      </c>
      <c r="J526" s="65" t="str">
        <f>IF(ISBLANK(Games!T526), "",IF(Table12[[#This Row],[Bet]]="Spread", Games!X526, ""))</f>
      </c>
      <c r="K526" s="65" t="str">
        <f>IF(ISBLANK(Games!U526), "",IF(ISTEXT(Games!U526), Games!U526, ""))</f>
      </c>
      <c r="L526" s="57" t="str">
        <f>IF(ISBLANK(Games!D526), "", Games!D526)</f>
      </c>
      <c r="M526" s="65"/>
      <c r="N526" s="75" t="str">
        <f>IF(Games!V526="", "",Games!V526)</f>
      </c>
      <c r="O526" s="75" t="str">
        <f>IF(Games!Z526=0, "",Games!Z526)</f>
      </c>
      <c r="P526" s="67"/>
      <c r="Q526" s="67" t="str">
        <f>IF(ISBLANK(Games!W526), "", Games!W526)</f>
      </c>
      <c r="R526" s="67" t="str">
        <f>IF(ISBLANK(Games!AA526), "", Games!AA526)</f>
      </c>
      <c r="S526" s="67"/>
      <c r="T526" s="68" t="str">
        <f t="shared" si="79"/>
      </c>
      <c r="U526" s="68" t="str">
        <f t="shared" si="80"/>
      </c>
      <c r="V526" s="68" t="str">
        <f t="shared" si="81"/>
      </c>
      <c r="W526" s="68" t="str">
        <f t="shared" si="82"/>
      </c>
      <c r="X526" s="68" t="n">
        <f t="shared" si="75"/>
        <v>0</v>
      </c>
      <c r="Y526" s="68" t="n">
        <f t="shared" si="76"/>
        <v>0</v>
      </c>
      <c r="Z526" s="67" t="str">
        <f>IF(OR('Prediction Log'!L527="", Table12[[#This Row],[Bet]]="", Table12[[#This Row],[Bet]]="Spread"), "",IF('Prediction Log'!L527=Table12[[#This Row],[Side]], "W", IF('Prediction Log'!L527&lt;&gt;Table12[[#This Row],[Side]], "L", "")))</f>
      </c>
      <c r="AA526" s="59" t="str">
        <f t="shared" si="77"/>
      </c>
      <c r="AB526" s="67" t="str">
        <f>IF(OR(Table12[[#This Row],[Bet]]="Side",Table12[[#This Row],[Bet]]="", 'Prediction Log'!L527=""), "",IF('Prediction Log'!U527="Y", "W", IF('Prediction Log'!U527="N", "L", "")))</f>
      </c>
      <c r="AC526" s="59" t="str">
        <f t="shared" si="78"/>
      </c>
      <c r="AD526" s="67"/>
      <c r="AE526" s="65" t="str">
        <f t="shared" si="83"/>
      </c>
      <c r="AF5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7">
      <c r="A527" s="65" t="str">
        <f>IF(ISBLANK(Games!A527), "", Games!A527)</f>
      </c>
      <c r="B527" s="65" t="str">
        <f>IF('Prediction Log'!B528=0, "",'Prediction Log'!B528)</f>
      </c>
      <c r="C527" s="65" t="str">
        <f>IF('Prediction Log'!C528=0, "",'Prediction Log'!C528)</f>
      </c>
      <c r="D527" s="65" t="str">
        <f>IF('Prediction Log'!D528=0, "",'Prediction Log'!D528)</f>
      </c>
      <c r="E527" s="58" t="str">
        <f>IF('Prediction Log'!E528=0, "",'Prediction Log'!E528)</f>
      </c>
      <c r="F527" s="65" t="str">
        <f>IF('Prediction Log'!H528=0, "",'Prediction Log'!H528)</f>
      </c>
      <c r="G527" s="64" t="str">
        <f>IF(ISBLANK(Games!B527), "",'Prediction Log'!$I528)</f>
      </c>
      <c r="H527" s="66" t="n">
        <f>'Prediction Log'!$J528</f>
        <v>0</v>
      </c>
      <c r="I527" s="65" t="str">
        <f>IF(ISBLANK(Games!T527), "",IF(AND(Games!T527="",Games!U527=""),"",IF(ISTEXT(Games!U527), "Side",Games!T527)))</f>
      </c>
      <c r="J527" s="65" t="str">
        <f>IF(ISBLANK(Games!T527), "",IF(Table12[[#This Row],[Bet]]="Spread", Games!X527, ""))</f>
      </c>
      <c r="K527" s="65" t="str">
        <f>IF(ISBLANK(Games!U527), "",IF(ISTEXT(Games!U527), Games!U527, ""))</f>
      </c>
      <c r="L527" s="57" t="str">
        <f>IF(ISBLANK(Games!D527), "", Games!D527)</f>
      </c>
      <c r="M527" s="65"/>
      <c r="N527" s="75" t="str">
        <f>IF(Games!V527="", "",Games!V527)</f>
      </c>
      <c r="O527" s="75" t="str">
        <f>IF(Games!Z527=0, "",Games!Z527)</f>
      </c>
      <c r="P527" s="67"/>
      <c r="Q527" s="67" t="str">
        <f>IF(ISBLANK(Games!W527), "", Games!W527)</f>
      </c>
      <c r="R527" s="67" t="str">
        <f>IF(ISBLANK(Games!AA527), "", Games!AA527)</f>
      </c>
      <c r="S527" s="67"/>
      <c r="T527" s="68" t="str">
        <f t="shared" si="79"/>
      </c>
      <c r="U527" s="68" t="str">
        <f t="shared" si="80"/>
      </c>
      <c r="V527" s="68" t="str">
        <f t="shared" si="81"/>
      </c>
      <c r="W527" s="68" t="str">
        <f t="shared" si="82"/>
      </c>
      <c r="X527" s="68" t="n">
        <f t="shared" si="75"/>
        <v>0</v>
      </c>
      <c r="Y527" s="68" t="n">
        <f t="shared" si="76"/>
        <v>0</v>
      </c>
      <c r="Z527" s="67" t="str">
        <f>IF(OR('Prediction Log'!L528="", Table12[[#This Row],[Bet]]="", Table12[[#This Row],[Bet]]="Spread"), "",IF('Prediction Log'!L528=Table12[[#This Row],[Side]], "W", IF('Prediction Log'!L528&lt;&gt;Table12[[#This Row],[Side]], "L", "")))</f>
      </c>
      <c r="AA527" s="59" t="str">
        <f t="shared" si="77"/>
      </c>
      <c r="AB527" s="67" t="str">
        <f>IF(OR(Table12[[#This Row],[Bet]]="Side",Table12[[#This Row],[Bet]]="", 'Prediction Log'!L528=""), "",IF('Prediction Log'!U528="Y", "W", IF('Prediction Log'!U528="N", "L", "")))</f>
      </c>
      <c r="AC527" s="59" t="str">
        <f t="shared" si="78"/>
      </c>
      <c r="AD527" s="67"/>
      <c r="AE527" s="65" t="str">
        <f t="shared" si="83"/>
      </c>
      <c r="AF5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8">
      <c r="A528" s="65" t="str">
        <f>IF(ISBLANK(Games!A528), "", Games!A528)</f>
      </c>
      <c r="B528" s="65" t="str">
        <f>IF('Prediction Log'!B529=0, "",'Prediction Log'!B529)</f>
      </c>
      <c r="C528" s="65" t="str">
        <f>IF('Prediction Log'!C529=0, "",'Prediction Log'!C529)</f>
      </c>
      <c r="D528" s="65" t="str">
        <f>IF('Prediction Log'!D529=0, "",'Prediction Log'!D529)</f>
      </c>
      <c r="E528" s="58" t="str">
        <f>IF('Prediction Log'!E529=0, "",'Prediction Log'!E529)</f>
      </c>
      <c r="F528" s="65" t="str">
        <f>IF('Prediction Log'!H529=0, "",'Prediction Log'!H529)</f>
      </c>
      <c r="G528" s="64" t="str">
        <f>IF(ISBLANK(Games!B528), "",'Prediction Log'!$I529)</f>
      </c>
      <c r="H528" s="66" t="n">
        <f>'Prediction Log'!$J529</f>
        <v>0</v>
      </c>
      <c r="I528" s="65" t="str">
        <f>IF(ISBLANK(Games!T528), "",IF(AND(Games!T528="",Games!U528=""),"",IF(ISTEXT(Games!U528), "Side",Games!T528)))</f>
      </c>
      <c r="J528" s="65" t="str">
        <f>IF(ISBLANK(Games!T528), "",IF(Table12[[#This Row],[Bet]]="Spread", Games!X528, ""))</f>
      </c>
      <c r="K528" s="65" t="str">
        <f>IF(ISBLANK(Games!U528), "",IF(ISTEXT(Games!U528), Games!U528, ""))</f>
      </c>
      <c r="L528" s="57" t="str">
        <f>IF(ISBLANK(Games!D528), "", Games!D528)</f>
      </c>
      <c r="M528" s="65"/>
      <c r="N528" s="75" t="str">
        <f>IF(Games!V528="", "",Games!V528)</f>
      </c>
      <c r="O528" s="75" t="str">
        <f>IF(Games!Z528=0, "",Games!Z528)</f>
      </c>
      <c r="P528" s="67"/>
      <c r="Q528" s="67" t="str">
        <f>IF(ISBLANK(Games!W528), "", Games!W528)</f>
      </c>
      <c r="R528" s="67" t="str">
        <f>IF(ISBLANK(Games!AA528), "", Games!AA528)</f>
      </c>
      <c r="S528" s="67"/>
      <c r="T528" s="68" t="str">
        <f t="shared" si="79"/>
      </c>
      <c r="U528" s="68" t="str">
        <f t="shared" si="80"/>
      </c>
      <c r="V528" s="68" t="str">
        <f t="shared" si="81"/>
      </c>
      <c r="W528" s="68" t="str">
        <f t="shared" si="82"/>
      </c>
      <c r="X528" s="68" t="n">
        <f t="shared" si="75"/>
        <v>0</v>
      </c>
      <c r="Y528" s="68" t="n">
        <f t="shared" si="76"/>
        <v>0</v>
      </c>
      <c r="Z528" s="67" t="str">
        <f>IF(OR('Prediction Log'!L529="", Table12[[#This Row],[Bet]]="", Table12[[#This Row],[Bet]]="Spread"), "",IF('Prediction Log'!L529=Table12[[#This Row],[Side]], "W", IF('Prediction Log'!L529&lt;&gt;Table12[[#This Row],[Side]], "L", "")))</f>
      </c>
      <c r="AA528" s="59" t="str">
        <f t="shared" si="77"/>
      </c>
      <c r="AB528" s="67" t="str">
        <f>IF(OR(Table12[[#This Row],[Bet]]="Side",Table12[[#This Row],[Bet]]="", 'Prediction Log'!L529=""), "",IF('Prediction Log'!U529="Y", "W", IF('Prediction Log'!U529="N", "L", "")))</f>
      </c>
      <c r="AC528" s="59" t="str">
        <f t="shared" si="78"/>
      </c>
      <c r="AD528" s="67"/>
      <c r="AE528" s="65" t="str">
        <f t="shared" si="83"/>
      </c>
      <c r="AF5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9">
      <c r="A529" s="65" t="str">
        <f>IF(ISBLANK(Games!A529), "", Games!A529)</f>
      </c>
      <c r="B529" s="65" t="str">
        <f>IF('Prediction Log'!B530=0, "",'Prediction Log'!B530)</f>
      </c>
      <c r="C529" s="65" t="str">
        <f>IF('Prediction Log'!C530=0, "",'Prediction Log'!C530)</f>
      </c>
      <c r="D529" s="65" t="str">
        <f>IF('Prediction Log'!D530=0, "",'Prediction Log'!D530)</f>
      </c>
      <c r="E529" s="58" t="str">
        <f>IF('Prediction Log'!E530=0, "",'Prediction Log'!E530)</f>
      </c>
      <c r="F529" s="65" t="str">
        <f>IF('Prediction Log'!H530=0, "",'Prediction Log'!H530)</f>
      </c>
      <c r="G529" s="64" t="str">
        <f>IF(ISBLANK(Games!B529), "",'Prediction Log'!$I530)</f>
      </c>
      <c r="H529" s="66" t="n">
        <f>'Prediction Log'!$J530</f>
        <v>0</v>
      </c>
      <c r="I529" s="65" t="str">
        <f>IF(ISBLANK(Games!T529), "",IF(AND(Games!T529="",Games!U529=""),"",IF(ISTEXT(Games!U529), "Side",Games!T529)))</f>
      </c>
      <c r="J529" s="65" t="str">
        <f>IF(ISBLANK(Games!T529), "",IF(Table12[[#This Row],[Bet]]="Spread", Games!X529, ""))</f>
      </c>
      <c r="K529" s="65" t="str">
        <f>IF(ISBLANK(Games!U529), "",IF(ISTEXT(Games!U529), Games!U529, ""))</f>
      </c>
      <c r="L529" s="57" t="str">
        <f>IF(ISBLANK(Games!D529), "", Games!D529)</f>
      </c>
      <c r="M529" s="65"/>
      <c r="N529" s="75" t="str">
        <f>IF(Games!V529="", "",Games!V529)</f>
      </c>
      <c r="O529" s="75" t="str">
        <f>IF(Games!Z529=0, "",Games!Z529)</f>
      </c>
      <c r="P529" s="67"/>
      <c r="Q529" s="67" t="str">
        <f>IF(ISBLANK(Games!W529), "", Games!W529)</f>
      </c>
      <c r="R529" s="67" t="str">
        <f>IF(ISBLANK(Games!AA529), "", Games!AA529)</f>
      </c>
      <c r="S529" s="67"/>
      <c r="T529" s="68" t="str">
        <f t="shared" si="79"/>
      </c>
      <c r="U529" s="68" t="str">
        <f t="shared" si="80"/>
      </c>
      <c r="V529" s="68" t="str">
        <f t="shared" si="81"/>
      </c>
      <c r="W529" s="68" t="str">
        <f t="shared" si="82"/>
      </c>
      <c r="X529" s="68" t="n">
        <f t="shared" si="75"/>
        <v>0</v>
      </c>
      <c r="Y529" s="68" t="n">
        <f t="shared" si="76"/>
        <v>0</v>
      </c>
      <c r="Z529" s="67" t="str">
        <f>IF(OR('Prediction Log'!L530="", Table12[[#This Row],[Bet]]="", Table12[[#This Row],[Bet]]="Spread"), "",IF('Prediction Log'!L530=Table12[[#This Row],[Side]], "W", IF('Prediction Log'!L530&lt;&gt;Table12[[#This Row],[Side]], "L", "")))</f>
      </c>
      <c r="AA529" s="59" t="str">
        <f t="shared" si="77"/>
      </c>
      <c r="AB529" s="67" t="str">
        <f>IF(OR(Table12[[#This Row],[Bet]]="Side",Table12[[#This Row],[Bet]]="", 'Prediction Log'!L530=""), "",IF('Prediction Log'!U530="Y", "W", IF('Prediction Log'!U530="N", "L", "")))</f>
      </c>
      <c r="AC529" s="59" t="str">
        <f t="shared" si="78"/>
      </c>
      <c r="AD529" s="67"/>
      <c r="AE529" s="65" t="str">
        <f t="shared" si="83"/>
      </c>
      <c r="AF5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0">
      <c r="A530" s="65" t="str">
        <f>IF(ISBLANK(Games!A530), "", Games!A530)</f>
      </c>
      <c r="B530" s="65" t="str">
        <f>IF('Prediction Log'!B531=0, "",'Prediction Log'!B531)</f>
      </c>
      <c r="C530" s="65" t="str">
        <f>IF('Prediction Log'!C531=0, "",'Prediction Log'!C531)</f>
      </c>
      <c r="D530" s="65" t="str">
        <f>IF('Prediction Log'!D531=0, "",'Prediction Log'!D531)</f>
      </c>
      <c r="E530" s="58" t="str">
        <f>IF('Prediction Log'!E531=0, "",'Prediction Log'!E531)</f>
      </c>
      <c r="F530" s="65" t="str">
        <f>IF('Prediction Log'!H531=0, "",'Prediction Log'!H531)</f>
      </c>
      <c r="G530" s="64" t="str">
        <f>IF(ISBLANK(Games!B530), "",'Prediction Log'!$I531)</f>
      </c>
      <c r="H530" s="66" t="n">
        <f>'Prediction Log'!$J531</f>
        <v>0</v>
      </c>
      <c r="I530" s="65" t="str">
        <f>IF(ISBLANK(Games!T530), "",IF(AND(Games!T530="",Games!U530=""),"",IF(ISTEXT(Games!U530), "Side",Games!T530)))</f>
      </c>
      <c r="J530" s="65" t="str">
        <f>IF(ISBLANK(Games!T530), "",IF(Table12[[#This Row],[Bet]]="Spread", Games!X530, ""))</f>
      </c>
      <c r="K530" s="65" t="str">
        <f>IF(ISBLANK(Games!U530), "",IF(ISTEXT(Games!U530), Games!U530, ""))</f>
      </c>
      <c r="L530" s="57" t="str">
        <f>IF(ISBLANK(Games!D530), "", Games!D530)</f>
      </c>
      <c r="M530" s="65"/>
      <c r="N530" s="75" t="str">
        <f>IF(Games!V530="", "",Games!V530)</f>
      </c>
      <c r="O530" s="75" t="str">
        <f>IF(Games!Z530=0, "",Games!Z530)</f>
      </c>
      <c r="P530" s="67"/>
      <c r="Q530" s="67" t="str">
        <f>IF(ISBLANK(Games!W530), "", Games!W530)</f>
      </c>
      <c r="R530" s="67" t="str">
        <f>IF(ISBLANK(Games!AA530), "", Games!AA530)</f>
      </c>
      <c r="S530" s="67"/>
      <c r="T530" s="68" t="str">
        <f t="shared" si="79"/>
      </c>
      <c r="U530" s="68" t="str">
        <f t="shared" si="80"/>
      </c>
      <c r="V530" s="68" t="str">
        <f t="shared" si="81"/>
      </c>
      <c r="W530" s="68" t="str">
        <f t="shared" si="82"/>
      </c>
      <c r="X530" s="68" t="n">
        <f t="shared" si="75"/>
        <v>0</v>
      </c>
      <c r="Y530" s="68" t="n">
        <f t="shared" si="76"/>
        <v>0</v>
      </c>
      <c r="Z530" s="67" t="str">
        <f>IF(OR('Prediction Log'!L531="", Table12[[#This Row],[Bet]]="", Table12[[#This Row],[Bet]]="Spread"), "",IF('Prediction Log'!L531=Table12[[#This Row],[Side]], "W", IF('Prediction Log'!L531&lt;&gt;Table12[[#This Row],[Side]], "L", "")))</f>
      </c>
      <c r="AA530" s="59" t="str">
        <f t="shared" si="77"/>
      </c>
      <c r="AB530" s="67" t="str">
        <f>IF(OR(Table12[[#This Row],[Bet]]="Side",Table12[[#This Row],[Bet]]="", 'Prediction Log'!L531=""), "",IF('Prediction Log'!U531="Y", "W", IF('Prediction Log'!U531="N", "L", "")))</f>
      </c>
      <c r="AC530" s="59" t="str">
        <f t="shared" si="78"/>
      </c>
      <c r="AD530" s="67"/>
      <c r="AE530" s="65" t="str">
        <f t="shared" si="83"/>
      </c>
      <c r="AF5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1">
      <c r="A531" s="65" t="str">
        <f>IF(ISBLANK(Games!A531), "", Games!A531)</f>
      </c>
      <c r="B531" s="65" t="str">
        <f>IF('Prediction Log'!B532=0, "",'Prediction Log'!B532)</f>
      </c>
      <c r="C531" s="65" t="str">
        <f>IF('Prediction Log'!C532=0, "",'Prediction Log'!C532)</f>
      </c>
      <c r="D531" s="65" t="str">
        <f>IF('Prediction Log'!D532=0, "",'Prediction Log'!D532)</f>
      </c>
      <c r="E531" s="58" t="str">
        <f>IF('Prediction Log'!E532=0, "",'Prediction Log'!E532)</f>
      </c>
      <c r="F531" s="65" t="str">
        <f>IF('Prediction Log'!H532=0, "",'Prediction Log'!H532)</f>
      </c>
      <c r="G531" s="64" t="str">
        <f>IF(ISBLANK(Games!B531), "",'Prediction Log'!$I532)</f>
      </c>
      <c r="H531" s="66" t="n">
        <f>'Prediction Log'!$J532</f>
        <v>0</v>
      </c>
      <c r="I531" s="65" t="str">
        <f>IF(ISBLANK(Games!T531), "",IF(AND(Games!T531="",Games!U531=""),"",IF(ISTEXT(Games!U531), "Side",Games!T531)))</f>
      </c>
      <c r="J531" s="65" t="str">
        <f>IF(ISBLANK(Games!T531), "",IF(Table12[[#This Row],[Bet]]="Spread", Games!X531, ""))</f>
      </c>
      <c r="K531" s="65" t="str">
        <f>IF(ISBLANK(Games!U531), "",IF(ISTEXT(Games!U531), Games!U531, ""))</f>
      </c>
      <c r="L531" s="57" t="str">
        <f>IF(ISBLANK(Games!D531), "", Games!D531)</f>
      </c>
      <c r="M531" s="65"/>
      <c r="N531" s="75" t="str">
        <f>IF(Games!V531="", "",Games!V531)</f>
      </c>
      <c r="O531" s="75" t="str">
        <f>IF(Games!Z531=0, "",Games!Z531)</f>
      </c>
      <c r="P531" s="67"/>
      <c r="Q531" s="67" t="str">
        <f>IF(ISBLANK(Games!W531), "", Games!W531)</f>
      </c>
      <c r="R531" s="67" t="str">
        <f>IF(ISBLANK(Games!AA531), "", Games!AA531)</f>
      </c>
      <c r="S531" s="67"/>
      <c r="T531" s="68" t="str">
        <f t="shared" si="79"/>
      </c>
      <c r="U531" s="68" t="str">
        <f t="shared" si="80"/>
      </c>
      <c r="V531" s="68" t="str">
        <f t="shared" si="81"/>
      </c>
      <c r="W531" s="68" t="str">
        <f t="shared" si="82"/>
      </c>
      <c r="X531" s="68" t="n">
        <f t="shared" si="75"/>
        <v>0</v>
      </c>
      <c r="Y531" s="68" t="n">
        <f t="shared" si="76"/>
        <v>0</v>
      </c>
      <c r="Z531" s="67" t="str">
        <f>IF(OR('Prediction Log'!L532="", Table12[[#This Row],[Bet]]="", Table12[[#This Row],[Bet]]="Spread"), "",IF('Prediction Log'!L532=Table12[[#This Row],[Side]], "W", IF('Prediction Log'!L532&lt;&gt;Table12[[#This Row],[Side]], "L", "")))</f>
      </c>
      <c r="AA531" s="59" t="str">
        <f t="shared" si="77"/>
      </c>
      <c r="AB531" s="67" t="str">
        <f>IF(OR(Table12[[#This Row],[Bet]]="Side",Table12[[#This Row],[Bet]]="", 'Prediction Log'!L532=""), "",IF('Prediction Log'!U532="Y", "W", IF('Prediction Log'!U532="N", "L", "")))</f>
      </c>
      <c r="AC531" s="59" t="str">
        <f t="shared" si="78"/>
      </c>
      <c r="AD531" s="67"/>
      <c r="AE531" s="65" t="str">
        <f t="shared" si="83"/>
      </c>
      <c r="AF5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2">
      <c r="A532" s="65" t="str">
        <f>IF(ISBLANK(Games!A532), "", Games!A532)</f>
      </c>
      <c r="B532" s="65" t="str">
        <f>IF('Prediction Log'!B533=0, "",'Prediction Log'!B533)</f>
      </c>
      <c r="C532" s="65" t="str">
        <f>IF('Prediction Log'!C533=0, "",'Prediction Log'!C533)</f>
      </c>
      <c r="D532" s="65" t="str">
        <f>IF('Prediction Log'!D533=0, "",'Prediction Log'!D533)</f>
      </c>
      <c r="E532" s="58" t="str">
        <f>IF('Prediction Log'!E533=0, "",'Prediction Log'!E533)</f>
      </c>
      <c r="F532" s="65" t="str">
        <f>IF('Prediction Log'!H533=0, "",'Prediction Log'!H533)</f>
      </c>
      <c r="G532" s="64" t="str">
        <f>IF(ISBLANK(Games!B532), "",'Prediction Log'!$I533)</f>
      </c>
      <c r="H532" s="66" t="n">
        <f>'Prediction Log'!$J533</f>
        <v>0</v>
      </c>
      <c r="I532" s="65" t="str">
        <f>IF(ISBLANK(Games!T532), "",IF(AND(Games!T532="",Games!U532=""),"",IF(ISTEXT(Games!U532), "Side",Games!T532)))</f>
      </c>
      <c r="J532" s="65" t="str">
        <f>IF(ISBLANK(Games!T532), "",IF(Table12[[#This Row],[Bet]]="Spread", Games!X532, ""))</f>
      </c>
      <c r="K532" s="65" t="str">
        <f>IF(ISBLANK(Games!U532), "",IF(ISTEXT(Games!U532), Games!U532, ""))</f>
      </c>
      <c r="L532" s="57" t="str">
        <f>IF(ISBLANK(Games!D532), "", Games!D532)</f>
      </c>
      <c r="M532" s="65"/>
      <c r="N532" s="75" t="str">
        <f>IF(Games!V532="", "",Games!V532)</f>
      </c>
      <c r="O532" s="75" t="str">
        <f>IF(Games!Z532=0, "",Games!Z532)</f>
      </c>
      <c r="P532" s="67"/>
      <c r="Q532" s="67" t="str">
        <f>IF(ISBLANK(Games!W532), "", Games!W532)</f>
      </c>
      <c r="R532" s="67" t="str">
        <f>IF(ISBLANK(Games!AA532), "", Games!AA532)</f>
      </c>
      <c r="S532" s="67"/>
      <c r="T532" s="68" t="str">
        <f t="shared" si="79"/>
      </c>
      <c r="U532" s="68" t="str">
        <f t="shared" si="80"/>
      </c>
      <c r="V532" s="68" t="str">
        <f t="shared" si="81"/>
      </c>
      <c r="W532" s="68" t="str">
        <f t="shared" si="82"/>
      </c>
      <c r="X532" s="68" t="n">
        <f t="shared" si="75"/>
        <v>0</v>
      </c>
      <c r="Y532" s="68" t="n">
        <f t="shared" si="76"/>
        <v>0</v>
      </c>
      <c r="Z532" s="67" t="str">
        <f>IF(OR('Prediction Log'!L533="", Table12[[#This Row],[Bet]]="", Table12[[#This Row],[Bet]]="Spread"), "",IF('Prediction Log'!L533=Table12[[#This Row],[Side]], "W", IF('Prediction Log'!L533&lt;&gt;Table12[[#This Row],[Side]], "L", "")))</f>
      </c>
      <c r="AA532" s="59" t="str">
        <f t="shared" si="77"/>
      </c>
      <c r="AB532" s="67" t="str">
        <f>IF(OR(Table12[[#This Row],[Bet]]="Side",Table12[[#This Row],[Bet]]="", 'Prediction Log'!L533=""), "",IF('Prediction Log'!U533="Y", "W", IF('Prediction Log'!U533="N", "L", "")))</f>
      </c>
      <c r="AC532" s="59" t="str">
        <f t="shared" si="78"/>
      </c>
      <c r="AD532" s="67"/>
      <c r="AE532" s="65" t="str">
        <f t="shared" si="83"/>
      </c>
      <c r="AF5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3">
      <c r="A533" s="65" t="str">
        <f>IF(ISBLANK(Games!A533), "", Games!A533)</f>
      </c>
      <c r="B533" s="65" t="str">
        <f>IF('Prediction Log'!B534=0, "",'Prediction Log'!B534)</f>
      </c>
      <c r="C533" s="65" t="str">
        <f>IF('Prediction Log'!C534=0, "",'Prediction Log'!C534)</f>
      </c>
      <c r="D533" s="65" t="str">
        <f>IF('Prediction Log'!D534=0, "",'Prediction Log'!D534)</f>
      </c>
      <c r="E533" s="58" t="str">
        <f>IF('Prediction Log'!E534=0, "",'Prediction Log'!E534)</f>
      </c>
      <c r="F533" s="65" t="str">
        <f>IF('Prediction Log'!H534=0, "",'Prediction Log'!H534)</f>
      </c>
      <c r="G533" s="64" t="str">
        <f>IF(ISBLANK(Games!B533), "",'Prediction Log'!$I534)</f>
      </c>
      <c r="H533" s="66" t="n">
        <f>'Prediction Log'!$J534</f>
        <v>0</v>
      </c>
      <c r="I533" s="65" t="str">
        <f>IF(ISBLANK(Games!T533), "",IF(AND(Games!T533="",Games!U533=""),"",IF(ISTEXT(Games!U533), "Side",Games!T533)))</f>
      </c>
      <c r="J533" s="65" t="str">
        <f>IF(ISBLANK(Games!T533), "",IF(Table12[[#This Row],[Bet]]="Spread", Games!X533, ""))</f>
      </c>
      <c r="K533" s="65" t="str">
        <f>IF(ISBLANK(Games!U533), "",IF(ISTEXT(Games!U533), Games!U533, ""))</f>
      </c>
      <c r="L533" s="57" t="str">
        <f>IF(ISBLANK(Games!D533), "", Games!D533)</f>
      </c>
      <c r="M533" s="65"/>
      <c r="N533" s="75" t="str">
        <f>IF(Games!V533="", "",Games!V533)</f>
      </c>
      <c r="O533" s="75" t="str">
        <f>IF(Games!Z533=0, "",Games!Z533)</f>
      </c>
      <c r="P533" s="67"/>
      <c r="Q533" s="67" t="str">
        <f>IF(ISBLANK(Games!W533), "", Games!W533)</f>
      </c>
      <c r="R533" s="67" t="str">
        <f>IF(ISBLANK(Games!AA533), "", Games!AA533)</f>
      </c>
      <c r="S533" s="67"/>
      <c r="T533" s="68" t="str">
        <f t="shared" si="79"/>
      </c>
      <c r="U533" s="68" t="str">
        <f t="shared" si="80"/>
      </c>
      <c r="V533" s="68" t="str">
        <f t="shared" si="81"/>
      </c>
      <c r="W533" s="68" t="str">
        <f t="shared" si="82"/>
      </c>
      <c r="X533" s="68" t="n">
        <f t="shared" si="75"/>
        <v>0</v>
      </c>
      <c r="Y533" s="68" t="n">
        <f t="shared" si="76"/>
        <v>0</v>
      </c>
      <c r="Z533" s="67" t="str">
        <f>IF(OR('Prediction Log'!L534="", Table12[[#This Row],[Bet]]="", Table12[[#This Row],[Bet]]="Spread"), "",IF('Prediction Log'!L534=Table12[[#This Row],[Side]], "W", IF('Prediction Log'!L534&lt;&gt;Table12[[#This Row],[Side]], "L", "")))</f>
      </c>
      <c r="AA533" s="59" t="str">
        <f t="shared" si="77"/>
      </c>
      <c r="AB533" s="67" t="str">
        <f>IF(OR(Table12[[#This Row],[Bet]]="Side",Table12[[#This Row],[Bet]]="", 'Prediction Log'!L534=""), "",IF('Prediction Log'!U534="Y", "W", IF('Prediction Log'!U534="N", "L", "")))</f>
      </c>
      <c r="AC533" s="59" t="str">
        <f t="shared" si="78"/>
      </c>
      <c r="AD533" s="67"/>
      <c r="AE533" s="65" t="str">
        <f t="shared" si="83"/>
      </c>
      <c r="AF5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4">
      <c r="A534" s="65" t="str">
        <f>IF(ISBLANK(Games!A534), "", Games!A534)</f>
      </c>
      <c r="B534" s="65" t="str">
        <f>IF('Prediction Log'!B535=0, "",'Prediction Log'!B535)</f>
      </c>
      <c r="C534" s="65" t="str">
        <f>IF('Prediction Log'!C535=0, "",'Prediction Log'!C535)</f>
      </c>
      <c r="D534" s="65" t="str">
        <f>IF('Prediction Log'!D535=0, "",'Prediction Log'!D535)</f>
      </c>
      <c r="E534" s="58" t="str">
        <f>IF('Prediction Log'!E535=0, "",'Prediction Log'!E535)</f>
      </c>
      <c r="F534" s="65" t="str">
        <f>IF('Prediction Log'!H535=0, "",'Prediction Log'!H535)</f>
      </c>
      <c r="G534" s="64" t="str">
        <f>IF(ISBLANK(Games!B534), "",'Prediction Log'!$I535)</f>
      </c>
      <c r="H534" s="66" t="n">
        <f>'Prediction Log'!$J535</f>
        <v>0</v>
      </c>
      <c r="I534" s="65" t="str">
        <f>IF(ISBLANK(Games!T534), "",IF(AND(Games!T534="",Games!U534=""),"",IF(ISTEXT(Games!U534), "Side",Games!T534)))</f>
      </c>
      <c r="J534" s="65" t="str">
        <f>IF(ISBLANK(Games!T534), "",IF(Table12[[#This Row],[Bet]]="Spread", Games!X534, ""))</f>
      </c>
      <c r="K534" s="65" t="str">
        <f>IF(ISBLANK(Games!U534), "",IF(ISTEXT(Games!U534), Games!U534, ""))</f>
      </c>
      <c r="L534" s="57" t="str">
        <f>IF(ISBLANK(Games!D534), "", Games!D534)</f>
      </c>
      <c r="M534" s="65"/>
      <c r="N534" s="75" t="str">
        <f>IF(Games!V534="", "",Games!V534)</f>
      </c>
      <c r="O534" s="75" t="str">
        <f>IF(Games!Z534=0, "",Games!Z534)</f>
      </c>
      <c r="P534" s="67"/>
      <c r="Q534" s="67" t="str">
        <f>IF(ISBLANK(Games!W534), "", Games!W534)</f>
      </c>
      <c r="R534" s="67" t="str">
        <f>IF(ISBLANK(Games!AA534), "", Games!AA534)</f>
      </c>
      <c r="S534" s="67"/>
      <c r="T534" s="68" t="str">
        <f t="shared" si="79"/>
      </c>
      <c r="U534" s="68" t="str">
        <f t="shared" si="80"/>
      </c>
      <c r="V534" s="68" t="str">
        <f t="shared" si="81"/>
      </c>
      <c r="W534" s="68" t="str">
        <f t="shared" si="82"/>
      </c>
      <c r="X534" s="68" t="n">
        <f t="shared" si="75"/>
        <v>0</v>
      </c>
      <c r="Y534" s="68" t="n">
        <f t="shared" si="76"/>
        <v>0</v>
      </c>
      <c r="Z534" s="67" t="str">
        <f>IF(OR('Prediction Log'!L535="", Table12[[#This Row],[Bet]]="", Table12[[#This Row],[Bet]]="Spread"), "",IF('Prediction Log'!L535=Table12[[#This Row],[Side]], "W", IF('Prediction Log'!L535&lt;&gt;Table12[[#This Row],[Side]], "L", "")))</f>
      </c>
      <c r="AA534" s="59" t="str">
        <f t="shared" si="77"/>
      </c>
      <c r="AB534" s="67" t="str">
        <f>IF(OR(Table12[[#This Row],[Bet]]="Side",Table12[[#This Row],[Bet]]="", 'Prediction Log'!L535=""), "",IF('Prediction Log'!U535="Y", "W", IF('Prediction Log'!U535="N", "L", "")))</f>
      </c>
      <c r="AC534" s="59" t="str">
        <f t="shared" si="78"/>
      </c>
      <c r="AD534" s="67"/>
      <c r="AE534" s="65" t="str">
        <f t="shared" si="83"/>
      </c>
      <c r="AF5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5">
      <c r="A535" s="65" t="str">
        <f>IF(ISBLANK(Games!A535), "", Games!A535)</f>
      </c>
      <c r="B535" s="65" t="str">
        <f>IF('Prediction Log'!B536=0, "",'Prediction Log'!B536)</f>
      </c>
      <c r="C535" s="65" t="str">
        <f>IF('Prediction Log'!C536=0, "",'Prediction Log'!C536)</f>
      </c>
      <c r="D535" s="65" t="str">
        <f>IF('Prediction Log'!D536=0, "",'Prediction Log'!D536)</f>
      </c>
      <c r="E535" s="58" t="str">
        <f>IF('Prediction Log'!E536=0, "",'Prediction Log'!E536)</f>
      </c>
      <c r="F535" s="65" t="str">
        <f>IF('Prediction Log'!H536=0, "",'Prediction Log'!H536)</f>
      </c>
      <c r="G535" s="64" t="str">
        <f>IF(ISBLANK(Games!B535), "",'Prediction Log'!$I536)</f>
      </c>
      <c r="H535" s="66" t="n">
        <f>'Prediction Log'!$J536</f>
        <v>0</v>
      </c>
      <c r="I535" s="65" t="str">
        <f>IF(ISBLANK(Games!T535), "",IF(AND(Games!T535="",Games!U535=""),"",IF(ISTEXT(Games!U535), "Side",Games!T535)))</f>
      </c>
      <c r="J535" s="65" t="str">
        <f>IF(ISBLANK(Games!T535), "",IF(Table12[[#This Row],[Bet]]="Spread", Games!X535, ""))</f>
      </c>
      <c r="K535" s="65" t="str">
        <f>IF(ISBLANK(Games!U535), "",IF(ISTEXT(Games!U535), Games!U535, ""))</f>
      </c>
      <c r="L535" s="57" t="str">
        <f>IF(ISBLANK(Games!D535), "", Games!D535)</f>
      </c>
      <c r="M535" s="65"/>
      <c r="N535" s="75" t="str">
        <f>IF(Games!V535="", "",Games!V535)</f>
      </c>
      <c r="O535" s="75" t="str">
        <f>IF(Games!Z535=0, "",Games!Z535)</f>
      </c>
      <c r="P535" s="67"/>
      <c r="Q535" s="67" t="str">
        <f>IF(ISBLANK(Games!W535), "", Games!W535)</f>
      </c>
      <c r="R535" s="67" t="str">
        <f>IF(ISBLANK(Games!AA535), "", Games!AA535)</f>
      </c>
      <c r="S535" s="67"/>
      <c r="T535" s="68" t="str">
        <f t="shared" si="79"/>
      </c>
      <c r="U535" s="68" t="str">
        <f t="shared" si="80"/>
      </c>
      <c r="V535" s="68" t="str">
        <f t="shared" si="81"/>
      </c>
      <c r="W535" s="68" t="str">
        <f t="shared" si="82"/>
      </c>
      <c r="X535" s="68" t="n">
        <f t="shared" si="75"/>
        <v>0</v>
      </c>
      <c r="Y535" s="68" t="n">
        <f t="shared" si="76"/>
        <v>0</v>
      </c>
      <c r="Z535" s="67" t="str">
        <f>IF(OR('Prediction Log'!L536="", Table12[[#This Row],[Bet]]="", Table12[[#This Row],[Bet]]="Spread"), "",IF('Prediction Log'!L536=Table12[[#This Row],[Side]], "W", IF('Prediction Log'!L536&lt;&gt;Table12[[#This Row],[Side]], "L", "")))</f>
      </c>
      <c r="AA535" s="59" t="str">
        <f t="shared" si="77"/>
      </c>
      <c r="AB535" s="67" t="str">
        <f>IF(OR(Table12[[#This Row],[Bet]]="Side",Table12[[#This Row],[Bet]]="", 'Prediction Log'!L536=""), "",IF('Prediction Log'!U536="Y", "W", IF('Prediction Log'!U536="N", "L", "")))</f>
      </c>
      <c r="AC535" s="59" t="str">
        <f t="shared" si="78"/>
      </c>
      <c r="AD535" s="67"/>
      <c r="AE535" s="65" t="str">
        <f t="shared" si="83"/>
      </c>
      <c r="AF5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6">
      <c r="A536" s="65" t="str">
        <f>IF(ISBLANK(Games!A536), "", Games!A536)</f>
      </c>
      <c r="B536" s="65" t="str">
        <f>IF('Prediction Log'!B537=0, "",'Prediction Log'!B537)</f>
      </c>
      <c r="C536" s="65" t="str">
        <f>IF('Prediction Log'!C537=0, "",'Prediction Log'!C537)</f>
      </c>
      <c r="D536" s="65" t="str">
        <f>IF('Prediction Log'!D537=0, "",'Prediction Log'!D537)</f>
      </c>
      <c r="E536" s="58" t="str">
        <f>IF('Prediction Log'!E537=0, "",'Prediction Log'!E537)</f>
      </c>
      <c r="F536" s="65" t="str">
        <f>IF('Prediction Log'!H537=0, "",'Prediction Log'!H537)</f>
      </c>
      <c r="G536" s="64" t="str">
        <f>IF(ISBLANK(Games!B536), "",'Prediction Log'!$I537)</f>
      </c>
      <c r="H536" s="66" t="n">
        <f>'Prediction Log'!$J537</f>
        <v>0</v>
      </c>
      <c r="I536" s="65" t="str">
        <f>IF(ISBLANK(Games!T536), "",IF(AND(Games!T536="",Games!U536=""),"",IF(ISTEXT(Games!U536), "Side",Games!T536)))</f>
      </c>
      <c r="J536" s="65" t="str">
        <f>IF(ISBLANK(Games!T536), "",IF(Table12[[#This Row],[Bet]]="Spread", Games!X536, ""))</f>
      </c>
      <c r="K536" s="65" t="str">
        <f>IF(ISBLANK(Games!U536), "",IF(ISTEXT(Games!U536), Games!U536, ""))</f>
      </c>
      <c r="L536" s="57" t="str">
        <f>IF(ISBLANK(Games!D536), "", Games!D536)</f>
      </c>
      <c r="M536" s="65"/>
      <c r="N536" s="75" t="str">
        <f>IF(Games!V536="", "",Games!V536)</f>
      </c>
      <c r="O536" s="75" t="str">
        <f>IF(Games!Z536=0, "",Games!Z536)</f>
      </c>
      <c r="P536" s="67"/>
      <c r="Q536" s="67" t="str">
        <f>IF(ISBLANK(Games!W536), "", Games!W536)</f>
      </c>
      <c r="R536" s="67" t="str">
        <f>IF(ISBLANK(Games!AA536), "", Games!AA536)</f>
      </c>
      <c r="S536" s="67"/>
      <c r="T536" s="68" t="str">
        <f t="shared" si="79"/>
      </c>
      <c r="U536" s="68" t="str">
        <f t="shared" si="80"/>
      </c>
      <c r="V536" s="68" t="str">
        <f t="shared" si="81"/>
      </c>
      <c r="W536" s="68" t="str">
        <f t="shared" si="82"/>
      </c>
      <c r="X536" s="68" t="n">
        <f t="shared" si="75"/>
        <v>0</v>
      </c>
      <c r="Y536" s="68" t="n">
        <f t="shared" si="76"/>
        <v>0</v>
      </c>
      <c r="Z536" s="67" t="str">
        <f>IF(OR('Prediction Log'!L537="", Table12[[#This Row],[Bet]]="", Table12[[#This Row],[Bet]]="Spread"), "",IF('Prediction Log'!L537=Table12[[#This Row],[Side]], "W", IF('Prediction Log'!L537&lt;&gt;Table12[[#This Row],[Side]], "L", "")))</f>
      </c>
      <c r="AA536" s="59" t="str">
        <f t="shared" si="77"/>
      </c>
      <c r="AB536" s="67" t="str">
        <f>IF(OR(Table12[[#This Row],[Bet]]="Side",Table12[[#This Row],[Bet]]="", 'Prediction Log'!L537=""), "",IF('Prediction Log'!U537="Y", "W", IF('Prediction Log'!U537="N", "L", "")))</f>
      </c>
      <c r="AC536" s="59" t="str">
        <f t="shared" si="78"/>
      </c>
      <c r="AD536" s="67"/>
      <c r="AE536" s="65" t="str">
        <f t="shared" si="83"/>
      </c>
      <c r="AF5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7">
      <c r="A537" s="65" t="str">
        <f>IF(ISBLANK(Games!A537), "", Games!A537)</f>
      </c>
      <c r="B537" s="65" t="str">
        <f>IF('Prediction Log'!B538=0, "",'Prediction Log'!B538)</f>
      </c>
      <c r="C537" s="65" t="str">
        <f>IF('Prediction Log'!C538=0, "",'Prediction Log'!C538)</f>
      </c>
      <c r="D537" s="65" t="str">
        <f>IF('Prediction Log'!D538=0, "",'Prediction Log'!D538)</f>
      </c>
      <c r="E537" s="58" t="str">
        <f>IF('Prediction Log'!E538=0, "",'Prediction Log'!E538)</f>
      </c>
      <c r="F537" s="65" t="str">
        <f>IF('Prediction Log'!H538=0, "",'Prediction Log'!H538)</f>
      </c>
      <c r="G537" s="64" t="str">
        <f>IF(ISBLANK(Games!B537), "",'Prediction Log'!$I538)</f>
      </c>
      <c r="H537" s="66" t="n">
        <f>'Prediction Log'!$J538</f>
        <v>0</v>
      </c>
      <c r="I537" s="65" t="str">
        <f>IF(ISBLANK(Games!T537), "",IF(AND(Games!T537="",Games!U537=""),"",IF(ISTEXT(Games!U537), "Side",Games!T537)))</f>
      </c>
      <c r="J537" s="65" t="str">
        <f>IF(ISBLANK(Games!T537), "",IF(Table12[[#This Row],[Bet]]="Spread", Games!X537, ""))</f>
      </c>
      <c r="K537" s="65" t="str">
        <f>IF(ISBLANK(Games!U537), "",IF(ISTEXT(Games!U537), Games!U537, ""))</f>
      </c>
      <c r="L537" s="57" t="str">
        <f>IF(ISBLANK(Games!D537), "", Games!D537)</f>
      </c>
      <c r="M537" s="65"/>
      <c r="N537" s="75" t="str">
        <f>IF(Games!V537="", "",Games!V537)</f>
      </c>
      <c r="O537" s="75" t="str">
        <f>IF(Games!Z537=0, "",Games!Z537)</f>
      </c>
      <c r="P537" s="67"/>
      <c r="Q537" s="67" t="str">
        <f>IF(ISBLANK(Games!W537), "", Games!W537)</f>
      </c>
      <c r="R537" s="67" t="str">
        <f>IF(ISBLANK(Games!AA537), "", Games!AA537)</f>
      </c>
      <c r="S537" s="67"/>
      <c r="T537" s="68" t="str">
        <f t="shared" si="79"/>
      </c>
      <c r="U537" s="68" t="str">
        <f t="shared" si="80"/>
      </c>
      <c r="V537" s="68" t="str">
        <f t="shared" si="81"/>
      </c>
      <c r="W537" s="68" t="str">
        <f t="shared" si="82"/>
      </c>
      <c r="X537" s="68" t="n">
        <f t="shared" si="75"/>
        <v>0</v>
      </c>
      <c r="Y537" s="68" t="n">
        <f t="shared" si="76"/>
        <v>0</v>
      </c>
      <c r="Z537" s="67" t="str">
        <f>IF(OR('Prediction Log'!L538="", Table12[[#This Row],[Bet]]="", Table12[[#This Row],[Bet]]="Spread"), "",IF('Prediction Log'!L538=Table12[[#This Row],[Side]], "W", IF('Prediction Log'!L538&lt;&gt;Table12[[#This Row],[Side]], "L", "")))</f>
      </c>
      <c r="AA537" s="59" t="str">
        <f t="shared" si="77"/>
      </c>
      <c r="AB537" s="67" t="str">
        <f>IF(OR(Table12[[#This Row],[Bet]]="Side",Table12[[#This Row],[Bet]]="", 'Prediction Log'!L538=""), "",IF('Prediction Log'!U538="Y", "W", IF('Prediction Log'!U538="N", "L", "")))</f>
      </c>
      <c r="AC537" s="59" t="str">
        <f t="shared" si="78"/>
      </c>
      <c r="AD537" s="67"/>
      <c r="AE537" s="65" t="str">
        <f t="shared" si="83"/>
      </c>
      <c r="AF5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8">
      <c r="A538" s="65" t="str">
        <f>IF(ISBLANK(Games!A538), "", Games!A538)</f>
      </c>
      <c r="B538" s="65" t="str">
        <f>IF('Prediction Log'!B539=0, "",'Prediction Log'!B539)</f>
      </c>
      <c r="C538" s="65" t="str">
        <f>IF('Prediction Log'!C539=0, "",'Prediction Log'!C539)</f>
      </c>
      <c r="D538" s="65" t="str">
        <f>IF('Prediction Log'!D539=0, "",'Prediction Log'!D539)</f>
      </c>
      <c r="E538" s="58" t="str">
        <f>IF('Prediction Log'!E539=0, "",'Prediction Log'!E539)</f>
      </c>
      <c r="F538" s="65" t="str">
        <f>IF('Prediction Log'!H539=0, "",'Prediction Log'!H539)</f>
      </c>
      <c r="G538" s="64" t="str">
        <f>IF(ISBLANK(Games!B538), "",'Prediction Log'!$I539)</f>
      </c>
      <c r="H538" s="66" t="n">
        <f>'Prediction Log'!$J539</f>
        <v>0</v>
      </c>
      <c r="I538" s="65" t="str">
        <f>IF(ISBLANK(Games!T538), "",IF(AND(Games!T538="",Games!U538=""),"",IF(ISTEXT(Games!U538), "Side",Games!T538)))</f>
      </c>
      <c r="J538" s="65" t="str">
        <f>IF(ISBLANK(Games!T538), "",IF(Table12[[#This Row],[Bet]]="Spread", Games!X538, ""))</f>
      </c>
      <c r="K538" s="65" t="str">
        <f>IF(ISBLANK(Games!U538), "",IF(ISTEXT(Games!U538), Games!U538, ""))</f>
      </c>
      <c r="L538" s="57" t="str">
        <f>IF(ISBLANK(Games!D538), "", Games!D538)</f>
      </c>
      <c r="M538" s="65"/>
      <c r="N538" s="75" t="str">
        <f>IF(Games!V538="", "",Games!V538)</f>
      </c>
      <c r="O538" s="75" t="str">
        <f>IF(Games!Z538=0, "",Games!Z538)</f>
      </c>
      <c r="P538" s="67"/>
      <c r="Q538" s="67" t="str">
        <f>IF(ISBLANK(Games!W538), "", Games!W538)</f>
      </c>
      <c r="R538" s="67" t="str">
        <f>IF(ISBLANK(Games!AA538), "", Games!AA538)</f>
      </c>
      <c r="S538" s="67"/>
      <c r="T538" s="68" t="str">
        <f t="shared" si="79"/>
      </c>
      <c r="U538" s="68" t="str">
        <f t="shared" si="80"/>
      </c>
      <c r="V538" s="68" t="str">
        <f t="shared" si="81"/>
      </c>
      <c r="W538" s="68" t="str">
        <f t="shared" si="82"/>
      </c>
      <c r="X538" s="68" t="n">
        <f t="shared" si="75"/>
        <v>0</v>
      </c>
      <c r="Y538" s="68" t="n">
        <f t="shared" si="76"/>
        <v>0</v>
      </c>
      <c r="Z538" s="67" t="str">
        <f>IF(OR('Prediction Log'!L539="", Table12[[#This Row],[Bet]]="", Table12[[#This Row],[Bet]]="Spread"), "",IF('Prediction Log'!L539=Table12[[#This Row],[Side]], "W", IF('Prediction Log'!L539&lt;&gt;Table12[[#This Row],[Side]], "L", "")))</f>
      </c>
      <c r="AA538" s="59" t="str">
        <f t="shared" si="77"/>
      </c>
      <c r="AB538" s="67" t="str">
        <f>IF(OR(Table12[[#This Row],[Bet]]="Side",Table12[[#This Row],[Bet]]="", 'Prediction Log'!L539=""), "",IF('Prediction Log'!U539="Y", "W", IF('Prediction Log'!U539="N", "L", "")))</f>
      </c>
      <c r="AC538" s="59" t="str">
        <f t="shared" si="78"/>
      </c>
      <c r="AD538" s="67"/>
      <c r="AE538" s="65" t="str">
        <f t="shared" si="83"/>
      </c>
      <c r="AF5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9">
      <c r="A539" s="65" t="str">
        <f>IF(ISBLANK(Games!A539), "", Games!A539)</f>
      </c>
      <c r="B539" s="65" t="str">
        <f>IF('Prediction Log'!B540=0, "",'Prediction Log'!B540)</f>
      </c>
      <c r="C539" s="65" t="str">
        <f>IF('Prediction Log'!C540=0, "",'Prediction Log'!C540)</f>
      </c>
      <c r="D539" s="65" t="str">
        <f>IF('Prediction Log'!D540=0, "",'Prediction Log'!D540)</f>
      </c>
      <c r="E539" s="58" t="str">
        <f>IF('Prediction Log'!E540=0, "",'Prediction Log'!E540)</f>
      </c>
      <c r="F539" s="65" t="str">
        <f>IF('Prediction Log'!H540=0, "",'Prediction Log'!H540)</f>
      </c>
      <c r="G539" s="64" t="str">
        <f>IF(ISBLANK(Games!B539), "",'Prediction Log'!$I540)</f>
      </c>
      <c r="H539" s="66" t="n">
        <f>'Prediction Log'!$J540</f>
        <v>0</v>
      </c>
      <c r="I539" s="65" t="str">
        <f>IF(ISBLANK(Games!T539), "",IF(AND(Games!T539="",Games!U539=""),"",IF(ISTEXT(Games!U539), "Side",Games!T539)))</f>
      </c>
      <c r="J539" s="65" t="str">
        <f>IF(ISBLANK(Games!T539), "",IF(Table12[[#This Row],[Bet]]="Spread", Games!X539, ""))</f>
      </c>
      <c r="K539" s="65" t="str">
        <f>IF(ISBLANK(Games!U539), "",IF(ISTEXT(Games!U539), Games!U539, ""))</f>
      </c>
      <c r="L539" s="57" t="str">
        <f>IF(ISBLANK(Games!D539), "", Games!D539)</f>
      </c>
      <c r="M539" s="65"/>
      <c r="N539" s="75" t="str">
        <f>IF(Games!V539="", "",Games!V539)</f>
      </c>
      <c r="O539" s="75" t="str">
        <f>IF(Games!Z539=0, "",Games!Z539)</f>
      </c>
      <c r="P539" s="67"/>
      <c r="Q539" s="67" t="str">
        <f>IF(ISBLANK(Games!W539), "", Games!W539)</f>
      </c>
      <c r="R539" s="67" t="str">
        <f>IF(ISBLANK(Games!AA539), "", Games!AA539)</f>
      </c>
      <c r="S539" s="67"/>
      <c r="T539" s="68" t="str">
        <f t="shared" si="79"/>
      </c>
      <c r="U539" s="68" t="str">
        <f t="shared" si="80"/>
      </c>
      <c r="V539" s="68" t="str">
        <f t="shared" si="81"/>
      </c>
      <c r="W539" s="68" t="str">
        <f t="shared" si="82"/>
      </c>
      <c r="X539" s="68" t="n">
        <f t="shared" si="75"/>
        <v>0</v>
      </c>
      <c r="Y539" s="68" t="n">
        <f t="shared" si="76"/>
        <v>0</v>
      </c>
      <c r="Z539" s="67" t="str">
        <f>IF(OR('Prediction Log'!L540="", Table12[[#This Row],[Bet]]="", Table12[[#This Row],[Bet]]="Spread"), "",IF('Prediction Log'!L540=Table12[[#This Row],[Side]], "W", IF('Prediction Log'!L540&lt;&gt;Table12[[#This Row],[Side]], "L", "")))</f>
      </c>
      <c r="AA539" s="59" t="str">
        <f t="shared" si="77"/>
      </c>
      <c r="AB539" s="67" t="str">
        <f>IF(OR(Table12[[#This Row],[Bet]]="Side",Table12[[#This Row],[Bet]]="", 'Prediction Log'!L540=""), "",IF('Prediction Log'!U540="Y", "W", IF('Prediction Log'!U540="N", "L", "")))</f>
      </c>
      <c r="AC539" s="59" t="str">
        <f t="shared" si="78"/>
      </c>
      <c r="AD539" s="67"/>
      <c r="AE539" s="65" t="str">
        <f t="shared" si="83"/>
      </c>
      <c r="AF5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0">
      <c r="A540" s="65" t="str">
        <f>IF(ISBLANK(Games!A540), "", Games!A540)</f>
      </c>
      <c r="B540" s="65" t="str">
        <f>IF('Prediction Log'!B541=0, "",'Prediction Log'!B541)</f>
      </c>
      <c r="C540" s="65" t="str">
        <f>IF('Prediction Log'!C541=0, "",'Prediction Log'!C541)</f>
      </c>
      <c r="D540" s="65" t="str">
        <f>IF('Prediction Log'!D541=0, "",'Prediction Log'!D541)</f>
      </c>
      <c r="E540" s="58" t="str">
        <f>IF('Prediction Log'!E541=0, "",'Prediction Log'!E541)</f>
      </c>
      <c r="F540" s="65" t="str">
        <f>IF('Prediction Log'!H541=0, "",'Prediction Log'!H541)</f>
      </c>
      <c r="G540" s="64" t="str">
        <f>IF(ISBLANK(Games!B540), "",'Prediction Log'!$I541)</f>
      </c>
      <c r="H540" s="66" t="n">
        <f>'Prediction Log'!$J541</f>
        <v>0</v>
      </c>
      <c r="I540" s="65" t="str">
        <f>IF(ISBLANK(Games!T540), "",IF(AND(Games!T540="",Games!U540=""),"",IF(ISTEXT(Games!U540), "Side",Games!T540)))</f>
      </c>
      <c r="J540" s="65" t="str">
        <f>IF(ISBLANK(Games!T540), "",IF(Table12[[#This Row],[Bet]]="Spread", Games!X540, ""))</f>
      </c>
      <c r="K540" s="65" t="str">
        <f>IF(ISBLANK(Games!U540), "",IF(ISTEXT(Games!U540), Games!U540, ""))</f>
      </c>
      <c r="L540" s="57" t="str">
        <f>IF(ISBLANK(Games!D540), "", Games!D540)</f>
      </c>
      <c r="M540" s="65"/>
      <c r="N540" s="75" t="str">
        <f>IF(Games!V540="", "",Games!V540)</f>
      </c>
      <c r="O540" s="75" t="str">
        <f>IF(Games!Z540=0, "",Games!Z540)</f>
      </c>
      <c r="P540" s="67"/>
      <c r="Q540" s="67" t="str">
        <f>IF(ISBLANK(Games!W540), "", Games!W540)</f>
      </c>
      <c r="R540" s="67" t="str">
        <f>IF(ISBLANK(Games!AA540), "", Games!AA540)</f>
      </c>
      <c r="S540" s="67"/>
      <c r="T540" s="68" t="str">
        <f t="shared" si="79"/>
      </c>
      <c r="U540" s="68" t="str">
        <f t="shared" si="80"/>
      </c>
      <c r="V540" s="68" t="str">
        <f t="shared" si="81"/>
      </c>
      <c r="W540" s="68" t="str">
        <f t="shared" si="82"/>
      </c>
      <c r="X540" s="68" t="n">
        <f t="shared" si="75"/>
        <v>0</v>
      </c>
      <c r="Y540" s="68" t="n">
        <f t="shared" si="76"/>
        <v>0</v>
      </c>
      <c r="Z540" s="67" t="str">
        <f>IF(OR('Prediction Log'!L541="", Table12[[#This Row],[Bet]]="", Table12[[#This Row],[Bet]]="Spread"), "",IF('Prediction Log'!L541=Table12[[#This Row],[Side]], "W", IF('Prediction Log'!L541&lt;&gt;Table12[[#This Row],[Side]], "L", "")))</f>
      </c>
      <c r="AA540" s="59" t="str">
        <f t="shared" si="77"/>
      </c>
      <c r="AB540" s="67" t="str">
        <f>IF(OR(Table12[[#This Row],[Bet]]="Side",Table12[[#This Row],[Bet]]="", 'Prediction Log'!L541=""), "",IF('Prediction Log'!U541="Y", "W", IF('Prediction Log'!U541="N", "L", "")))</f>
      </c>
      <c r="AC540" s="59" t="str">
        <f t="shared" si="78"/>
      </c>
      <c r="AD540" s="67"/>
      <c r="AE540" s="65" t="str">
        <f t="shared" si="83"/>
      </c>
      <c r="AF5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1">
      <c r="A541" s="65" t="str">
        <f>IF(ISBLANK(Games!A541), "", Games!A541)</f>
      </c>
      <c r="B541" s="65" t="str">
        <f>IF('Prediction Log'!B542=0, "",'Prediction Log'!B542)</f>
      </c>
      <c r="C541" s="65" t="str">
        <f>IF('Prediction Log'!C542=0, "",'Prediction Log'!C542)</f>
      </c>
      <c r="D541" s="65" t="str">
        <f>IF('Prediction Log'!D542=0, "",'Prediction Log'!D542)</f>
      </c>
      <c r="E541" s="58" t="str">
        <f>IF('Prediction Log'!E542=0, "",'Prediction Log'!E542)</f>
      </c>
      <c r="F541" s="65" t="str">
        <f>IF('Prediction Log'!H542=0, "",'Prediction Log'!H542)</f>
      </c>
      <c r="G541" s="64" t="str">
        <f>IF(ISBLANK(Games!B541), "",'Prediction Log'!$I542)</f>
      </c>
      <c r="H541" s="66" t="n">
        <f>'Prediction Log'!$J542</f>
        <v>0</v>
      </c>
      <c r="I541" s="65" t="str">
        <f>IF(ISBLANK(Games!T541), "",IF(AND(Games!T541="",Games!U541=""),"",IF(ISTEXT(Games!U541), "Side",Games!T541)))</f>
      </c>
      <c r="J541" s="65" t="str">
        <f>IF(ISBLANK(Games!T541), "",IF(Table12[[#This Row],[Bet]]="Spread", Games!X541, ""))</f>
      </c>
      <c r="K541" s="65" t="str">
        <f>IF(ISBLANK(Games!U541), "",IF(ISTEXT(Games!U541), Games!U541, ""))</f>
      </c>
      <c r="L541" s="57" t="str">
        <f>IF(ISBLANK(Games!D541), "", Games!D541)</f>
      </c>
      <c r="M541" s="65"/>
      <c r="N541" s="75" t="str">
        <f>IF(Games!V541="", "",Games!V541)</f>
      </c>
      <c r="O541" s="75" t="str">
        <f>IF(Games!Z541=0, "",Games!Z541)</f>
      </c>
      <c r="P541" s="67"/>
      <c r="Q541" s="67" t="str">
        <f>IF(ISBLANK(Games!W541), "", Games!W541)</f>
      </c>
      <c r="R541" s="67" t="str">
        <f>IF(ISBLANK(Games!AA541), "", Games!AA541)</f>
      </c>
      <c r="S541" s="67"/>
      <c r="T541" s="68" t="str">
        <f t="shared" si="79"/>
      </c>
      <c r="U541" s="68" t="str">
        <f t="shared" si="80"/>
      </c>
      <c r="V541" s="68" t="str">
        <f t="shared" si="81"/>
      </c>
      <c r="W541" s="68" t="str">
        <f t="shared" si="82"/>
      </c>
      <c r="X541" s="68" t="n">
        <f t="shared" si="75"/>
        <v>0</v>
      </c>
      <c r="Y541" s="68" t="n">
        <f t="shared" si="76"/>
        <v>0</v>
      </c>
      <c r="Z541" s="67" t="str">
        <f>IF(OR('Prediction Log'!L542="", Table12[[#This Row],[Bet]]="", Table12[[#This Row],[Bet]]="Spread"), "",IF('Prediction Log'!L542=Table12[[#This Row],[Side]], "W", IF('Prediction Log'!L542&lt;&gt;Table12[[#This Row],[Side]], "L", "")))</f>
      </c>
      <c r="AA541" s="59" t="str">
        <f t="shared" si="77"/>
      </c>
      <c r="AB541" s="67" t="str">
        <f>IF(OR(Table12[[#This Row],[Bet]]="Side",Table12[[#This Row],[Bet]]="", 'Prediction Log'!L542=""), "",IF('Prediction Log'!U542="Y", "W", IF('Prediction Log'!U542="N", "L", "")))</f>
      </c>
      <c r="AC541" s="59" t="str">
        <f t="shared" si="78"/>
      </c>
      <c r="AD541" s="67"/>
      <c r="AE541" s="65" t="str">
        <f t="shared" si="83"/>
      </c>
      <c r="AF5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2">
      <c r="A542" s="65" t="str">
        <f>IF(ISBLANK(Games!A542), "", Games!A542)</f>
      </c>
      <c r="B542" s="65" t="str">
        <f>IF('Prediction Log'!B543=0, "",'Prediction Log'!B543)</f>
      </c>
      <c r="C542" s="65" t="str">
        <f>IF('Prediction Log'!C543=0, "",'Prediction Log'!C543)</f>
      </c>
      <c r="D542" s="65" t="str">
        <f>IF('Prediction Log'!D543=0, "",'Prediction Log'!D543)</f>
      </c>
      <c r="E542" s="58" t="str">
        <f>IF('Prediction Log'!E543=0, "",'Prediction Log'!E543)</f>
      </c>
      <c r="F542" s="65" t="str">
        <f>IF('Prediction Log'!H543=0, "",'Prediction Log'!H543)</f>
      </c>
      <c r="G542" s="64" t="str">
        <f>IF(ISBLANK(Games!B542), "",'Prediction Log'!$I543)</f>
      </c>
      <c r="H542" s="66" t="n">
        <f>'Prediction Log'!$J543</f>
        <v>0</v>
      </c>
      <c r="I542" s="65" t="str">
        <f>IF(ISBLANK(Games!T542), "",IF(AND(Games!T542="",Games!U542=""),"",IF(ISTEXT(Games!U542), "Side",Games!T542)))</f>
      </c>
      <c r="J542" s="65" t="str">
        <f>IF(ISBLANK(Games!T542), "",IF(Table12[[#This Row],[Bet]]="Spread", Games!X542, ""))</f>
      </c>
      <c r="K542" s="65" t="str">
        <f>IF(ISBLANK(Games!U542), "",IF(ISTEXT(Games!U542), Games!U542, ""))</f>
      </c>
      <c r="L542" s="57" t="str">
        <f>IF(ISBLANK(Games!D542), "", Games!D542)</f>
      </c>
      <c r="M542" s="65"/>
      <c r="N542" s="75" t="str">
        <f>IF(Games!V542="", "",Games!V542)</f>
      </c>
      <c r="O542" s="75" t="str">
        <f>IF(Games!Z542=0, "",Games!Z542)</f>
      </c>
      <c r="P542" s="67"/>
      <c r="Q542" s="67" t="str">
        <f>IF(ISBLANK(Games!W542), "", Games!W542)</f>
      </c>
      <c r="R542" s="67" t="str">
        <f>IF(ISBLANK(Games!AA542), "", Games!AA542)</f>
      </c>
      <c r="S542" s="67"/>
      <c r="T542" s="68" t="str">
        <f t="shared" si="79"/>
      </c>
      <c r="U542" s="68" t="str">
        <f t="shared" si="80"/>
      </c>
      <c r="V542" s="68" t="str">
        <f t="shared" si="81"/>
      </c>
      <c r="W542" s="68" t="str">
        <f t="shared" si="82"/>
      </c>
      <c r="X542" s="68" t="n">
        <f t="shared" si="75"/>
        <v>0</v>
      </c>
      <c r="Y542" s="68" t="n">
        <f t="shared" si="76"/>
        <v>0</v>
      </c>
      <c r="Z542" s="67" t="str">
        <f>IF(OR('Prediction Log'!L543="", Table12[[#This Row],[Bet]]="", Table12[[#This Row],[Bet]]="Spread"), "",IF('Prediction Log'!L543=Table12[[#This Row],[Side]], "W", IF('Prediction Log'!L543&lt;&gt;Table12[[#This Row],[Side]], "L", "")))</f>
      </c>
      <c r="AA542" s="59" t="str">
        <f t="shared" si="77"/>
      </c>
      <c r="AB542" s="67" t="str">
        <f>IF(OR(Table12[[#This Row],[Bet]]="Side",Table12[[#This Row],[Bet]]="", 'Prediction Log'!L543=""), "",IF('Prediction Log'!U543="Y", "W", IF('Prediction Log'!U543="N", "L", "")))</f>
      </c>
      <c r="AC542" s="59" t="str">
        <f t="shared" si="78"/>
      </c>
      <c r="AD542" s="67"/>
      <c r="AE542" s="65" t="str">
        <f t="shared" si="83"/>
      </c>
      <c r="AF5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3">
      <c r="A543" s="65" t="str">
        <f>IF(ISBLANK(Games!A543), "", Games!A543)</f>
      </c>
      <c r="B543" s="65" t="str">
        <f>IF('Prediction Log'!B544=0, "",'Prediction Log'!B544)</f>
      </c>
      <c r="C543" s="65" t="str">
        <f>IF('Prediction Log'!C544=0, "",'Prediction Log'!C544)</f>
      </c>
      <c r="D543" s="65" t="str">
        <f>IF('Prediction Log'!D544=0, "",'Prediction Log'!D544)</f>
      </c>
      <c r="E543" s="58" t="str">
        <f>IF('Prediction Log'!E544=0, "",'Prediction Log'!E544)</f>
      </c>
      <c r="F543" s="65" t="str">
        <f>IF('Prediction Log'!H544=0, "",'Prediction Log'!H544)</f>
      </c>
      <c r="G543" s="64" t="str">
        <f>IF(ISBLANK(Games!B543), "",'Prediction Log'!$I544)</f>
      </c>
      <c r="H543" s="66" t="n">
        <f>'Prediction Log'!$J544</f>
        <v>0</v>
      </c>
      <c r="I543" s="65" t="str">
        <f>IF(ISBLANK(Games!T543), "",IF(AND(Games!T543="",Games!U543=""),"",IF(ISTEXT(Games!U543), "Side",Games!T543)))</f>
      </c>
      <c r="J543" s="65" t="str">
        <f>IF(ISBLANK(Games!T543), "",IF(Table12[[#This Row],[Bet]]="Spread", Games!X543, ""))</f>
      </c>
      <c r="K543" s="65" t="str">
        <f>IF(ISBLANK(Games!U543), "",IF(ISTEXT(Games!U543), Games!U543, ""))</f>
      </c>
      <c r="L543" s="57" t="str">
        <f>IF(ISBLANK(Games!D543), "", Games!D543)</f>
      </c>
      <c r="M543" s="65"/>
      <c r="N543" s="75" t="str">
        <f>IF(Games!V543="", "",Games!V543)</f>
      </c>
      <c r="O543" s="75" t="str">
        <f>IF(Games!Z543=0, "",Games!Z543)</f>
      </c>
      <c r="P543" s="67"/>
      <c r="Q543" s="67" t="str">
        <f>IF(ISBLANK(Games!W543), "", Games!W543)</f>
      </c>
      <c r="R543" s="67" t="str">
        <f>IF(ISBLANK(Games!AA543), "", Games!AA543)</f>
      </c>
      <c r="S543" s="67"/>
      <c r="T543" s="68" t="str">
        <f t="shared" si="79"/>
      </c>
      <c r="U543" s="68" t="str">
        <f t="shared" si="80"/>
      </c>
      <c r="V543" s="68" t="str">
        <f t="shared" si="81"/>
      </c>
      <c r="W543" s="68" t="str">
        <f t="shared" si="82"/>
      </c>
      <c r="X543" s="68" t="n">
        <f t="shared" si="75"/>
        <v>0</v>
      </c>
      <c r="Y543" s="68" t="n">
        <f t="shared" si="76"/>
        <v>0</v>
      </c>
      <c r="Z543" s="67" t="str">
        <f>IF(OR('Prediction Log'!L544="", Table12[[#This Row],[Bet]]="", Table12[[#This Row],[Bet]]="Spread"), "",IF('Prediction Log'!L544=Table12[[#This Row],[Side]], "W", IF('Prediction Log'!L544&lt;&gt;Table12[[#This Row],[Side]], "L", "")))</f>
      </c>
      <c r="AA543" s="59" t="str">
        <f t="shared" si="77"/>
      </c>
      <c r="AB543" s="67" t="str">
        <f>IF(OR(Table12[[#This Row],[Bet]]="Side",Table12[[#This Row],[Bet]]="", 'Prediction Log'!L544=""), "",IF('Prediction Log'!U544="Y", "W", IF('Prediction Log'!U544="N", "L", "")))</f>
      </c>
      <c r="AC543" s="59" t="str">
        <f t="shared" si="78"/>
      </c>
      <c r="AD543" s="67"/>
      <c r="AE543" s="65" t="str">
        <f t="shared" si="83"/>
      </c>
      <c r="AF5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4">
      <c r="A544" s="65" t="str">
        <f>IF(ISBLANK(Games!A544), "", Games!A544)</f>
      </c>
      <c r="B544" s="65" t="str">
        <f>IF('Prediction Log'!B545=0, "",'Prediction Log'!B545)</f>
      </c>
      <c r="C544" s="65" t="str">
        <f>IF('Prediction Log'!C545=0, "",'Prediction Log'!C545)</f>
      </c>
      <c r="D544" s="65" t="str">
        <f>IF('Prediction Log'!D545=0, "",'Prediction Log'!D545)</f>
      </c>
      <c r="E544" s="58" t="str">
        <f>IF('Prediction Log'!E545=0, "",'Prediction Log'!E545)</f>
      </c>
      <c r="F544" s="65" t="str">
        <f>IF('Prediction Log'!H545=0, "",'Prediction Log'!H545)</f>
      </c>
      <c r="G544" s="64" t="str">
        <f>IF(ISBLANK(Games!B544), "",'Prediction Log'!$I545)</f>
      </c>
      <c r="H544" s="66" t="n">
        <f>'Prediction Log'!$J545</f>
        <v>0</v>
      </c>
      <c r="I544" s="65" t="str">
        <f>IF(ISBLANK(Games!T544), "",IF(AND(Games!T544="",Games!U544=""),"",IF(ISTEXT(Games!U544), "Side",Games!T544)))</f>
      </c>
      <c r="J544" s="65" t="str">
        <f>IF(ISBLANK(Games!T544), "",IF(Table12[[#This Row],[Bet]]="Spread", Games!X544, ""))</f>
      </c>
      <c r="K544" s="65" t="str">
        <f>IF(ISBLANK(Games!U544), "",IF(ISTEXT(Games!U544), Games!U544, ""))</f>
      </c>
      <c r="L544" s="57" t="str">
        <f>IF(ISBLANK(Games!D544), "", Games!D544)</f>
      </c>
      <c r="M544" s="65"/>
      <c r="N544" s="75" t="str">
        <f>IF(Games!V544="", "",Games!V544)</f>
      </c>
      <c r="O544" s="75" t="str">
        <f>IF(Games!Z544=0, "",Games!Z544)</f>
      </c>
      <c r="P544" s="67"/>
      <c r="Q544" s="67" t="str">
        <f>IF(ISBLANK(Games!W544), "", Games!W544)</f>
      </c>
      <c r="R544" s="67" t="str">
        <f>IF(ISBLANK(Games!AA544), "", Games!AA544)</f>
      </c>
      <c r="S544" s="67"/>
      <c r="T544" s="68" t="str">
        <f t="shared" si="79"/>
      </c>
      <c r="U544" s="68" t="str">
        <f t="shared" si="80"/>
      </c>
      <c r="V544" s="68" t="str">
        <f t="shared" si="81"/>
      </c>
      <c r="W544" s="68" t="str">
        <f t="shared" si="82"/>
      </c>
      <c r="X544" s="68" t="n">
        <f t="shared" si="75"/>
        <v>0</v>
      </c>
      <c r="Y544" s="68" t="n">
        <f t="shared" si="76"/>
        <v>0</v>
      </c>
      <c r="Z544" s="67" t="str">
        <f>IF(OR('Prediction Log'!L545="", Table12[[#This Row],[Bet]]="", Table12[[#This Row],[Bet]]="Spread"), "",IF('Prediction Log'!L545=Table12[[#This Row],[Side]], "W", IF('Prediction Log'!L545&lt;&gt;Table12[[#This Row],[Side]], "L", "")))</f>
      </c>
      <c r="AA544" s="59" t="str">
        <f t="shared" si="77"/>
      </c>
      <c r="AB544" s="67" t="str">
        <f>IF(OR(Table12[[#This Row],[Bet]]="Side",Table12[[#This Row],[Bet]]="", 'Prediction Log'!L545=""), "",IF('Prediction Log'!U545="Y", "W", IF('Prediction Log'!U545="N", "L", "")))</f>
      </c>
      <c r="AC544" s="59" t="str">
        <f t="shared" si="78"/>
      </c>
      <c r="AD544" s="67"/>
      <c r="AE544" s="65" t="str">
        <f t="shared" si="83"/>
      </c>
      <c r="AF5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5">
      <c r="A545" s="65" t="str">
        <f>IF(ISBLANK(Games!A545), "", Games!A545)</f>
      </c>
      <c r="B545" s="65" t="str">
        <f>IF('Prediction Log'!B546=0, "",'Prediction Log'!B546)</f>
      </c>
      <c r="C545" s="65" t="str">
        <f>IF('Prediction Log'!C546=0, "",'Prediction Log'!C546)</f>
      </c>
      <c r="D545" s="65" t="str">
        <f>IF('Prediction Log'!D546=0, "",'Prediction Log'!D546)</f>
      </c>
      <c r="E545" s="58" t="str">
        <f>IF('Prediction Log'!E546=0, "",'Prediction Log'!E546)</f>
      </c>
      <c r="F545" s="65" t="str">
        <f>IF('Prediction Log'!H546=0, "",'Prediction Log'!H546)</f>
      </c>
      <c r="G545" s="64" t="str">
        <f>IF(ISBLANK(Games!B545), "",'Prediction Log'!$I546)</f>
      </c>
      <c r="H545" s="66" t="n">
        <f>'Prediction Log'!$J546</f>
        <v>0</v>
      </c>
      <c r="I545" s="65" t="str">
        <f>IF(ISBLANK(Games!T545), "",IF(AND(Games!T545="",Games!U545=""),"",IF(ISTEXT(Games!U545), "Side",Games!T545)))</f>
      </c>
      <c r="J545" s="65" t="str">
        <f>IF(ISBLANK(Games!T545), "",IF(Table12[[#This Row],[Bet]]="Spread", Games!X545, ""))</f>
      </c>
      <c r="K545" s="65" t="str">
        <f>IF(ISBLANK(Games!U545), "",IF(ISTEXT(Games!U545), Games!U545, ""))</f>
      </c>
      <c r="L545" s="57" t="str">
        <f>IF(ISBLANK(Games!D545), "", Games!D545)</f>
      </c>
      <c r="M545" s="65"/>
      <c r="N545" s="75" t="str">
        <f>IF(Games!V545="", "",Games!V545)</f>
      </c>
      <c r="O545" s="75" t="str">
        <f>IF(Games!Z545=0, "",Games!Z545)</f>
      </c>
      <c r="P545" s="67"/>
      <c r="Q545" s="67" t="str">
        <f>IF(ISBLANK(Games!W545), "", Games!W545)</f>
      </c>
      <c r="R545" s="67" t="str">
        <f>IF(ISBLANK(Games!AA545), "", Games!AA545)</f>
      </c>
      <c r="S545" s="67"/>
      <c r="T545" s="68" t="str">
        <f t="shared" si="79"/>
      </c>
      <c r="U545" s="68" t="str">
        <f t="shared" si="80"/>
      </c>
      <c r="V545" s="68" t="str">
        <f t="shared" si="81"/>
      </c>
      <c r="W545" s="68" t="str">
        <f t="shared" si="82"/>
      </c>
      <c r="X545" s="68" t="n">
        <f t="shared" si="75"/>
        <v>0</v>
      </c>
      <c r="Y545" s="68" t="n">
        <f t="shared" si="76"/>
        <v>0</v>
      </c>
      <c r="Z545" s="67" t="str">
        <f>IF(OR('Prediction Log'!L546="", Table12[[#This Row],[Bet]]="", Table12[[#This Row],[Bet]]="Spread"), "",IF('Prediction Log'!L546=Table12[[#This Row],[Side]], "W", IF('Prediction Log'!L546&lt;&gt;Table12[[#This Row],[Side]], "L", "")))</f>
      </c>
      <c r="AA545" s="59" t="str">
        <f t="shared" si="77"/>
      </c>
      <c r="AB545" s="67" t="str">
        <f>IF(OR(Table12[[#This Row],[Bet]]="Side",Table12[[#This Row],[Bet]]="", 'Prediction Log'!L546=""), "",IF('Prediction Log'!U546="Y", "W", IF('Prediction Log'!U546="N", "L", "")))</f>
      </c>
      <c r="AC545" s="59" t="str">
        <f t="shared" si="78"/>
      </c>
      <c r="AD545" s="67"/>
      <c r="AE545" s="65" t="str">
        <f t="shared" si="83"/>
      </c>
      <c r="AF5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6">
      <c r="A546" s="65" t="str">
        <f>IF(ISBLANK(Games!A546), "", Games!A546)</f>
      </c>
      <c r="B546" s="65" t="str">
        <f>IF('Prediction Log'!B547=0, "",'Prediction Log'!B547)</f>
      </c>
      <c r="C546" s="65" t="str">
        <f>IF('Prediction Log'!C547=0, "",'Prediction Log'!C547)</f>
      </c>
      <c r="D546" s="65" t="str">
        <f>IF('Prediction Log'!D547=0, "",'Prediction Log'!D547)</f>
      </c>
      <c r="E546" s="58" t="str">
        <f>IF('Prediction Log'!E547=0, "",'Prediction Log'!E547)</f>
      </c>
      <c r="F546" s="65" t="str">
        <f>IF('Prediction Log'!H547=0, "",'Prediction Log'!H547)</f>
      </c>
      <c r="G546" s="64" t="str">
        <f>IF(ISBLANK(Games!B546), "",'Prediction Log'!$I547)</f>
      </c>
      <c r="H546" s="66" t="n">
        <f>'Prediction Log'!$J547</f>
        <v>0</v>
      </c>
      <c r="I546" s="65" t="str">
        <f>IF(ISBLANK(Games!T546), "",IF(AND(Games!T546="",Games!U546=""),"",IF(ISTEXT(Games!U546), "Side",Games!T546)))</f>
      </c>
      <c r="J546" s="65" t="str">
        <f>IF(ISBLANK(Games!T546), "",IF(Table12[[#This Row],[Bet]]="Spread", Games!X546, ""))</f>
      </c>
      <c r="K546" s="65" t="str">
        <f>IF(ISBLANK(Games!U546), "",IF(ISTEXT(Games!U546), Games!U546, ""))</f>
      </c>
      <c r="L546" s="57" t="str">
        <f>IF(ISBLANK(Games!D546), "", Games!D546)</f>
      </c>
      <c r="M546" s="65"/>
      <c r="N546" s="75" t="str">
        <f>IF(Games!V546="", "",Games!V546)</f>
      </c>
      <c r="O546" s="75" t="str">
        <f>IF(Games!Z546=0, "",Games!Z546)</f>
      </c>
      <c r="P546" s="67"/>
      <c r="Q546" s="67" t="str">
        <f>IF(ISBLANK(Games!W546), "", Games!W546)</f>
      </c>
      <c r="R546" s="67" t="str">
        <f>IF(ISBLANK(Games!AA546), "", Games!AA546)</f>
      </c>
      <c r="S546" s="67"/>
      <c r="T546" s="68" t="str">
        <f t="shared" si="79"/>
      </c>
      <c r="U546" s="68" t="str">
        <f t="shared" si="80"/>
      </c>
      <c r="V546" s="68" t="str">
        <f t="shared" si="81"/>
      </c>
      <c r="W546" s="68" t="str">
        <f t="shared" si="82"/>
      </c>
      <c r="X546" s="68" t="n">
        <f t="shared" si="75"/>
        <v>0</v>
      </c>
      <c r="Y546" s="68" t="n">
        <f t="shared" si="76"/>
        <v>0</v>
      </c>
      <c r="Z546" s="67" t="str">
        <f>IF(OR('Prediction Log'!L547="", Table12[[#This Row],[Bet]]="", Table12[[#This Row],[Bet]]="Spread"), "",IF('Prediction Log'!L547=Table12[[#This Row],[Side]], "W", IF('Prediction Log'!L547&lt;&gt;Table12[[#This Row],[Side]], "L", "")))</f>
      </c>
      <c r="AA546" s="59" t="str">
        <f t="shared" si="77"/>
      </c>
      <c r="AB546" s="67" t="str">
        <f>IF(OR(Table12[[#This Row],[Bet]]="Side",Table12[[#This Row],[Bet]]="", 'Prediction Log'!L547=""), "",IF('Prediction Log'!U547="Y", "W", IF('Prediction Log'!U547="N", "L", "")))</f>
      </c>
      <c r="AC546" s="59" t="str">
        <f t="shared" si="78"/>
      </c>
      <c r="AD546" s="67"/>
      <c r="AE546" s="65" t="str">
        <f t="shared" si="83"/>
      </c>
      <c r="AF5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7">
      <c r="A547" s="65" t="str">
        <f>IF(ISBLANK(Games!A547), "", Games!A547)</f>
      </c>
      <c r="B547" s="65" t="str">
        <f>IF('Prediction Log'!B548=0, "",'Prediction Log'!B548)</f>
      </c>
      <c r="C547" s="65" t="str">
        <f>IF('Prediction Log'!C548=0, "",'Prediction Log'!C548)</f>
      </c>
      <c r="D547" s="65" t="str">
        <f>IF('Prediction Log'!D548=0, "",'Prediction Log'!D548)</f>
      </c>
      <c r="E547" s="58" t="str">
        <f>IF('Prediction Log'!E548=0, "",'Prediction Log'!E548)</f>
      </c>
      <c r="F547" s="65" t="str">
        <f>IF('Prediction Log'!H548=0, "",'Prediction Log'!H548)</f>
      </c>
      <c r="G547" s="64" t="str">
        <f>IF(ISBLANK(Games!B547), "",'Prediction Log'!$I548)</f>
      </c>
      <c r="H547" s="66" t="n">
        <f>'Prediction Log'!$J548</f>
        <v>0</v>
      </c>
      <c r="I547" s="65" t="str">
        <f>IF(ISBLANK(Games!T547), "",IF(AND(Games!T547="",Games!U547=""),"",IF(ISTEXT(Games!U547), "Side",Games!T547)))</f>
      </c>
      <c r="J547" s="65" t="str">
        <f>IF(ISBLANK(Games!T547), "",IF(Table12[[#This Row],[Bet]]="Spread", Games!X547, ""))</f>
      </c>
      <c r="K547" s="65" t="str">
        <f>IF(ISBLANK(Games!U547), "",IF(ISTEXT(Games!U547), Games!U547, ""))</f>
      </c>
      <c r="L547" s="57" t="str">
        <f>IF(ISBLANK(Games!D547), "", Games!D547)</f>
      </c>
      <c r="M547" s="65"/>
      <c r="N547" s="75" t="str">
        <f>IF(Games!V547="", "",Games!V547)</f>
      </c>
      <c r="O547" s="75" t="str">
        <f>IF(Games!Z547=0, "",Games!Z547)</f>
      </c>
      <c r="P547" s="67"/>
      <c r="Q547" s="67" t="str">
        <f>IF(ISBLANK(Games!W547), "", Games!W547)</f>
      </c>
      <c r="R547" s="67" t="str">
        <f>IF(ISBLANK(Games!AA547), "", Games!AA547)</f>
      </c>
      <c r="S547" s="67"/>
      <c r="T547" s="68" t="str">
        <f t="shared" si="79"/>
      </c>
      <c r="U547" s="68" t="str">
        <f t="shared" si="80"/>
      </c>
      <c r="V547" s="68" t="str">
        <f t="shared" si="81"/>
      </c>
      <c r="W547" s="68" t="str">
        <f t="shared" si="82"/>
      </c>
      <c r="X547" s="68" t="n">
        <f t="shared" si="75"/>
        <v>0</v>
      </c>
      <c r="Y547" s="68" t="n">
        <f t="shared" si="76"/>
        <v>0</v>
      </c>
      <c r="Z547" s="67" t="str">
        <f>IF(OR('Prediction Log'!L548="", Table12[[#This Row],[Bet]]="", Table12[[#This Row],[Bet]]="Spread"), "",IF('Prediction Log'!L548=Table12[[#This Row],[Side]], "W", IF('Prediction Log'!L548&lt;&gt;Table12[[#This Row],[Side]], "L", "")))</f>
      </c>
      <c r="AA547" s="59" t="str">
        <f t="shared" si="77"/>
      </c>
      <c r="AB547" s="67" t="str">
        <f>IF(OR(Table12[[#This Row],[Bet]]="Side",Table12[[#This Row],[Bet]]="", 'Prediction Log'!L548=""), "",IF('Prediction Log'!U548="Y", "W", IF('Prediction Log'!U548="N", "L", "")))</f>
      </c>
      <c r="AC547" s="59" t="str">
        <f t="shared" si="78"/>
      </c>
      <c r="AD547" s="67"/>
      <c r="AE547" s="65" t="str">
        <f t="shared" si="83"/>
      </c>
      <c r="AF5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8">
      <c r="A548" s="65" t="str">
        <f>IF(ISBLANK(Games!A548), "", Games!A548)</f>
      </c>
      <c r="B548" s="65" t="str">
        <f>IF('Prediction Log'!B549=0, "",'Prediction Log'!B549)</f>
      </c>
      <c r="C548" s="65" t="str">
        <f>IF('Prediction Log'!C549=0, "",'Prediction Log'!C549)</f>
      </c>
      <c r="D548" s="65" t="str">
        <f>IF('Prediction Log'!D549=0, "",'Prediction Log'!D549)</f>
      </c>
      <c r="E548" s="58" t="str">
        <f>IF('Prediction Log'!E549=0, "",'Prediction Log'!E549)</f>
      </c>
      <c r="F548" s="65" t="str">
        <f>IF('Prediction Log'!H549=0, "",'Prediction Log'!H549)</f>
      </c>
      <c r="G548" s="64" t="str">
        <f>IF(ISBLANK(Games!B548), "",'Prediction Log'!$I549)</f>
      </c>
      <c r="H548" s="66" t="n">
        <f>'Prediction Log'!$J549</f>
        <v>0</v>
      </c>
      <c r="I548" s="65" t="str">
        <f>IF(ISBLANK(Games!T548), "",IF(AND(Games!T548="",Games!U548=""),"",IF(ISTEXT(Games!U548), "Side",Games!T548)))</f>
      </c>
      <c r="J548" s="65" t="str">
        <f>IF(ISBLANK(Games!T548), "",IF(Table12[[#This Row],[Bet]]="Spread", Games!X548, ""))</f>
      </c>
      <c r="K548" s="65" t="str">
        <f>IF(ISBLANK(Games!U548), "",IF(ISTEXT(Games!U548), Games!U548, ""))</f>
      </c>
      <c r="L548" s="57" t="str">
        <f>IF(ISBLANK(Games!D548), "", Games!D548)</f>
      </c>
      <c r="M548" s="65"/>
      <c r="N548" s="75" t="str">
        <f>IF(Games!V548="", "",Games!V548)</f>
      </c>
      <c r="O548" s="75" t="str">
        <f>IF(Games!Z548=0, "",Games!Z548)</f>
      </c>
      <c r="P548" s="67"/>
      <c r="Q548" s="67" t="str">
        <f>IF(ISBLANK(Games!W548), "", Games!W548)</f>
      </c>
      <c r="R548" s="67" t="str">
        <f>IF(ISBLANK(Games!AA548), "", Games!AA548)</f>
      </c>
      <c r="S548" s="67"/>
      <c r="T548" s="68" t="str">
        <f t="shared" si="79"/>
      </c>
      <c r="U548" s="68" t="str">
        <f t="shared" si="80"/>
      </c>
      <c r="V548" s="68" t="str">
        <f t="shared" si="81"/>
      </c>
      <c r="W548" s="68" t="str">
        <f t="shared" si="82"/>
      </c>
      <c r="X548" s="68" t="n">
        <f t="shared" si="75"/>
        <v>0</v>
      </c>
      <c r="Y548" s="68" t="n">
        <f t="shared" si="76"/>
        <v>0</v>
      </c>
      <c r="Z548" s="67" t="str">
        <f>IF(OR('Prediction Log'!L549="", Table12[[#This Row],[Bet]]="", Table12[[#This Row],[Bet]]="Spread"), "",IF('Prediction Log'!L549=Table12[[#This Row],[Side]], "W", IF('Prediction Log'!L549&lt;&gt;Table12[[#This Row],[Side]], "L", "")))</f>
      </c>
      <c r="AA548" s="59" t="str">
        <f t="shared" si="77"/>
      </c>
      <c r="AB548" s="67" t="str">
        <f>IF(OR(Table12[[#This Row],[Bet]]="Side",Table12[[#This Row],[Bet]]="", 'Prediction Log'!L549=""), "",IF('Prediction Log'!U549="Y", "W", IF('Prediction Log'!U549="N", "L", "")))</f>
      </c>
      <c r="AC548" s="59" t="str">
        <f t="shared" si="78"/>
      </c>
      <c r="AD548" s="67"/>
      <c r="AE548" s="65" t="str">
        <f t="shared" si="83"/>
      </c>
      <c r="AF5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9">
      <c r="A549" s="65" t="str">
        <f>IF(ISBLANK(Games!A549), "", Games!A549)</f>
      </c>
      <c r="B549" s="65" t="str">
        <f>IF('Prediction Log'!B550=0, "",'Prediction Log'!B550)</f>
      </c>
      <c r="C549" s="65" t="str">
        <f>IF('Prediction Log'!C550=0, "",'Prediction Log'!C550)</f>
      </c>
      <c r="D549" s="65" t="str">
        <f>IF('Prediction Log'!D550=0, "",'Prediction Log'!D550)</f>
      </c>
      <c r="E549" s="58" t="str">
        <f>IF('Prediction Log'!E550=0, "",'Prediction Log'!E550)</f>
      </c>
      <c r="F549" s="65" t="str">
        <f>IF('Prediction Log'!H550=0, "",'Prediction Log'!H550)</f>
      </c>
      <c r="G549" s="64" t="str">
        <f>IF(ISBLANK(Games!B549), "",'Prediction Log'!$I550)</f>
      </c>
      <c r="H549" s="66" t="n">
        <f>'Prediction Log'!$J550</f>
        <v>0</v>
      </c>
      <c r="I549" s="65" t="str">
        <f>IF(ISBLANK(Games!T549), "",IF(AND(Games!T549="",Games!U549=""),"",IF(ISTEXT(Games!U549), "Side",Games!T549)))</f>
      </c>
      <c r="J549" s="65" t="str">
        <f>IF(ISBLANK(Games!T549), "",IF(Table12[[#This Row],[Bet]]="Spread", Games!X549, ""))</f>
      </c>
      <c r="K549" s="65" t="str">
        <f>IF(ISBLANK(Games!U549), "",IF(ISTEXT(Games!U549), Games!U549, ""))</f>
      </c>
      <c r="L549" s="57" t="str">
        <f>IF(ISBLANK(Games!D549), "", Games!D549)</f>
      </c>
      <c r="M549" s="65"/>
      <c r="N549" s="75" t="str">
        <f>IF(Games!V549="", "",Games!V549)</f>
      </c>
      <c r="O549" s="75" t="str">
        <f>IF(Games!Z549=0, "",Games!Z549)</f>
      </c>
      <c r="P549" s="67"/>
      <c r="Q549" s="67" t="str">
        <f>IF(ISBLANK(Games!W549), "", Games!W549)</f>
      </c>
      <c r="R549" s="67" t="str">
        <f>IF(ISBLANK(Games!AA549), "", Games!AA549)</f>
      </c>
      <c r="S549" s="67"/>
      <c r="T549" s="68" t="str">
        <f t="shared" si="79"/>
      </c>
      <c r="U549" s="68" t="str">
        <f t="shared" si="80"/>
      </c>
      <c r="V549" s="68" t="str">
        <f t="shared" si="81"/>
      </c>
      <c r="W549" s="68" t="str">
        <f t="shared" si="82"/>
      </c>
      <c r="X549" s="68" t="n">
        <f t="shared" si="75"/>
        <v>0</v>
      </c>
      <c r="Y549" s="68" t="n">
        <f t="shared" si="76"/>
        <v>0</v>
      </c>
      <c r="Z549" s="67" t="str">
        <f>IF(OR('Prediction Log'!L550="", Table12[[#This Row],[Bet]]="", Table12[[#This Row],[Bet]]="Spread"), "",IF('Prediction Log'!L550=Table12[[#This Row],[Side]], "W", IF('Prediction Log'!L550&lt;&gt;Table12[[#This Row],[Side]], "L", "")))</f>
      </c>
      <c r="AA549" s="59" t="str">
        <f t="shared" si="77"/>
      </c>
      <c r="AB549" s="67" t="str">
        <f>IF(OR(Table12[[#This Row],[Bet]]="Side",Table12[[#This Row],[Bet]]="", 'Prediction Log'!L550=""), "",IF('Prediction Log'!U550="Y", "W", IF('Prediction Log'!U550="N", "L", "")))</f>
      </c>
      <c r="AC549" s="59" t="str">
        <f t="shared" si="78"/>
      </c>
      <c r="AD549" s="67"/>
      <c r="AE549" s="65" t="str">
        <f t="shared" si="83"/>
      </c>
      <c r="AF5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0">
      <c r="A550" s="65" t="str">
        <f>IF(ISBLANK(Games!A550), "", Games!A550)</f>
      </c>
      <c r="B550" s="65" t="str">
        <f>IF('Prediction Log'!B551=0, "",'Prediction Log'!B551)</f>
      </c>
      <c r="C550" s="65" t="str">
        <f>IF('Prediction Log'!C551=0, "",'Prediction Log'!C551)</f>
      </c>
      <c r="D550" s="65" t="str">
        <f>IF('Prediction Log'!D551=0, "",'Prediction Log'!D551)</f>
      </c>
      <c r="E550" s="58" t="str">
        <f>IF('Prediction Log'!E551=0, "",'Prediction Log'!E551)</f>
      </c>
      <c r="F550" s="65" t="str">
        <f>IF('Prediction Log'!H551=0, "",'Prediction Log'!H551)</f>
      </c>
      <c r="G550" s="64" t="str">
        <f>IF(ISBLANK(Games!B550), "",'Prediction Log'!$I551)</f>
      </c>
      <c r="H550" s="66" t="n">
        <f>'Prediction Log'!$J551</f>
        <v>0</v>
      </c>
      <c r="I550" s="65" t="str">
        <f>IF(ISBLANK(Games!T550), "",IF(AND(Games!T550="",Games!U550=""),"",IF(ISTEXT(Games!U550), "Side",Games!T550)))</f>
      </c>
      <c r="J550" s="65" t="str">
        <f>IF(ISBLANK(Games!T550), "",IF(Table12[[#This Row],[Bet]]="Spread", Games!X550, ""))</f>
      </c>
      <c r="K550" s="65" t="str">
        <f>IF(ISBLANK(Games!U550), "",IF(ISTEXT(Games!U550), Games!U550, ""))</f>
      </c>
      <c r="L550" s="57" t="str">
        <f>IF(ISBLANK(Games!D550), "", Games!D550)</f>
      </c>
      <c r="M550" s="65"/>
      <c r="N550" s="75" t="str">
        <f>IF(Games!V550="", "",Games!V550)</f>
      </c>
      <c r="O550" s="75" t="str">
        <f>IF(Games!Z550=0, "",Games!Z550)</f>
      </c>
      <c r="P550" s="67"/>
      <c r="Q550" s="67" t="str">
        <f>IF(ISBLANK(Games!W550), "", Games!W550)</f>
      </c>
      <c r="R550" s="67" t="str">
        <f>IF(ISBLANK(Games!AA550), "", Games!AA550)</f>
      </c>
      <c r="S550" s="67"/>
      <c r="T550" s="68" t="str">
        <f t="shared" si="79"/>
      </c>
      <c r="U550" s="68" t="str">
        <f t="shared" si="80"/>
      </c>
      <c r="V550" s="68" t="str">
        <f t="shared" si="81"/>
      </c>
      <c r="W550" s="68" t="str">
        <f t="shared" si="82"/>
      </c>
      <c r="X550" s="68" t="n">
        <f t="shared" ref="X550:X613" si="84">P550+IF(S550&lt;0, (P550/(S550/-100)), P550*(S550/100))</f>
        <v>0</v>
      </c>
      <c r="Y550" s="68" t="n">
        <f t="shared" ref="Y550:Y613" si="85">S550-P550</f>
        <v>0</v>
      </c>
      <c r="Z550" s="67" t="str">
        <f>IF(OR('Prediction Log'!L551="", Table12[[#This Row],[Bet]]="", Table12[[#This Row],[Bet]]="Spread"), "",IF('Prediction Log'!L551=Table12[[#This Row],[Side]], "W", IF('Prediction Log'!L551&lt;&gt;Table12[[#This Row],[Side]], "L", "")))</f>
      </c>
      <c r="AA550" s="59" t="str">
        <f t="shared" ref="AA550:AA613" si="86">IF(Z550="W", U550, IF(Z550="L",-N550, ""))</f>
      </c>
      <c r="AB550" s="67" t="str">
        <f>IF(OR(Table12[[#This Row],[Bet]]="Side",Table12[[#This Row],[Bet]]="", 'Prediction Log'!L551=""), "",IF('Prediction Log'!U551="Y", "W", IF('Prediction Log'!U551="N", "L", "")))</f>
      </c>
      <c r="AC550" s="59" t="str">
        <f t="shared" si="78"/>
      </c>
      <c r="AD550" s="67"/>
      <c r="AE550" s="65" t="str">
        <f t="shared" si="83"/>
      </c>
      <c r="AF5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1">
      <c r="A551" s="65" t="str">
        <f>IF(ISBLANK(Games!A551), "", Games!A551)</f>
      </c>
      <c r="B551" s="65" t="str">
        <f>IF('Prediction Log'!B552=0, "",'Prediction Log'!B552)</f>
      </c>
      <c r="C551" s="65" t="str">
        <f>IF('Prediction Log'!C552=0, "",'Prediction Log'!C552)</f>
      </c>
      <c r="D551" s="65" t="str">
        <f>IF('Prediction Log'!D552=0, "",'Prediction Log'!D552)</f>
      </c>
      <c r="E551" s="58" t="str">
        <f>IF('Prediction Log'!E552=0, "",'Prediction Log'!E552)</f>
      </c>
      <c r="F551" s="65" t="str">
        <f>IF('Prediction Log'!H552=0, "",'Prediction Log'!H552)</f>
      </c>
      <c r="G551" s="64" t="str">
        <f>IF(ISBLANK(Games!B551), "",'Prediction Log'!$I552)</f>
      </c>
      <c r="H551" s="66" t="n">
        <f>'Prediction Log'!$J552</f>
        <v>0</v>
      </c>
      <c r="I551" s="65" t="str">
        <f>IF(ISBLANK(Games!T551), "",IF(AND(Games!T551="",Games!U551=""),"",IF(ISTEXT(Games!U551), "Side",Games!T551)))</f>
      </c>
      <c r="J551" s="65" t="str">
        <f>IF(ISBLANK(Games!T551), "",IF(Table12[[#This Row],[Bet]]="Spread", Games!X551, ""))</f>
      </c>
      <c r="K551" s="65" t="str">
        <f>IF(ISBLANK(Games!U551), "",IF(ISTEXT(Games!U551), Games!U551, ""))</f>
      </c>
      <c r="L551" s="57" t="str">
        <f>IF(ISBLANK(Games!D551), "", Games!D551)</f>
      </c>
      <c r="M551" s="65"/>
      <c r="N551" s="75" t="str">
        <f>IF(Games!V551="", "",Games!V551)</f>
      </c>
      <c r="O551" s="75" t="str">
        <f>IF(Games!Z551=0, "",Games!Z551)</f>
      </c>
      <c r="P551" s="67"/>
      <c r="Q551" s="67" t="str">
        <f>IF(ISBLANK(Games!W551), "", Games!W551)</f>
      </c>
      <c r="R551" s="67" t="str">
        <f>IF(ISBLANK(Games!AA551), "", Games!AA551)</f>
      </c>
      <c r="S551" s="67"/>
      <c r="T551" s="68" t="str">
        <f t="shared" si="79"/>
      </c>
      <c r="U551" s="68" t="str">
        <f t="shared" si="80"/>
      </c>
      <c r="V551" s="68" t="str">
        <f t="shared" si="81"/>
      </c>
      <c r="W551" s="68" t="str">
        <f t="shared" si="82"/>
      </c>
      <c r="X551" s="68" t="n">
        <f t="shared" si="84"/>
        <v>0</v>
      </c>
      <c r="Y551" s="68" t="n">
        <f t="shared" si="85"/>
        <v>0</v>
      </c>
      <c r="Z551" s="67" t="str">
        <f>IF(OR('Prediction Log'!L552="", Table12[[#This Row],[Bet]]="", Table12[[#This Row],[Bet]]="Spread"), "",IF('Prediction Log'!L552=Table12[[#This Row],[Side]], "W", IF('Prediction Log'!L552&lt;&gt;Table12[[#This Row],[Side]], "L", "")))</f>
      </c>
      <c r="AA551" s="59" t="str">
        <f t="shared" si="86"/>
      </c>
      <c r="AB551" s="67" t="str">
        <f>IF(OR(Table12[[#This Row],[Bet]]="Side",Table12[[#This Row],[Bet]]="", 'Prediction Log'!L552=""), "",IF('Prediction Log'!U552="Y", "W", IF('Prediction Log'!U552="N", "L", "")))</f>
      </c>
      <c r="AC551" s="59" t="str">
        <f t="shared" si="78"/>
      </c>
      <c r="AD551" s="67"/>
      <c r="AE551" s="65" t="str">
        <f t="shared" si="83"/>
      </c>
      <c r="AF5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2">
      <c r="A552" s="65" t="str">
        <f>IF(ISBLANK(Games!A552), "", Games!A552)</f>
      </c>
      <c r="B552" s="65" t="str">
        <f>IF('Prediction Log'!B553=0, "",'Prediction Log'!B553)</f>
      </c>
      <c r="C552" s="65" t="str">
        <f>IF('Prediction Log'!C553=0, "",'Prediction Log'!C553)</f>
      </c>
      <c r="D552" s="65" t="str">
        <f>IF('Prediction Log'!D553=0, "",'Prediction Log'!D553)</f>
      </c>
      <c r="E552" s="58" t="str">
        <f>IF('Prediction Log'!E553=0, "",'Prediction Log'!E553)</f>
      </c>
      <c r="F552" s="65" t="str">
        <f>IF('Prediction Log'!H553=0, "",'Prediction Log'!H553)</f>
      </c>
      <c r="G552" s="64" t="str">
        <f>IF(ISBLANK(Games!B552), "",'Prediction Log'!$I553)</f>
      </c>
      <c r="H552" s="66" t="n">
        <f>'Prediction Log'!$J553</f>
        <v>0</v>
      </c>
      <c r="I552" s="65" t="str">
        <f>IF(ISBLANK(Games!T552), "",IF(AND(Games!T552="",Games!U552=""),"",IF(ISTEXT(Games!U552), "Side",Games!T552)))</f>
      </c>
      <c r="J552" s="65" t="str">
        <f>IF(ISBLANK(Games!T552), "",IF(Table12[[#This Row],[Bet]]="Spread", Games!X552, ""))</f>
      </c>
      <c r="K552" s="65" t="str">
        <f>IF(ISBLANK(Games!U552), "",IF(ISTEXT(Games!U552), Games!U552, ""))</f>
      </c>
      <c r="L552" s="57" t="str">
        <f>IF(ISBLANK(Games!D552), "", Games!D552)</f>
      </c>
      <c r="M552" s="65"/>
      <c r="N552" s="75" t="str">
        <f>IF(Games!V552="", "",Games!V552)</f>
      </c>
      <c r="O552" s="75" t="str">
        <f>IF(Games!Z552=0, "",Games!Z552)</f>
      </c>
      <c r="P552" s="67"/>
      <c r="Q552" s="67" t="str">
        <f>IF(ISBLANK(Games!W552), "", Games!W552)</f>
      </c>
      <c r="R552" s="67" t="str">
        <f>IF(ISBLANK(Games!AA552), "", Games!AA552)</f>
      </c>
      <c r="S552" s="67"/>
      <c r="T552" s="68" t="str">
        <f t="shared" si="79"/>
      </c>
      <c r="U552" s="68" t="str">
        <f t="shared" si="80"/>
      </c>
      <c r="V552" s="68" t="str">
        <f t="shared" si="81"/>
      </c>
      <c r="W552" s="68" t="str">
        <f t="shared" si="82"/>
      </c>
      <c r="X552" s="68" t="n">
        <f t="shared" si="84"/>
        <v>0</v>
      </c>
      <c r="Y552" s="68" t="n">
        <f t="shared" si="85"/>
        <v>0</v>
      </c>
      <c r="Z552" s="67" t="str">
        <f>IF(OR('Prediction Log'!L553="", Table12[[#This Row],[Bet]]="", Table12[[#This Row],[Bet]]="Spread"), "",IF('Prediction Log'!L553=Table12[[#This Row],[Side]], "W", IF('Prediction Log'!L553&lt;&gt;Table12[[#This Row],[Side]], "L", "")))</f>
      </c>
      <c r="AA552" s="59" t="str">
        <f t="shared" si="86"/>
      </c>
      <c r="AB552" s="67" t="str">
        <f>IF(OR(Table12[[#This Row],[Bet]]="Side",Table12[[#This Row],[Bet]]="", 'Prediction Log'!L553=""), "",IF('Prediction Log'!U553="Y", "W", IF('Prediction Log'!U553="N", "L", "")))</f>
      </c>
      <c r="AC552" s="59" t="str">
        <f t="shared" si="78"/>
      </c>
      <c r="AD552" s="67"/>
      <c r="AE552" s="65" t="str">
        <f t="shared" si="83"/>
      </c>
      <c r="AF5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3">
      <c r="A553" s="65" t="str">
        <f>IF(ISBLANK(Games!A553), "", Games!A553)</f>
      </c>
      <c r="B553" s="65" t="str">
        <f>IF('Prediction Log'!B554=0, "",'Prediction Log'!B554)</f>
      </c>
      <c r="C553" s="65" t="str">
        <f>IF('Prediction Log'!C554=0, "",'Prediction Log'!C554)</f>
      </c>
      <c r="D553" s="65" t="str">
        <f>IF('Prediction Log'!D554=0, "",'Prediction Log'!D554)</f>
      </c>
      <c r="E553" s="58" t="str">
        <f>IF('Prediction Log'!E554=0, "",'Prediction Log'!E554)</f>
      </c>
      <c r="F553" s="65" t="str">
        <f>IF('Prediction Log'!H554=0, "",'Prediction Log'!H554)</f>
      </c>
      <c r="G553" s="64" t="str">
        <f>IF(ISBLANK(Games!B553), "",'Prediction Log'!$I554)</f>
      </c>
      <c r="H553" s="66" t="n">
        <f>'Prediction Log'!$J554</f>
        <v>0</v>
      </c>
      <c r="I553" s="65" t="str">
        <f>IF(ISBLANK(Games!T553), "",IF(AND(Games!T553="",Games!U553=""),"",IF(ISTEXT(Games!U553), "Side",Games!T553)))</f>
      </c>
      <c r="J553" s="65" t="str">
        <f>IF(ISBLANK(Games!T553), "",IF(Table12[[#This Row],[Bet]]="Spread", Games!X553, ""))</f>
      </c>
      <c r="K553" s="65" t="str">
        <f>IF(ISBLANK(Games!U553), "",IF(ISTEXT(Games!U553), Games!U553, ""))</f>
      </c>
      <c r="L553" s="57" t="str">
        <f>IF(ISBLANK(Games!D553), "", Games!D553)</f>
      </c>
      <c r="M553" s="65"/>
      <c r="N553" s="75" t="str">
        <f>IF(Games!V553="", "",Games!V553)</f>
      </c>
      <c r="O553" s="75" t="str">
        <f>IF(Games!Z553=0, "",Games!Z553)</f>
      </c>
      <c r="P553" s="67"/>
      <c r="Q553" s="67" t="str">
        <f>IF(ISBLANK(Games!W553), "", Games!W553)</f>
      </c>
      <c r="R553" s="67" t="str">
        <f>IF(ISBLANK(Games!AA553), "", Games!AA553)</f>
      </c>
      <c r="S553" s="67"/>
      <c r="T553" s="68" t="str">
        <f t="shared" si="79"/>
      </c>
      <c r="U553" s="68" t="str">
        <f t="shared" si="80"/>
      </c>
      <c r="V553" s="68" t="str">
        <f t="shared" si="81"/>
      </c>
      <c r="W553" s="68" t="str">
        <f t="shared" si="82"/>
      </c>
      <c r="X553" s="68" t="n">
        <f t="shared" si="84"/>
        <v>0</v>
      </c>
      <c r="Y553" s="68" t="n">
        <f t="shared" si="85"/>
        <v>0</v>
      </c>
      <c r="Z553" s="67" t="str">
        <f>IF(OR('Prediction Log'!L554="", Table12[[#This Row],[Bet]]="", Table12[[#This Row],[Bet]]="Spread"), "",IF('Prediction Log'!L554=Table12[[#This Row],[Side]], "W", IF('Prediction Log'!L554&lt;&gt;Table12[[#This Row],[Side]], "L", "")))</f>
      </c>
      <c r="AA553" s="59" t="str">
        <f t="shared" si="86"/>
      </c>
      <c r="AB553" s="67" t="str">
        <f>IF(OR(Table12[[#This Row],[Bet]]="Side",Table12[[#This Row],[Bet]]="", 'Prediction Log'!L554=""), "",IF('Prediction Log'!U554="Y", "W", IF('Prediction Log'!U554="N", "L", "")))</f>
      </c>
      <c r="AC553" s="59" t="str">
        <f t="shared" si="78"/>
      </c>
      <c r="AD553" s="67"/>
      <c r="AE553" s="65" t="str">
        <f t="shared" si="83"/>
      </c>
      <c r="AF5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4">
      <c r="A554" s="65" t="str">
        <f>IF(ISBLANK(Games!A554), "", Games!A554)</f>
      </c>
      <c r="B554" s="65" t="str">
        <f>IF('Prediction Log'!B555=0, "",'Prediction Log'!B555)</f>
      </c>
      <c r="C554" s="65" t="str">
        <f>IF('Prediction Log'!C555=0, "",'Prediction Log'!C555)</f>
      </c>
      <c r="D554" s="65" t="str">
        <f>IF('Prediction Log'!D555=0, "",'Prediction Log'!D555)</f>
      </c>
      <c r="E554" s="58" t="str">
        <f>IF('Prediction Log'!E555=0, "",'Prediction Log'!E555)</f>
      </c>
      <c r="F554" s="65" t="str">
        <f>IF('Prediction Log'!H555=0, "",'Prediction Log'!H555)</f>
      </c>
      <c r="G554" s="64" t="str">
        <f>IF(ISBLANK(Games!B554), "",'Prediction Log'!$I555)</f>
      </c>
      <c r="H554" s="66" t="n">
        <f>'Prediction Log'!$J555</f>
        <v>0</v>
      </c>
      <c r="I554" s="65" t="str">
        <f>IF(ISBLANK(Games!T554), "",IF(AND(Games!T554="",Games!U554=""),"",IF(ISTEXT(Games!U554), "Side",Games!T554)))</f>
      </c>
      <c r="J554" s="65" t="str">
        <f>IF(ISBLANK(Games!T554), "",IF(Table12[[#This Row],[Bet]]="Spread", Games!X554, ""))</f>
      </c>
      <c r="K554" s="65" t="str">
        <f>IF(ISBLANK(Games!U554), "",IF(ISTEXT(Games!U554), Games!U554, ""))</f>
      </c>
      <c r="L554" s="57" t="str">
        <f>IF(ISBLANK(Games!D554), "", Games!D554)</f>
      </c>
      <c r="M554" s="65"/>
      <c r="N554" s="75" t="str">
        <f>IF(Games!V554="", "",Games!V554)</f>
      </c>
      <c r="O554" s="75" t="str">
        <f>IF(Games!Z554=0, "",Games!Z554)</f>
      </c>
      <c r="P554" s="67"/>
      <c r="Q554" s="67" t="str">
        <f>IF(ISBLANK(Games!W554), "", Games!W554)</f>
      </c>
      <c r="R554" s="67" t="str">
        <f>IF(ISBLANK(Games!AA554), "", Games!AA554)</f>
      </c>
      <c r="S554" s="67"/>
      <c r="T554" s="68" t="str">
        <f t="shared" si="79"/>
      </c>
      <c r="U554" s="68" t="str">
        <f t="shared" si="80"/>
      </c>
      <c r="V554" s="68" t="str">
        <f t="shared" si="81"/>
      </c>
      <c r="W554" s="68" t="str">
        <f t="shared" si="82"/>
      </c>
      <c r="X554" s="68" t="n">
        <f t="shared" si="84"/>
        <v>0</v>
      </c>
      <c r="Y554" s="68" t="n">
        <f t="shared" si="85"/>
        <v>0</v>
      </c>
      <c r="Z554" s="67" t="str">
        <f>IF(OR('Prediction Log'!L555="", Table12[[#This Row],[Bet]]="", Table12[[#This Row],[Bet]]="Spread"), "",IF('Prediction Log'!L555=Table12[[#This Row],[Side]], "W", IF('Prediction Log'!L555&lt;&gt;Table12[[#This Row],[Side]], "L", "")))</f>
      </c>
      <c r="AA554" s="59" t="str">
        <f t="shared" si="86"/>
      </c>
      <c r="AB554" s="67" t="str">
        <f>IF(OR(Table12[[#This Row],[Bet]]="Side",Table12[[#This Row],[Bet]]="", 'Prediction Log'!L555=""), "",IF('Prediction Log'!U555="Y", "W", IF('Prediction Log'!U555="N", "L", "")))</f>
      </c>
      <c r="AC554" s="59" t="str">
        <f t="shared" si="78"/>
      </c>
      <c r="AD554" s="67"/>
      <c r="AE554" s="65" t="str">
        <f t="shared" si="83"/>
      </c>
      <c r="AF5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5">
      <c r="A555" s="65" t="str">
        <f>IF(ISBLANK(Games!A555), "", Games!A555)</f>
      </c>
      <c r="B555" s="65" t="str">
        <f>IF('Prediction Log'!B556=0, "",'Prediction Log'!B556)</f>
      </c>
      <c r="C555" s="65" t="str">
        <f>IF('Prediction Log'!C556=0, "",'Prediction Log'!C556)</f>
      </c>
      <c r="D555" s="65" t="str">
        <f>IF('Prediction Log'!D556=0, "",'Prediction Log'!D556)</f>
      </c>
      <c r="E555" s="58" t="str">
        <f>IF('Prediction Log'!E556=0, "",'Prediction Log'!E556)</f>
      </c>
      <c r="F555" s="65" t="str">
        <f>IF('Prediction Log'!H556=0, "",'Prediction Log'!H556)</f>
      </c>
      <c r="G555" s="64" t="str">
        <f>IF(ISBLANK(Games!B555), "",'Prediction Log'!$I556)</f>
      </c>
      <c r="H555" s="66" t="n">
        <f>'Prediction Log'!$J556</f>
        <v>0</v>
      </c>
      <c r="I555" s="65" t="str">
        <f>IF(ISBLANK(Games!T555), "",IF(AND(Games!T555="",Games!U555=""),"",IF(ISTEXT(Games!U555), "Side",Games!T555)))</f>
      </c>
      <c r="J555" s="65" t="str">
        <f>IF(ISBLANK(Games!T555), "",IF(Table12[[#This Row],[Bet]]="Spread", Games!X555, ""))</f>
      </c>
      <c r="K555" s="65" t="str">
        <f>IF(ISBLANK(Games!U555), "",IF(ISTEXT(Games!U555), Games!U555, ""))</f>
      </c>
      <c r="L555" s="57" t="str">
        <f>IF(ISBLANK(Games!D555), "", Games!D555)</f>
      </c>
      <c r="M555" s="65"/>
      <c r="N555" s="75" t="str">
        <f>IF(Games!V555="", "",Games!V555)</f>
      </c>
      <c r="O555" s="75" t="str">
        <f>IF(Games!Z555=0, "",Games!Z555)</f>
      </c>
      <c r="P555" s="67"/>
      <c r="Q555" s="67" t="str">
        <f>IF(ISBLANK(Games!W555), "", Games!W555)</f>
      </c>
      <c r="R555" s="67" t="str">
        <f>IF(ISBLANK(Games!AA555), "", Games!AA555)</f>
      </c>
      <c r="S555" s="67"/>
      <c r="T555" s="68" t="str">
        <f t="shared" si="79"/>
      </c>
      <c r="U555" s="68" t="str">
        <f t="shared" si="80"/>
      </c>
      <c r="V555" s="68" t="str">
        <f t="shared" si="81"/>
      </c>
      <c r="W555" s="68" t="str">
        <f t="shared" si="82"/>
      </c>
      <c r="X555" s="68" t="n">
        <f t="shared" si="84"/>
        <v>0</v>
      </c>
      <c r="Y555" s="68" t="n">
        <f t="shared" si="85"/>
        <v>0</v>
      </c>
      <c r="Z555" s="67" t="str">
        <f>IF(OR('Prediction Log'!L556="", Table12[[#This Row],[Bet]]="", Table12[[#This Row],[Bet]]="Spread"), "",IF('Prediction Log'!L556=Table12[[#This Row],[Side]], "W", IF('Prediction Log'!L556&lt;&gt;Table12[[#This Row],[Side]], "L", "")))</f>
      </c>
      <c r="AA555" s="59" t="str">
        <f t="shared" si="86"/>
      </c>
      <c r="AB555" s="67" t="str">
        <f>IF(OR(Table12[[#This Row],[Bet]]="Side",Table12[[#This Row],[Bet]]="", 'Prediction Log'!L556=""), "",IF('Prediction Log'!U556="Y", "W", IF('Prediction Log'!U556="N", "L", "")))</f>
      </c>
      <c r="AC555" s="59" t="str">
        <f t="shared" si="78"/>
      </c>
      <c r="AD555" s="67"/>
      <c r="AE555" s="65" t="str">
        <f t="shared" si="83"/>
      </c>
      <c r="AF5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6">
      <c r="A556" s="65" t="str">
        <f>IF(ISBLANK(Games!A556), "", Games!A556)</f>
      </c>
      <c r="B556" s="65" t="str">
        <f>IF('Prediction Log'!B557=0, "",'Prediction Log'!B557)</f>
      </c>
      <c r="C556" s="65" t="str">
        <f>IF('Prediction Log'!C557=0, "",'Prediction Log'!C557)</f>
      </c>
      <c r="D556" s="65" t="str">
        <f>IF('Prediction Log'!D557=0, "",'Prediction Log'!D557)</f>
      </c>
      <c r="E556" s="58" t="str">
        <f>IF('Prediction Log'!E557=0, "",'Prediction Log'!E557)</f>
      </c>
      <c r="F556" s="65" t="str">
        <f>IF('Prediction Log'!H557=0, "",'Prediction Log'!H557)</f>
      </c>
      <c r="G556" s="64" t="str">
        <f>IF(ISBLANK(Games!B556), "",'Prediction Log'!$I557)</f>
      </c>
      <c r="H556" s="66" t="n">
        <f>'Prediction Log'!$J557</f>
        <v>0</v>
      </c>
      <c r="I556" s="65" t="str">
        <f>IF(ISBLANK(Games!T556), "",IF(AND(Games!T556="",Games!U556=""),"",IF(ISTEXT(Games!U556), "Side",Games!T556)))</f>
      </c>
      <c r="J556" s="65" t="str">
        <f>IF(ISBLANK(Games!T556), "",IF(Table12[[#This Row],[Bet]]="Spread", Games!X556, ""))</f>
      </c>
      <c r="K556" s="65" t="str">
        <f>IF(ISBLANK(Games!U556), "",IF(ISTEXT(Games!U556), Games!U556, ""))</f>
      </c>
      <c r="L556" s="57" t="str">
        <f>IF(ISBLANK(Games!D556), "", Games!D556)</f>
      </c>
      <c r="M556" s="65"/>
      <c r="N556" s="75" t="str">
        <f>IF(Games!V556="", "",Games!V556)</f>
      </c>
      <c r="O556" s="75" t="str">
        <f>IF(Games!Z556=0, "",Games!Z556)</f>
      </c>
      <c r="P556" s="67"/>
      <c r="Q556" s="67" t="str">
        <f>IF(ISBLANK(Games!W556), "", Games!W556)</f>
      </c>
      <c r="R556" s="67" t="str">
        <f>IF(ISBLANK(Games!AA556), "", Games!AA556)</f>
      </c>
      <c r="S556" s="67"/>
      <c r="T556" s="68" t="str">
        <f t="shared" si="79"/>
      </c>
      <c r="U556" s="68" t="str">
        <f t="shared" si="80"/>
      </c>
      <c r="V556" s="68" t="str">
        <f t="shared" si="81"/>
      </c>
      <c r="W556" s="68" t="str">
        <f t="shared" si="82"/>
      </c>
      <c r="X556" s="68" t="n">
        <f t="shared" si="84"/>
        <v>0</v>
      </c>
      <c r="Y556" s="68" t="n">
        <f t="shared" si="85"/>
        <v>0</v>
      </c>
      <c r="Z556" s="67" t="str">
        <f>IF(OR('Prediction Log'!L557="", Table12[[#This Row],[Bet]]="", Table12[[#This Row],[Bet]]="Spread"), "",IF('Prediction Log'!L557=Table12[[#This Row],[Side]], "W", IF('Prediction Log'!L557&lt;&gt;Table12[[#This Row],[Side]], "L", "")))</f>
      </c>
      <c r="AA556" s="59" t="str">
        <f t="shared" si="86"/>
      </c>
      <c r="AB556" s="67" t="str">
        <f>IF(OR(Table12[[#This Row],[Bet]]="Side",Table12[[#This Row],[Bet]]="", 'Prediction Log'!L557=""), "",IF('Prediction Log'!U557="Y", "W", IF('Prediction Log'!U557="N", "L", "")))</f>
      </c>
      <c r="AC556" s="59" t="str">
        <f t="shared" si="78"/>
      </c>
      <c r="AD556" s="67"/>
      <c r="AE556" s="65" t="str">
        <f t="shared" si="83"/>
      </c>
      <c r="AF5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7">
      <c r="A557" s="65" t="str">
        <f>IF(ISBLANK(Games!A557), "", Games!A557)</f>
      </c>
      <c r="B557" s="65" t="str">
        <f>IF('Prediction Log'!B558=0, "",'Prediction Log'!B558)</f>
      </c>
      <c r="C557" s="65" t="str">
        <f>IF('Prediction Log'!C558=0, "",'Prediction Log'!C558)</f>
      </c>
      <c r="D557" s="65" t="str">
        <f>IF('Prediction Log'!D558=0, "",'Prediction Log'!D558)</f>
      </c>
      <c r="E557" s="58" t="str">
        <f>IF('Prediction Log'!E558=0, "",'Prediction Log'!E558)</f>
      </c>
      <c r="F557" s="65" t="str">
        <f>IF('Prediction Log'!H558=0, "",'Prediction Log'!H558)</f>
      </c>
      <c r="G557" s="64" t="str">
        <f>IF(ISBLANK(Games!B557), "",'Prediction Log'!$I558)</f>
      </c>
      <c r="H557" s="66" t="n">
        <f>'Prediction Log'!$J558</f>
        <v>0</v>
      </c>
      <c r="I557" s="65" t="str">
        <f>IF(ISBLANK(Games!T557), "",IF(AND(Games!T557="",Games!U557=""),"",IF(ISTEXT(Games!U557), "Side",Games!T557)))</f>
      </c>
      <c r="J557" s="65" t="str">
        <f>IF(ISBLANK(Games!T557), "",IF(Table12[[#This Row],[Bet]]="Spread", Games!X557, ""))</f>
      </c>
      <c r="K557" s="65" t="str">
        <f>IF(ISBLANK(Games!U557), "",IF(ISTEXT(Games!U557), Games!U557, ""))</f>
      </c>
      <c r="L557" s="57" t="str">
        <f>IF(ISBLANK(Games!D557), "", Games!D557)</f>
      </c>
      <c r="M557" s="65"/>
      <c r="N557" s="75" t="str">
        <f>IF(Games!V557="", "",Games!V557)</f>
      </c>
      <c r="O557" s="75" t="str">
        <f>IF(Games!Z557=0, "",Games!Z557)</f>
      </c>
      <c r="P557" s="67"/>
      <c r="Q557" s="67" t="str">
        <f>IF(ISBLANK(Games!W557), "", Games!W557)</f>
      </c>
      <c r="R557" s="67" t="str">
        <f>IF(ISBLANK(Games!AA557), "", Games!AA557)</f>
      </c>
      <c r="S557" s="67"/>
      <c r="T557" s="68" t="str">
        <f t="shared" si="79"/>
      </c>
      <c r="U557" s="68" t="str">
        <f t="shared" si="80"/>
      </c>
      <c r="V557" s="68" t="str">
        <f t="shared" si="81"/>
      </c>
      <c r="W557" s="68" t="str">
        <f t="shared" si="82"/>
      </c>
      <c r="X557" s="68" t="n">
        <f t="shared" si="84"/>
        <v>0</v>
      </c>
      <c r="Y557" s="68" t="n">
        <f t="shared" si="85"/>
        <v>0</v>
      </c>
      <c r="Z557" s="67" t="str">
        <f>IF(OR('Prediction Log'!L558="", Table12[[#This Row],[Bet]]="", Table12[[#This Row],[Bet]]="Spread"), "",IF('Prediction Log'!L558=Table12[[#This Row],[Side]], "W", IF('Prediction Log'!L558&lt;&gt;Table12[[#This Row],[Side]], "L", "")))</f>
      </c>
      <c r="AA557" s="59" t="str">
        <f t="shared" si="86"/>
      </c>
      <c r="AB557" s="67" t="str">
        <f>IF(OR(Table12[[#This Row],[Bet]]="Side",Table12[[#This Row],[Bet]]="", 'Prediction Log'!L558=""), "",IF('Prediction Log'!U558="Y", "W", IF('Prediction Log'!U558="N", "L", "")))</f>
      </c>
      <c r="AC557" s="59" t="str">
        <f t="shared" si="78"/>
      </c>
      <c r="AD557" s="67"/>
      <c r="AE557" s="65" t="str">
        <f t="shared" si="83"/>
      </c>
      <c r="AF5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8">
      <c r="A558" s="65" t="str">
        <f>IF(ISBLANK(Games!A558), "", Games!A558)</f>
      </c>
      <c r="B558" s="65" t="str">
        <f>IF('Prediction Log'!B559=0, "",'Prediction Log'!B559)</f>
      </c>
      <c r="C558" s="65" t="str">
        <f>IF('Prediction Log'!C559=0, "",'Prediction Log'!C559)</f>
      </c>
      <c r="D558" s="65" t="str">
        <f>IF('Prediction Log'!D559=0, "",'Prediction Log'!D559)</f>
      </c>
      <c r="E558" s="58" t="str">
        <f>IF('Prediction Log'!E559=0, "",'Prediction Log'!E559)</f>
      </c>
      <c r="F558" s="65" t="str">
        <f>IF('Prediction Log'!H559=0, "",'Prediction Log'!H559)</f>
      </c>
      <c r="G558" s="64" t="str">
        <f>IF(ISBLANK(Games!B558), "",'Prediction Log'!$I559)</f>
      </c>
      <c r="H558" s="66" t="n">
        <f>'Prediction Log'!$J559</f>
        <v>0</v>
      </c>
      <c r="I558" s="65" t="str">
        <f>IF(ISBLANK(Games!T558), "",IF(AND(Games!T558="",Games!U558=""),"",IF(ISTEXT(Games!U558), "Side",Games!T558)))</f>
      </c>
      <c r="J558" s="65" t="str">
        <f>IF(ISBLANK(Games!T558), "",IF(Table12[[#This Row],[Bet]]="Spread", Games!X558, ""))</f>
      </c>
      <c r="K558" s="65" t="str">
        <f>IF(ISBLANK(Games!U558), "",IF(ISTEXT(Games!U558), Games!U558, ""))</f>
      </c>
      <c r="L558" s="57" t="str">
        <f>IF(ISBLANK(Games!D558), "", Games!D558)</f>
      </c>
      <c r="M558" s="65"/>
      <c r="N558" s="75" t="str">
        <f>IF(Games!V558="", "",Games!V558)</f>
      </c>
      <c r="O558" s="75" t="str">
        <f>IF(Games!Z558=0, "",Games!Z558)</f>
      </c>
      <c r="P558" s="67"/>
      <c r="Q558" s="67" t="str">
        <f>IF(ISBLANK(Games!W558), "", Games!W558)</f>
      </c>
      <c r="R558" s="67" t="str">
        <f>IF(ISBLANK(Games!AA558), "", Games!AA558)</f>
      </c>
      <c r="S558" s="67"/>
      <c r="T558" s="68" t="str">
        <f t="shared" si="79"/>
      </c>
      <c r="U558" s="68" t="str">
        <f t="shared" si="80"/>
      </c>
      <c r="V558" s="68" t="str">
        <f t="shared" si="81"/>
      </c>
      <c r="W558" s="68" t="str">
        <f t="shared" si="82"/>
      </c>
      <c r="X558" s="68" t="n">
        <f t="shared" si="84"/>
        <v>0</v>
      </c>
      <c r="Y558" s="68" t="n">
        <f t="shared" si="85"/>
        <v>0</v>
      </c>
      <c r="Z558" s="67" t="str">
        <f>IF(OR('Prediction Log'!L559="", Table12[[#This Row],[Bet]]="", Table12[[#This Row],[Bet]]="Spread"), "",IF('Prediction Log'!L559=Table12[[#This Row],[Side]], "W", IF('Prediction Log'!L559&lt;&gt;Table12[[#This Row],[Side]], "L", "")))</f>
      </c>
      <c r="AA558" s="59" t="str">
        <f t="shared" si="86"/>
      </c>
      <c r="AB558" s="67" t="str">
        <f>IF(OR(Table12[[#This Row],[Bet]]="Side",Table12[[#This Row],[Bet]]="", 'Prediction Log'!L559=""), "",IF('Prediction Log'!U559="Y", "W", IF('Prediction Log'!U559="N", "L", "")))</f>
      </c>
      <c r="AC558" s="59" t="str">
        <f t="shared" si="78"/>
      </c>
      <c r="AD558" s="67"/>
      <c r="AE558" s="65" t="str">
        <f t="shared" si="83"/>
      </c>
      <c r="AF5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9">
      <c r="A559" s="65" t="str">
        <f>IF(ISBLANK(Games!A559), "", Games!A559)</f>
      </c>
      <c r="B559" s="65" t="str">
        <f>IF('Prediction Log'!B560=0, "",'Prediction Log'!B560)</f>
      </c>
      <c r="C559" s="65" t="str">
        <f>IF('Prediction Log'!C560=0, "",'Prediction Log'!C560)</f>
      </c>
      <c r="D559" s="65" t="str">
        <f>IF('Prediction Log'!D560=0, "",'Prediction Log'!D560)</f>
      </c>
      <c r="E559" s="58" t="str">
        <f>IF('Prediction Log'!E560=0, "",'Prediction Log'!E560)</f>
      </c>
      <c r="F559" s="65" t="str">
        <f>IF('Prediction Log'!H560=0, "",'Prediction Log'!H560)</f>
      </c>
      <c r="G559" s="64" t="str">
        <f>IF(ISBLANK(Games!B559), "",'Prediction Log'!$I560)</f>
      </c>
      <c r="H559" s="66" t="n">
        <f>'Prediction Log'!$J560</f>
        <v>0</v>
      </c>
      <c r="I559" s="65" t="str">
        <f>IF(ISBLANK(Games!T559), "",IF(AND(Games!T559="",Games!U559=""),"",IF(ISTEXT(Games!U559), "Side",Games!T559)))</f>
      </c>
      <c r="J559" s="65" t="str">
        <f>IF(ISBLANK(Games!T559), "",IF(Table12[[#This Row],[Bet]]="Spread", Games!X559, ""))</f>
      </c>
      <c r="K559" s="65" t="str">
        <f>IF(ISBLANK(Games!U559), "",IF(ISTEXT(Games!U559), Games!U559, ""))</f>
      </c>
      <c r="L559" s="57" t="str">
        <f>IF(ISBLANK(Games!D559), "", Games!D559)</f>
      </c>
      <c r="M559" s="65"/>
      <c r="N559" s="75" t="str">
        <f>IF(Games!V559="", "",Games!V559)</f>
      </c>
      <c r="O559" s="75" t="str">
        <f>IF(Games!Z559=0, "",Games!Z559)</f>
      </c>
      <c r="P559" s="67"/>
      <c r="Q559" s="67" t="str">
        <f>IF(ISBLANK(Games!W559), "", Games!W559)</f>
      </c>
      <c r="R559" s="67" t="str">
        <f>IF(ISBLANK(Games!AA559), "", Games!AA559)</f>
      </c>
      <c r="S559" s="67"/>
      <c r="T559" s="68" t="str">
        <f t="shared" si="79"/>
      </c>
      <c r="U559" s="68" t="str">
        <f t="shared" si="80"/>
      </c>
      <c r="V559" s="68" t="str">
        <f t="shared" si="81"/>
      </c>
      <c r="W559" s="68" t="str">
        <f t="shared" si="82"/>
      </c>
      <c r="X559" s="68" t="n">
        <f t="shared" si="84"/>
        <v>0</v>
      </c>
      <c r="Y559" s="68" t="n">
        <f t="shared" si="85"/>
        <v>0</v>
      </c>
      <c r="Z559" s="67" t="str">
        <f>IF(OR('Prediction Log'!L560="", Table12[[#This Row],[Bet]]="", Table12[[#This Row],[Bet]]="Spread"), "",IF('Prediction Log'!L560=Table12[[#This Row],[Side]], "W", IF('Prediction Log'!L560&lt;&gt;Table12[[#This Row],[Side]], "L", "")))</f>
      </c>
      <c r="AA559" s="59" t="str">
        <f t="shared" si="86"/>
      </c>
      <c r="AB559" s="67" t="str">
        <f>IF(OR(Table12[[#This Row],[Bet]]="Side",Table12[[#This Row],[Bet]]="", 'Prediction Log'!L560=""), "",IF('Prediction Log'!U560="Y", "W", IF('Prediction Log'!U560="N", "L", "")))</f>
      </c>
      <c r="AC559" s="59" t="str">
        <f t="shared" si="78"/>
      </c>
      <c r="AD559" s="67"/>
      <c r="AE559" s="65" t="str">
        <f t="shared" si="83"/>
      </c>
      <c r="AF5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0">
      <c r="A560" s="65" t="str">
        <f>IF(ISBLANK(Games!A560), "", Games!A560)</f>
      </c>
      <c r="B560" s="65" t="str">
        <f>IF('Prediction Log'!B561=0, "",'Prediction Log'!B561)</f>
      </c>
      <c r="C560" s="65" t="str">
        <f>IF('Prediction Log'!C561=0, "",'Prediction Log'!C561)</f>
      </c>
      <c r="D560" s="65" t="str">
        <f>IF('Prediction Log'!D561=0, "",'Prediction Log'!D561)</f>
      </c>
      <c r="E560" s="58" t="str">
        <f>IF('Prediction Log'!E561=0, "",'Prediction Log'!E561)</f>
      </c>
      <c r="F560" s="65" t="str">
        <f>IF('Prediction Log'!H561=0, "",'Prediction Log'!H561)</f>
      </c>
      <c r="G560" s="64" t="str">
        <f>IF(ISBLANK(Games!B560), "",'Prediction Log'!$I561)</f>
      </c>
      <c r="H560" s="66" t="n">
        <f>'Prediction Log'!$J561</f>
        <v>0</v>
      </c>
      <c r="I560" s="65" t="str">
        <f>IF(ISBLANK(Games!T560), "",IF(AND(Games!T560="",Games!U560=""),"",IF(ISTEXT(Games!U560), "Side",Games!T560)))</f>
      </c>
      <c r="J560" s="65" t="str">
        <f>IF(ISBLANK(Games!T560), "",IF(Table12[[#This Row],[Bet]]="Spread", Games!X560, ""))</f>
      </c>
      <c r="K560" s="65" t="str">
        <f>IF(ISBLANK(Games!U560), "",IF(ISTEXT(Games!U560), Games!U560, ""))</f>
      </c>
      <c r="L560" s="57" t="str">
        <f>IF(ISBLANK(Games!D560), "", Games!D560)</f>
      </c>
      <c r="M560" s="65"/>
      <c r="N560" s="75" t="str">
        <f>IF(Games!V560="", "",Games!V560)</f>
      </c>
      <c r="O560" s="75" t="str">
        <f>IF(Games!Z560=0, "",Games!Z560)</f>
      </c>
      <c r="P560" s="67"/>
      <c r="Q560" s="67" t="str">
        <f>IF(ISBLANK(Games!W560), "", Games!W560)</f>
      </c>
      <c r="R560" s="67" t="str">
        <f>IF(ISBLANK(Games!AA560), "", Games!AA560)</f>
      </c>
      <c r="S560" s="67"/>
      <c r="T560" s="68" t="str">
        <f t="shared" si="79"/>
      </c>
      <c r="U560" s="68" t="str">
        <f t="shared" si="80"/>
      </c>
      <c r="V560" s="68" t="str">
        <f t="shared" si="81"/>
      </c>
      <c r="W560" s="68" t="str">
        <f t="shared" si="82"/>
      </c>
      <c r="X560" s="68" t="n">
        <f t="shared" si="84"/>
        <v>0</v>
      </c>
      <c r="Y560" s="68" t="n">
        <f t="shared" si="85"/>
        <v>0</v>
      </c>
      <c r="Z560" s="67" t="str">
        <f>IF(OR('Prediction Log'!L561="", Table12[[#This Row],[Bet]]="", Table12[[#This Row],[Bet]]="Spread"), "",IF('Prediction Log'!L561=Table12[[#This Row],[Side]], "W", IF('Prediction Log'!L561&lt;&gt;Table12[[#This Row],[Side]], "L", "")))</f>
      </c>
      <c r="AA560" s="59" t="str">
        <f t="shared" si="86"/>
      </c>
      <c r="AB560" s="67" t="str">
        <f>IF(OR(Table12[[#This Row],[Bet]]="Side",Table12[[#This Row],[Bet]]="", 'Prediction Log'!L561=""), "",IF('Prediction Log'!U561="Y", "W", IF('Prediction Log'!U561="N", "L", "")))</f>
      </c>
      <c r="AC560" s="59" t="str">
        <f t="shared" si="78"/>
      </c>
      <c r="AD560" s="67"/>
      <c r="AE560" s="65" t="str">
        <f t="shared" si="83"/>
      </c>
      <c r="AF5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1">
      <c r="A561" s="65" t="str">
        <f>IF(ISBLANK(Games!A561), "", Games!A561)</f>
      </c>
      <c r="B561" s="65" t="str">
        <f>IF('Prediction Log'!B562=0, "",'Prediction Log'!B562)</f>
      </c>
      <c r="C561" s="65" t="str">
        <f>IF('Prediction Log'!C562=0, "",'Prediction Log'!C562)</f>
      </c>
      <c r="D561" s="65" t="str">
        <f>IF('Prediction Log'!D562=0, "",'Prediction Log'!D562)</f>
      </c>
      <c r="E561" s="58" t="str">
        <f>IF('Prediction Log'!E562=0, "",'Prediction Log'!E562)</f>
      </c>
      <c r="F561" s="65" t="str">
        <f>IF('Prediction Log'!H562=0, "",'Prediction Log'!H562)</f>
      </c>
      <c r="G561" s="64" t="str">
        <f>IF(ISBLANK(Games!B561), "",'Prediction Log'!$I562)</f>
      </c>
      <c r="H561" s="66" t="n">
        <f>'Prediction Log'!$J562</f>
        <v>0</v>
      </c>
      <c r="I561" s="65" t="str">
        <f>IF(ISBLANK(Games!T561), "",IF(AND(Games!T561="",Games!U561=""),"",IF(ISTEXT(Games!U561), "Side",Games!T561)))</f>
      </c>
      <c r="J561" s="65" t="str">
        <f>IF(ISBLANK(Games!T561), "",IF(Table12[[#This Row],[Bet]]="Spread", Games!X561, ""))</f>
      </c>
      <c r="K561" s="65" t="str">
        <f>IF(ISBLANK(Games!U561), "",IF(ISTEXT(Games!U561), Games!U561, ""))</f>
      </c>
      <c r="L561" s="57" t="str">
        <f>IF(ISBLANK(Games!D561), "", Games!D561)</f>
      </c>
      <c r="M561" s="65"/>
      <c r="N561" s="75" t="str">
        <f>IF(Games!V561="", "",Games!V561)</f>
      </c>
      <c r="O561" s="75" t="str">
        <f>IF(Games!Z561=0, "",Games!Z561)</f>
      </c>
      <c r="P561" s="67"/>
      <c r="Q561" s="67" t="str">
        <f>IF(ISBLANK(Games!W561), "", Games!W561)</f>
      </c>
      <c r="R561" s="67" t="str">
        <f>IF(ISBLANK(Games!AA561), "", Games!AA561)</f>
      </c>
      <c r="S561" s="67"/>
      <c r="T561" s="68" t="str">
        <f t="shared" si="79"/>
      </c>
      <c r="U561" s="68" t="str">
        <f t="shared" si="80"/>
      </c>
      <c r="V561" s="68" t="str">
        <f t="shared" si="81"/>
      </c>
      <c r="W561" s="68" t="str">
        <f t="shared" si="82"/>
      </c>
      <c r="X561" s="68" t="n">
        <f t="shared" si="84"/>
        <v>0</v>
      </c>
      <c r="Y561" s="68" t="n">
        <f t="shared" si="85"/>
        <v>0</v>
      </c>
      <c r="Z561" s="67" t="str">
        <f>IF(OR('Prediction Log'!L562="", Table12[[#This Row],[Bet]]="", Table12[[#This Row],[Bet]]="Spread"), "",IF('Prediction Log'!L562=Table12[[#This Row],[Side]], "W", IF('Prediction Log'!L562&lt;&gt;Table12[[#This Row],[Side]], "L", "")))</f>
      </c>
      <c r="AA561" s="59" t="str">
        <f t="shared" si="86"/>
      </c>
      <c r="AB561" s="67" t="str">
        <f>IF(OR(Table12[[#This Row],[Bet]]="Side",Table12[[#This Row],[Bet]]="", 'Prediction Log'!L562=""), "",IF('Prediction Log'!U562="Y", "W", IF('Prediction Log'!U562="N", "L", "")))</f>
      </c>
      <c r="AC561" s="59" t="str">
        <f t="shared" si="78"/>
      </c>
      <c r="AD561" s="67"/>
      <c r="AE561" s="65" t="str">
        <f t="shared" si="83"/>
      </c>
      <c r="AF5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2">
      <c r="A562" s="65" t="str">
        <f>IF(ISBLANK(Games!A562), "", Games!A562)</f>
      </c>
      <c r="B562" s="65" t="str">
        <f>IF('Prediction Log'!B563=0, "",'Prediction Log'!B563)</f>
      </c>
      <c r="C562" s="65" t="str">
        <f>IF('Prediction Log'!C563=0, "",'Prediction Log'!C563)</f>
      </c>
      <c r="D562" s="65" t="str">
        <f>IF('Prediction Log'!D563=0, "",'Prediction Log'!D563)</f>
      </c>
      <c r="E562" s="58" t="str">
        <f>IF('Prediction Log'!E563=0, "",'Prediction Log'!E563)</f>
      </c>
      <c r="F562" s="65" t="str">
        <f>IF('Prediction Log'!H563=0, "",'Prediction Log'!H563)</f>
      </c>
      <c r="G562" s="64" t="str">
        <f>IF(ISBLANK(Games!B562), "",'Prediction Log'!$I563)</f>
      </c>
      <c r="H562" s="66" t="n">
        <f>'Prediction Log'!$J563</f>
        <v>0</v>
      </c>
      <c r="I562" s="65" t="str">
        <f>IF(ISBLANK(Games!T562), "",IF(AND(Games!T562="",Games!U562=""),"",IF(ISTEXT(Games!U562), "Side",Games!T562)))</f>
      </c>
      <c r="J562" s="65" t="str">
        <f>IF(ISBLANK(Games!T562), "",IF(Table12[[#This Row],[Bet]]="Spread", Games!X562, ""))</f>
      </c>
      <c r="K562" s="65" t="str">
        <f>IF(ISBLANK(Games!U562), "",IF(ISTEXT(Games!U562), Games!U562, ""))</f>
      </c>
      <c r="L562" s="57" t="str">
        <f>IF(ISBLANK(Games!D562), "", Games!D562)</f>
      </c>
      <c r="M562" s="65"/>
      <c r="N562" s="75" t="str">
        <f>IF(Games!V562="", "",Games!V562)</f>
      </c>
      <c r="O562" s="75" t="str">
        <f>IF(Games!Z562=0, "",Games!Z562)</f>
      </c>
      <c r="P562" s="67"/>
      <c r="Q562" s="67" t="str">
        <f>IF(ISBLANK(Games!W562), "", Games!W562)</f>
      </c>
      <c r="R562" s="67" t="str">
        <f>IF(ISBLANK(Games!AA562), "", Games!AA562)</f>
      </c>
      <c r="S562" s="67"/>
      <c r="T562" s="68" t="str">
        <f t="shared" si="79"/>
      </c>
      <c r="U562" s="68" t="str">
        <f t="shared" si="80"/>
      </c>
      <c r="V562" s="68" t="str">
        <f t="shared" si="81"/>
      </c>
      <c r="W562" s="68" t="str">
        <f t="shared" si="82"/>
      </c>
      <c r="X562" s="68" t="n">
        <f t="shared" si="84"/>
        <v>0</v>
      </c>
      <c r="Y562" s="68" t="n">
        <f t="shared" si="85"/>
        <v>0</v>
      </c>
      <c r="Z562" s="67" t="str">
        <f>IF(OR('Prediction Log'!L563="", Table12[[#This Row],[Bet]]="", Table12[[#This Row],[Bet]]="Spread"), "",IF('Prediction Log'!L563=Table12[[#This Row],[Side]], "W", IF('Prediction Log'!L563&lt;&gt;Table12[[#This Row],[Side]], "L", "")))</f>
      </c>
      <c r="AA562" s="59" t="str">
        <f t="shared" si="86"/>
      </c>
      <c r="AB562" s="67" t="str">
        <f>IF(OR(Table12[[#This Row],[Bet]]="Side",Table12[[#This Row],[Bet]]="", 'Prediction Log'!L563=""), "",IF('Prediction Log'!U563="Y", "W", IF('Prediction Log'!U563="N", "L", "")))</f>
      </c>
      <c r="AC562" s="59" t="str">
        <f t="shared" si="78"/>
      </c>
      <c r="AD562" s="67"/>
      <c r="AE562" s="65" t="str">
        <f t="shared" si="83"/>
      </c>
      <c r="AF5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3">
      <c r="A563" s="65" t="str">
        <f>IF(ISBLANK(Games!A563), "", Games!A563)</f>
      </c>
      <c r="B563" s="65" t="str">
        <f>IF('Prediction Log'!B564=0, "",'Prediction Log'!B564)</f>
      </c>
      <c r="C563" s="65" t="str">
        <f>IF('Prediction Log'!C564=0, "",'Prediction Log'!C564)</f>
      </c>
      <c r="D563" s="65" t="str">
        <f>IF('Prediction Log'!D564=0, "",'Prediction Log'!D564)</f>
      </c>
      <c r="E563" s="58" t="str">
        <f>IF('Prediction Log'!E564=0, "",'Prediction Log'!E564)</f>
      </c>
      <c r="F563" s="65" t="str">
        <f>IF('Prediction Log'!H564=0, "",'Prediction Log'!H564)</f>
      </c>
      <c r="G563" s="64" t="str">
        <f>IF(ISBLANK(Games!B563), "",'Prediction Log'!$I564)</f>
      </c>
      <c r="H563" s="66" t="n">
        <f>'Prediction Log'!$J564</f>
        <v>0</v>
      </c>
      <c r="I563" s="65" t="str">
        <f>IF(ISBLANK(Games!T563), "",IF(AND(Games!T563="",Games!U563=""),"",IF(ISTEXT(Games!U563), "Side",Games!T563)))</f>
      </c>
      <c r="J563" s="65" t="str">
        <f>IF(ISBLANK(Games!T563), "",IF(Table12[[#This Row],[Bet]]="Spread", Games!X563, ""))</f>
      </c>
      <c r="K563" s="65" t="str">
        <f>IF(ISBLANK(Games!U563), "",IF(ISTEXT(Games!U563), Games!U563, ""))</f>
      </c>
      <c r="L563" s="57" t="str">
        <f>IF(ISBLANK(Games!D563), "", Games!D563)</f>
      </c>
      <c r="M563" s="65"/>
      <c r="N563" s="75" t="str">
        <f>IF(Games!V563="", "",Games!V563)</f>
      </c>
      <c r="O563" s="75" t="str">
        <f>IF(Games!Z563=0, "",Games!Z563)</f>
      </c>
      <c r="P563" s="67"/>
      <c r="Q563" s="67" t="str">
        <f>IF(ISBLANK(Games!W563), "", Games!W563)</f>
      </c>
      <c r="R563" s="67" t="str">
        <f>IF(ISBLANK(Games!AA563), "", Games!AA563)</f>
      </c>
      <c r="S563" s="67"/>
      <c r="T563" s="68" t="str">
        <f t="shared" si="79"/>
      </c>
      <c r="U563" s="68" t="str">
        <f t="shared" si="80"/>
      </c>
      <c r="V563" s="68" t="str">
        <f t="shared" si="81"/>
      </c>
      <c r="W563" s="68" t="str">
        <f t="shared" si="82"/>
      </c>
      <c r="X563" s="68" t="n">
        <f t="shared" si="84"/>
        <v>0</v>
      </c>
      <c r="Y563" s="68" t="n">
        <f t="shared" si="85"/>
        <v>0</v>
      </c>
      <c r="Z563" s="67" t="str">
        <f>IF(OR('Prediction Log'!L564="", Table12[[#This Row],[Bet]]="", Table12[[#This Row],[Bet]]="Spread"), "",IF('Prediction Log'!L564=Table12[[#This Row],[Side]], "W", IF('Prediction Log'!L564&lt;&gt;Table12[[#This Row],[Side]], "L", "")))</f>
      </c>
      <c r="AA563" s="59" t="str">
        <f t="shared" si="86"/>
      </c>
      <c r="AB563" s="67" t="str">
        <f>IF(OR(Table12[[#This Row],[Bet]]="Side",Table12[[#This Row],[Bet]]="", 'Prediction Log'!L564=""), "",IF('Prediction Log'!U564="Y", "W", IF('Prediction Log'!U564="N", "L", "")))</f>
      </c>
      <c r="AC563" s="59" t="str">
        <f t="shared" si="78"/>
      </c>
      <c r="AD563" s="67"/>
      <c r="AE563" s="65" t="str">
        <f t="shared" si="83"/>
      </c>
      <c r="AF5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4">
      <c r="A564" s="65" t="str">
        <f>IF(ISBLANK(Games!A564), "", Games!A564)</f>
      </c>
      <c r="B564" s="65" t="str">
        <f>IF('Prediction Log'!B565=0, "",'Prediction Log'!B565)</f>
      </c>
      <c r="C564" s="65" t="str">
        <f>IF('Prediction Log'!C565=0, "",'Prediction Log'!C565)</f>
      </c>
      <c r="D564" s="65" t="str">
        <f>IF('Prediction Log'!D565=0, "",'Prediction Log'!D565)</f>
      </c>
      <c r="E564" s="58" t="str">
        <f>IF('Prediction Log'!E565=0, "",'Prediction Log'!E565)</f>
      </c>
      <c r="F564" s="65" t="str">
        <f>IF('Prediction Log'!H565=0, "",'Prediction Log'!H565)</f>
      </c>
      <c r="G564" s="64" t="str">
        <f>IF(ISBLANK(Games!B564), "",'Prediction Log'!$I565)</f>
      </c>
      <c r="H564" s="66" t="n">
        <f>'Prediction Log'!$J565</f>
        <v>0</v>
      </c>
      <c r="I564" s="65" t="str">
        <f>IF(ISBLANK(Games!T564), "",IF(AND(Games!T564="",Games!U564=""),"",IF(ISTEXT(Games!U564), "Side",Games!T564)))</f>
      </c>
      <c r="J564" s="65" t="str">
        <f>IF(ISBLANK(Games!T564), "",IF(Table12[[#This Row],[Bet]]="Spread", Games!X564, ""))</f>
      </c>
      <c r="K564" s="65" t="str">
        <f>IF(ISBLANK(Games!U564), "",IF(ISTEXT(Games!U564), Games!U564, ""))</f>
      </c>
      <c r="L564" s="57" t="str">
        <f>IF(ISBLANK(Games!D564), "", Games!D564)</f>
      </c>
      <c r="M564" s="65"/>
      <c r="N564" s="75" t="str">
        <f>IF(Games!V564="", "",Games!V564)</f>
      </c>
      <c r="O564" s="75" t="str">
        <f>IF(Games!Z564=0, "",Games!Z564)</f>
      </c>
      <c r="P564" s="67"/>
      <c r="Q564" s="67" t="str">
        <f>IF(ISBLANK(Games!W564), "", Games!W564)</f>
      </c>
      <c r="R564" s="67" t="str">
        <f>IF(ISBLANK(Games!AA564), "", Games!AA564)</f>
      </c>
      <c r="S564" s="67"/>
      <c r="T564" s="68" t="str">
        <f t="shared" si="79"/>
      </c>
      <c r="U564" s="68" t="str">
        <f t="shared" si="80"/>
      </c>
      <c r="V564" s="68" t="str">
        <f t="shared" si="81"/>
      </c>
      <c r="W564" s="68" t="str">
        <f t="shared" si="82"/>
      </c>
      <c r="X564" s="68" t="n">
        <f t="shared" si="84"/>
        <v>0</v>
      </c>
      <c r="Y564" s="68" t="n">
        <f t="shared" si="85"/>
        <v>0</v>
      </c>
      <c r="Z564" s="67" t="str">
        <f>IF(OR('Prediction Log'!L565="", Table12[[#This Row],[Bet]]="", Table12[[#This Row],[Bet]]="Spread"), "",IF('Prediction Log'!L565=Table12[[#This Row],[Side]], "W", IF('Prediction Log'!L565&lt;&gt;Table12[[#This Row],[Side]], "L", "")))</f>
      </c>
      <c r="AA564" s="59" t="str">
        <f t="shared" si="86"/>
      </c>
      <c r="AB564" s="67" t="str">
        <f>IF(OR(Table12[[#This Row],[Bet]]="Side",Table12[[#This Row],[Bet]]="", 'Prediction Log'!L565=""), "",IF('Prediction Log'!U565="Y", "W", IF('Prediction Log'!U565="N", "L", "")))</f>
      </c>
      <c r="AC564" s="59" t="str">
        <f t="shared" si="78"/>
      </c>
      <c r="AD564" s="67"/>
      <c r="AE564" s="65" t="str">
        <f t="shared" si="83"/>
      </c>
      <c r="AF5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5">
      <c r="A565" s="65" t="str">
        <f>IF(ISBLANK(Games!A565), "", Games!A565)</f>
      </c>
      <c r="B565" s="65" t="str">
        <f>IF('Prediction Log'!B566=0, "",'Prediction Log'!B566)</f>
      </c>
      <c r="C565" s="65" t="str">
        <f>IF('Prediction Log'!C566=0, "",'Prediction Log'!C566)</f>
      </c>
      <c r="D565" s="65" t="str">
        <f>IF('Prediction Log'!D566=0, "",'Prediction Log'!D566)</f>
      </c>
      <c r="E565" s="58" t="str">
        <f>IF('Prediction Log'!E566=0, "",'Prediction Log'!E566)</f>
      </c>
      <c r="F565" s="65" t="str">
        <f>IF('Prediction Log'!H566=0, "",'Prediction Log'!H566)</f>
      </c>
      <c r="G565" s="64" t="str">
        <f>IF(ISBLANK(Games!B565), "",'Prediction Log'!$I566)</f>
      </c>
      <c r="H565" s="66" t="n">
        <f>'Prediction Log'!$J566</f>
        <v>0</v>
      </c>
      <c r="I565" s="65" t="str">
        <f>IF(ISBLANK(Games!T565), "",IF(AND(Games!T565="",Games!U565=""),"",IF(ISTEXT(Games!U565), "Side",Games!T565)))</f>
      </c>
      <c r="J565" s="65" t="str">
        <f>IF(ISBLANK(Games!T565), "",IF(Table12[[#This Row],[Bet]]="Spread", Games!X565, ""))</f>
      </c>
      <c r="K565" s="65" t="str">
        <f>IF(ISBLANK(Games!U565), "",IF(ISTEXT(Games!U565), Games!U565, ""))</f>
      </c>
      <c r="L565" s="57" t="str">
        <f>IF(ISBLANK(Games!D565), "", Games!D565)</f>
      </c>
      <c r="M565" s="65"/>
      <c r="N565" s="75" t="str">
        <f>IF(Games!V565="", "",Games!V565)</f>
      </c>
      <c r="O565" s="75" t="str">
        <f>IF(Games!Z565=0, "",Games!Z565)</f>
      </c>
      <c r="P565" s="67"/>
      <c r="Q565" s="67" t="str">
        <f>IF(ISBLANK(Games!W565), "", Games!W565)</f>
      </c>
      <c r="R565" s="67" t="str">
        <f>IF(ISBLANK(Games!AA565), "", Games!AA565)</f>
      </c>
      <c r="S565" s="67"/>
      <c r="T565" s="68" t="str">
        <f t="shared" si="79"/>
      </c>
      <c r="U565" s="68" t="str">
        <f t="shared" si="80"/>
      </c>
      <c r="V565" s="68" t="str">
        <f t="shared" si="81"/>
      </c>
      <c r="W565" s="68" t="str">
        <f t="shared" si="82"/>
      </c>
      <c r="X565" s="68" t="n">
        <f t="shared" si="84"/>
        <v>0</v>
      </c>
      <c r="Y565" s="68" t="n">
        <f t="shared" si="85"/>
        <v>0</v>
      </c>
      <c r="Z565" s="67" t="str">
        <f>IF(OR('Prediction Log'!L566="", Table12[[#This Row],[Bet]]="", Table12[[#This Row],[Bet]]="Spread"), "",IF('Prediction Log'!L566=Table12[[#This Row],[Side]], "W", IF('Prediction Log'!L566&lt;&gt;Table12[[#This Row],[Side]], "L", "")))</f>
      </c>
      <c r="AA565" s="59" t="str">
        <f t="shared" si="86"/>
      </c>
      <c r="AB565" s="67" t="str">
        <f>IF(OR(Table12[[#This Row],[Bet]]="Side",Table12[[#This Row],[Bet]]="", 'Prediction Log'!L566=""), "",IF('Prediction Log'!U566="Y", "W", IF('Prediction Log'!U566="N", "L", "")))</f>
      </c>
      <c r="AC565" s="59" t="str">
        <f t="shared" si="78"/>
      </c>
      <c r="AD565" s="67"/>
      <c r="AE565" s="65" t="str">
        <f t="shared" si="83"/>
      </c>
      <c r="AF5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6">
      <c r="A566" s="65" t="str">
        <f>IF(ISBLANK(Games!A566), "", Games!A566)</f>
      </c>
      <c r="B566" s="65" t="str">
        <f>IF('Prediction Log'!B567=0, "",'Prediction Log'!B567)</f>
      </c>
      <c r="C566" s="65" t="str">
        <f>IF('Prediction Log'!C567=0, "",'Prediction Log'!C567)</f>
      </c>
      <c r="D566" s="65" t="str">
        <f>IF('Prediction Log'!D567=0, "",'Prediction Log'!D567)</f>
      </c>
      <c r="E566" s="58" t="str">
        <f>IF('Prediction Log'!E567=0, "",'Prediction Log'!E567)</f>
      </c>
      <c r="F566" s="65" t="str">
        <f>IF('Prediction Log'!H567=0, "",'Prediction Log'!H567)</f>
      </c>
      <c r="G566" s="64" t="str">
        <f>IF(ISBLANK(Games!B566), "",'Prediction Log'!$I567)</f>
      </c>
      <c r="H566" s="66" t="n">
        <f>'Prediction Log'!$J567</f>
        <v>0</v>
      </c>
      <c r="I566" s="65" t="str">
        <f>IF(ISBLANK(Games!T566), "",IF(AND(Games!T566="",Games!U566=""),"",IF(ISTEXT(Games!U566), "Side",Games!T566)))</f>
      </c>
      <c r="J566" s="65" t="str">
        <f>IF(ISBLANK(Games!T566), "",IF(Table12[[#This Row],[Bet]]="Spread", Games!X566, ""))</f>
      </c>
      <c r="K566" s="65" t="str">
        <f>IF(ISBLANK(Games!U566), "",IF(ISTEXT(Games!U566), Games!U566, ""))</f>
      </c>
      <c r="L566" s="57" t="str">
        <f>IF(ISBLANK(Games!D566), "", Games!D566)</f>
      </c>
      <c r="M566" s="65"/>
      <c r="N566" s="75" t="str">
        <f>IF(Games!V566="", "",Games!V566)</f>
      </c>
      <c r="O566" s="75" t="str">
        <f>IF(Games!Z566=0, "",Games!Z566)</f>
      </c>
      <c r="P566" s="67"/>
      <c r="Q566" s="67" t="str">
        <f>IF(ISBLANK(Games!W566), "", Games!W566)</f>
      </c>
      <c r="R566" s="67" t="str">
        <f>IF(ISBLANK(Games!AA566), "", Games!AA566)</f>
      </c>
      <c r="S566" s="67"/>
      <c r="T566" s="68" t="str">
        <f t="shared" si="79"/>
      </c>
      <c r="U566" s="68" t="str">
        <f t="shared" si="80"/>
      </c>
      <c r="V566" s="68" t="str">
        <f t="shared" si="81"/>
      </c>
      <c r="W566" s="68" t="str">
        <f t="shared" si="82"/>
      </c>
      <c r="X566" s="68" t="n">
        <f t="shared" si="84"/>
        <v>0</v>
      </c>
      <c r="Y566" s="68" t="n">
        <f t="shared" si="85"/>
        <v>0</v>
      </c>
      <c r="Z566" s="67" t="str">
        <f>IF(OR('Prediction Log'!L567="", Table12[[#This Row],[Bet]]="", Table12[[#This Row],[Bet]]="Spread"), "",IF('Prediction Log'!L567=Table12[[#This Row],[Side]], "W", IF('Prediction Log'!L567&lt;&gt;Table12[[#This Row],[Side]], "L", "")))</f>
      </c>
      <c r="AA566" s="59" t="str">
        <f t="shared" si="86"/>
      </c>
      <c r="AB566" s="67" t="str">
        <f>IF(OR(Table12[[#This Row],[Bet]]="Side",Table12[[#This Row],[Bet]]="", 'Prediction Log'!L567=""), "",IF('Prediction Log'!U567="Y", "W", IF('Prediction Log'!U567="N", "L", "")))</f>
      </c>
      <c r="AC566" s="59" t="str">
        <f t="shared" si="78"/>
      </c>
      <c r="AD566" s="67"/>
      <c r="AE566" s="65" t="str">
        <f t="shared" si="83"/>
      </c>
      <c r="AF5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7">
      <c r="A567" s="65" t="str">
        <f>IF(ISBLANK(Games!A567), "", Games!A567)</f>
      </c>
      <c r="B567" s="65" t="str">
        <f>IF('Prediction Log'!B568=0, "",'Prediction Log'!B568)</f>
      </c>
      <c r="C567" s="65" t="str">
        <f>IF('Prediction Log'!C568=0, "",'Prediction Log'!C568)</f>
      </c>
      <c r="D567" s="65" t="str">
        <f>IF('Prediction Log'!D568=0, "",'Prediction Log'!D568)</f>
      </c>
      <c r="E567" s="58" t="str">
        <f>IF('Prediction Log'!E568=0, "",'Prediction Log'!E568)</f>
      </c>
      <c r="F567" s="65" t="str">
        <f>IF('Prediction Log'!H568=0, "",'Prediction Log'!H568)</f>
      </c>
      <c r="G567" s="64" t="str">
        <f>IF(ISBLANK(Games!B567), "",'Prediction Log'!$I568)</f>
      </c>
      <c r="H567" s="66" t="n">
        <f>'Prediction Log'!$J568</f>
        <v>0</v>
      </c>
      <c r="I567" s="65" t="str">
        <f>IF(ISBLANK(Games!T567), "",IF(AND(Games!T567="",Games!U567=""),"",IF(ISTEXT(Games!U567), "Side",Games!T567)))</f>
      </c>
      <c r="J567" s="65" t="str">
        <f>IF(ISBLANK(Games!T567), "",IF(Table12[[#This Row],[Bet]]="Spread", Games!X567, ""))</f>
      </c>
      <c r="K567" s="65" t="str">
        <f>IF(ISBLANK(Games!U567), "",IF(ISTEXT(Games!U567), Games!U567, ""))</f>
      </c>
      <c r="L567" s="57" t="str">
        <f>IF(ISBLANK(Games!D567), "", Games!D567)</f>
      </c>
      <c r="M567" s="65"/>
      <c r="N567" s="75" t="str">
        <f>IF(Games!V567="", "",Games!V567)</f>
      </c>
      <c r="O567" s="75" t="str">
        <f>IF(Games!Z567=0, "",Games!Z567)</f>
      </c>
      <c r="P567" s="67"/>
      <c r="Q567" s="67" t="str">
        <f>IF(ISBLANK(Games!W567), "", Games!W567)</f>
      </c>
      <c r="R567" s="67" t="str">
        <f>IF(ISBLANK(Games!AA567), "", Games!AA567)</f>
      </c>
      <c r="S567" s="67"/>
      <c r="T567" s="68" t="str">
        <f t="shared" si="79"/>
      </c>
      <c r="U567" s="68" t="str">
        <f t="shared" si="80"/>
      </c>
      <c r="V567" s="68" t="str">
        <f t="shared" si="81"/>
      </c>
      <c r="W567" s="68" t="str">
        <f t="shared" si="82"/>
      </c>
      <c r="X567" s="68" t="n">
        <f t="shared" si="84"/>
        <v>0</v>
      </c>
      <c r="Y567" s="68" t="n">
        <f t="shared" si="85"/>
        <v>0</v>
      </c>
      <c r="Z567" s="67" t="str">
        <f>IF(OR('Prediction Log'!L568="", Table12[[#This Row],[Bet]]="", Table12[[#This Row],[Bet]]="Spread"), "",IF('Prediction Log'!L568=Table12[[#This Row],[Side]], "W", IF('Prediction Log'!L568&lt;&gt;Table12[[#This Row],[Side]], "L", "")))</f>
      </c>
      <c r="AA567" s="59" t="str">
        <f t="shared" si="86"/>
      </c>
      <c r="AB567" s="67" t="str">
        <f>IF(OR(Table12[[#This Row],[Bet]]="Side",Table12[[#This Row],[Bet]]="", 'Prediction Log'!L568=""), "",IF('Prediction Log'!U568="Y", "W", IF('Prediction Log'!U568="N", "L", "")))</f>
      </c>
      <c r="AC567" s="59" t="str">
        <f t="shared" si="78"/>
      </c>
      <c r="AD567" s="67"/>
      <c r="AE567" s="65" t="str">
        <f t="shared" si="83"/>
      </c>
      <c r="AF5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8">
      <c r="A568" s="65" t="str">
        <f>IF(ISBLANK(Games!A568), "", Games!A568)</f>
      </c>
      <c r="B568" s="65" t="str">
        <f>IF('Prediction Log'!B569=0, "",'Prediction Log'!B569)</f>
      </c>
      <c r="C568" s="65" t="str">
        <f>IF('Prediction Log'!C569=0, "",'Prediction Log'!C569)</f>
      </c>
      <c r="D568" s="65" t="str">
        <f>IF('Prediction Log'!D569=0, "",'Prediction Log'!D569)</f>
      </c>
      <c r="E568" s="58" t="str">
        <f>IF('Prediction Log'!E569=0, "",'Prediction Log'!E569)</f>
      </c>
      <c r="F568" s="65" t="str">
        <f>IF('Prediction Log'!H569=0, "",'Prediction Log'!H569)</f>
      </c>
      <c r="G568" s="64" t="str">
        <f>IF(ISBLANK(Games!B568), "",'Prediction Log'!$I569)</f>
      </c>
      <c r="H568" s="66" t="n">
        <f>'Prediction Log'!$J569</f>
        <v>0</v>
      </c>
      <c r="I568" s="65" t="str">
        <f>IF(ISBLANK(Games!T568), "",IF(AND(Games!T568="",Games!U568=""),"",IF(ISTEXT(Games!U568), "Side",Games!T568)))</f>
      </c>
      <c r="J568" s="65" t="str">
        <f>IF(ISBLANK(Games!T568), "",IF(Table12[[#This Row],[Bet]]="Spread", Games!X568, ""))</f>
      </c>
      <c r="K568" s="65" t="str">
        <f>IF(ISBLANK(Games!U568), "",IF(ISTEXT(Games!U568), Games!U568, ""))</f>
      </c>
      <c r="L568" s="57" t="str">
        <f>IF(ISBLANK(Games!D568), "", Games!D568)</f>
      </c>
      <c r="M568" s="65"/>
      <c r="N568" s="75" t="str">
        <f>IF(Games!V568="", "",Games!V568)</f>
      </c>
      <c r="O568" s="75" t="str">
        <f>IF(Games!Z568=0, "",Games!Z568)</f>
      </c>
      <c r="P568" s="67"/>
      <c r="Q568" s="67" t="str">
        <f>IF(ISBLANK(Games!W568), "", Games!W568)</f>
      </c>
      <c r="R568" s="67" t="str">
        <f>IF(ISBLANK(Games!AA568), "", Games!AA568)</f>
      </c>
      <c r="S568" s="67"/>
      <c r="T568" s="68" t="str">
        <f t="shared" si="79"/>
      </c>
      <c r="U568" s="68" t="str">
        <f t="shared" si="80"/>
      </c>
      <c r="V568" s="68" t="str">
        <f t="shared" si="81"/>
      </c>
      <c r="W568" s="68" t="str">
        <f t="shared" si="82"/>
      </c>
      <c r="X568" s="68" t="n">
        <f t="shared" si="84"/>
        <v>0</v>
      </c>
      <c r="Y568" s="68" t="n">
        <f t="shared" si="85"/>
        <v>0</v>
      </c>
      <c r="Z568" s="67" t="str">
        <f>IF(OR('Prediction Log'!L569="", Table12[[#This Row],[Bet]]="", Table12[[#This Row],[Bet]]="Spread"), "",IF('Prediction Log'!L569=Table12[[#This Row],[Side]], "W", IF('Prediction Log'!L569&lt;&gt;Table12[[#This Row],[Side]], "L", "")))</f>
      </c>
      <c r="AA568" s="59" t="str">
        <f t="shared" si="86"/>
      </c>
      <c r="AB568" s="67" t="str">
        <f>IF(OR(Table12[[#This Row],[Bet]]="Side",Table12[[#This Row],[Bet]]="", 'Prediction Log'!L569=""), "",IF('Prediction Log'!U569="Y", "W", IF('Prediction Log'!U569="N", "L", "")))</f>
      </c>
      <c r="AC568" s="59" t="str">
        <f t="shared" si="78"/>
      </c>
      <c r="AD568" s="67"/>
      <c r="AE568" s="65" t="str">
        <f t="shared" si="83"/>
      </c>
      <c r="AF5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9">
      <c r="A569" s="65" t="str">
        <f>IF(ISBLANK(Games!A569), "", Games!A569)</f>
      </c>
      <c r="B569" s="65" t="str">
        <f>IF('Prediction Log'!B570=0, "",'Prediction Log'!B570)</f>
      </c>
      <c r="C569" s="65" t="str">
        <f>IF('Prediction Log'!C570=0, "",'Prediction Log'!C570)</f>
      </c>
      <c r="D569" s="65" t="str">
        <f>IF('Prediction Log'!D570=0, "",'Prediction Log'!D570)</f>
      </c>
      <c r="E569" s="58" t="str">
        <f>IF('Prediction Log'!E570=0, "",'Prediction Log'!E570)</f>
      </c>
      <c r="F569" s="65" t="str">
        <f>IF('Prediction Log'!H570=0, "",'Prediction Log'!H570)</f>
      </c>
      <c r="G569" s="64" t="str">
        <f>IF(ISBLANK(Games!B569), "",'Prediction Log'!$I570)</f>
      </c>
      <c r="H569" s="66" t="n">
        <f>'Prediction Log'!$J570</f>
        <v>0</v>
      </c>
      <c r="I569" s="65" t="str">
        <f>IF(ISBLANK(Games!T569), "",IF(AND(Games!T569="",Games!U569=""),"",IF(ISTEXT(Games!U569), "Side",Games!T569)))</f>
      </c>
      <c r="J569" s="65" t="str">
        <f>IF(ISBLANK(Games!T569), "",IF(Table12[[#This Row],[Bet]]="Spread", Games!X569, ""))</f>
      </c>
      <c r="K569" s="65" t="str">
        <f>IF(ISBLANK(Games!U569), "",IF(ISTEXT(Games!U569), Games!U569, ""))</f>
      </c>
      <c r="L569" s="57" t="str">
        <f>IF(ISBLANK(Games!D569), "", Games!D569)</f>
      </c>
      <c r="M569" s="65"/>
      <c r="N569" s="75" t="str">
        <f>IF(Games!V569="", "",Games!V569)</f>
      </c>
      <c r="O569" s="75" t="str">
        <f>IF(Games!Z569=0, "",Games!Z569)</f>
      </c>
      <c r="P569" s="67"/>
      <c r="Q569" s="67" t="str">
        <f>IF(ISBLANK(Games!W569), "", Games!W569)</f>
      </c>
      <c r="R569" s="67" t="str">
        <f>IF(ISBLANK(Games!AA569), "", Games!AA569)</f>
      </c>
      <c r="S569" s="67"/>
      <c r="T569" s="68" t="str">
        <f t="shared" si="79"/>
      </c>
      <c r="U569" s="68" t="str">
        <f t="shared" si="80"/>
      </c>
      <c r="V569" s="68" t="str">
        <f t="shared" si="81"/>
      </c>
      <c r="W569" s="68" t="str">
        <f t="shared" si="82"/>
      </c>
      <c r="X569" s="68" t="n">
        <f t="shared" si="84"/>
        <v>0</v>
      </c>
      <c r="Y569" s="68" t="n">
        <f t="shared" si="85"/>
        <v>0</v>
      </c>
      <c r="Z569" s="67" t="str">
        <f>IF(OR('Prediction Log'!L570="", Table12[[#This Row],[Bet]]="", Table12[[#This Row],[Bet]]="Spread"), "",IF('Prediction Log'!L570=Table12[[#This Row],[Side]], "W", IF('Prediction Log'!L570&lt;&gt;Table12[[#This Row],[Side]], "L", "")))</f>
      </c>
      <c r="AA569" s="59" t="str">
        <f t="shared" si="86"/>
      </c>
      <c r="AB569" s="67" t="str">
        <f>IF(OR(Table12[[#This Row],[Bet]]="Side",Table12[[#This Row],[Bet]]="", 'Prediction Log'!L570=""), "",IF('Prediction Log'!U570="Y", "W", IF('Prediction Log'!U570="N", "L", "")))</f>
      </c>
      <c r="AC569" s="59" t="str">
        <f t="shared" si="78"/>
      </c>
      <c r="AD569" s="67"/>
      <c r="AE569" s="65" t="str">
        <f t="shared" si="83"/>
      </c>
      <c r="AF5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0">
      <c r="A570" s="65" t="str">
        <f>IF(ISBLANK(Games!A570), "", Games!A570)</f>
      </c>
      <c r="B570" s="65" t="str">
        <f>IF('Prediction Log'!B571=0, "",'Prediction Log'!B571)</f>
      </c>
      <c r="C570" s="65" t="str">
        <f>IF('Prediction Log'!C571=0, "",'Prediction Log'!C571)</f>
      </c>
      <c r="D570" s="65" t="str">
        <f>IF('Prediction Log'!D571=0, "",'Prediction Log'!D571)</f>
      </c>
      <c r="E570" s="58" t="str">
        <f>IF('Prediction Log'!E571=0, "",'Prediction Log'!E571)</f>
      </c>
      <c r="F570" s="65" t="str">
        <f>IF('Prediction Log'!H571=0, "",'Prediction Log'!H571)</f>
      </c>
      <c r="G570" s="64" t="str">
        <f>IF(ISBLANK(Games!B570), "",'Prediction Log'!$I571)</f>
      </c>
      <c r="H570" s="66" t="n">
        <f>'Prediction Log'!$J571</f>
        <v>0</v>
      </c>
      <c r="I570" s="65" t="str">
        <f>IF(ISBLANK(Games!T570), "",IF(AND(Games!T570="",Games!U570=""),"",IF(ISTEXT(Games!U570), "Side",Games!T570)))</f>
      </c>
      <c r="J570" s="65" t="str">
        <f>IF(ISBLANK(Games!T570), "",IF(Table12[[#This Row],[Bet]]="Spread", Games!X570, ""))</f>
      </c>
      <c r="K570" s="65" t="str">
        <f>IF(ISBLANK(Games!U570), "",IF(ISTEXT(Games!U570), Games!U570, ""))</f>
      </c>
      <c r="L570" s="57" t="str">
        <f>IF(ISBLANK(Games!D570), "", Games!D570)</f>
      </c>
      <c r="M570" s="65"/>
      <c r="N570" s="75" t="str">
        <f>IF(Games!V570="", "",Games!V570)</f>
      </c>
      <c r="O570" s="75" t="str">
        <f>IF(Games!Z570=0, "",Games!Z570)</f>
      </c>
      <c r="P570" s="67"/>
      <c r="Q570" s="67" t="str">
        <f>IF(ISBLANK(Games!W570), "", Games!W570)</f>
      </c>
      <c r="R570" s="67" t="str">
        <f>IF(ISBLANK(Games!AA570), "", Games!AA570)</f>
      </c>
      <c r="S570" s="67"/>
      <c r="T570" s="68" t="str">
        <f t="shared" si="79"/>
      </c>
      <c r="U570" s="68" t="str">
        <f t="shared" si="80"/>
      </c>
      <c r="V570" s="68" t="str">
        <f t="shared" si="81"/>
      </c>
      <c r="W570" s="68" t="str">
        <f t="shared" si="82"/>
      </c>
      <c r="X570" s="68" t="n">
        <f t="shared" si="84"/>
        <v>0</v>
      </c>
      <c r="Y570" s="68" t="n">
        <f t="shared" si="85"/>
        <v>0</v>
      </c>
      <c r="Z570" s="67" t="str">
        <f>IF(OR('Prediction Log'!L571="", Table12[[#This Row],[Bet]]="", Table12[[#This Row],[Bet]]="Spread"), "",IF('Prediction Log'!L571=Table12[[#This Row],[Side]], "W", IF('Prediction Log'!L571&lt;&gt;Table12[[#This Row],[Side]], "L", "")))</f>
      </c>
      <c r="AA570" s="59" t="str">
        <f t="shared" si="86"/>
      </c>
      <c r="AB570" s="67" t="str">
        <f>IF(OR(Table12[[#This Row],[Bet]]="Side",Table12[[#This Row],[Bet]]="", 'Prediction Log'!L571=""), "",IF('Prediction Log'!U571="Y", "W", IF('Prediction Log'!U571="N", "L", "")))</f>
      </c>
      <c r="AC570" s="59" t="str">
        <f t="shared" si="78"/>
      </c>
      <c r="AD570" s="67"/>
      <c r="AE570" s="65" t="str">
        <f t="shared" si="83"/>
      </c>
      <c r="AF5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1">
      <c r="A571" s="65" t="str">
        <f>IF(ISBLANK(Games!A571), "", Games!A571)</f>
      </c>
      <c r="B571" s="65" t="str">
        <f>IF('Prediction Log'!B572=0, "",'Prediction Log'!B572)</f>
      </c>
      <c r="C571" s="65" t="str">
        <f>IF('Prediction Log'!C572=0, "",'Prediction Log'!C572)</f>
      </c>
      <c r="D571" s="65" t="str">
        <f>IF('Prediction Log'!D572=0, "",'Prediction Log'!D572)</f>
      </c>
      <c r="E571" s="58" t="str">
        <f>IF('Prediction Log'!E572=0, "",'Prediction Log'!E572)</f>
      </c>
      <c r="F571" s="65" t="str">
        <f>IF('Prediction Log'!H572=0, "",'Prediction Log'!H572)</f>
      </c>
      <c r="G571" s="64" t="str">
        <f>IF(ISBLANK(Games!B571), "",'Prediction Log'!$I572)</f>
      </c>
      <c r="H571" s="66" t="n">
        <f>'Prediction Log'!$J572</f>
        <v>0</v>
      </c>
      <c r="I571" s="65" t="str">
        <f>IF(ISBLANK(Games!T571), "",IF(AND(Games!T571="",Games!U571=""),"",IF(ISTEXT(Games!U571), "Side",Games!T571)))</f>
      </c>
      <c r="J571" s="65" t="str">
        <f>IF(ISBLANK(Games!T571), "",IF(Table12[[#This Row],[Bet]]="Spread", Games!X571, ""))</f>
      </c>
      <c r="K571" s="65" t="str">
        <f>IF(ISBLANK(Games!U571), "",IF(ISTEXT(Games!U571), Games!U571, ""))</f>
      </c>
      <c r="L571" s="57" t="str">
        <f>IF(ISBLANK(Games!D571), "", Games!D571)</f>
      </c>
      <c r="M571" s="65"/>
      <c r="N571" s="75" t="str">
        <f>IF(Games!V571="", "",Games!V571)</f>
      </c>
      <c r="O571" s="75" t="str">
        <f>IF(Games!Z571=0, "",Games!Z571)</f>
      </c>
      <c r="P571" s="67"/>
      <c r="Q571" s="67" t="str">
        <f>IF(ISBLANK(Games!W571), "", Games!W571)</f>
      </c>
      <c r="R571" s="67" t="str">
        <f>IF(ISBLANK(Games!AA571), "", Games!AA571)</f>
      </c>
      <c r="S571" s="67"/>
      <c r="T571" s="68" t="str">
        <f t="shared" si="79"/>
      </c>
      <c r="U571" s="68" t="str">
        <f t="shared" si="80"/>
      </c>
      <c r="V571" s="68" t="str">
        <f t="shared" si="81"/>
      </c>
      <c r="W571" s="68" t="str">
        <f t="shared" si="82"/>
      </c>
      <c r="X571" s="68" t="n">
        <f t="shared" si="84"/>
        <v>0</v>
      </c>
      <c r="Y571" s="68" t="n">
        <f t="shared" si="85"/>
        <v>0</v>
      </c>
      <c r="Z571" s="67" t="str">
        <f>IF(OR('Prediction Log'!L572="", Table12[[#This Row],[Bet]]="", Table12[[#This Row],[Bet]]="Spread"), "",IF('Prediction Log'!L572=Table12[[#This Row],[Side]], "W", IF('Prediction Log'!L572&lt;&gt;Table12[[#This Row],[Side]], "L", "")))</f>
      </c>
      <c r="AA571" s="59" t="str">
        <f t="shared" si="86"/>
      </c>
      <c r="AB571" s="67" t="str">
        <f>IF(OR(Table12[[#This Row],[Bet]]="Side",Table12[[#This Row],[Bet]]="", 'Prediction Log'!L572=""), "",IF('Prediction Log'!U572="Y", "W", IF('Prediction Log'!U572="N", "L", "")))</f>
      </c>
      <c r="AC571" s="59" t="str">
        <f t="shared" si="78"/>
      </c>
      <c r="AD571" s="67"/>
      <c r="AE571" s="65" t="str">
        <f t="shared" si="83"/>
      </c>
      <c r="AF5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2">
      <c r="A572" s="65" t="str">
        <f>IF(ISBLANK(Games!A572), "", Games!A572)</f>
      </c>
      <c r="B572" s="65" t="str">
        <f>IF('Prediction Log'!B573=0, "",'Prediction Log'!B573)</f>
      </c>
      <c r="C572" s="65" t="str">
        <f>IF('Prediction Log'!C573=0, "",'Prediction Log'!C573)</f>
      </c>
      <c r="D572" s="65" t="str">
        <f>IF('Prediction Log'!D573=0, "",'Prediction Log'!D573)</f>
      </c>
      <c r="E572" s="58" t="str">
        <f>IF('Prediction Log'!E573=0, "",'Prediction Log'!E573)</f>
      </c>
      <c r="F572" s="65" t="str">
        <f>IF('Prediction Log'!H573=0, "",'Prediction Log'!H573)</f>
      </c>
      <c r="G572" s="64" t="str">
        <f>IF(ISBLANK(Games!B572), "",'Prediction Log'!$I573)</f>
      </c>
      <c r="H572" s="66" t="n">
        <f>'Prediction Log'!$J573</f>
        <v>0</v>
      </c>
      <c r="I572" s="65" t="str">
        <f>IF(ISBLANK(Games!T572), "",IF(AND(Games!T572="",Games!U572=""),"",IF(ISTEXT(Games!U572), "Side",Games!T572)))</f>
      </c>
      <c r="J572" s="65" t="str">
        <f>IF(ISBLANK(Games!T572), "",IF(Table12[[#This Row],[Bet]]="Spread", Games!X572, ""))</f>
      </c>
      <c r="K572" s="65" t="str">
        <f>IF(ISBLANK(Games!U572), "",IF(ISTEXT(Games!U572), Games!U572, ""))</f>
      </c>
      <c r="L572" s="57" t="str">
        <f>IF(ISBLANK(Games!D572), "", Games!D572)</f>
      </c>
      <c r="M572" s="65"/>
      <c r="N572" s="75" t="str">
        <f>IF(Games!V572="", "",Games!V572)</f>
      </c>
      <c r="O572" s="75" t="str">
        <f>IF(Games!Z572=0, "",Games!Z572)</f>
      </c>
      <c r="P572" s="67"/>
      <c r="Q572" s="67" t="str">
        <f>IF(ISBLANK(Games!W572), "", Games!W572)</f>
      </c>
      <c r="R572" s="67" t="str">
        <f>IF(ISBLANK(Games!AA572), "", Games!AA572)</f>
      </c>
      <c r="S572" s="67"/>
      <c r="T572" s="68" t="str">
        <f t="shared" si="79"/>
      </c>
      <c r="U572" s="68" t="str">
        <f t="shared" si="80"/>
      </c>
      <c r="V572" s="68" t="str">
        <f t="shared" si="81"/>
      </c>
      <c r="W572" s="68" t="str">
        <f t="shared" si="82"/>
      </c>
      <c r="X572" s="68" t="n">
        <f t="shared" si="84"/>
        <v>0</v>
      </c>
      <c r="Y572" s="68" t="n">
        <f t="shared" si="85"/>
        <v>0</v>
      </c>
      <c r="Z572" s="67" t="str">
        <f>IF(OR('Prediction Log'!L573="", Table12[[#This Row],[Bet]]="", Table12[[#This Row],[Bet]]="Spread"), "",IF('Prediction Log'!L573=Table12[[#This Row],[Side]], "W", IF('Prediction Log'!L573&lt;&gt;Table12[[#This Row],[Side]], "L", "")))</f>
      </c>
      <c r="AA572" s="59" t="str">
        <f t="shared" si="86"/>
      </c>
      <c r="AB572" s="67" t="str">
        <f>IF(OR(Table12[[#This Row],[Bet]]="Side",Table12[[#This Row],[Bet]]="", 'Prediction Log'!L573=""), "",IF('Prediction Log'!U573="Y", "W", IF('Prediction Log'!U573="N", "L", "")))</f>
      </c>
      <c r="AC572" s="59" t="str">
        <f t="shared" si="78"/>
      </c>
      <c r="AD572" s="67"/>
      <c r="AE572" s="65" t="str">
        <f t="shared" si="83"/>
      </c>
      <c r="AF5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3">
      <c r="A573" s="65" t="str">
        <f>IF(ISBLANK(Games!A573), "", Games!A573)</f>
      </c>
      <c r="B573" s="65" t="str">
        <f>IF('Prediction Log'!B574=0, "",'Prediction Log'!B574)</f>
      </c>
      <c r="C573" s="65" t="str">
        <f>IF('Prediction Log'!C574=0, "",'Prediction Log'!C574)</f>
      </c>
      <c r="D573" s="65" t="str">
        <f>IF('Prediction Log'!D574=0, "",'Prediction Log'!D574)</f>
      </c>
      <c r="E573" s="58" t="str">
        <f>IF('Prediction Log'!E574=0, "",'Prediction Log'!E574)</f>
      </c>
      <c r="F573" s="65" t="str">
        <f>IF('Prediction Log'!H574=0, "",'Prediction Log'!H574)</f>
      </c>
      <c r="G573" s="64" t="str">
        <f>IF(ISBLANK(Games!B573), "",'Prediction Log'!$I574)</f>
      </c>
      <c r="H573" s="66" t="n">
        <f>'Prediction Log'!$J574</f>
        <v>0</v>
      </c>
      <c r="I573" s="65" t="str">
        <f>IF(ISBLANK(Games!T573), "",IF(AND(Games!T573="",Games!U573=""),"",IF(ISTEXT(Games!U573), "Side",Games!T573)))</f>
      </c>
      <c r="J573" s="65" t="str">
        <f>IF(ISBLANK(Games!T573), "",IF(Table12[[#This Row],[Bet]]="Spread", Games!X573, ""))</f>
      </c>
      <c r="K573" s="65" t="str">
        <f>IF(ISBLANK(Games!U573), "",IF(ISTEXT(Games!U573), Games!U573, ""))</f>
      </c>
      <c r="L573" s="57" t="str">
        <f>IF(ISBLANK(Games!D573), "", Games!D573)</f>
      </c>
      <c r="M573" s="65"/>
      <c r="N573" s="75" t="str">
        <f>IF(Games!V573="", "",Games!V573)</f>
      </c>
      <c r="O573" s="75" t="str">
        <f>IF(Games!Z573=0, "",Games!Z573)</f>
      </c>
      <c r="P573" s="67"/>
      <c r="Q573" s="67" t="str">
        <f>IF(ISBLANK(Games!W573), "", Games!W573)</f>
      </c>
      <c r="R573" s="67" t="str">
        <f>IF(ISBLANK(Games!AA573), "", Games!AA573)</f>
      </c>
      <c r="S573" s="67"/>
      <c r="T573" s="68" t="str">
        <f t="shared" si="79"/>
      </c>
      <c r="U573" s="68" t="str">
        <f t="shared" si="80"/>
      </c>
      <c r="V573" s="68" t="str">
        <f t="shared" si="81"/>
      </c>
      <c r="W573" s="68" t="str">
        <f t="shared" si="82"/>
      </c>
      <c r="X573" s="68" t="n">
        <f t="shared" si="84"/>
        <v>0</v>
      </c>
      <c r="Y573" s="68" t="n">
        <f t="shared" si="85"/>
        <v>0</v>
      </c>
      <c r="Z573" s="67" t="str">
        <f>IF(OR('Prediction Log'!L574="", Table12[[#This Row],[Bet]]="", Table12[[#This Row],[Bet]]="Spread"), "",IF('Prediction Log'!L574=Table12[[#This Row],[Side]], "W", IF('Prediction Log'!L574&lt;&gt;Table12[[#This Row],[Side]], "L", "")))</f>
      </c>
      <c r="AA573" s="59" t="str">
        <f t="shared" si="86"/>
      </c>
      <c r="AB573" s="67" t="str">
        <f>IF(OR(Table12[[#This Row],[Bet]]="Side",Table12[[#This Row],[Bet]]="", 'Prediction Log'!L574=""), "",IF('Prediction Log'!U574="Y", "W", IF('Prediction Log'!U574="N", "L", "")))</f>
      </c>
      <c r="AC573" s="59" t="str">
        <f t="shared" si="78"/>
      </c>
      <c r="AD573" s="67"/>
      <c r="AE573" s="65" t="str">
        <f t="shared" si="83"/>
      </c>
      <c r="AF5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4">
      <c r="A574" s="65" t="str">
        <f>IF(ISBLANK(Games!A574), "", Games!A574)</f>
      </c>
      <c r="B574" s="65" t="str">
        <f>IF('Prediction Log'!B575=0, "",'Prediction Log'!B575)</f>
      </c>
      <c r="C574" s="65" t="str">
        <f>IF('Prediction Log'!C575=0, "",'Prediction Log'!C575)</f>
      </c>
      <c r="D574" s="65" t="str">
        <f>IF('Prediction Log'!D575=0, "",'Prediction Log'!D575)</f>
      </c>
      <c r="E574" s="58" t="str">
        <f>IF('Prediction Log'!E575=0, "",'Prediction Log'!E575)</f>
      </c>
      <c r="F574" s="65" t="str">
        <f>IF('Prediction Log'!H575=0, "",'Prediction Log'!H575)</f>
      </c>
      <c r="G574" s="64" t="str">
        <f>IF(ISBLANK(Games!B574), "",'Prediction Log'!$I575)</f>
      </c>
      <c r="H574" s="66" t="n">
        <f>'Prediction Log'!$J575</f>
        <v>0</v>
      </c>
      <c r="I574" s="65" t="str">
        <f>IF(ISBLANK(Games!T574), "",IF(AND(Games!T574="",Games!U574=""),"",IF(ISTEXT(Games!U574), "Side",Games!T574)))</f>
      </c>
      <c r="J574" s="65" t="str">
        <f>IF(ISBLANK(Games!T574), "",IF(Table12[[#This Row],[Bet]]="Spread", Games!X574, ""))</f>
      </c>
      <c r="K574" s="65" t="str">
        <f>IF(ISBLANK(Games!U574), "",IF(ISTEXT(Games!U574), Games!U574, ""))</f>
      </c>
      <c r="L574" s="57" t="str">
        <f>IF(ISBLANK(Games!D574), "", Games!D574)</f>
      </c>
      <c r="M574" s="65"/>
      <c r="N574" s="75" t="str">
        <f>IF(Games!V574="", "",Games!V574)</f>
      </c>
      <c r="O574" s="75" t="str">
        <f>IF(Games!Z574=0, "",Games!Z574)</f>
      </c>
      <c r="P574" s="67"/>
      <c r="Q574" s="67" t="str">
        <f>IF(ISBLANK(Games!W574), "", Games!W574)</f>
      </c>
      <c r="R574" s="67" t="str">
        <f>IF(ISBLANK(Games!AA574), "", Games!AA574)</f>
      </c>
      <c r="S574" s="67"/>
      <c r="T574" s="68" t="str">
        <f t="shared" si="79"/>
      </c>
      <c r="U574" s="68" t="str">
        <f t="shared" si="80"/>
      </c>
      <c r="V574" s="68" t="str">
        <f t="shared" si="81"/>
      </c>
      <c r="W574" s="68" t="str">
        <f t="shared" si="82"/>
      </c>
      <c r="X574" s="68" t="n">
        <f t="shared" si="84"/>
        <v>0</v>
      </c>
      <c r="Y574" s="68" t="n">
        <f t="shared" si="85"/>
        <v>0</v>
      </c>
      <c r="Z574" s="67" t="str">
        <f>IF(OR('Prediction Log'!L575="", Table12[[#This Row],[Bet]]="", Table12[[#This Row],[Bet]]="Spread"), "",IF('Prediction Log'!L575=Table12[[#This Row],[Side]], "W", IF('Prediction Log'!L575&lt;&gt;Table12[[#This Row],[Side]], "L", "")))</f>
      </c>
      <c r="AA574" s="59" t="str">
        <f t="shared" si="86"/>
      </c>
      <c r="AB574" s="67" t="str">
        <f>IF(OR(Table12[[#This Row],[Bet]]="Side",Table12[[#This Row],[Bet]]="", 'Prediction Log'!L575=""), "",IF('Prediction Log'!U575="Y", "W", IF('Prediction Log'!U575="N", "L", "")))</f>
      </c>
      <c r="AC574" s="59" t="str">
        <f t="shared" si="78"/>
      </c>
      <c r="AD574" s="67"/>
      <c r="AE574" s="65" t="str">
        <f t="shared" si="83"/>
      </c>
      <c r="AF5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5">
      <c r="A575" s="65" t="str">
        <f>IF(ISBLANK(Games!A575), "", Games!A575)</f>
      </c>
      <c r="B575" s="65" t="str">
        <f>IF('Prediction Log'!B576=0, "",'Prediction Log'!B576)</f>
      </c>
      <c r="C575" s="65" t="str">
        <f>IF('Prediction Log'!C576=0, "",'Prediction Log'!C576)</f>
      </c>
      <c r="D575" s="65" t="str">
        <f>IF('Prediction Log'!D576=0, "",'Prediction Log'!D576)</f>
      </c>
      <c r="E575" s="58" t="str">
        <f>IF('Prediction Log'!E576=0, "",'Prediction Log'!E576)</f>
      </c>
      <c r="F575" s="65" t="str">
        <f>IF('Prediction Log'!H576=0, "",'Prediction Log'!H576)</f>
      </c>
      <c r="G575" s="64" t="str">
        <f>IF(ISBLANK(Games!B575), "",'Prediction Log'!$I576)</f>
      </c>
      <c r="H575" s="66" t="n">
        <f>'Prediction Log'!$J576</f>
        <v>0</v>
      </c>
      <c r="I575" s="65" t="str">
        <f>IF(ISBLANK(Games!T575), "",IF(AND(Games!T575="",Games!U575=""),"",IF(ISTEXT(Games!U575), "Side",Games!T575)))</f>
      </c>
      <c r="J575" s="65" t="str">
        <f>IF(ISBLANK(Games!T575), "",IF(Table12[[#This Row],[Bet]]="Spread", Games!X575, ""))</f>
      </c>
      <c r="K575" s="65" t="str">
        <f>IF(ISBLANK(Games!U575), "",IF(ISTEXT(Games!U575), Games!U575, ""))</f>
      </c>
      <c r="L575" s="57" t="str">
        <f>IF(ISBLANK(Games!D575), "", Games!D575)</f>
      </c>
      <c r="M575" s="65"/>
      <c r="N575" s="75" t="str">
        <f>IF(Games!V575="", "",Games!V575)</f>
      </c>
      <c r="O575" s="75" t="str">
        <f>IF(Games!Z575=0, "",Games!Z575)</f>
      </c>
      <c r="P575" s="67"/>
      <c r="Q575" s="67" t="str">
        <f>IF(ISBLANK(Games!W575), "", Games!W575)</f>
      </c>
      <c r="R575" s="67" t="str">
        <f>IF(ISBLANK(Games!AA575), "", Games!AA575)</f>
      </c>
      <c r="S575" s="67"/>
      <c r="T575" s="68" t="str">
        <f t="shared" si="79"/>
      </c>
      <c r="U575" s="68" t="str">
        <f t="shared" si="80"/>
      </c>
      <c r="V575" s="68" t="str">
        <f t="shared" si="81"/>
      </c>
      <c r="W575" s="68" t="str">
        <f t="shared" si="82"/>
      </c>
      <c r="X575" s="68" t="n">
        <f t="shared" si="84"/>
        <v>0</v>
      </c>
      <c r="Y575" s="68" t="n">
        <f t="shared" si="85"/>
        <v>0</v>
      </c>
      <c r="Z575" s="67" t="str">
        <f>IF(OR('Prediction Log'!L576="", Table12[[#This Row],[Bet]]="", Table12[[#This Row],[Bet]]="Spread"), "",IF('Prediction Log'!L576=Table12[[#This Row],[Side]], "W", IF('Prediction Log'!L576&lt;&gt;Table12[[#This Row],[Side]], "L", "")))</f>
      </c>
      <c r="AA575" s="59" t="str">
        <f t="shared" si="86"/>
      </c>
      <c r="AB575" s="67" t="str">
        <f>IF(OR(Table12[[#This Row],[Bet]]="Side",Table12[[#This Row],[Bet]]="", 'Prediction Log'!L576=""), "",IF('Prediction Log'!U576="Y", "W", IF('Prediction Log'!U576="N", "L", "")))</f>
      </c>
      <c r="AC575" s="59" t="str">
        <f t="shared" si="78"/>
      </c>
      <c r="AD575" s="67"/>
      <c r="AE575" s="65" t="str">
        <f t="shared" si="83"/>
      </c>
      <c r="AF5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6">
      <c r="A576" s="65" t="str">
        <f>IF(ISBLANK(Games!A576), "", Games!A576)</f>
      </c>
      <c r="B576" s="65" t="str">
        <f>IF('Prediction Log'!B577=0, "",'Prediction Log'!B577)</f>
      </c>
      <c r="C576" s="65" t="str">
        <f>IF('Prediction Log'!C577=0, "",'Prediction Log'!C577)</f>
      </c>
      <c r="D576" s="65" t="str">
        <f>IF('Prediction Log'!D577=0, "",'Prediction Log'!D577)</f>
      </c>
      <c r="E576" s="58" t="str">
        <f>IF('Prediction Log'!E577=0, "",'Prediction Log'!E577)</f>
      </c>
      <c r="F576" s="65" t="str">
        <f>IF('Prediction Log'!H577=0, "",'Prediction Log'!H577)</f>
      </c>
      <c r="G576" s="64" t="str">
        <f>IF(ISBLANK(Games!B576), "",'Prediction Log'!$I577)</f>
      </c>
      <c r="H576" s="66" t="n">
        <f>'Prediction Log'!$J577</f>
        <v>0</v>
      </c>
      <c r="I576" s="65" t="str">
        <f>IF(ISBLANK(Games!T576), "",IF(AND(Games!T576="",Games!U576=""),"",IF(ISTEXT(Games!U576), "Side",Games!T576)))</f>
      </c>
      <c r="J576" s="65" t="str">
        <f>IF(ISBLANK(Games!T576), "",IF(Table12[[#This Row],[Bet]]="Spread", Games!X576, ""))</f>
      </c>
      <c r="K576" s="65" t="str">
        <f>IF(ISBLANK(Games!U576), "",IF(ISTEXT(Games!U576), Games!U576, ""))</f>
      </c>
      <c r="L576" s="57" t="str">
        <f>IF(ISBLANK(Games!D576), "", Games!D576)</f>
      </c>
      <c r="M576" s="65"/>
      <c r="N576" s="75" t="str">
        <f>IF(Games!V576="", "",Games!V576)</f>
      </c>
      <c r="O576" s="75" t="str">
        <f>IF(Games!Z576=0, "",Games!Z576)</f>
      </c>
      <c r="P576" s="67"/>
      <c r="Q576" s="67" t="str">
        <f>IF(ISBLANK(Games!W576), "", Games!W576)</f>
      </c>
      <c r="R576" s="67" t="str">
        <f>IF(ISBLANK(Games!AA576), "", Games!AA576)</f>
      </c>
      <c r="S576" s="67"/>
      <c r="T576" s="68" t="str">
        <f t="shared" si="79"/>
      </c>
      <c r="U576" s="68" t="str">
        <f t="shared" si="80"/>
      </c>
      <c r="V576" s="68" t="str">
        <f t="shared" si="81"/>
      </c>
      <c r="W576" s="68" t="str">
        <f t="shared" si="82"/>
      </c>
      <c r="X576" s="68" t="n">
        <f t="shared" si="84"/>
        <v>0</v>
      </c>
      <c r="Y576" s="68" t="n">
        <f t="shared" si="85"/>
        <v>0</v>
      </c>
      <c r="Z576" s="67" t="str">
        <f>IF(OR('Prediction Log'!L577="", Table12[[#This Row],[Bet]]="", Table12[[#This Row],[Bet]]="Spread"), "",IF('Prediction Log'!L577=Table12[[#This Row],[Side]], "W", IF('Prediction Log'!L577&lt;&gt;Table12[[#This Row],[Side]], "L", "")))</f>
      </c>
      <c r="AA576" s="59" t="str">
        <f t="shared" si="86"/>
      </c>
      <c r="AB576" s="67" t="str">
        <f>IF(OR(Table12[[#This Row],[Bet]]="Side",Table12[[#This Row],[Bet]]="", 'Prediction Log'!L577=""), "",IF('Prediction Log'!U577="Y", "W", IF('Prediction Log'!U577="N", "L", "")))</f>
      </c>
      <c r="AC576" s="59" t="str">
        <f t="shared" si="78"/>
      </c>
      <c r="AD576" s="67"/>
      <c r="AE576" s="65" t="str">
        <f t="shared" si="83"/>
      </c>
      <c r="AF5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7">
      <c r="A577" s="65" t="str">
        <f>IF(ISBLANK(Games!A577), "", Games!A577)</f>
      </c>
      <c r="B577" s="65" t="str">
        <f>IF('Prediction Log'!B578=0, "",'Prediction Log'!B578)</f>
      </c>
      <c r="C577" s="65" t="str">
        <f>IF('Prediction Log'!C578=0, "",'Prediction Log'!C578)</f>
      </c>
      <c r="D577" s="65" t="str">
        <f>IF('Prediction Log'!D578=0, "",'Prediction Log'!D578)</f>
      </c>
      <c r="E577" s="58" t="str">
        <f>IF('Prediction Log'!E578=0, "",'Prediction Log'!E578)</f>
      </c>
      <c r="F577" s="65" t="str">
        <f>IF('Prediction Log'!H578=0, "",'Prediction Log'!H578)</f>
      </c>
      <c r="G577" s="64" t="str">
        <f>IF(ISBLANK(Games!B577), "",'Prediction Log'!$I578)</f>
      </c>
      <c r="H577" s="66" t="n">
        <f>'Prediction Log'!$J578</f>
        <v>0</v>
      </c>
      <c r="I577" s="65" t="str">
        <f>IF(ISBLANK(Games!T577), "",IF(AND(Games!T577="",Games!U577=""),"",IF(ISTEXT(Games!U577), "Side",Games!T577)))</f>
      </c>
      <c r="J577" s="65" t="str">
        <f>IF(ISBLANK(Games!T577), "",IF(Table12[[#This Row],[Bet]]="Spread", Games!X577, ""))</f>
      </c>
      <c r="K577" s="65" t="str">
        <f>IF(ISBLANK(Games!U577), "",IF(ISTEXT(Games!U577), Games!U577, ""))</f>
      </c>
      <c r="L577" s="57" t="str">
        <f>IF(ISBLANK(Games!D577), "", Games!D577)</f>
      </c>
      <c r="M577" s="65"/>
      <c r="N577" s="75" t="str">
        <f>IF(Games!V577="", "",Games!V577)</f>
      </c>
      <c r="O577" s="75" t="str">
        <f>IF(Games!Z577=0, "",Games!Z577)</f>
      </c>
      <c r="P577" s="67"/>
      <c r="Q577" s="67" t="str">
        <f>IF(ISBLANK(Games!W577), "", Games!W577)</f>
      </c>
      <c r="R577" s="67" t="str">
        <f>IF(ISBLANK(Games!AA577), "", Games!AA577)</f>
      </c>
      <c r="S577" s="67"/>
      <c r="T577" s="68" t="str">
        <f t="shared" si="79"/>
      </c>
      <c r="U577" s="68" t="str">
        <f t="shared" si="80"/>
      </c>
      <c r="V577" s="68" t="str">
        <f t="shared" si="81"/>
      </c>
      <c r="W577" s="68" t="str">
        <f t="shared" si="82"/>
      </c>
      <c r="X577" s="68" t="n">
        <f t="shared" si="84"/>
        <v>0</v>
      </c>
      <c r="Y577" s="68" t="n">
        <f t="shared" si="85"/>
        <v>0</v>
      </c>
      <c r="Z577" s="67" t="str">
        <f>IF(OR('Prediction Log'!L578="", Table12[[#This Row],[Bet]]="", Table12[[#This Row],[Bet]]="Spread"), "",IF('Prediction Log'!L578=Table12[[#This Row],[Side]], "W", IF('Prediction Log'!L578&lt;&gt;Table12[[#This Row],[Side]], "L", "")))</f>
      </c>
      <c r="AA577" s="59" t="str">
        <f t="shared" si="86"/>
      </c>
      <c r="AB577" s="67" t="str">
        <f>IF(OR(Table12[[#This Row],[Bet]]="Side",Table12[[#This Row],[Bet]]="", 'Prediction Log'!L578=""), "",IF('Prediction Log'!U578="Y", "W", IF('Prediction Log'!U578="N", "L", "")))</f>
      </c>
      <c r="AC577" s="59" t="str">
        <f t="shared" si="78"/>
      </c>
      <c r="AD577" s="67"/>
      <c r="AE577" s="65" t="str">
        <f t="shared" si="83"/>
      </c>
      <c r="AF5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8">
      <c r="A578" s="65" t="str">
        <f>IF(ISBLANK(Games!A578), "", Games!A578)</f>
      </c>
      <c r="B578" s="65" t="str">
        <f>IF('Prediction Log'!B579=0, "",'Prediction Log'!B579)</f>
      </c>
      <c r="C578" s="65" t="str">
        <f>IF('Prediction Log'!C579=0, "",'Prediction Log'!C579)</f>
      </c>
      <c r="D578" s="65" t="str">
        <f>IF('Prediction Log'!D579=0, "",'Prediction Log'!D579)</f>
      </c>
      <c r="E578" s="58" t="str">
        <f>IF('Prediction Log'!E579=0, "",'Prediction Log'!E579)</f>
      </c>
      <c r="F578" s="65" t="str">
        <f>IF('Prediction Log'!H579=0, "",'Prediction Log'!H579)</f>
      </c>
      <c r="G578" s="64" t="str">
        <f>IF(ISBLANK(Games!B578), "",'Prediction Log'!$I579)</f>
      </c>
      <c r="H578" s="66" t="n">
        <f>'Prediction Log'!$J579</f>
        <v>0</v>
      </c>
      <c r="I578" s="65" t="str">
        <f>IF(ISBLANK(Games!T578), "",IF(AND(Games!T578="",Games!U578=""),"",IF(ISTEXT(Games!U578), "Side",Games!T578)))</f>
      </c>
      <c r="J578" s="65" t="str">
        <f>IF(ISBLANK(Games!T578), "",IF(Table12[[#This Row],[Bet]]="Spread", Games!X578, ""))</f>
      </c>
      <c r="K578" s="65" t="str">
        <f>IF(ISBLANK(Games!U578), "",IF(ISTEXT(Games!U578), Games!U578, ""))</f>
      </c>
      <c r="L578" s="57" t="str">
        <f>IF(ISBLANK(Games!D578), "", Games!D578)</f>
      </c>
      <c r="M578" s="65"/>
      <c r="N578" s="75" t="str">
        <f>IF(Games!V578="", "",Games!V578)</f>
      </c>
      <c r="O578" s="75" t="str">
        <f>IF(Games!Z578=0, "",Games!Z578)</f>
      </c>
      <c r="P578" s="67"/>
      <c r="Q578" s="67" t="str">
        <f>IF(ISBLANK(Games!W578), "", Games!W578)</f>
      </c>
      <c r="R578" s="67" t="str">
        <f>IF(ISBLANK(Games!AA578), "", Games!AA578)</f>
      </c>
      <c r="S578" s="67"/>
      <c r="T578" s="68" t="str">
        <f t="shared" si="79"/>
      </c>
      <c r="U578" s="68" t="str">
        <f t="shared" si="80"/>
      </c>
      <c r="V578" s="68" t="str">
        <f t="shared" si="81"/>
      </c>
      <c r="W578" s="68" t="str">
        <f t="shared" si="82"/>
      </c>
      <c r="X578" s="68" t="n">
        <f t="shared" si="84"/>
        <v>0</v>
      </c>
      <c r="Y578" s="68" t="n">
        <f t="shared" si="85"/>
        <v>0</v>
      </c>
      <c r="Z578" s="67" t="str">
        <f>IF(OR('Prediction Log'!L579="", Table12[[#This Row],[Bet]]="", Table12[[#This Row],[Bet]]="Spread"), "",IF('Prediction Log'!L579=Table12[[#This Row],[Side]], "W", IF('Prediction Log'!L579&lt;&gt;Table12[[#This Row],[Side]], "L", "")))</f>
      </c>
      <c r="AA578" s="59" t="str">
        <f t="shared" si="86"/>
      </c>
      <c r="AB578" s="67" t="str">
        <f>IF(OR(Table12[[#This Row],[Bet]]="Side",Table12[[#This Row],[Bet]]="", 'Prediction Log'!L579=""), "",IF('Prediction Log'!U579="Y", "W", IF('Prediction Log'!U579="N", "L", "")))</f>
      </c>
      <c r="AC578" s="59" t="str">
        <f t="shared" ref="AC578:AC641" si="87">IF(AB578="W", W578, IF(AB578="L",-O578, ""))</f>
      </c>
      <c r="AD578" s="67"/>
      <c r="AE578" s="65" t="str">
        <f t="shared" si="83"/>
      </c>
      <c r="AF5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9">
      <c r="A579" s="65" t="str">
        <f>IF(ISBLANK(Games!A579), "", Games!A579)</f>
      </c>
      <c r="B579" s="65" t="str">
        <f>IF('Prediction Log'!B580=0, "",'Prediction Log'!B580)</f>
      </c>
      <c r="C579" s="65" t="str">
        <f>IF('Prediction Log'!C580=0, "",'Prediction Log'!C580)</f>
      </c>
      <c r="D579" s="65" t="str">
        <f>IF('Prediction Log'!D580=0, "",'Prediction Log'!D580)</f>
      </c>
      <c r="E579" s="58" t="str">
        <f>IF('Prediction Log'!E580=0, "",'Prediction Log'!E580)</f>
      </c>
      <c r="F579" s="65" t="str">
        <f>IF('Prediction Log'!H580=0, "",'Prediction Log'!H580)</f>
      </c>
      <c r="G579" s="64" t="str">
        <f>IF(ISBLANK(Games!B579), "",'Prediction Log'!$I580)</f>
      </c>
      <c r="H579" s="66" t="n">
        <f>'Prediction Log'!$J580</f>
        <v>0</v>
      </c>
      <c r="I579" s="65" t="str">
        <f>IF(ISBLANK(Games!T579), "",IF(AND(Games!T579="",Games!U579=""),"",IF(ISTEXT(Games!U579), "Side",Games!T579)))</f>
      </c>
      <c r="J579" s="65" t="str">
        <f>IF(ISBLANK(Games!T579), "",IF(Table12[[#This Row],[Bet]]="Spread", Games!X579, ""))</f>
      </c>
      <c r="K579" s="65" t="str">
        <f>IF(ISBLANK(Games!U579), "",IF(ISTEXT(Games!U579), Games!U579, ""))</f>
      </c>
      <c r="L579" s="57" t="str">
        <f>IF(ISBLANK(Games!D579), "", Games!D579)</f>
      </c>
      <c r="M579" s="65"/>
      <c r="N579" s="75" t="str">
        <f>IF(Games!V579="", "",Games!V579)</f>
      </c>
      <c r="O579" s="75" t="str">
        <f>IF(Games!Z579=0, "",Games!Z579)</f>
      </c>
      <c r="P579" s="67"/>
      <c r="Q579" s="67" t="str">
        <f>IF(ISBLANK(Games!W579), "", Games!W579)</f>
      </c>
      <c r="R579" s="67" t="str">
        <f>IF(ISBLANK(Games!AA579), "", Games!AA579)</f>
      </c>
      <c r="S579" s="67"/>
      <c r="T579" s="68" t="str">
        <f t="shared" ref="T579:T642" si="88">IFERROR(N579+IF(Q579&lt;0, (N579/(Q579/-100)), N579*(Q579/100)), "")</f>
      </c>
      <c r="U579" s="68" t="str">
        <f t="shared" ref="U579:U642" si="89">IFERROR(T579-N579, "")</f>
      </c>
      <c r="V579" s="68" t="str">
        <f t="shared" ref="V579:V642" si="90">IFERROR(O579+IF(R579&lt;0, (O579/(R579/-100)), O579*(R579/100)), "")</f>
      </c>
      <c r="W579" s="68" t="str">
        <f t="shared" ref="W579:W642" si="91">IFERROR(V579-O579, "")</f>
      </c>
      <c r="X579" s="68" t="n">
        <f t="shared" si="84"/>
        <v>0</v>
      </c>
      <c r="Y579" s="68" t="n">
        <f t="shared" si="85"/>
        <v>0</v>
      </c>
      <c r="Z579" s="67" t="str">
        <f>IF(OR('Prediction Log'!L580="", Table12[[#This Row],[Bet]]="", Table12[[#This Row],[Bet]]="Spread"), "",IF('Prediction Log'!L580=Table12[[#This Row],[Side]], "W", IF('Prediction Log'!L580&lt;&gt;Table12[[#This Row],[Side]], "L", "")))</f>
      </c>
      <c r="AA579" s="59" t="str">
        <f t="shared" si="86"/>
      </c>
      <c r="AB579" s="67" t="str">
        <f>IF(OR(Table12[[#This Row],[Bet]]="Side",Table12[[#This Row],[Bet]]="", 'Prediction Log'!L580=""), "",IF('Prediction Log'!U580="Y", "W", IF('Prediction Log'!U580="N", "L", "")))</f>
      </c>
      <c r="AC579" s="59" t="str">
        <f t="shared" si="87"/>
      </c>
      <c r="AD579" s="67"/>
      <c r="AE579" s="65" t="str">
        <f t="shared" ref="AE579:AE642" si="92">IF(AD579="W", Y579, IF(AD579="L",-R579, ""))</f>
      </c>
      <c r="AF5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0">
      <c r="A580" s="65" t="str">
        <f>IF(ISBLANK(Games!A580), "", Games!A580)</f>
      </c>
      <c r="B580" s="65" t="str">
        <f>IF('Prediction Log'!B581=0, "",'Prediction Log'!B581)</f>
      </c>
      <c r="C580" s="65" t="str">
        <f>IF('Prediction Log'!C581=0, "",'Prediction Log'!C581)</f>
      </c>
      <c r="D580" s="65" t="str">
        <f>IF('Prediction Log'!D581=0, "",'Prediction Log'!D581)</f>
      </c>
      <c r="E580" s="58" t="str">
        <f>IF('Prediction Log'!E581=0, "",'Prediction Log'!E581)</f>
      </c>
      <c r="F580" s="65" t="str">
        <f>IF('Prediction Log'!H581=0, "",'Prediction Log'!H581)</f>
      </c>
      <c r="G580" s="64" t="str">
        <f>IF(ISBLANK(Games!B580), "",'Prediction Log'!$I581)</f>
      </c>
      <c r="H580" s="66" t="n">
        <f>'Prediction Log'!$J581</f>
        <v>0</v>
      </c>
      <c r="I580" s="65" t="str">
        <f>IF(ISBLANK(Games!T580), "",IF(AND(Games!T580="",Games!U580=""),"",IF(ISTEXT(Games!U580), "Side",Games!T580)))</f>
      </c>
      <c r="J580" s="65" t="str">
        <f>IF(ISBLANK(Games!T580), "",IF(Table12[[#This Row],[Bet]]="Spread", Games!X580, ""))</f>
      </c>
      <c r="K580" s="65" t="str">
        <f>IF(ISBLANK(Games!U580), "",IF(ISTEXT(Games!U580), Games!U580, ""))</f>
      </c>
      <c r="L580" s="57" t="str">
        <f>IF(ISBLANK(Games!D580), "", Games!D580)</f>
      </c>
      <c r="M580" s="65"/>
      <c r="N580" s="75" t="str">
        <f>IF(Games!V580="", "",Games!V580)</f>
      </c>
      <c r="O580" s="75" t="str">
        <f>IF(Games!Z580=0, "",Games!Z580)</f>
      </c>
      <c r="P580" s="67"/>
      <c r="Q580" s="67" t="str">
        <f>IF(ISBLANK(Games!W580), "", Games!W580)</f>
      </c>
      <c r="R580" s="67" t="str">
        <f>IF(ISBLANK(Games!AA580), "", Games!AA580)</f>
      </c>
      <c r="S580" s="67"/>
      <c r="T580" s="68" t="str">
        <f t="shared" si="88"/>
      </c>
      <c r="U580" s="68" t="str">
        <f t="shared" si="89"/>
      </c>
      <c r="V580" s="68" t="str">
        <f t="shared" si="90"/>
      </c>
      <c r="W580" s="68" t="str">
        <f t="shared" si="91"/>
      </c>
      <c r="X580" s="68" t="n">
        <f t="shared" si="84"/>
        <v>0</v>
      </c>
      <c r="Y580" s="68" t="n">
        <f t="shared" si="85"/>
        <v>0</v>
      </c>
      <c r="Z580" s="67" t="str">
        <f>IF(OR('Prediction Log'!L581="", Table12[[#This Row],[Bet]]="", Table12[[#This Row],[Bet]]="Spread"), "",IF('Prediction Log'!L581=Table12[[#This Row],[Side]], "W", IF('Prediction Log'!L581&lt;&gt;Table12[[#This Row],[Side]], "L", "")))</f>
      </c>
      <c r="AA580" s="59" t="str">
        <f t="shared" si="86"/>
      </c>
      <c r="AB580" s="67" t="str">
        <f>IF(OR(Table12[[#This Row],[Bet]]="Side",Table12[[#This Row],[Bet]]="", 'Prediction Log'!L581=""), "",IF('Prediction Log'!U581="Y", "W", IF('Prediction Log'!U581="N", "L", "")))</f>
      </c>
      <c r="AC580" s="59" t="str">
        <f t="shared" si="87"/>
      </c>
      <c r="AD580" s="67"/>
      <c r="AE580" s="65" t="str">
        <f t="shared" si="92"/>
      </c>
      <c r="AF5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1">
      <c r="A581" s="65" t="str">
        <f>IF(ISBLANK(Games!A581), "", Games!A581)</f>
      </c>
      <c r="B581" s="65" t="str">
        <f>IF('Prediction Log'!B582=0, "",'Prediction Log'!B582)</f>
      </c>
      <c r="C581" s="65" t="str">
        <f>IF('Prediction Log'!C582=0, "",'Prediction Log'!C582)</f>
      </c>
      <c r="D581" s="65" t="str">
        <f>IF('Prediction Log'!D582=0, "",'Prediction Log'!D582)</f>
      </c>
      <c r="E581" s="58" t="str">
        <f>IF('Prediction Log'!E582=0, "",'Prediction Log'!E582)</f>
      </c>
      <c r="F581" s="65" t="str">
        <f>IF('Prediction Log'!H582=0, "",'Prediction Log'!H582)</f>
      </c>
      <c r="G581" s="64" t="str">
        <f>IF(ISBLANK(Games!B581), "",'Prediction Log'!$I582)</f>
      </c>
      <c r="H581" s="66" t="n">
        <f>'Prediction Log'!$J582</f>
        <v>0</v>
      </c>
      <c r="I581" s="65" t="str">
        <f>IF(ISBLANK(Games!T581), "",IF(AND(Games!T581="",Games!U581=""),"",IF(ISTEXT(Games!U581), "Side",Games!T581)))</f>
      </c>
      <c r="J581" s="65" t="str">
        <f>IF(ISBLANK(Games!T581), "",IF(Table12[[#This Row],[Bet]]="Spread", Games!X581, ""))</f>
      </c>
      <c r="K581" s="65" t="str">
        <f>IF(ISBLANK(Games!U581), "",IF(ISTEXT(Games!U581), Games!U581, ""))</f>
      </c>
      <c r="L581" s="57" t="str">
        <f>IF(ISBLANK(Games!D581), "", Games!D581)</f>
      </c>
      <c r="M581" s="65"/>
      <c r="N581" s="75" t="str">
        <f>IF(Games!V581="", "",Games!V581)</f>
      </c>
      <c r="O581" s="75" t="str">
        <f>IF(Games!Z581=0, "",Games!Z581)</f>
      </c>
      <c r="P581" s="67"/>
      <c r="Q581" s="67" t="str">
        <f>IF(ISBLANK(Games!W581), "", Games!W581)</f>
      </c>
      <c r="R581" s="67" t="str">
        <f>IF(ISBLANK(Games!AA581), "", Games!AA581)</f>
      </c>
      <c r="S581" s="67"/>
      <c r="T581" s="68" t="str">
        <f t="shared" si="88"/>
      </c>
      <c r="U581" s="68" t="str">
        <f t="shared" si="89"/>
      </c>
      <c r="V581" s="68" t="str">
        <f t="shared" si="90"/>
      </c>
      <c r="W581" s="68" t="str">
        <f t="shared" si="91"/>
      </c>
      <c r="X581" s="68" t="n">
        <f t="shared" si="84"/>
        <v>0</v>
      </c>
      <c r="Y581" s="68" t="n">
        <f t="shared" si="85"/>
        <v>0</v>
      </c>
      <c r="Z581" s="67" t="str">
        <f>IF(OR('Prediction Log'!L582="", Table12[[#This Row],[Bet]]="", Table12[[#This Row],[Bet]]="Spread"), "",IF('Prediction Log'!L582=Table12[[#This Row],[Side]], "W", IF('Prediction Log'!L582&lt;&gt;Table12[[#This Row],[Side]], "L", "")))</f>
      </c>
      <c r="AA581" s="59" t="str">
        <f t="shared" si="86"/>
      </c>
      <c r="AB581" s="67" t="str">
        <f>IF(OR(Table12[[#This Row],[Bet]]="Side",Table12[[#This Row],[Bet]]="", 'Prediction Log'!L582=""), "",IF('Prediction Log'!U582="Y", "W", IF('Prediction Log'!U582="N", "L", "")))</f>
      </c>
      <c r="AC581" s="59" t="str">
        <f t="shared" si="87"/>
      </c>
      <c r="AD581" s="67"/>
      <c r="AE581" s="65" t="str">
        <f t="shared" si="92"/>
      </c>
      <c r="AF5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2">
      <c r="A582" s="65" t="str">
        <f>IF(ISBLANK(Games!A582), "", Games!A582)</f>
      </c>
      <c r="B582" s="65" t="str">
        <f>IF('Prediction Log'!B583=0, "",'Prediction Log'!B583)</f>
      </c>
      <c r="C582" s="65" t="str">
        <f>IF('Prediction Log'!C583=0, "",'Prediction Log'!C583)</f>
      </c>
      <c r="D582" s="65" t="str">
        <f>IF('Prediction Log'!D583=0, "",'Prediction Log'!D583)</f>
      </c>
      <c r="E582" s="58" t="str">
        <f>IF('Prediction Log'!E583=0, "",'Prediction Log'!E583)</f>
      </c>
      <c r="F582" s="65" t="str">
        <f>IF('Prediction Log'!H583=0, "",'Prediction Log'!H583)</f>
      </c>
      <c r="G582" s="64" t="str">
        <f>IF(ISBLANK(Games!B582), "",'Prediction Log'!$I583)</f>
      </c>
      <c r="H582" s="66" t="n">
        <f>'Prediction Log'!$J583</f>
        <v>0</v>
      </c>
      <c r="I582" s="65" t="str">
        <f>IF(ISBLANK(Games!T582), "",IF(AND(Games!T582="",Games!U582=""),"",IF(ISTEXT(Games!U582), "Side",Games!T582)))</f>
      </c>
      <c r="J582" s="65" t="str">
        <f>IF(ISBLANK(Games!T582), "",IF(Table12[[#This Row],[Bet]]="Spread", Games!X582, ""))</f>
      </c>
      <c r="K582" s="65" t="str">
        <f>IF(ISBLANK(Games!U582), "",IF(ISTEXT(Games!U582), Games!U582, ""))</f>
      </c>
      <c r="L582" s="57" t="str">
        <f>IF(ISBLANK(Games!D582), "", Games!D582)</f>
      </c>
      <c r="M582" s="65"/>
      <c r="N582" s="75" t="str">
        <f>IF(Games!V582="", "",Games!V582)</f>
      </c>
      <c r="O582" s="75" t="str">
        <f>IF(Games!Z582=0, "",Games!Z582)</f>
      </c>
      <c r="P582" s="67"/>
      <c r="Q582" s="67" t="str">
        <f>IF(ISBLANK(Games!W582), "", Games!W582)</f>
      </c>
      <c r="R582" s="67" t="str">
        <f>IF(ISBLANK(Games!AA582), "", Games!AA582)</f>
      </c>
      <c r="S582" s="67"/>
      <c r="T582" s="68" t="str">
        <f t="shared" si="88"/>
      </c>
      <c r="U582" s="68" t="str">
        <f t="shared" si="89"/>
      </c>
      <c r="V582" s="68" t="str">
        <f t="shared" si="90"/>
      </c>
      <c r="W582" s="68" t="str">
        <f t="shared" si="91"/>
      </c>
      <c r="X582" s="68" t="n">
        <f t="shared" si="84"/>
        <v>0</v>
      </c>
      <c r="Y582" s="68" t="n">
        <f t="shared" si="85"/>
        <v>0</v>
      </c>
      <c r="Z582" s="67" t="str">
        <f>IF(OR('Prediction Log'!L583="", Table12[[#This Row],[Bet]]="", Table12[[#This Row],[Bet]]="Spread"), "",IF('Prediction Log'!L583=Table12[[#This Row],[Side]], "W", IF('Prediction Log'!L583&lt;&gt;Table12[[#This Row],[Side]], "L", "")))</f>
      </c>
      <c r="AA582" s="59" t="str">
        <f t="shared" si="86"/>
      </c>
      <c r="AB582" s="67" t="str">
        <f>IF(OR(Table12[[#This Row],[Bet]]="Side",Table12[[#This Row],[Bet]]="", 'Prediction Log'!L583=""), "",IF('Prediction Log'!U583="Y", "W", IF('Prediction Log'!U583="N", "L", "")))</f>
      </c>
      <c r="AC582" s="59" t="str">
        <f t="shared" si="87"/>
      </c>
      <c r="AD582" s="67"/>
      <c r="AE582" s="65" t="str">
        <f t="shared" si="92"/>
      </c>
      <c r="AF5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3">
      <c r="A583" s="65" t="str">
        <f>IF(ISBLANK(Games!A583), "", Games!A583)</f>
      </c>
      <c r="B583" s="65" t="str">
        <f>IF('Prediction Log'!B584=0, "",'Prediction Log'!B584)</f>
      </c>
      <c r="C583" s="65" t="str">
        <f>IF('Prediction Log'!C584=0, "",'Prediction Log'!C584)</f>
      </c>
      <c r="D583" s="65" t="str">
        <f>IF('Prediction Log'!D584=0, "",'Prediction Log'!D584)</f>
      </c>
      <c r="E583" s="58" t="str">
        <f>IF('Prediction Log'!E584=0, "",'Prediction Log'!E584)</f>
      </c>
      <c r="F583" s="65" t="str">
        <f>IF('Prediction Log'!H584=0, "",'Prediction Log'!H584)</f>
      </c>
      <c r="G583" s="64" t="str">
        <f>IF(ISBLANK(Games!B583), "",'Prediction Log'!$I584)</f>
      </c>
      <c r="H583" s="66" t="n">
        <f>'Prediction Log'!$J584</f>
        <v>0</v>
      </c>
      <c r="I583" s="65" t="str">
        <f>IF(ISBLANK(Games!T583), "",IF(AND(Games!T583="",Games!U583=""),"",IF(ISTEXT(Games!U583), "Side",Games!T583)))</f>
      </c>
      <c r="J583" s="65" t="str">
        <f>IF(ISBLANK(Games!T583), "",IF(Table12[[#This Row],[Bet]]="Spread", Games!X583, ""))</f>
      </c>
      <c r="K583" s="65" t="str">
        <f>IF(ISBLANK(Games!U583), "",IF(ISTEXT(Games!U583), Games!U583, ""))</f>
      </c>
      <c r="L583" s="57" t="str">
        <f>IF(ISBLANK(Games!D583), "", Games!D583)</f>
      </c>
      <c r="M583" s="65"/>
      <c r="N583" s="75" t="str">
        <f>IF(Games!V583="", "",Games!V583)</f>
      </c>
      <c r="O583" s="75" t="str">
        <f>IF(Games!Z583=0, "",Games!Z583)</f>
      </c>
      <c r="P583" s="67"/>
      <c r="Q583" s="67" t="str">
        <f>IF(ISBLANK(Games!W583), "", Games!W583)</f>
      </c>
      <c r="R583" s="67" t="str">
        <f>IF(ISBLANK(Games!AA583), "", Games!AA583)</f>
      </c>
      <c r="S583" s="67"/>
      <c r="T583" s="68" t="str">
        <f t="shared" si="88"/>
      </c>
      <c r="U583" s="68" t="str">
        <f t="shared" si="89"/>
      </c>
      <c r="V583" s="68" t="str">
        <f t="shared" si="90"/>
      </c>
      <c r="W583" s="68" t="str">
        <f t="shared" si="91"/>
      </c>
      <c r="X583" s="68" t="n">
        <f t="shared" si="84"/>
        <v>0</v>
      </c>
      <c r="Y583" s="68" t="n">
        <f t="shared" si="85"/>
        <v>0</v>
      </c>
      <c r="Z583" s="67" t="str">
        <f>IF(OR('Prediction Log'!L584="", Table12[[#This Row],[Bet]]="", Table12[[#This Row],[Bet]]="Spread"), "",IF('Prediction Log'!L584=Table12[[#This Row],[Side]], "W", IF('Prediction Log'!L584&lt;&gt;Table12[[#This Row],[Side]], "L", "")))</f>
      </c>
      <c r="AA583" s="59" t="str">
        <f t="shared" si="86"/>
      </c>
      <c r="AB583" s="67" t="str">
        <f>IF(OR(Table12[[#This Row],[Bet]]="Side",Table12[[#This Row],[Bet]]="", 'Prediction Log'!L584=""), "",IF('Prediction Log'!U584="Y", "W", IF('Prediction Log'!U584="N", "L", "")))</f>
      </c>
      <c r="AC583" s="59" t="str">
        <f t="shared" si="87"/>
      </c>
      <c r="AD583" s="67"/>
      <c r="AE583" s="65" t="str">
        <f t="shared" si="92"/>
      </c>
      <c r="AF5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4">
      <c r="A584" s="65" t="str">
        <f>IF(ISBLANK(Games!A584), "", Games!A584)</f>
      </c>
      <c r="B584" s="65" t="str">
        <f>IF('Prediction Log'!B585=0, "",'Prediction Log'!B585)</f>
      </c>
      <c r="C584" s="65" t="str">
        <f>IF('Prediction Log'!C585=0, "",'Prediction Log'!C585)</f>
      </c>
      <c r="D584" s="65" t="str">
        <f>IF('Prediction Log'!D585=0, "",'Prediction Log'!D585)</f>
      </c>
      <c r="E584" s="58" t="str">
        <f>IF('Prediction Log'!E585=0, "",'Prediction Log'!E585)</f>
      </c>
      <c r="F584" s="65" t="str">
        <f>IF('Prediction Log'!H585=0, "",'Prediction Log'!H585)</f>
      </c>
      <c r="G584" s="64" t="str">
        <f>IF(ISBLANK(Games!B584), "",'Prediction Log'!$I585)</f>
      </c>
      <c r="H584" s="66" t="n">
        <f>'Prediction Log'!$J585</f>
        <v>0</v>
      </c>
      <c r="I584" s="65" t="str">
        <f>IF(ISBLANK(Games!T584), "",IF(AND(Games!T584="",Games!U584=""),"",IF(ISTEXT(Games!U584), "Side",Games!T584)))</f>
      </c>
      <c r="J584" s="65" t="str">
        <f>IF(ISBLANK(Games!T584), "",IF(Table12[[#This Row],[Bet]]="Spread", Games!X584, ""))</f>
      </c>
      <c r="K584" s="65" t="str">
        <f>IF(ISBLANK(Games!U584), "",IF(ISTEXT(Games!U584), Games!U584, ""))</f>
      </c>
      <c r="L584" s="57" t="str">
        <f>IF(ISBLANK(Games!D584), "", Games!D584)</f>
      </c>
      <c r="M584" s="65"/>
      <c r="N584" s="75" t="str">
        <f>IF(Games!V584="", "",Games!V584)</f>
      </c>
      <c r="O584" s="75" t="str">
        <f>IF(Games!Z584=0, "",Games!Z584)</f>
      </c>
      <c r="P584" s="67"/>
      <c r="Q584" s="67" t="str">
        <f>IF(ISBLANK(Games!W584), "", Games!W584)</f>
      </c>
      <c r="R584" s="67" t="str">
        <f>IF(ISBLANK(Games!AA584), "", Games!AA584)</f>
      </c>
      <c r="S584" s="67"/>
      <c r="T584" s="68" t="str">
        <f t="shared" si="88"/>
      </c>
      <c r="U584" s="68" t="str">
        <f t="shared" si="89"/>
      </c>
      <c r="V584" s="68" t="str">
        <f t="shared" si="90"/>
      </c>
      <c r="W584" s="68" t="str">
        <f t="shared" si="91"/>
      </c>
      <c r="X584" s="68" t="n">
        <f t="shared" si="84"/>
        <v>0</v>
      </c>
      <c r="Y584" s="68" t="n">
        <f t="shared" si="85"/>
        <v>0</v>
      </c>
      <c r="Z584" s="67" t="str">
        <f>IF(OR('Prediction Log'!L585="", Table12[[#This Row],[Bet]]="", Table12[[#This Row],[Bet]]="Spread"), "",IF('Prediction Log'!L585=Table12[[#This Row],[Side]], "W", IF('Prediction Log'!L585&lt;&gt;Table12[[#This Row],[Side]], "L", "")))</f>
      </c>
      <c r="AA584" s="59" t="str">
        <f t="shared" si="86"/>
      </c>
      <c r="AB584" s="67" t="str">
        <f>IF(OR(Table12[[#This Row],[Bet]]="Side",Table12[[#This Row],[Bet]]="", 'Prediction Log'!L585=""), "",IF('Prediction Log'!U585="Y", "W", IF('Prediction Log'!U585="N", "L", "")))</f>
      </c>
      <c r="AC584" s="59" t="str">
        <f t="shared" si="87"/>
      </c>
      <c r="AD584" s="67"/>
      <c r="AE584" s="65" t="str">
        <f t="shared" si="92"/>
      </c>
      <c r="AF5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5">
      <c r="A585" s="65" t="str">
        <f>IF(ISBLANK(Games!A585), "", Games!A585)</f>
      </c>
      <c r="B585" s="65" t="str">
        <f>IF('Prediction Log'!B586=0, "",'Prediction Log'!B586)</f>
      </c>
      <c r="C585" s="65" t="str">
        <f>IF('Prediction Log'!C586=0, "",'Prediction Log'!C586)</f>
      </c>
      <c r="D585" s="65" t="str">
        <f>IF('Prediction Log'!D586=0, "",'Prediction Log'!D586)</f>
      </c>
      <c r="E585" s="58" t="str">
        <f>IF('Prediction Log'!E586=0, "",'Prediction Log'!E586)</f>
      </c>
      <c r="F585" s="65" t="str">
        <f>IF('Prediction Log'!H586=0, "",'Prediction Log'!H586)</f>
      </c>
      <c r="G585" s="64" t="str">
        <f>IF(ISBLANK(Games!B585), "",'Prediction Log'!$I586)</f>
      </c>
      <c r="H585" s="66" t="n">
        <f>'Prediction Log'!$J586</f>
        <v>0</v>
      </c>
      <c r="I585" s="65" t="str">
        <f>IF(ISBLANK(Games!T585), "",IF(AND(Games!T585="",Games!U585=""),"",IF(ISTEXT(Games!U585), "Side",Games!T585)))</f>
      </c>
      <c r="J585" s="65" t="str">
        <f>IF(ISBLANK(Games!T585), "",IF(Table12[[#This Row],[Bet]]="Spread", Games!X585, ""))</f>
      </c>
      <c r="K585" s="65" t="str">
        <f>IF(ISBLANK(Games!U585), "",IF(ISTEXT(Games!U585), Games!U585, ""))</f>
      </c>
      <c r="L585" s="57" t="str">
        <f>IF(ISBLANK(Games!D585), "", Games!D585)</f>
      </c>
      <c r="M585" s="65"/>
      <c r="N585" s="75" t="str">
        <f>IF(Games!V585="", "",Games!V585)</f>
      </c>
      <c r="O585" s="75" t="str">
        <f>IF(Games!Z585=0, "",Games!Z585)</f>
      </c>
      <c r="P585" s="67"/>
      <c r="Q585" s="67" t="str">
        <f>IF(ISBLANK(Games!W585), "", Games!W585)</f>
      </c>
      <c r="R585" s="67" t="str">
        <f>IF(ISBLANK(Games!AA585), "", Games!AA585)</f>
      </c>
      <c r="S585" s="67"/>
      <c r="T585" s="68" t="str">
        <f t="shared" si="88"/>
      </c>
      <c r="U585" s="68" t="str">
        <f t="shared" si="89"/>
      </c>
      <c r="V585" s="68" t="str">
        <f t="shared" si="90"/>
      </c>
      <c r="W585" s="68" t="str">
        <f t="shared" si="91"/>
      </c>
      <c r="X585" s="68" t="n">
        <f t="shared" si="84"/>
        <v>0</v>
      </c>
      <c r="Y585" s="68" t="n">
        <f t="shared" si="85"/>
        <v>0</v>
      </c>
      <c r="Z585" s="67" t="str">
        <f>IF(OR('Prediction Log'!L586="", Table12[[#This Row],[Bet]]="", Table12[[#This Row],[Bet]]="Spread"), "",IF('Prediction Log'!L586=Table12[[#This Row],[Side]], "W", IF('Prediction Log'!L586&lt;&gt;Table12[[#This Row],[Side]], "L", "")))</f>
      </c>
      <c r="AA585" s="59" t="str">
        <f t="shared" si="86"/>
      </c>
      <c r="AB585" s="67" t="str">
        <f>IF(OR(Table12[[#This Row],[Bet]]="Side",Table12[[#This Row],[Bet]]="", 'Prediction Log'!L586=""), "",IF('Prediction Log'!U586="Y", "W", IF('Prediction Log'!U586="N", "L", "")))</f>
      </c>
      <c r="AC585" s="59" t="str">
        <f t="shared" si="87"/>
      </c>
      <c r="AD585" s="67"/>
      <c r="AE585" s="65" t="str">
        <f t="shared" si="92"/>
      </c>
      <c r="AF5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6">
      <c r="A586" s="65" t="str">
        <f>IF(ISBLANK(Games!A586), "", Games!A586)</f>
      </c>
      <c r="B586" s="65" t="str">
        <f>IF('Prediction Log'!B587=0, "",'Prediction Log'!B587)</f>
      </c>
      <c r="C586" s="65" t="str">
        <f>IF('Prediction Log'!C587=0, "",'Prediction Log'!C587)</f>
      </c>
      <c r="D586" s="65" t="str">
        <f>IF('Prediction Log'!D587=0, "",'Prediction Log'!D587)</f>
      </c>
      <c r="E586" s="58" t="str">
        <f>IF('Prediction Log'!E587=0, "",'Prediction Log'!E587)</f>
      </c>
      <c r="F586" s="65" t="str">
        <f>IF('Prediction Log'!H587=0, "",'Prediction Log'!H587)</f>
      </c>
      <c r="G586" s="64" t="str">
        <f>IF(ISBLANK(Games!B586), "",'Prediction Log'!$I587)</f>
      </c>
      <c r="H586" s="66" t="n">
        <f>'Prediction Log'!$J587</f>
        <v>0</v>
      </c>
      <c r="I586" s="65" t="str">
        <f>IF(ISBLANK(Games!T586), "",IF(AND(Games!T586="",Games!U586=""),"",IF(ISTEXT(Games!U586), "Side",Games!T586)))</f>
      </c>
      <c r="J586" s="65" t="str">
        <f>IF(ISBLANK(Games!T586), "",IF(Table12[[#This Row],[Bet]]="Spread", Games!X586, ""))</f>
      </c>
      <c r="K586" s="65" t="str">
        <f>IF(ISBLANK(Games!U586), "",IF(ISTEXT(Games!U586), Games!U586, ""))</f>
      </c>
      <c r="L586" s="57" t="str">
        <f>IF(ISBLANK(Games!D586), "", Games!D586)</f>
      </c>
      <c r="M586" s="65"/>
      <c r="N586" s="75" t="str">
        <f>IF(Games!V586="", "",Games!V586)</f>
      </c>
      <c r="O586" s="75" t="str">
        <f>IF(Games!Z586=0, "",Games!Z586)</f>
      </c>
      <c r="P586" s="67"/>
      <c r="Q586" s="67" t="str">
        <f>IF(ISBLANK(Games!W586), "", Games!W586)</f>
      </c>
      <c r="R586" s="67" t="str">
        <f>IF(ISBLANK(Games!AA586), "", Games!AA586)</f>
      </c>
      <c r="S586" s="67"/>
      <c r="T586" s="68" t="str">
        <f t="shared" si="88"/>
      </c>
      <c r="U586" s="68" t="str">
        <f t="shared" si="89"/>
      </c>
      <c r="V586" s="68" t="str">
        <f t="shared" si="90"/>
      </c>
      <c r="W586" s="68" t="str">
        <f t="shared" si="91"/>
      </c>
      <c r="X586" s="68" t="n">
        <f t="shared" si="84"/>
        <v>0</v>
      </c>
      <c r="Y586" s="68" t="n">
        <f t="shared" si="85"/>
        <v>0</v>
      </c>
      <c r="Z586" s="67" t="str">
        <f>IF(OR('Prediction Log'!L587="", Table12[[#This Row],[Bet]]="", Table12[[#This Row],[Bet]]="Spread"), "",IF('Prediction Log'!L587=Table12[[#This Row],[Side]], "W", IF('Prediction Log'!L587&lt;&gt;Table12[[#This Row],[Side]], "L", "")))</f>
      </c>
      <c r="AA586" s="59" t="str">
        <f t="shared" si="86"/>
      </c>
      <c r="AB586" s="67" t="str">
        <f>IF(OR(Table12[[#This Row],[Bet]]="Side",Table12[[#This Row],[Bet]]="", 'Prediction Log'!L587=""), "",IF('Prediction Log'!U587="Y", "W", IF('Prediction Log'!U587="N", "L", "")))</f>
      </c>
      <c r="AC586" s="59" t="str">
        <f t="shared" si="87"/>
      </c>
      <c r="AD586" s="67"/>
      <c r="AE586" s="65" t="str">
        <f t="shared" si="92"/>
      </c>
      <c r="AF5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7">
      <c r="A587" s="65" t="str">
        <f>IF(ISBLANK(Games!A587), "", Games!A587)</f>
      </c>
      <c r="B587" s="65" t="str">
        <f>IF('Prediction Log'!B588=0, "",'Prediction Log'!B588)</f>
      </c>
      <c r="C587" s="65" t="str">
        <f>IF('Prediction Log'!C588=0, "",'Prediction Log'!C588)</f>
      </c>
      <c r="D587" s="65" t="str">
        <f>IF('Prediction Log'!D588=0, "",'Prediction Log'!D588)</f>
      </c>
      <c r="E587" s="58" t="str">
        <f>IF('Prediction Log'!E588=0, "",'Prediction Log'!E588)</f>
      </c>
      <c r="F587" s="65" t="str">
        <f>IF('Prediction Log'!H588=0, "",'Prediction Log'!H588)</f>
      </c>
      <c r="G587" s="64" t="str">
        <f>IF(ISBLANK(Games!B587), "",'Prediction Log'!$I588)</f>
      </c>
      <c r="H587" s="66" t="n">
        <f>'Prediction Log'!$J588</f>
        <v>0</v>
      </c>
      <c r="I587" s="65" t="str">
        <f>IF(ISBLANK(Games!T587), "",IF(AND(Games!T587="",Games!U587=""),"",IF(ISTEXT(Games!U587), "Side",Games!T587)))</f>
      </c>
      <c r="J587" s="65" t="str">
        <f>IF(ISBLANK(Games!T587), "",IF(Table12[[#This Row],[Bet]]="Spread", Games!X587, ""))</f>
      </c>
      <c r="K587" s="65" t="str">
        <f>IF(ISBLANK(Games!U587), "",IF(ISTEXT(Games!U587), Games!U587, ""))</f>
      </c>
      <c r="L587" s="57" t="str">
        <f>IF(ISBLANK(Games!D587), "", Games!D587)</f>
      </c>
      <c r="M587" s="65"/>
      <c r="N587" s="75" t="str">
        <f>IF(Games!V587="", "",Games!V587)</f>
      </c>
      <c r="O587" s="75" t="str">
        <f>IF(Games!Z587=0, "",Games!Z587)</f>
      </c>
      <c r="P587" s="67"/>
      <c r="Q587" s="67" t="str">
        <f>IF(ISBLANK(Games!W587), "", Games!W587)</f>
      </c>
      <c r="R587" s="67" t="str">
        <f>IF(ISBLANK(Games!AA587), "", Games!AA587)</f>
      </c>
      <c r="S587" s="67"/>
      <c r="T587" s="68" t="str">
        <f t="shared" si="88"/>
      </c>
      <c r="U587" s="68" t="str">
        <f t="shared" si="89"/>
      </c>
      <c r="V587" s="68" t="str">
        <f t="shared" si="90"/>
      </c>
      <c r="W587" s="68" t="str">
        <f t="shared" si="91"/>
      </c>
      <c r="X587" s="68" t="n">
        <f t="shared" si="84"/>
        <v>0</v>
      </c>
      <c r="Y587" s="68" t="n">
        <f t="shared" si="85"/>
        <v>0</v>
      </c>
      <c r="Z587" s="67" t="str">
        <f>IF(OR('Prediction Log'!L588="", Table12[[#This Row],[Bet]]="", Table12[[#This Row],[Bet]]="Spread"), "",IF('Prediction Log'!L588=Table12[[#This Row],[Side]], "W", IF('Prediction Log'!L588&lt;&gt;Table12[[#This Row],[Side]], "L", "")))</f>
      </c>
      <c r="AA587" s="59" t="str">
        <f t="shared" si="86"/>
      </c>
      <c r="AB587" s="67" t="str">
        <f>IF(OR(Table12[[#This Row],[Bet]]="Side",Table12[[#This Row],[Bet]]="", 'Prediction Log'!L588=""), "",IF('Prediction Log'!U588="Y", "W", IF('Prediction Log'!U588="N", "L", "")))</f>
      </c>
      <c r="AC587" s="59" t="str">
        <f t="shared" si="87"/>
      </c>
      <c r="AD587" s="67"/>
      <c r="AE587" s="65" t="str">
        <f t="shared" si="92"/>
      </c>
      <c r="AF5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8">
      <c r="A588" s="65" t="str">
        <f>IF(ISBLANK(Games!A588), "", Games!A588)</f>
      </c>
      <c r="B588" s="65" t="str">
        <f>IF('Prediction Log'!B589=0, "",'Prediction Log'!B589)</f>
      </c>
      <c r="C588" s="65" t="str">
        <f>IF('Prediction Log'!C589=0, "",'Prediction Log'!C589)</f>
      </c>
      <c r="D588" s="65" t="str">
        <f>IF('Prediction Log'!D589=0, "",'Prediction Log'!D589)</f>
      </c>
      <c r="E588" s="58" t="str">
        <f>IF('Prediction Log'!E589=0, "",'Prediction Log'!E589)</f>
      </c>
      <c r="F588" s="65" t="str">
        <f>IF('Prediction Log'!H589=0, "",'Prediction Log'!H589)</f>
      </c>
      <c r="G588" s="64" t="str">
        <f>IF(ISBLANK(Games!B588), "",'Prediction Log'!$I589)</f>
      </c>
      <c r="H588" s="66" t="n">
        <f>'Prediction Log'!$J589</f>
        <v>0</v>
      </c>
      <c r="I588" s="65" t="str">
        <f>IF(ISBLANK(Games!T588), "",IF(AND(Games!T588="",Games!U588=""),"",IF(ISTEXT(Games!U588), "Side",Games!T588)))</f>
      </c>
      <c r="J588" s="65" t="str">
        <f>IF(ISBLANK(Games!T588), "",IF(Table12[[#This Row],[Bet]]="Spread", Games!X588, ""))</f>
      </c>
      <c r="K588" s="65" t="str">
        <f>IF(ISBLANK(Games!U588), "",IF(ISTEXT(Games!U588), Games!U588, ""))</f>
      </c>
      <c r="L588" s="57" t="str">
        <f>IF(ISBLANK(Games!D588), "", Games!D588)</f>
      </c>
      <c r="M588" s="65"/>
      <c r="N588" s="75" t="str">
        <f>IF(Games!V588="", "",Games!V588)</f>
      </c>
      <c r="O588" s="75" t="str">
        <f>IF(Games!Z588=0, "",Games!Z588)</f>
      </c>
      <c r="P588" s="67"/>
      <c r="Q588" s="67" t="str">
        <f>IF(ISBLANK(Games!W588), "", Games!W588)</f>
      </c>
      <c r="R588" s="67" t="str">
        <f>IF(ISBLANK(Games!AA588), "", Games!AA588)</f>
      </c>
      <c r="S588" s="67"/>
      <c r="T588" s="68" t="str">
        <f t="shared" si="88"/>
      </c>
      <c r="U588" s="68" t="str">
        <f t="shared" si="89"/>
      </c>
      <c r="V588" s="68" t="str">
        <f t="shared" si="90"/>
      </c>
      <c r="W588" s="68" t="str">
        <f t="shared" si="91"/>
      </c>
      <c r="X588" s="68" t="n">
        <f t="shared" si="84"/>
        <v>0</v>
      </c>
      <c r="Y588" s="68" t="n">
        <f t="shared" si="85"/>
        <v>0</v>
      </c>
      <c r="Z588" s="67" t="str">
        <f>IF(OR('Prediction Log'!L589="", Table12[[#This Row],[Bet]]="", Table12[[#This Row],[Bet]]="Spread"), "",IF('Prediction Log'!L589=Table12[[#This Row],[Side]], "W", IF('Prediction Log'!L589&lt;&gt;Table12[[#This Row],[Side]], "L", "")))</f>
      </c>
      <c r="AA588" s="59" t="str">
        <f t="shared" si="86"/>
      </c>
      <c r="AB588" s="67" t="str">
        <f>IF(OR(Table12[[#This Row],[Bet]]="Side",Table12[[#This Row],[Bet]]="", 'Prediction Log'!L589=""), "",IF('Prediction Log'!U589="Y", "W", IF('Prediction Log'!U589="N", "L", "")))</f>
      </c>
      <c r="AC588" s="59" t="str">
        <f t="shared" si="87"/>
      </c>
      <c r="AD588" s="67"/>
      <c r="AE588" s="65" t="str">
        <f t="shared" si="92"/>
      </c>
      <c r="AF5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9">
      <c r="A589" s="65" t="str">
        <f>IF(ISBLANK(Games!A589), "", Games!A589)</f>
      </c>
      <c r="B589" s="65" t="str">
        <f>IF('Prediction Log'!B590=0, "",'Prediction Log'!B590)</f>
      </c>
      <c r="C589" s="65" t="str">
        <f>IF('Prediction Log'!C590=0, "",'Prediction Log'!C590)</f>
      </c>
      <c r="D589" s="65" t="str">
        <f>IF('Prediction Log'!D590=0, "",'Prediction Log'!D590)</f>
      </c>
      <c r="E589" s="58" t="str">
        <f>IF('Prediction Log'!E590=0, "",'Prediction Log'!E590)</f>
      </c>
      <c r="F589" s="65" t="str">
        <f>IF('Prediction Log'!H590=0, "",'Prediction Log'!H590)</f>
      </c>
      <c r="G589" s="64" t="str">
        <f>IF(ISBLANK(Games!B589), "",'Prediction Log'!$I590)</f>
      </c>
      <c r="H589" s="66" t="n">
        <f>'Prediction Log'!$J590</f>
        <v>0</v>
      </c>
      <c r="I589" s="65" t="str">
        <f>IF(ISBLANK(Games!T589), "",IF(AND(Games!T589="",Games!U589=""),"",IF(ISTEXT(Games!U589), "Side",Games!T589)))</f>
      </c>
      <c r="J589" s="65" t="str">
        <f>IF(ISBLANK(Games!T589), "",IF(Table12[[#This Row],[Bet]]="Spread", Games!X589, ""))</f>
      </c>
      <c r="K589" s="65" t="str">
        <f>IF(ISBLANK(Games!U589), "",IF(ISTEXT(Games!U589), Games!U589, ""))</f>
      </c>
      <c r="L589" s="57" t="str">
        <f>IF(ISBLANK(Games!D589), "", Games!D589)</f>
      </c>
      <c r="M589" s="65"/>
      <c r="N589" s="75" t="str">
        <f>IF(Games!V589="", "",Games!V589)</f>
      </c>
      <c r="O589" s="75" t="str">
        <f>IF(Games!Z589=0, "",Games!Z589)</f>
      </c>
      <c r="P589" s="67"/>
      <c r="Q589" s="67" t="str">
        <f>IF(ISBLANK(Games!W589), "", Games!W589)</f>
      </c>
      <c r="R589" s="67" t="str">
        <f>IF(ISBLANK(Games!AA589), "", Games!AA589)</f>
      </c>
      <c r="S589" s="67"/>
      <c r="T589" s="68" t="str">
        <f t="shared" si="88"/>
      </c>
      <c r="U589" s="68" t="str">
        <f t="shared" si="89"/>
      </c>
      <c r="V589" s="68" t="str">
        <f t="shared" si="90"/>
      </c>
      <c r="W589" s="68" t="str">
        <f t="shared" si="91"/>
      </c>
      <c r="X589" s="68" t="n">
        <f t="shared" si="84"/>
        <v>0</v>
      </c>
      <c r="Y589" s="68" t="n">
        <f t="shared" si="85"/>
        <v>0</v>
      </c>
      <c r="Z589" s="67" t="str">
        <f>IF(OR('Prediction Log'!L590="", Table12[[#This Row],[Bet]]="", Table12[[#This Row],[Bet]]="Spread"), "",IF('Prediction Log'!L590=Table12[[#This Row],[Side]], "W", IF('Prediction Log'!L590&lt;&gt;Table12[[#This Row],[Side]], "L", "")))</f>
      </c>
      <c r="AA589" s="59" t="str">
        <f t="shared" si="86"/>
      </c>
      <c r="AB589" s="67" t="str">
        <f>IF(OR(Table12[[#This Row],[Bet]]="Side",Table12[[#This Row],[Bet]]="", 'Prediction Log'!L590=""), "",IF('Prediction Log'!U590="Y", "W", IF('Prediction Log'!U590="N", "L", "")))</f>
      </c>
      <c r="AC589" s="59" t="str">
        <f t="shared" si="87"/>
      </c>
      <c r="AD589" s="67"/>
      <c r="AE589" s="65" t="str">
        <f t="shared" si="92"/>
      </c>
      <c r="AF5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0">
      <c r="A590" s="65" t="str">
        <f>IF(ISBLANK(Games!A590), "", Games!A590)</f>
      </c>
      <c r="B590" s="65" t="str">
        <f>IF('Prediction Log'!B591=0, "",'Prediction Log'!B591)</f>
      </c>
      <c r="C590" s="65" t="str">
        <f>IF('Prediction Log'!C591=0, "",'Prediction Log'!C591)</f>
      </c>
      <c r="D590" s="65" t="str">
        <f>IF('Prediction Log'!D591=0, "",'Prediction Log'!D591)</f>
      </c>
      <c r="E590" s="58" t="str">
        <f>IF('Prediction Log'!E591=0, "",'Prediction Log'!E591)</f>
      </c>
      <c r="F590" s="65" t="str">
        <f>IF('Prediction Log'!H591=0, "",'Prediction Log'!H591)</f>
      </c>
      <c r="G590" s="64" t="str">
        <f>IF(ISBLANK(Games!B590), "",'Prediction Log'!$I591)</f>
      </c>
      <c r="H590" s="66" t="n">
        <f>'Prediction Log'!$J591</f>
        <v>0</v>
      </c>
      <c r="I590" s="65" t="str">
        <f>IF(ISBLANK(Games!T590), "",IF(AND(Games!T590="",Games!U590=""),"",IF(ISTEXT(Games!U590), "Side",Games!T590)))</f>
      </c>
      <c r="J590" s="65" t="str">
        <f>IF(ISBLANK(Games!T590), "",IF(Table12[[#This Row],[Bet]]="Spread", Games!X590, ""))</f>
      </c>
      <c r="K590" s="65" t="str">
        <f>IF(ISBLANK(Games!U590), "",IF(ISTEXT(Games!U590), Games!U590, ""))</f>
      </c>
      <c r="L590" s="57" t="str">
        <f>IF(ISBLANK(Games!D590), "", Games!D590)</f>
      </c>
      <c r="M590" s="65"/>
      <c r="N590" s="75" t="str">
        <f>IF(Games!V590="", "",Games!V590)</f>
      </c>
      <c r="O590" s="75" t="str">
        <f>IF(Games!Z590=0, "",Games!Z590)</f>
      </c>
      <c r="P590" s="67"/>
      <c r="Q590" s="67" t="str">
        <f>IF(ISBLANK(Games!W590), "", Games!W590)</f>
      </c>
      <c r="R590" s="67" t="str">
        <f>IF(ISBLANK(Games!AA590), "", Games!AA590)</f>
      </c>
      <c r="S590" s="67"/>
      <c r="T590" s="68" t="str">
        <f t="shared" si="88"/>
      </c>
      <c r="U590" s="68" t="str">
        <f t="shared" si="89"/>
      </c>
      <c r="V590" s="68" t="str">
        <f t="shared" si="90"/>
      </c>
      <c r="W590" s="68" t="str">
        <f t="shared" si="91"/>
      </c>
      <c r="X590" s="68" t="n">
        <f t="shared" si="84"/>
        <v>0</v>
      </c>
      <c r="Y590" s="68" t="n">
        <f t="shared" si="85"/>
        <v>0</v>
      </c>
      <c r="Z590" s="67" t="str">
        <f>IF(OR('Prediction Log'!L591="", Table12[[#This Row],[Bet]]="", Table12[[#This Row],[Bet]]="Spread"), "",IF('Prediction Log'!L591=Table12[[#This Row],[Side]], "W", IF('Prediction Log'!L591&lt;&gt;Table12[[#This Row],[Side]], "L", "")))</f>
      </c>
      <c r="AA590" s="59" t="str">
        <f t="shared" si="86"/>
      </c>
      <c r="AB590" s="67" t="str">
        <f>IF(OR(Table12[[#This Row],[Bet]]="Side",Table12[[#This Row],[Bet]]="", 'Prediction Log'!L591=""), "",IF('Prediction Log'!U591="Y", "W", IF('Prediction Log'!U591="N", "L", "")))</f>
      </c>
      <c r="AC590" s="59" t="str">
        <f t="shared" si="87"/>
      </c>
      <c r="AD590" s="67"/>
      <c r="AE590" s="65" t="str">
        <f t="shared" si="92"/>
      </c>
      <c r="AF5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1">
      <c r="A591" s="65" t="str">
        <f>IF(ISBLANK(Games!A591), "", Games!A591)</f>
      </c>
      <c r="B591" s="65" t="str">
        <f>IF('Prediction Log'!B592=0, "",'Prediction Log'!B592)</f>
      </c>
      <c r="C591" s="65" t="str">
        <f>IF('Prediction Log'!C592=0, "",'Prediction Log'!C592)</f>
      </c>
      <c r="D591" s="65" t="str">
        <f>IF('Prediction Log'!D592=0, "",'Prediction Log'!D592)</f>
      </c>
      <c r="E591" s="58" t="str">
        <f>IF('Prediction Log'!E592=0, "",'Prediction Log'!E592)</f>
      </c>
      <c r="F591" s="65" t="str">
        <f>IF('Prediction Log'!H592=0, "",'Prediction Log'!H592)</f>
      </c>
      <c r="G591" s="64" t="str">
        <f>IF(ISBLANK(Games!B591), "",'Prediction Log'!$I592)</f>
      </c>
      <c r="H591" s="66" t="n">
        <f>'Prediction Log'!$J592</f>
        <v>0</v>
      </c>
      <c r="I591" s="65" t="str">
        <f>IF(ISBLANK(Games!T591), "",IF(AND(Games!T591="",Games!U591=""),"",IF(ISTEXT(Games!U591), "Side",Games!T591)))</f>
      </c>
      <c r="J591" s="65" t="str">
        <f>IF(ISBLANK(Games!T591), "",IF(Table12[[#This Row],[Bet]]="Spread", Games!X591, ""))</f>
      </c>
      <c r="K591" s="65" t="str">
        <f>IF(ISBLANK(Games!U591), "",IF(ISTEXT(Games!U591), Games!U591, ""))</f>
      </c>
      <c r="L591" s="57" t="str">
        <f>IF(ISBLANK(Games!D591), "", Games!D591)</f>
      </c>
      <c r="M591" s="65"/>
      <c r="N591" s="75" t="str">
        <f>IF(Games!V591="", "",Games!V591)</f>
      </c>
      <c r="O591" s="75" t="str">
        <f>IF(Games!Z591=0, "",Games!Z591)</f>
      </c>
      <c r="P591" s="67"/>
      <c r="Q591" s="67" t="str">
        <f>IF(ISBLANK(Games!W591), "", Games!W591)</f>
      </c>
      <c r="R591" s="67" t="str">
        <f>IF(ISBLANK(Games!AA591), "", Games!AA591)</f>
      </c>
      <c r="S591" s="67"/>
      <c r="T591" s="68" t="str">
        <f t="shared" si="88"/>
      </c>
      <c r="U591" s="68" t="str">
        <f t="shared" si="89"/>
      </c>
      <c r="V591" s="68" t="str">
        <f t="shared" si="90"/>
      </c>
      <c r="W591" s="68" t="str">
        <f t="shared" si="91"/>
      </c>
      <c r="X591" s="68" t="n">
        <f t="shared" si="84"/>
        <v>0</v>
      </c>
      <c r="Y591" s="68" t="n">
        <f t="shared" si="85"/>
        <v>0</v>
      </c>
      <c r="Z591" s="67" t="str">
        <f>IF(OR('Prediction Log'!L592="", Table12[[#This Row],[Bet]]="", Table12[[#This Row],[Bet]]="Spread"), "",IF('Prediction Log'!L592=Table12[[#This Row],[Side]], "W", IF('Prediction Log'!L592&lt;&gt;Table12[[#This Row],[Side]], "L", "")))</f>
      </c>
      <c r="AA591" s="59" t="str">
        <f t="shared" si="86"/>
      </c>
      <c r="AB591" s="67" t="str">
        <f>IF(OR(Table12[[#This Row],[Bet]]="Side",Table12[[#This Row],[Bet]]="", 'Prediction Log'!L592=""), "",IF('Prediction Log'!U592="Y", "W", IF('Prediction Log'!U592="N", "L", "")))</f>
      </c>
      <c r="AC591" s="59" t="str">
        <f t="shared" si="87"/>
      </c>
      <c r="AD591" s="67"/>
      <c r="AE591" s="65" t="str">
        <f t="shared" si="92"/>
      </c>
      <c r="AF5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2">
      <c r="A592" s="65" t="str">
        <f>IF(ISBLANK(Games!A592), "", Games!A592)</f>
      </c>
      <c r="B592" s="65" t="str">
        <f>IF('Prediction Log'!B593=0, "",'Prediction Log'!B593)</f>
      </c>
      <c r="C592" s="65" t="str">
        <f>IF('Prediction Log'!C593=0, "",'Prediction Log'!C593)</f>
      </c>
      <c r="D592" s="65" t="str">
        <f>IF('Prediction Log'!D593=0, "",'Prediction Log'!D593)</f>
      </c>
      <c r="E592" s="58" t="str">
        <f>IF('Prediction Log'!E593=0, "",'Prediction Log'!E593)</f>
      </c>
      <c r="F592" s="65" t="str">
        <f>IF('Prediction Log'!H593=0, "",'Prediction Log'!H593)</f>
      </c>
      <c r="G592" s="64" t="str">
        <f>IF(ISBLANK(Games!B592), "",'Prediction Log'!$I593)</f>
      </c>
      <c r="H592" s="66" t="n">
        <f>'Prediction Log'!$J593</f>
        <v>0</v>
      </c>
      <c r="I592" s="65" t="str">
        <f>IF(ISBLANK(Games!T592), "",IF(AND(Games!T592="",Games!U592=""),"",IF(ISTEXT(Games!U592), "Side",Games!T592)))</f>
      </c>
      <c r="J592" s="65" t="str">
        <f>IF(ISBLANK(Games!T592), "",IF(Table12[[#This Row],[Bet]]="Spread", Games!X592, ""))</f>
      </c>
      <c r="K592" s="65" t="str">
        <f>IF(ISBLANK(Games!U592), "",IF(ISTEXT(Games!U592), Games!U592, ""))</f>
      </c>
      <c r="L592" s="57" t="str">
        <f>IF(ISBLANK(Games!D592), "", Games!D592)</f>
      </c>
      <c r="M592" s="65"/>
      <c r="N592" s="75" t="str">
        <f>IF(Games!V592="", "",Games!V592)</f>
      </c>
      <c r="O592" s="75" t="str">
        <f>IF(Games!Z592=0, "",Games!Z592)</f>
      </c>
      <c r="P592" s="67"/>
      <c r="Q592" s="67" t="str">
        <f>IF(ISBLANK(Games!W592), "", Games!W592)</f>
      </c>
      <c r="R592" s="67" t="str">
        <f>IF(ISBLANK(Games!AA592), "", Games!AA592)</f>
      </c>
      <c r="S592" s="67"/>
      <c r="T592" s="68" t="str">
        <f t="shared" si="88"/>
      </c>
      <c r="U592" s="68" t="str">
        <f t="shared" si="89"/>
      </c>
      <c r="V592" s="68" t="str">
        <f t="shared" si="90"/>
      </c>
      <c r="W592" s="68" t="str">
        <f t="shared" si="91"/>
      </c>
      <c r="X592" s="68" t="n">
        <f t="shared" si="84"/>
        <v>0</v>
      </c>
      <c r="Y592" s="68" t="n">
        <f t="shared" si="85"/>
        <v>0</v>
      </c>
      <c r="Z592" s="67" t="str">
        <f>IF(OR('Prediction Log'!L593="", Table12[[#This Row],[Bet]]="", Table12[[#This Row],[Bet]]="Spread"), "",IF('Prediction Log'!L593=Table12[[#This Row],[Side]], "W", IF('Prediction Log'!L593&lt;&gt;Table12[[#This Row],[Side]], "L", "")))</f>
      </c>
      <c r="AA592" s="59" t="str">
        <f t="shared" si="86"/>
      </c>
      <c r="AB592" s="67" t="str">
        <f>IF(OR(Table12[[#This Row],[Bet]]="Side",Table12[[#This Row],[Bet]]="", 'Prediction Log'!L593=""), "",IF('Prediction Log'!U593="Y", "W", IF('Prediction Log'!U593="N", "L", "")))</f>
      </c>
      <c r="AC592" s="59" t="str">
        <f t="shared" si="87"/>
      </c>
      <c r="AD592" s="67"/>
      <c r="AE592" s="65" t="str">
        <f t="shared" si="92"/>
      </c>
      <c r="AF5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3">
      <c r="A593" s="65" t="str">
        <f>IF(ISBLANK(Games!A593), "", Games!A593)</f>
      </c>
      <c r="B593" s="65" t="str">
        <f>IF('Prediction Log'!B594=0, "",'Prediction Log'!B594)</f>
      </c>
      <c r="C593" s="65" t="str">
        <f>IF('Prediction Log'!C594=0, "",'Prediction Log'!C594)</f>
      </c>
      <c r="D593" s="65" t="str">
        <f>IF('Prediction Log'!D594=0, "",'Prediction Log'!D594)</f>
      </c>
      <c r="E593" s="58" t="str">
        <f>IF('Prediction Log'!E594=0, "",'Prediction Log'!E594)</f>
      </c>
      <c r="F593" s="65" t="str">
        <f>IF('Prediction Log'!H594=0, "",'Prediction Log'!H594)</f>
      </c>
      <c r="G593" s="64" t="str">
        <f>IF(ISBLANK(Games!B593), "",'Prediction Log'!$I594)</f>
      </c>
      <c r="H593" s="66" t="n">
        <f>'Prediction Log'!$J594</f>
        <v>0</v>
      </c>
      <c r="I593" s="65" t="str">
        <f>IF(ISBLANK(Games!T593), "",IF(AND(Games!T593="",Games!U593=""),"",IF(ISTEXT(Games!U593), "Side",Games!T593)))</f>
      </c>
      <c r="J593" s="65" t="str">
        <f>IF(ISBLANK(Games!T593), "",IF(Table12[[#This Row],[Bet]]="Spread", Games!X593, ""))</f>
      </c>
      <c r="K593" s="65" t="str">
        <f>IF(ISBLANK(Games!U593), "",IF(ISTEXT(Games!U593), Games!U593, ""))</f>
      </c>
      <c r="L593" s="57" t="str">
        <f>IF(ISBLANK(Games!D593), "", Games!D593)</f>
      </c>
      <c r="M593" s="65"/>
      <c r="N593" s="75" t="str">
        <f>IF(Games!V593="", "",Games!V593)</f>
      </c>
      <c r="O593" s="75" t="str">
        <f>IF(Games!Z593=0, "",Games!Z593)</f>
      </c>
      <c r="P593" s="67"/>
      <c r="Q593" s="67" t="str">
        <f>IF(ISBLANK(Games!W593), "", Games!W593)</f>
      </c>
      <c r="R593" s="67" t="str">
        <f>IF(ISBLANK(Games!AA593), "", Games!AA593)</f>
      </c>
      <c r="S593" s="67"/>
      <c r="T593" s="68" t="str">
        <f t="shared" si="88"/>
      </c>
      <c r="U593" s="68" t="str">
        <f t="shared" si="89"/>
      </c>
      <c r="V593" s="68" t="str">
        <f t="shared" si="90"/>
      </c>
      <c r="W593" s="68" t="str">
        <f t="shared" si="91"/>
      </c>
      <c r="X593" s="68" t="n">
        <f t="shared" si="84"/>
        <v>0</v>
      </c>
      <c r="Y593" s="68" t="n">
        <f t="shared" si="85"/>
        <v>0</v>
      </c>
      <c r="Z593" s="67" t="str">
        <f>IF(OR('Prediction Log'!L594="", Table12[[#This Row],[Bet]]="", Table12[[#This Row],[Bet]]="Spread"), "",IF('Prediction Log'!L594=Table12[[#This Row],[Side]], "W", IF('Prediction Log'!L594&lt;&gt;Table12[[#This Row],[Side]], "L", "")))</f>
      </c>
      <c r="AA593" s="59" t="str">
        <f t="shared" si="86"/>
      </c>
      <c r="AB593" s="67" t="str">
        <f>IF(OR(Table12[[#This Row],[Bet]]="Side",Table12[[#This Row],[Bet]]="", 'Prediction Log'!L594=""), "",IF('Prediction Log'!U594="Y", "W", IF('Prediction Log'!U594="N", "L", "")))</f>
      </c>
      <c r="AC593" s="59" t="str">
        <f t="shared" si="87"/>
      </c>
      <c r="AD593" s="67"/>
      <c r="AE593" s="65" t="str">
        <f t="shared" si="92"/>
      </c>
      <c r="AF5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4">
      <c r="A594" s="65" t="str">
        <f>IF(ISBLANK(Games!A594), "", Games!A594)</f>
      </c>
      <c r="B594" s="65" t="str">
        <f>IF('Prediction Log'!B595=0, "",'Prediction Log'!B595)</f>
      </c>
      <c r="C594" s="65" t="str">
        <f>IF('Prediction Log'!C595=0, "",'Prediction Log'!C595)</f>
      </c>
      <c r="D594" s="65" t="str">
        <f>IF('Prediction Log'!D595=0, "",'Prediction Log'!D595)</f>
      </c>
      <c r="E594" s="58" t="str">
        <f>IF('Prediction Log'!E595=0, "",'Prediction Log'!E595)</f>
      </c>
      <c r="F594" s="65" t="str">
        <f>IF('Prediction Log'!H595=0, "",'Prediction Log'!H595)</f>
      </c>
      <c r="G594" s="64" t="str">
        <f>IF(ISBLANK(Games!B594), "",'Prediction Log'!$I595)</f>
      </c>
      <c r="H594" s="66" t="n">
        <f>'Prediction Log'!$J595</f>
        <v>0</v>
      </c>
      <c r="I594" s="65" t="str">
        <f>IF(ISBLANK(Games!T594), "",IF(AND(Games!T594="",Games!U594=""),"",IF(ISTEXT(Games!U594), "Side",Games!T594)))</f>
      </c>
      <c r="J594" s="65" t="str">
        <f>IF(ISBLANK(Games!T594), "",IF(Table12[[#This Row],[Bet]]="Spread", Games!X594, ""))</f>
      </c>
      <c r="K594" s="65" t="str">
        <f>IF(ISBLANK(Games!U594), "",IF(ISTEXT(Games!U594), Games!U594, ""))</f>
      </c>
      <c r="L594" s="57" t="str">
        <f>IF(ISBLANK(Games!D594), "", Games!D594)</f>
      </c>
      <c r="M594" s="65"/>
      <c r="N594" s="75" t="str">
        <f>IF(Games!V594="", "",Games!V594)</f>
      </c>
      <c r="O594" s="75" t="str">
        <f>IF(Games!Z594=0, "",Games!Z594)</f>
      </c>
      <c r="P594" s="67"/>
      <c r="Q594" s="67" t="str">
        <f>IF(ISBLANK(Games!W594), "", Games!W594)</f>
      </c>
      <c r="R594" s="67" t="str">
        <f>IF(ISBLANK(Games!AA594), "", Games!AA594)</f>
      </c>
      <c r="S594" s="67"/>
      <c r="T594" s="68" t="str">
        <f t="shared" si="88"/>
      </c>
      <c r="U594" s="68" t="str">
        <f t="shared" si="89"/>
      </c>
      <c r="V594" s="68" t="str">
        <f t="shared" si="90"/>
      </c>
      <c r="W594" s="68" t="str">
        <f t="shared" si="91"/>
      </c>
      <c r="X594" s="68" t="n">
        <f t="shared" si="84"/>
        <v>0</v>
      </c>
      <c r="Y594" s="68" t="n">
        <f t="shared" si="85"/>
        <v>0</v>
      </c>
      <c r="Z594" s="67" t="str">
        <f>IF(OR('Prediction Log'!L595="", Table12[[#This Row],[Bet]]="", Table12[[#This Row],[Bet]]="Spread"), "",IF('Prediction Log'!L595=Table12[[#This Row],[Side]], "W", IF('Prediction Log'!L595&lt;&gt;Table12[[#This Row],[Side]], "L", "")))</f>
      </c>
      <c r="AA594" s="59" t="str">
        <f t="shared" si="86"/>
      </c>
      <c r="AB594" s="67" t="str">
        <f>IF(OR(Table12[[#This Row],[Bet]]="Side",Table12[[#This Row],[Bet]]="", 'Prediction Log'!L595=""), "",IF('Prediction Log'!U595="Y", "W", IF('Prediction Log'!U595="N", "L", "")))</f>
      </c>
      <c r="AC594" s="59" t="str">
        <f t="shared" si="87"/>
      </c>
      <c r="AD594" s="67"/>
      <c r="AE594" s="65" t="str">
        <f t="shared" si="92"/>
      </c>
      <c r="AF5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5">
      <c r="A595" s="65" t="str">
        <f>IF(ISBLANK(Games!A595), "", Games!A595)</f>
      </c>
      <c r="B595" s="65" t="str">
        <f>IF('Prediction Log'!B596=0, "",'Prediction Log'!B596)</f>
      </c>
      <c r="C595" s="65" t="str">
        <f>IF('Prediction Log'!C596=0, "",'Prediction Log'!C596)</f>
      </c>
      <c r="D595" s="65" t="str">
        <f>IF('Prediction Log'!D596=0, "",'Prediction Log'!D596)</f>
      </c>
      <c r="E595" s="58" t="str">
        <f>IF('Prediction Log'!E596=0, "",'Prediction Log'!E596)</f>
      </c>
      <c r="F595" s="65" t="str">
        <f>IF('Prediction Log'!H596=0, "",'Prediction Log'!H596)</f>
      </c>
      <c r="G595" s="64" t="str">
        <f>IF(ISBLANK(Games!B595), "",'Prediction Log'!$I596)</f>
      </c>
      <c r="H595" s="66" t="n">
        <f>'Prediction Log'!$J596</f>
        <v>0</v>
      </c>
      <c r="I595" s="65" t="str">
        <f>IF(ISBLANK(Games!T595), "",IF(AND(Games!T595="",Games!U595=""),"",IF(ISTEXT(Games!U595), "Side",Games!T595)))</f>
      </c>
      <c r="J595" s="65" t="str">
        <f>IF(ISBLANK(Games!T595), "",IF(Table12[[#This Row],[Bet]]="Spread", Games!X595, ""))</f>
      </c>
      <c r="K595" s="65" t="str">
        <f>IF(ISBLANK(Games!U595), "",IF(ISTEXT(Games!U595), Games!U595, ""))</f>
      </c>
      <c r="L595" s="57" t="str">
        <f>IF(ISBLANK(Games!D595), "", Games!D595)</f>
      </c>
      <c r="M595" s="65"/>
      <c r="N595" s="75" t="str">
        <f>IF(Games!V595="", "",Games!V595)</f>
      </c>
      <c r="O595" s="75" t="str">
        <f>IF(Games!Z595=0, "",Games!Z595)</f>
      </c>
      <c r="P595" s="67"/>
      <c r="Q595" s="67" t="str">
        <f>IF(ISBLANK(Games!W595), "", Games!W595)</f>
      </c>
      <c r="R595" s="67" t="str">
        <f>IF(ISBLANK(Games!AA595), "", Games!AA595)</f>
      </c>
      <c r="S595" s="67"/>
      <c r="T595" s="68" t="str">
        <f t="shared" si="88"/>
      </c>
      <c r="U595" s="68" t="str">
        <f t="shared" si="89"/>
      </c>
      <c r="V595" s="68" t="str">
        <f t="shared" si="90"/>
      </c>
      <c r="W595" s="68" t="str">
        <f t="shared" si="91"/>
      </c>
      <c r="X595" s="68" t="n">
        <f t="shared" si="84"/>
        <v>0</v>
      </c>
      <c r="Y595" s="68" t="n">
        <f t="shared" si="85"/>
        <v>0</v>
      </c>
      <c r="Z595" s="67" t="str">
        <f>IF(OR('Prediction Log'!L596="", Table12[[#This Row],[Bet]]="", Table12[[#This Row],[Bet]]="Spread"), "",IF('Prediction Log'!L596=Table12[[#This Row],[Side]], "W", IF('Prediction Log'!L596&lt;&gt;Table12[[#This Row],[Side]], "L", "")))</f>
      </c>
      <c r="AA595" s="59" t="str">
        <f t="shared" si="86"/>
      </c>
      <c r="AB595" s="67" t="str">
        <f>IF(OR(Table12[[#This Row],[Bet]]="Side",Table12[[#This Row],[Bet]]="", 'Prediction Log'!L596=""), "",IF('Prediction Log'!U596="Y", "W", IF('Prediction Log'!U596="N", "L", "")))</f>
      </c>
      <c r="AC595" s="59" t="str">
        <f t="shared" si="87"/>
      </c>
      <c r="AD595" s="67"/>
      <c r="AE595" s="65" t="str">
        <f t="shared" si="92"/>
      </c>
      <c r="AF5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6">
      <c r="A596" s="65" t="str">
        <f>IF(ISBLANK(Games!A596), "", Games!A596)</f>
      </c>
      <c r="B596" s="65" t="str">
        <f>IF('Prediction Log'!B597=0, "",'Prediction Log'!B597)</f>
      </c>
      <c r="C596" s="65" t="str">
        <f>IF('Prediction Log'!C597=0, "",'Prediction Log'!C597)</f>
      </c>
      <c r="D596" s="65" t="str">
        <f>IF('Prediction Log'!D597=0, "",'Prediction Log'!D597)</f>
      </c>
      <c r="E596" s="58" t="str">
        <f>IF('Prediction Log'!E597=0, "",'Prediction Log'!E597)</f>
      </c>
      <c r="F596" s="65" t="str">
        <f>IF('Prediction Log'!H597=0, "",'Prediction Log'!H597)</f>
      </c>
      <c r="G596" s="64" t="str">
        <f>IF(ISBLANK(Games!B596), "",'Prediction Log'!$I597)</f>
      </c>
      <c r="H596" s="66" t="n">
        <f>'Prediction Log'!$J597</f>
        <v>0</v>
      </c>
      <c r="I596" s="65" t="str">
        <f>IF(ISBLANK(Games!T596), "",IF(AND(Games!T596="",Games!U596=""),"",IF(ISTEXT(Games!U596), "Side",Games!T596)))</f>
      </c>
      <c r="J596" s="65" t="str">
        <f>IF(ISBLANK(Games!T596), "",IF(Table12[[#This Row],[Bet]]="Spread", Games!X596, ""))</f>
      </c>
      <c r="K596" s="65" t="str">
        <f>IF(ISBLANK(Games!U596), "",IF(ISTEXT(Games!U596), Games!U596, ""))</f>
      </c>
      <c r="L596" s="57" t="str">
        <f>IF(ISBLANK(Games!D596), "", Games!D596)</f>
      </c>
      <c r="M596" s="65"/>
      <c r="N596" s="75" t="str">
        <f>IF(Games!V596="", "",Games!V596)</f>
      </c>
      <c r="O596" s="75" t="str">
        <f>IF(Games!Z596=0, "",Games!Z596)</f>
      </c>
      <c r="P596" s="67"/>
      <c r="Q596" s="67" t="str">
        <f>IF(ISBLANK(Games!W596), "", Games!W596)</f>
      </c>
      <c r="R596" s="67" t="str">
        <f>IF(ISBLANK(Games!AA596), "", Games!AA596)</f>
      </c>
      <c r="S596" s="67"/>
      <c r="T596" s="68" t="str">
        <f t="shared" si="88"/>
      </c>
      <c r="U596" s="68" t="str">
        <f t="shared" si="89"/>
      </c>
      <c r="V596" s="68" t="str">
        <f t="shared" si="90"/>
      </c>
      <c r="W596" s="68" t="str">
        <f t="shared" si="91"/>
      </c>
      <c r="X596" s="68" t="n">
        <f t="shared" si="84"/>
        <v>0</v>
      </c>
      <c r="Y596" s="68" t="n">
        <f t="shared" si="85"/>
        <v>0</v>
      </c>
      <c r="Z596" s="67" t="str">
        <f>IF(OR('Prediction Log'!L597="", Table12[[#This Row],[Bet]]="", Table12[[#This Row],[Bet]]="Spread"), "",IF('Prediction Log'!L597=Table12[[#This Row],[Side]], "W", IF('Prediction Log'!L597&lt;&gt;Table12[[#This Row],[Side]], "L", "")))</f>
      </c>
      <c r="AA596" s="59" t="str">
        <f t="shared" si="86"/>
      </c>
      <c r="AB596" s="67" t="str">
        <f>IF(OR(Table12[[#This Row],[Bet]]="Side",Table12[[#This Row],[Bet]]="", 'Prediction Log'!L597=""), "",IF('Prediction Log'!U597="Y", "W", IF('Prediction Log'!U597="N", "L", "")))</f>
      </c>
      <c r="AC596" s="59" t="str">
        <f t="shared" si="87"/>
      </c>
      <c r="AD596" s="67"/>
      <c r="AE596" s="65" t="str">
        <f t="shared" si="92"/>
      </c>
      <c r="AF5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7">
      <c r="A597" s="65" t="str">
        <f>IF(ISBLANK(Games!A597), "", Games!A597)</f>
      </c>
      <c r="B597" s="65" t="str">
        <f>IF('Prediction Log'!B598=0, "",'Prediction Log'!B598)</f>
      </c>
      <c r="C597" s="65" t="str">
        <f>IF('Prediction Log'!C598=0, "",'Prediction Log'!C598)</f>
      </c>
      <c r="D597" s="65" t="str">
        <f>IF('Prediction Log'!D598=0, "",'Prediction Log'!D598)</f>
      </c>
      <c r="E597" s="58" t="str">
        <f>IF('Prediction Log'!E598=0, "",'Prediction Log'!E598)</f>
      </c>
      <c r="F597" s="65" t="str">
        <f>IF('Prediction Log'!H598=0, "",'Prediction Log'!H598)</f>
      </c>
      <c r="G597" s="64" t="str">
        <f>IF(ISBLANK(Games!B597), "",'Prediction Log'!$I598)</f>
      </c>
      <c r="H597" s="66" t="n">
        <f>'Prediction Log'!$J598</f>
        <v>0</v>
      </c>
      <c r="I597" s="65" t="str">
        <f>IF(ISBLANK(Games!T597), "",IF(AND(Games!T597="",Games!U597=""),"",IF(ISTEXT(Games!U597), "Side",Games!T597)))</f>
      </c>
      <c r="J597" s="65" t="str">
        <f>IF(ISBLANK(Games!T597), "",IF(Table12[[#This Row],[Bet]]="Spread", Games!X597, ""))</f>
      </c>
      <c r="K597" s="65" t="str">
        <f>IF(ISBLANK(Games!U597), "",IF(ISTEXT(Games!U597), Games!U597, ""))</f>
      </c>
      <c r="L597" s="57" t="str">
        <f>IF(ISBLANK(Games!D597), "", Games!D597)</f>
      </c>
      <c r="M597" s="65"/>
      <c r="N597" s="75" t="str">
        <f>IF(Games!V597="", "",Games!V597)</f>
      </c>
      <c r="O597" s="75" t="str">
        <f>IF(Games!Z597=0, "",Games!Z597)</f>
      </c>
      <c r="P597" s="67"/>
      <c r="Q597" s="67" t="str">
        <f>IF(ISBLANK(Games!W597), "", Games!W597)</f>
      </c>
      <c r="R597" s="67" t="str">
        <f>IF(ISBLANK(Games!AA597), "", Games!AA597)</f>
      </c>
      <c r="S597" s="67"/>
      <c r="T597" s="68" t="str">
        <f t="shared" si="88"/>
      </c>
      <c r="U597" s="68" t="str">
        <f t="shared" si="89"/>
      </c>
      <c r="V597" s="68" t="str">
        <f t="shared" si="90"/>
      </c>
      <c r="W597" s="68" t="str">
        <f t="shared" si="91"/>
      </c>
      <c r="X597" s="68" t="n">
        <f t="shared" si="84"/>
        <v>0</v>
      </c>
      <c r="Y597" s="68" t="n">
        <f t="shared" si="85"/>
        <v>0</v>
      </c>
      <c r="Z597" s="67" t="str">
        <f>IF(OR('Prediction Log'!L598="", Table12[[#This Row],[Bet]]="", Table12[[#This Row],[Bet]]="Spread"), "",IF('Prediction Log'!L598=Table12[[#This Row],[Side]], "W", IF('Prediction Log'!L598&lt;&gt;Table12[[#This Row],[Side]], "L", "")))</f>
      </c>
      <c r="AA597" s="59" t="str">
        <f t="shared" si="86"/>
      </c>
      <c r="AB597" s="67" t="str">
        <f>IF(OR(Table12[[#This Row],[Bet]]="Side",Table12[[#This Row],[Bet]]="", 'Prediction Log'!L598=""), "",IF('Prediction Log'!U598="Y", "W", IF('Prediction Log'!U598="N", "L", "")))</f>
      </c>
      <c r="AC597" s="59" t="str">
        <f t="shared" si="87"/>
      </c>
      <c r="AD597" s="67"/>
      <c r="AE597" s="65" t="str">
        <f t="shared" si="92"/>
      </c>
      <c r="AF5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8">
      <c r="A598" s="65" t="str">
        <f>IF(ISBLANK(Games!A598), "", Games!A598)</f>
      </c>
      <c r="B598" s="65" t="str">
        <f>IF('Prediction Log'!B599=0, "",'Prediction Log'!B599)</f>
      </c>
      <c r="C598" s="65" t="str">
        <f>IF('Prediction Log'!C599=0, "",'Prediction Log'!C599)</f>
      </c>
      <c r="D598" s="65" t="str">
        <f>IF('Prediction Log'!D599=0, "",'Prediction Log'!D599)</f>
      </c>
      <c r="E598" s="58" t="str">
        <f>IF('Prediction Log'!E599=0, "",'Prediction Log'!E599)</f>
      </c>
      <c r="F598" s="65" t="str">
        <f>IF('Prediction Log'!H599=0, "",'Prediction Log'!H599)</f>
      </c>
      <c r="G598" s="64" t="str">
        <f>IF(ISBLANK(Games!B598), "",'Prediction Log'!$I599)</f>
      </c>
      <c r="H598" s="66" t="n">
        <f>'Prediction Log'!$J599</f>
        <v>0</v>
      </c>
      <c r="I598" s="65" t="str">
        <f>IF(ISBLANK(Games!T598), "",IF(AND(Games!T598="",Games!U598=""),"",IF(ISTEXT(Games!U598), "Side",Games!T598)))</f>
      </c>
      <c r="J598" s="65" t="str">
        <f>IF(ISBLANK(Games!T598), "",IF(Table12[[#This Row],[Bet]]="Spread", Games!X598, ""))</f>
      </c>
      <c r="K598" s="65" t="str">
        <f>IF(ISBLANK(Games!U598), "",IF(ISTEXT(Games!U598), Games!U598, ""))</f>
      </c>
      <c r="L598" s="57" t="str">
        <f>IF(ISBLANK(Games!D598), "", Games!D598)</f>
      </c>
      <c r="M598" s="65"/>
      <c r="N598" s="75" t="str">
        <f>IF(Games!V598="", "",Games!V598)</f>
      </c>
      <c r="O598" s="75" t="str">
        <f>IF(Games!Z598=0, "",Games!Z598)</f>
      </c>
      <c r="P598" s="67"/>
      <c r="Q598" s="67" t="str">
        <f>IF(ISBLANK(Games!W598), "", Games!W598)</f>
      </c>
      <c r="R598" s="67" t="str">
        <f>IF(ISBLANK(Games!AA598), "", Games!AA598)</f>
      </c>
      <c r="S598" s="67"/>
      <c r="T598" s="68" t="str">
        <f t="shared" si="88"/>
      </c>
      <c r="U598" s="68" t="str">
        <f t="shared" si="89"/>
      </c>
      <c r="V598" s="68" t="str">
        <f t="shared" si="90"/>
      </c>
      <c r="W598" s="68" t="str">
        <f t="shared" si="91"/>
      </c>
      <c r="X598" s="68" t="n">
        <f t="shared" si="84"/>
        <v>0</v>
      </c>
      <c r="Y598" s="68" t="n">
        <f t="shared" si="85"/>
        <v>0</v>
      </c>
      <c r="Z598" s="67" t="str">
        <f>IF(OR('Prediction Log'!L599="", Table12[[#This Row],[Bet]]="", Table12[[#This Row],[Bet]]="Spread"), "",IF('Prediction Log'!L599=Table12[[#This Row],[Side]], "W", IF('Prediction Log'!L599&lt;&gt;Table12[[#This Row],[Side]], "L", "")))</f>
      </c>
      <c r="AA598" s="59" t="str">
        <f t="shared" si="86"/>
      </c>
      <c r="AB598" s="67" t="str">
        <f>IF(OR(Table12[[#This Row],[Bet]]="Side",Table12[[#This Row],[Bet]]="", 'Prediction Log'!L599=""), "",IF('Prediction Log'!U599="Y", "W", IF('Prediction Log'!U599="N", "L", "")))</f>
      </c>
      <c r="AC598" s="59" t="str">
        <f t="shared" si="87"/>
      </c>
      <c r="AD598" s="67"/>
      <c r="AE598" s="65" t="str">
        <f t="shared" si="92"/>
      </c>
      <c r="AF5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9">
      <c r="A599" s="65" t="str">
        <f>IF(ISBLANK(Games!A599), "", Games!A599)</f>
      </c>
      <c r="B599" s="65" t="str">
        <f>IF('Prediction Log'!B600=0, "",'Prediction Log'!B600)</f>
      </c>
      <c r="C599" s="65" t="str">
        <f>IF('Prediction Log'!C600=0, "",'Prediction Log'!C600)</f>
      </c>
      <c r="D599" s="65" t="str">
        <f>IF('Prediction Log'!D600=0, "",'Prediction Log'!D600)</f>
      </c>
      <c r="E599" s="58" t="str">
        <f>IF('Prediction Log'!E600=0, "",'Prediction Log'!E600)</f>
      </c>
      <c r="F599" s="65" t="str">
        <f>IF('Prediction Log'!H600=0, "",'Prediction Log'!H600)</f>
      </c>
      <c r="G599" s="64" t="str">
        <f>IF(ISBLANK(Games!B599), "",'Prediction Log'!$I600)</f>
      </c>
      <c r="H599" s="66" t="n">
        <f>'Prediction Log'!$J600</f>
        <v>0</v>
      </c>
      <c r="I599" s="65" t="str">
        <f>IF(ISBLANK(Games!T599), "",IF(AND(Games!T599="",Games!U599=""),"",IF(ISTEXT(Games!U599), "Side",Games!T599)))</f>
      </c>
      <c r="J599" s="65" t="str">
        <f>IF(ISBLANK(Games!T599), "",IF(Table12[[#This Row],[Bet]]="Spread", Games!X599, ""))</f>
      </c>
      <c r="K599" s="65" t="str">
        <f>IF(ISBLANK(Games!U599), "",IF(ISTEXT(Games!U599), Games!U599, ""))</f>
      </c>
      <c r="L599" s="57" t="str">
        <f>IF(ISBLANK(Games!D599), "", Games!D599)</f>
      </c>
      <c r="M599" s="65"/>
      <c r="N599" s="75" t="str">
        <f>IF(Games!V599="", "",Games!V599)</f>
      </c>
      <c r="O599" s="75" t="str">
        <f>IF(Games!Z599=0, "",Games!Z599)</f>
      </c>
      <c r="P599" s="67"/>
      <c r="Q599" s="67" t="str">
        <f>IF(ISBLANK(Games!W599), "", Games!W599)</f>
      </c>
      <c r="R599" s="67" t="str">
        <f>IF(ISBLANK(Games!AA599), "", Games!AA599)</f>
      </c>
      <c r="S599" s="67"/>
      <c r="T599" s="68" t="str">
        <f t="shared" si="88"/>
      </c>
      <c r="U599" s="68" t="str">
        <f t="shared" si="89"/>
      </c>
      <c r="V599" s="68" t="str">
        <f t="shared" si="90"/>
      </c>
      <c r="W599" s="68" t="str">
        <f t="shared" si="91"/>
      </c>
      <c r="X599" s="68" t="n">
        <f t="shared" si="84"/>
        <v>0</v>
      </c>
      <c r="Y599" s="68" t="n">
        <f t="shared" si="85"/>
        <v>0</v>
      </c>
      <c r="Z599" s="67" t="str">
        <f>IF(OR('Prediction Log'!L600="", Table12[[#This Row],[Bet]]="", Table12[[#This Row],[Bet]]="Spread"), "",IF('Prediction Log'!L600=Table12[[#This Row],[Side]], "W", IF('Prediction Log'!L600&lt;&gt;Table12[[#This Row],[Side]], "L", "")))</f>
      </c>
      <c r="AA599" s="59" t="str">
        <f t="shared" si="86"/>
      </c>
      <c r="AB599" s="67" t="str">
        <f>IF(OR(Table12[[#This Row],[Bet]]="Side",Table12[[#This Row],[Bet]]="", 'Prediction Log'!L600=""), "",IF('Prediction Log'!U600="Y", "W", IF('Prediction Log'!U600="N", "L", "")))</f>
      </c>
      <c r="AC599" s="59" t="str">
        <f t="shared" si="87"/>
      </c>
      <c r="AD599" s="67"/>
      <c r="AE599" s="65" t="str">
        <f t="shared" si="92"/>
      </c>
      <c r="AF5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0">
      <c r="A600" s="65" t="str">
        <f>IF(ISBLANK(Games!A600), "", Games!A600)</f>
      </c>
      <c r="B600" s="65" t="str">
        <f>IF('Prediction Log'!B601=0, "",'Prediction Log'!B601)</f>
      </c>
      <c r="C600" s="65" t="str">
        <f>IF('Prediction Log'!C601=0, "",'Prediction Log'!C601)</f>
      </c>
      <c r="D600" s="65" t="str">
        <f>IF('Prediction Log'!D601=0, "",'Prediction Log'!D601)</f>
      </c>
      <c r="E600" s="58" t="str">
        <f>IF('Prediction Log'!E601=0, "",'Prediction Log'!E601)</f>
      </c>
      <c r="F600" s="65" t="str">
        <f>IF('Prediction Log'!H601=0, "",'Prediction Log'!H601)</f>
      </c>
      <c r="G600" s="64" t="str">
        <f>IF(ISBLANK(Games!B600), "",'Prediction Log'!$I601)</f>
      </c>
      <c r="H600" s="66" t="n">
        <f>'Prediction Log'!$J601</f>
        <v>0</v>
      </c>
      <c r="I600" s="65" t="str">
        <f>IF(ISBLANK(Games!T600), "",IF(AND(Games!T600="",Games!U600=""),"",IF(ISTEXT(Games!U600), "Side",Games!T600)))</f>
      </c>
      <c r="J600" s="65" t="str">
        <f>IF(ISBLANK(Games!T600), "",IF(Table12[[#This Row],[Bet]]="Spread", Games!X600, ""))</f>
      </c>
      <c r="K600" s="65" t="str">
        <f>IF(ISBLANK(Games!U600), "",IF(ISTEXT(Games!U600), Games!U600, ""))</f>
      </c>
      <c r="L600" s="57" t="str">
        <f>IF(ISBLANK(Games!D600), "", Games!D600)</f>
      </c>
      <c r="M600" s="65"/>
      <c r="N600" s="75" t="str">
        <f>IF(Games!V600="", "",Games!V600)</f>
      </c>
      <c r="O600" s="75" t="str">
        <f>IF(Games!Z600=0, "",Games!Z600)</f>
      </c>
      <c r="P600" s="67"/>
      <c r="Q600" s="67" t="str">
        <f>IF(ISBLANK(Games!W600), "", Games!W600)</f>
      </c>
      <c r="R600" s="67" t="str">
        <f>IF(ISBLANK(Games!AA600), "", Games!AA600)</f>
      </c>
      <c r="S600" s="67"/>
      <c r="T600" s="68" t="str">
        <f t="shared" si="88"/>
      </c>
      <c r="U600" s="68" t="str">
        <f t="shared" si="89"/>
      </c>
      <c r="V600" s="68" t="str">
        <f t="shared" si="90"/>
      </c>
      <c r="W600" s="68" t="str">
        <f t="shared" si="91"/>
      </c>
      <c r="X600" s="68" t="n">
        <f t="shared" si="84"/>
        <v>0</v>
      </c>
      <c r="Y600" s="68" t="n">
        <f t="shared" si="85"/>
        <v>0</v>
      </c>
      <c r="Z600" s="67" t="str">
        <f>IF(OR('Prediction Log'!L601="", Table12[[#This Row],[Bet]]="", Table12[[#This Row],[Bet]]="Spread"), "",IF('Prediction Log'!L601=Table12[[#This Row],[Side]], "W", IF('Prediction Log'!L601&lt;&gt;Table12[[#This Row],[Side]], "L", "")))</f>
      </c>
      <c r="AA600" s="59" t="str">
        <f t="shared" si="86"/>
      </c>
      <c r="AB600" s="67" t="str">
        <f>IF(OR(Table12[[#This Row],[Bet]]="Side",Table12[[#This Row],[Bet]]="", 'Prediction Log'!L601=""), "",IF('Prediction Log'!U601="Y", "W", IF('Prediction Log'!U601="N", "L", "")))</f>
      </c>
      <c r="AC600" s="59" t="str">
        <f t="shared" si="87"/>
      </c>
      <c r="AD600" s="67"/>
      <c r="AE600" s="65" t="str">
        <f t="shared" si="92"/>
      </c>
      <c r="AF6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1">
      <c r="A601" s="65" t="str">
        <f>IF(ISBLANK(Games!A601), "", Games!A601)</f>
      </c>
      <c r="B601" s="65" t="str">
        <f>IF('Prediction Log'!B602=0, "",'Prediction Log'!B602)</f>
      </c>
      <c r="C601" s="65" t="str">
        <f>IF('Prediction Log'!C602=0, "",'Prediction Log'!C602)</f>
      </c>
      <c r="D601" s="65" t="str">
        <f>IF('Prediction Log'!D602=0, "",'Prediction Log'!D602)</f>
      </c>
      <c r="E601" s="58" t="str">
        <f>IF('Prediction Log'!E602=0, "",'Prediction Log'!E602)</f>
      </c>
      <c r="F601" s="65" t="str">
        <f>IF('Prediction Log'!H602=0, "",'Prediction Log'!H602)</f>
      </c>
      <c r="G601" s="64" t="str">
        <f>IF(ISBLANK(Games!B601), "",'Prediction Log'!$I602)</f>
      </c>
      <c r="H601" s="66" t="n">
        <f>'Prediction Log'!$J602</f>
        <v>0</v>
      </c>
      <c r="I601" s="65" t="str">
        <f>IF(ISBLANK(Games!T601), "",IF(AND(Games!T601="",Games!U601=""),"",IF(ISTEXT(Games!U601), "Side",Games!T601)))</f>
      </c>
      <c r="J601" s="65" t="str">
        <f>IF(ISBLANK(Games!T601), "",IF(Table12[[#This Row],[Bet]]="Spread", Games!X601, ""))</f>
      </c>
      <c r="K601" s="65" t="str">
        <f>IF(ISBLANK(Games!U601), "",IF(ISTEXT(Games!U601), Games!U601, ""))</f>
      </c>
      <c r="L601" s="57" t="str">
        <f>IF(ISBLANK(Games!D601), "", Games!D601)</f>
      </c>
      <c r="M601" s="65"/>
      <c r="N601" s="75" t="str">
        <f>IF(Games!V601="", "",Games!V601)</f>
      </c>
      <c r="O601" s="75" t="str">
        <f>IF(Games!Z601=0, "",Games!Z601)</f>
      </c>
      <c r="P601" s="67"/>
      <c r="Q601" s="67" t="str">
        <f>IF(ISBLANK(Games!W601), "", Games!W601)</f>
      </c>
      <c r="R601" s="67" t="str">
        <f>IF(ISBLANK(Games!AA601), "", Games!AA601)</f>
      </c>
      <c r="S601" s="67"/>
      <c r="T601" s="68" t="str">
        <f t="shared" si="88"/>
      </c>
      <c r="U601" s="68" t="str">
        <f t="shared" si="89"/>
      </c>
      <c r="V601" s="68" t="str">
        <f t="shared" si="90"/>
      </c>
      <c r="W601" s="68" t="str">
        <f t="shared" si="91"/>
      </c>
      <c r="X601" s="68" t="n">
        <f t="shared" si="84"/>
        <v>0</v>
      </c>
      <c r="Y601" s="68" t="n">
        <f t="shared" si="85"/>
        <v>0</v>
      </c>
      <c r="Z601" s="67" t="str">
        <f>IF(OR('Prediction Log'!L602="", Table12[[#This Row],[Bet]]="", Table12[[#This Row],[Bet]]="Spread"), "",IF('Prediction Log'!L602=Table12[[#This Row],[Side]], "W", IF('Prediction Log'!L602&lt;&gt;Table12[[#This Row],[Side]], "L", "")))</f>
      </c>
      <c r="AA601" s="59" t="str">
        <f t="shared" si="86"/>
      </c>
      <c r="AB601" s="67" t="str">
        <f>IF(OR(Table12[[#This Row],[Bet]]="Side",Table12[[#This Row],[Bet]]="", 'Prediction Log'!L602=""), "",IF('Prediction Log'!U602="Y", "W", IF('Prediction Log'!U602="N", "L", "")))</f>
      </c>
      <c r="AC601" s="59" t="str">
        <f t="shared" si="87"/>
      </c>
      <c r="AD601" s="67"/>
      <c r="AE601" s="65" t="str">
        <f t="shared" si="92"/>
      </c>
      <c r="AF6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2">
      <c r="A602" s="65" t="str">
        <f>IF(ISBLANK(Games!A602), "", Games!A602)</f>
      </c>
      <c r="B602" s="65" t="str">
        <f>IF('Prediction Log'!B603=0, "",'Prediction Log'!B603)</f>
      </c>
      <c r="C602" s="65" t="str">
        <f>IF('Prediction Log'!C603=0, "",'Prediction Log'!C603)</f>
      </c>
      <c r="D602" s="65" t="str">
        <f>IF('Prediction Log'!D603=0, "",'Prediction Log'!D603)</f>
      </c>
      <c r="E602" s="58" t="str">
        <f>IF('Prediction Log'!E603=0, "",'Prediction Log'!E603)</f>
      </c>
      <c r="F602" s="65" t="str">
        <f>IF('Prediction Log'!H603=0, "",'Prediction Log'!H603)</f>
      </c>
      <c r="G602" s="64" t="str">
        <f>IF(ISBLANK(Games!B602), "",'Prediction Log'!$I603)</f>
      </c>
      <c r="H602" s="66" t="n">
        <f>'Prediction Log'!$J603</f>
        <v>0</v>
      </c>
      <c r="I602" s="65" t="str">
        <f>IF(ISBLANK(Games!T602), "",IF(AND(Games!T602="",Games!U602=""),"",IF(ISTEXT(Games!U602), "Side",Games!T602)))</f>
      </c>
      <c r="J602" s="65" t="str">
        <f>IF(ISBLANK(Games!T602), "",IF(Table12[[#This Row],[Bet]]="Spread", Games!X602, ""))</f>
      </c>
      <c r="K602" s="65" t="str">
        <f>IF(ISBLANK(Games!U602), "",IF(ISTEXT(Games!U602), Games!U602, ""))</f>
      </c>
      <c r="L602" s="57" t="str">
        <f>IF(ISBLANK(Games!D602), "", Games!D602)</f>
      </c>
      <c r="M602" s="65"/>
      <c r="N602" s="75" t="str">
        <f>IF(Games!V602="", "",Games!V602)</f>
      </c>
      <c r="O602" s="75" t="str">
        <f>IF(Games!Z602=0, "",Games!Z602)</f>
      </c>
      <c r="P602" s="67"/>
      <c r="Q602" s="67" t="str">
        <f>IF(ISBLANK(Games!W602), "", Games!W602)</f>
      </c>
      <c r="R602" s="67" t="str">
        <f>IF(ISBLANK(Games!AA602), "", Games!AA602)</f>
      </c>
      <c r="S602" s="67"/>
      <c r="T602" s="68" t="str">
        <f t="shared" si="88"/>
      </c>
      <c r="U602" s="68" t="str">
        <f t="shared" si="89"/>
      </c>
      <c r="V602" s="68" t="str">
        <f t="shared" si="90"/>
      </c>
      <c r="W602" s="68" t="str">
        <f t="shared" si="91"/>
      </c>
      <c r="X602" s="68" t="n">
        <f t="shared" si="84"/>
        <v>0</v>
      </c>
      <c r="Y602" s="68" t="n">
        <f t="shared" si="85"/>
        <v>0</v>
      </c>
      <c r="Z602" s="67" t="str">
        <f>IF(OR('Prediction Log'!L603="", Table12[[#This Row],[Bet]]="", Table12[[#This Row],[Bet]]="Spread"), "",IF('Prediction Log'!L603=Table12[[#This Row],[Side]], "W", IF('Prediction Log'!L603&lt;&gt;Table12[[#This Row],[Side]], "L", "")))</f>
      </c>
      <c r="AA602" s="59" t="str">
        <f t="shared" si="86"/>
      </c>
      <c r="AB602" s="67" t="str">
        <f>IF(OR(Table12[[#This Row],[Bet]]="Side",Table12[[#This Row],[Bet]]="", 'Prediction Log'!L603=""), "",IF('Prediction Log'!U603="Y", "W", IF('Prediction Log'!U603="N", "L", "")))</f>
      </c>
      <c r="AC602" s="59" t="str">
        <f t="shared" si="87"/>
      </c>
      <c r="AD602" s="67"/>
      <c r="AE602" s="65" t="str">
        <f t="shared" si="92"/>
      </c>
      <c r="AF6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3">
      <c r="A603" s="65" t="str">
        <f>IF(ISBLANK(Games!A603), "", Games!A603)</f>
      </c>
      <c r="B603" s="65" t="str">
        <f>IF('Prediction Log'!B604=0, "",'Prediction Log'!B604)</f>
      </c>
      <c r="C603" s="65" t="str">
        <f>IF('Prediction Log'!C604=0, "",'Prediction Log'!C604)</f>
      </c>
      <c r="D603" s="65" t="str">
        <f>IF('Prediction Log'!D604=0, "",'Prediction Log'!D604)</f>
      </c>
      <c r="E603" s="58" t="str">
        <f>IF('Prediction Log'!E604=0, "",'Prediction Log'!E604)</f>
      </c>
      <c r="F603" s="65" t="str">
        <f>IF('Prediction Log'!H604=0, "",'Prediction Log'!H604)</f>
      </c>
      <c r="G603" s="64" t="str">
        <f>IF(ISBLANK(Games!B603), "",'Prediction Log'!$I604)</f>
      </c>
      <c r="H603" s="66" t="n">
        <f>'Prediction Log'!$J604</f>
        <v>0</v>
      </c>
      <c r="I603" s="65" t="str">
        <f>IF(ISBLANK(Games!T603), "",IF(AND(Games!T603="",Games!U603=""),"",IF(ISTEXT(Games!U603), "Side",Games!T603)))</f>
      </c>
      <c r="J603" s="65" t="str">
        <f>IF(ISBLANK(Games!T603), "",IF(Table12[[#This Row],[Bet]]="Spread", Games!X603, ""))</f>
      </c>
      <c r="K603" s="65" t="str">
        <f>IF(ISBLANK(Games!U603), "",IF(ISTEXT(Games!U603), Games!U603, ""))</f>
      </c>
      <c r="L603" s="57" t="str">
        <f>IF(ISBLANK(Games!D603), "", Games!D603)</f>
      </c>
      <c r="M603" s="65"/>
      <c r="N603" s="75" t="str">
        <f>IF(Games!V603="", "",Games!V603)</f>
      </c>
      <c r="O603" s="75" t="str">
        <f>IF(Games!Z603=0, "",Games!Z603)</f>
      </c>
      <c r="P603" s="67"/>
      <c r="Q603" s="67" t="str">
        <f>IF(ISBLANK(Games!W603), "", Games!W603)</f>
      </c>
      <c r="R603" s="67" t="str">
        <f>IF(ISBLANK(Games!AA603), "", Games!AA603)</f>
      </c>
      <c r="S603" s="67"/>
      <c r="T603" s="68" t="str">
        <f t="shared" si="88"/>
      </c>
      <c r="U603" s="68" t="str">
        <f t="shared" si="89"/>
      </c>
      <c r="V603" s="68" t="str">
        <f t="shared" si="90"/>
      </c>
      <c r="W603" s="68" t="str">
        <f t="shared" si="91"/>
      </c>
      <c r="X603" s="68" t="n">
        <f t="shared" si="84"/>
        <v>0</v>
      </c>
      <c r="Y603" s="68" t="n">
        <f t="shared" si="85"/>
        <v>0</v>
      </c>
      <c r="Z603" s="67" t="str">
        <f>IF(OR('Prediction Log'!L604="", Table12[[#This Row],[Bet]]="", Table12[[#This Row],[Bet]]="Spread"), "",IF('Prediction Log'!L604=Table12[[#This Row],[Side]], "W", IF('Prediction Log'!L604&lt;&gt;Table12[[#This Row],[Side]], "L", "")))</f>
      </c>
      <c r="AA603" s="59" t="str">
        <f t="shared" si="86"/>
      </c>
      <c r="AB603" s="67" t="str">
        <f>IF(OR(Table12[[#This Row],[Bet]]="Side",Table12[[#This Row],[Bet]]="", 'Prediction Log'!L604=""), "",IF('Prediction Log'!U604="Y", "W", IF('Prediction Log'!U604="N", "L", "")))</f>
      </c>
      <c r="AC603" s="59" t="str">
        <f t="shared" si="87"/>
      </c>
      <c r="AD603" s="67"/>
      <c r="AE603" s="65" t="str">
        <f t="shared" si="92"/>
      </c>
      <c r="AF6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4">
      <c r="A604" s="65" t="str">
        <f>IF(ISBLANK(Games!A604), "", Games!A604)</f>
      </c>
      <c r="B604" s="65" t="str">
        <f>IF('Prediction Log'!B605=0, "",'Prediction Log'!B605)</f>
      </c>
      <c r="C604" s="65" t="str">
        <f>IF('Prediction Log'!C605=0, "",'Prediction Log'!C605)</f>
      </c>
      <c r="D604" s="65" t="str">
        <f>IF('Prediction Log'!D605=0, "",'Prediction Log'!D605)</f>
      </c>
      <c r="E604" s="58" t="str">
        <f>IF('Prediction Log'!E605=0, "",'Prediction Log'!E605)</f>
      </c>
      <c r="F604" s="65" t="str">
        <f>IF('Prediction Log'!H605=0, "",'Prediction Log'!H605)</f>
      </c>
      <c r="G604" s="64" t="str">
        <f>IF(ISBLANK(Games!B604), "",'Prediction Log'!$I605)</f>
      </c>
      <c r="H604" s="66" t="n">
        <f>'Prediction Log'!$J605</f>
        <v>0</v>
      </c>
      <c r="I604" s="65" t="str">
        <f>IF(ISBLANK(Games!T604), "",IF(AND(Games!T604="",Games!U604=""),"",IF(ISTEXT(Games!U604), "Side",Games!T604)))</f>
      </c>
      <c r="J604" s="65" t="str">
        <f>IF(ISBLANK(Games!T604), "",IF(Table12[[#This Row],[Bet]]="Spread", Games!X604, ""))</f>
      </c>
      <c r="K604" s="65" t="str">
        <f>IF(ISBLANK(Games!U604), "",IF(ISTEXT(Games!U604), Games!U604, ""))</f>
      </c>
      <c r="L604" s="57" t="str">
        <f>IF(ISBLANK(Games!D604), "", Games!D604)</f>
      </c>
      <c r="M604" s="65"/>
      <c r="N604" s="75" t="str">
        <f>IF(Games!V604="", "",Games!V604)</f>
      </c>
      <c r="O604" s="75" t="str">
        <f>IF(Games!Z604=0, "",Games!Z604)</f>
      </c>
      <c r="P604" s="67"/>
      <c r="Q604" s="67" t="str">
        <f>IF(ISBLANK(Games!W604), "", Games!W604)</f>
      </c>
      <c r="R604" s="67" t="str">
        <f>IF(ISBLANK(Games!AA604), "", Games!AA604)</f>
      </c>
      <c r="S604" s="67"/>
      <c r="T604" s="68" t="str">
        <f t="shared" si="88"/>
      </c>
      <c r="U604" s="68" t="str">
        <f t="shared" si="89"/>
      </c>
      <c r="V604" s="68" t="str">
        <f t="shared" si="90"/>
      </c>
      <c r="W604" s="68" t="str">
        <f t="shared" si="91"/>
      </c>
      <c r="X604" s="68" t="n">
        <f t="shared" si="84"/>
        <v>0</v>
      </c>
      <c r="Y604" s="68" t="n">
        <f t="shared" si="85"/>
        <v>0</v>
      </c>
      <c r="Z604" s="67" t="str">
        <f>IF(OR('Prediction Log'!L605="", Table12[[#This Row],[Bet]]="", Table12[[#This Row],[Bet]]="Spread"), "",IF('Prediction Log'!L605=Table12[[#This Row],[Side]], "W", IF('Prediction Log'!L605&lt;&gt;Table12[[#This Row],[Side]], "L", "")))</f>
      </c>
      <c r="AA604" s="59" t="str">
        <f t="shared" si="86"/>
      </c>
      <c r="AB604" s="67" t="str">
        <f>IF(OR(Table12[[#This Row],[Bet]]="Side",Table12[[#This Row],[Bet]]="", 'Prediction Log'!L605=""), "",IF('Prediction Log'!U605="Y", "W", IF('Prediction Log'!U605="N", "L", "")))</f>
      </c>
      <c r="AC604" s="59" t="str">
        <f t="shared" si="87"/>
      </c>
      <c r="AD604" s="67"/>
      <c r="AE604" s="65" t="str">
        <f t="shared" si="92"/>
      </c>
      <c r="AF6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5">
      <c r="A605" s="65" t="str">
        <f>IF(ISBLANK(Games!A605), "", Games!A605)</f>
      </c>
      <c r="B605" s="65" t="str">
        <f>IF('Prediction Log'!B606=0, "",'Prediction Log'!B606)</f>
      </c>
      <c r="C605" s="65" t="str">
        <f>IF('Prediction Log'!C606=0, "",'Prediction Log'!C606)</f>
      </c>
      <c r="D605" s="65" t="str">
        <f>IF('Prediction Log'!D606=0, "",'Prediction Log'!D606)</f>
      </c>
      <c r="E605" s="58" t="str">
        <f>IF('Prediction Log'!E606=0, "",'Prediction Log'!E606)</f>
      </c>
      <c r="F605" s="65" t="str">
        <f>IF('Prediction Log'!H606=0, "",'Prediction Log'!H606)</f>
      </c>
      <c r="G605" s="64" t="str">
        <f>IF(ISBLANK(Games!B605), "",'Prediction Log'!$I606)</f>
      </c>
      <c r="H605" s="66" t="n">
        <f>'Prediction Log'!$J606</f>
        <v>0</v>
      </c>
      <c r="I605" s="65" t="str">
        <f>IF(ISBLANK(Games!T605), "",IF(AND(Games!T605="",Games!U605=""),"",IF(ISTEXT(Games!U605), "Side",Games!T605)))</f>
      </c>
      <c r="J605" s="65" t="str">
        <f>IF(ISBLANK(Games!T605), "",IF(Table12[[#This Row],[Bet]]="Spread", Games!X605, ""))</f>
      </c>
      <c r="K605" s="65" t="str">
        <f>IF(ISBLANK(Games!U605), "",IF(ISTEXT(Games!U605), Games!U605, ""))</f>
      </c>
      <c r="L605" s="57" t="str">
        <f>IF(ISBLANK(Games!D605), "", Games!D605)</f>
      </c>
      <c r="M605" s="65"/>
      <c r="N605" s="75" t="str">
        <f>IF(Games!V605="", "",Games!V605)</f>
      </c>
      <c r="O605" s="75" t="str">
        <f>IF(Games!Z605=0, "",Games!Z605)</f>
      </c>
      <c r="P605" s="67"/>
      <c r="Q605" s="67" t="str">
        <f>IF(ISBLANK(Games!W605), "", Games!W605)</f>
      </c>
      <c r="R605" s="67" t="str">
        <f>IF(ISBLANK(Games!AA605), "", Games!AA605)</f>
      </c>
      <c r="S605" s="67"/>
      <c r="T605" s="68" t="str">
        <f t="shared" si="88"/>
      </c>
      <c r="U605" s="68" t="str">
        <f t="shared" si="89"/>
      </c>
      <c r="V605" s="68" t="str">
        <f t="shared" si="90"/>
      </c>
      <c r="W605" s="68" t="str">
        <f t="shared" si="91"/>
      </c>
      <c r="X605" s="68" t="n">
        <f t="shared" si="84"/>
        <v>0</v>
      </c>
      <c r="Y605" s="68" t="n">
        <f t="shared" si="85"/>
        <v>0</v>
      </c>
      <c r="Z605" s="67" t="str">
        <f>IF(OR('Prediction Log'!L606="", Table12[[#This Row],[Bet]]="", Table12[[#This Row],[Bet]]="Spread"), "",IF('Prediction Log'!L606=Table12[[#This Row],[Side]], "W", IF('Prediction Log'!L606&lt;&gt;Table12[[#This Row],[Side]], "L", "")))</f>
      </c>
      <c r="AA605" s="59" t="str">
        <f t="shared" si="86"/>
      </c>
      <c r="AB605" s="67" t="str">
        <f>IF(OR(Table12[[#This Row],[Bet]]="Side",Table12[[#This Row],[Bet]]="", 'Prediction Log'!L606=""), "",IF('Prediction Log'!U606="Y", "W", IF('Prediction Log'!U606="N", "L", "")))</f>
      </c>
      <c r="AC605" s="59" t="str">
        <f t="shared" si="87"/>
      </c>
      <c r="AD605" s="67"/>
      <c r="AE605" s="65" t="str">
        <f t="shared" si="92"/>
      </c>
      <c r="AF6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6">
      <c r="A606" s="65" t="str">
        <f>IF(ISBLANK(Games!A606), "", Games!A606)</f>
      </c>
      <c r="B606" s="65" t="str">
        <f>IF('Prediction Log'!B607=0, "",'Prediction Log'!B607)</f>
      </c>
      <c r="C606" s="65" t="str">
        <f>IF('Prediction Log'!C607=0, "",'Prediction Log'!C607)</f>
      </c>
      <c r="D606" s="65" t="str">
        <f>IF('Prediction Log'!D607=0, "",'Prediction Log'!D607)</f>
      </c>
      <c r="E606" s="58" t="str">
        <f>IF('Prediction Log'!E607=0, "",'Prediction Log'!E607)</f>
      </c>
      <c r="F606" s="65" t="str">
        <f>IF('Prediction Log'!H607=0, "",'Prediction Log'!H607)</f>
      </c>
      <c r="G606" s="64" t="str">
        <f>IF(ISBLANK(Games!B606), "",'Prediction Log'!$I607)</f>
      </c>
      <c r="H606" s="66" t="n">
        <f>'Prediction Log'!$J607</f>
        <v>0</v>
      </c>
      <c r="I606" s="65" t="str">
        <f>IF(ISBLANK(Games!T606), "",IF(AND(Games!T606="",Games!U606=""),"",IF(ISTEXT(Games!U606), "Side",Games!T606)))</f>
      </c>
      <c r="J606" s="65" t="str">
        <f>IF(ISBLANK(Games!T606), "",IF(Table12[[#This Row],[Bet]]="Spread", Games!X606, ""))</f>
      </c>
      <c r="K606" s="65" t="str">
        <f>IF(ISBLANK(Games!U606), "",IF(ISTEXT(Games!U606), Games!U606, ""))</f>
      </c>
      <c r="L606" s="57" t="str">
        <f>IF(ISBLANK(Games!D606), "", Games!D606)</f>
      </c>
      <c r="M606" s="65"/>
      <c r="N606" s="75" t="str">
        <f>IF(Games!V606="", "",Games!V606)</f>
      </c>
      <c r="O606" s="75" t="str">
        <f>IF(Games!Z606=0, "",Games!Z606)</f>
      </c>
      <c r="P606" s="67"/>
      <c r="Q606" s="67" t="str">
        <f>IF(ISBLANK(Games!W606), "", Games!W606)</f>
      </c>
      <c r="R606" s="67" t="str">
        <f>IF(ISBLANK(Games!AA606), "", Games!AA606)</f>
      </c>
      <c r="S606" s="67"/>
      <c r="T606" s="68" t="str">
        <f t="shared" si="88"/>
      </c>
      <c r="U606" s="68" t="str">
        <f t="shared" si="89"/>
      </c>
      <c r="V606" s="68" t="str">
        <f t="shared" si="90"/>
      </c>
      <c r="W606" s="68" t="str">
        <f t="shared" si="91"/>
      </c>
      <c r="X606" s="68" t="n">
        <f t="shared" si="84"/>
        <v>0</v>
      </c>
      <c r="Y606" s="68" t="n">
        <f t="shared" si="85"/>
        <v>0</v>
      </c>
      <c r="Z606" s="67" t="str">
        <f>IF(OR('Prediction Log'!L607="", Table12[[#This Row],[Bet]]="", Table12[[#This Row],[Bet]]="Spread"), "",IF('Prediction Log'!L607=Table12[[#This Row],[Side]], "W", IF('Prediction Log'!L607&lt;&gt;Table12[[#This Row],[Side]], "L", "")))</f>
      </c>
      <c r="AA606" s="59" t="str">
        <f t="shared" si="86"/>
      </c>
      <c r="AB606" s="67" t="str">
        <f>IF(OR(Table12[[#This Row],[Bet]]="Side",Table12[[#This Row],[Bet]]="", 'Prediction Log'!L607=""), "",IF('Prediction Log'!U607="Y", "W", IF('Prediction Log'!U607="N", "L", "")))</f>
      </c>
      <c r="AC606" s="59" t="str">
        <f t="shared" si="87"/>
      </c>
      <c r="AD606" s="67"/>
      <c r="AE606" s="65" t="str">
        <f t="shared" si="92"/>
      </c>
      <c r="AF6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7">
      <c r="A607" s="65" t="str">
        <f>IF(ISBLANK(Games!A607), "", Games!A607)</f>
      </c>
      <c r="B607" s="65" t="str">
        <f>IF('Prediction Log'!B608=0, "",'Prediction Log'!B608)</f>
      </c>
      <c r="C607" s="65" t="str">
        <f>IF('Prediction Log'!C608=0, "",'Prediction Log'!C608)</f>
      </c>
      <c r="D607" s="65" t="str">
        <f>IF('Prediction Log'!D608=0, "",'Prediction Log'!D608)</f>
      </c>
      <c r="E607" s="58" t="str">
        <f>IF('Prediction Log'!E608=0, "",'Prediction Log'!E608)</f>
      </c>
      <c r="F607" s="65" t="str">
        <f>IF('Prediction Log'!H608=0, "",'Prediction Log'!H608)</f>
      </c>
      <c r="G607" s="64" t="str">
        <f>IF(ISBLANK(Games!B607), "",'Prediction Log'!$I608)</f>
      </c>
      <c r="H607" s="66" t="n">
        <f>'Prediction Log'!$J608</f>
        <v>0</v>
      </c>
      <c r="I607" s="65" t="str">
        <f>IF(ISBLANK(Games!T607), "",IF(AND(Games!T607="",Games!U607=""),"",IF(ISTEXT(Games!U607), "Side",Games!T607)))</f>
      </c>
      <c r="J607" s="65" t="str">
        <f>IF(ISBLANK(Games!T607), "",IF(Table12[[#This Row],[Bet]]="Spread", Games!X607, ""))</f>
      </c>
      <c r="K607" s="65" t="str">
        <f>IF(ISBLANK(Games!U607), "",IF(ISTEXT(Games!U607), Games!U607, ""))</f>
      </c>
      <c r="L607" s="57" t="str">
        <f>IF(ISBLANK(Games!D607), "", Games!D607)</f>
      </c>
      <c r="M607" s="65"/>
      <c r="N607" s="75" t="str">
        <f>IF(Games!V607="", "",Games!V607)</f>
      </c>
      <c r="O607" s="75" t="str">
        <f>IF(Games!Z607=0, "",Games!Z607)</f>
      </c>
      <c r="P607" s="67"/>
      <c r="Q607" s="67" t="str">
        <f>IF(ISBLANK(Games!W607), "", Games!W607)</f>
      </c>
      <c r="R607" s="67" t="str">
        <f>IF(ISBLANK(Games!AA607), "", Games!AA607)</f>
      </c>
      <c r="S607" s="67"/>
      <c r="T607" s="68" t="str">
        <f t="shared" si="88"/>
      </c>
      <c r="U607" s="68" t="str">
        <f t="shared" si="89"/>
      </c>
      <c r="V607" s="68" t="str">
        <f t="shared" si="90"/>
      </c>
      <c r="W607" s="68" t="str">
        <f t="shared" si="91"/>
      </c>
      <c r="X607" s="68" t="n">
        <f t="shared" si="84"/>
        <v>0</v>
      </c>
      <c r="Y607" s="68" t="n">
        <f t="shared" si="85"/>
        <v>0</v>
      </c>
      <c r="Z607" s="67" t="str">
        <f>IF(OR('Prediction Log'!L608="", Table12[[#This Row],[Bet]]="", Table12[[#This Row],[Bet]]="Spread"), "",IF('Prediction Log'!L608=Table12[[#This Row],[Side]], "W", IF('Prediction Log'!L608&lt;&gt;Table12[[#This Row],[Side]], "L", "")))</f>
      </c>
      <c r="AA607" s="59" t="str">
        <f t="shared" si="86"/>
      </c>
      <c r="AB607" s="67" t="str">
        <f>IF(OR(Table12[[#This Row],[Bet]]="Side",Table12[[#This Row],[Bet]]="", 'Prediction Log'!L608=""), "",IF('Prediction Log'!U608="Y", "W", IF('Prediction Log'!U608="N", "L", "")))</f>
      </c>
      <c r="AC607" s="59" t="str">
        <f t="shared" si="87"/>
      </c>
      <c r="AD607" s="67"/>
      <c r="AE607" s="65" t="str">
        <f t="shared" si="92"/>
      </c>
      <c r="AF6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8">
      <c r="A608" s="65" t="str">
        <f>IF(ISBLANK(Games!A608), "", Games!A608)</f>
      </c>
      <c r="B608" s="65" t="str">
        <f>IF('Prediction Log'!B609=0, "",'Prediction Log'!B609)</f>
      </c>
      <c r="C608" s="65" t="str">
        <f>IF('Prediction Log'!C609=0, "",'Prediction Log'!C609)</f>
      </c>
      <c r="D608" s="65" t="str">
        <f>IF('Prediction Log'!D609=0, "",'Prediction Log'!D609)</f>
      </c>
      <c r="E608" s="58" t="str">
        <f>IF('Prediction Log'!E609=0, "",'Prediction Log'!E609)</f>
      </c>
      <c r="F608" s="65" t="str">
        <f>IF('Prediction Log'!H609=0, "",'Prediction Log'!H609)</f>
      </c>
      <c r="G608" s="64" t="str">
        <f>IF(ISBLANK(Games!B608), "",'Prediction Log'!$I609)</f>
      </c>
      <c r="H608" s="66" t="n">
        <f>'Prediction Log'!$J609</f>
        <v>0</v>
      </c>
      <c r="I608" s="65" t="str">
        <f>IF(ISBLANK(Games!T608), "",IF(AND(Games!T608="",Games!U608=""),"",IF(ISTEXT(Games!U608), "Side",Games!T608)))</f>
      </c>
      <c r="J608" s="65" t="str">
        <f>IF(ISBLANK(Games!T608), "",IF(Table12[[#This Row],[Bet]]="Spread", Games!X608, ""))</f>
      </c>
      <c r="K608" s="65" t="str">
        <f>IF(ISBLANK(Games!U608), "",IF(ISTEXT(Games!U608), Games!U608, ""))</f>
      </c>
      <c r="L608" s="57" t="str">
        <f>IF(ISBLANK(Games!D608), "", Games!D608)</f>
      </c>
      <c r="M608" s="65"/>
      <c r="N608" s="75" t="str">
        <f>IF(Games!V608="", "",Games!V608)</f>
      </c>
      <c r="O608" s="75" t="str">
        <f>IF(Games!Z608=0, "",Games!Z608)</f>
      </c>
      <c r="P608" s="67"/>
      <c r="Q608" s="67" t="str">
        <f>IF(ISBLANK(Games!W608), "", Games!W608)</f>
      </c>
      <c r="R608" s="67" t="str">
        <f>IF(ISBLANK(Games!AA608), "", Games!AA608)</f>
      </c>
      <c r="S608" s="67"/>
      <c r="T608" s="68" t="str">
        <f t="shared" si="88"/>
      </c>
      <c r="U608" s="68" t="str">
        <f t="shared" si="89"/>
      </c>
      <c r="V608" s="68" t="str">
        <f t="shared" si="90"/>
      </c>
      <c r="W608" s="68" t="str">
        <f t="shared" si="91"/>
      </c>
      <c r="X608" s="68" t="n">
        <f t="shared" si="84"/>
        <v>0</v>
      </c>
      <c r="Y608" s="68" t="n">
        <f t="shared" si="85"/>
        <v>0</v>
      </c>
      <c r="Z608" s="67" t="str">
        <f>IF(OR('Prediction Log'!L609="", Table12[[#This Row],[Bet]]="", Table12[[#This Row],[Bet]]="Spread"), "",IF('Prediction Log'!L609=Table12[[#This Row],[Side]], "W", IF('Prediction Log'!L609&lt;&gt;Table12[[#This Row],[Side]], "L", "")))</f>
      </c>
      <c r="AA608" s="59" t="str">
        <f t="shared" si="86"/>
      </c>
      <c r="AB608" s="67" t="str">
        <f>IF(OR(Table12[[#This Row],[Bet]]="Side",Table12[[#This Row],[Bet]]="", 'Prediction Log'!L609=""), "",IF('Prediction Log'!U609="Y", "W", IF('Prediction Log'!U609="N", "L", "")))</f>
      </c>
      <c r="AC608" s="59" t="str">
        <f t="shared" si="87"/>
      </c>
      <c r="AD608" s="67"/>
      <c r="AE608" s="65" t="str">
        <f t="shared" si="92"/>
      </c>
      <c r="AF6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9">
      <c r="A609" s="65" t="str">
        <f>IF(ISBLANK(Games!A609), "", Games!A609)</f>
      </c>
      <c r="B609" s="65" t="str">
        <f>IF('Prediction Log'!B610=0, "",'Prediction Log'!B610)</f>
      </c>
      <c r="C609" s="65" t="str">
        <f>IF('Prediction Log'!C610=0, "",'Prediction Log'!C610)</f>
      </c>
      <c r="D609" s="65" t="str">
        <f>IF('Prediction Log'!D610=0, "",'Prediction Log'!D610)</f>
      </c>
      <c r="E609" s="58" t="str">
        <f>IF('Prediction Log'!E610=0, "",'Prediction Log'!E610)</f>
      </c>
      <c r="F609" s="65" t="str">
        <f>IF('Prediction Log'!H610=0, "",'Prediction Log'!H610)</f>
      </c>
      <c r="G609" s="64" t="str">
        <f>IF(ISBLANK(Games!B609), "",'Prediction Log'!$I610)</f>
      </c>
      <c r="H609" s="66" t="n">
        <f>'Prediction Log'!$J610</f>
        <v>0</v>
      </c>
      <c r="I609" s="65" t="str">
        <f>IF(ISBLANK(Games!T609), "",IF(AND(Games!T609="",Games!U609=""),"",IF(ISTEXT(Games!U609), "Side",Games!T609)))</f>
      </c>
      <c r="J609" s="65" t="str">
        <f>IF(ISBLANK(Games!T609), "",IF(Table12[[#This Row],[Bet]]="Spread", Games!X609, ""))</f>
      </c>
      <c r="K609" s="65" t="str">
        <f>IF(ISBLANK(Games!U609), "",IF(ISTEXT(Games!U609), Games!U609, ""))</f>
      </c>
      <c r="L609" s="57" t="str">
        <f>IF(ISBLANK(Games!D609), "", Games!D609)</f>
      </c>
      <c r="M609" s="65"/>
      <c r="N609" s="75" t="str">
        <f>IF(Games!V609="", "",Games!V609)</f>
      </c>
      <c r="O609" s="75" t="str">
        <f>IF(Games!Z609=0, "",Games!Z609)</f>
      </c>
      <c r="P609" s="67"/>
      <c r="Q609" s="67" t="str">
        <f>IF(ISBLANK(Games!W609), "", Games!W609)</f>
      </c>
      <c r="R609" s="67" t="str">
        <f>IF(ISBLANK(Games!AA609), "", Games!AA609)</f>
      </c>
      <c r="S609" s="67"/>
      <c r="T609" s="68" t="str">
        <f t="shared" si="88"/>
      </c>
      <c r="U609" s="68" t="str">
        <f t="shared" si="89"/>
      </c>
      <c r="V609" s="68" t="str">
        <f t="shared" si="90"/>
      </c>
      <c r="W609" s="68" t="str">
        <f t="shared" si="91"/>
      </c>
      <c r="X609" s="68" t="n">
        <f t="shared" si="84"/>
        <v>0</v>
      </c>
      <c r="Y609" s="68" t="n">
        <f t="shared" si="85"/>
        <v>0</v>
      </c>
      <c r="Z609" s="67" t="str">
        <f>IF(OR('Prediction Log'!L610="", Table12[[#This Row],[Bet]]="", Table12[[#This Row],[Bet]]="Spread"), "",IF('Prediction Log'!L610=Table12[[#This Row],[Side]], "W", IF('Prediction Log'!L610&lt;&gt;Table12[[#This Row],[Side]], "L", "")))</f>
      </c>
      <c r="AA609" s="59" t="str">
        <f t="shared" si="86"/>
      </c>
      <c r="AB609" s="67" t="str">
        <f>IF(OR(Table12[[#This Row],[Bet]]="Side",Table12[[#This Row],[Bet]]="", 'Prediction Log'!L610=""), "",IF('Prediction Log'!U610="Y", "W", IF('Prediction Log'!U610="N", "L", "")))</f>
      </c>
      <c r="AC609" s="59" t="str">
        <f t="shared" si="87"/>
      </c>
      <c r="AD609" s="67"/>
      <c r="AE609" s="65" t="str">
        <f t="shared" si="92"/>
      </c>
      <c r="AF6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0">
      <c r="A610" s="65" t="str">
        <f>IF(ISBLANK(Games!A610), "", Games!A610)</f>
      </c>
      <c r="B610" s="65" t="str">
        <f>IF('Prediction Log'!B611=0, "",'Prediction Log'!B611)</f>
      </c>
      <c r="C610" s="65" t="str">
        <f>IF('Prediction Log'!C611=0, "",'Prediction Log'!C611)</f>
      </c>
      <c r="D610" s="65" t="str">
        <f>IF('Prediction Log'!D611=0, "",'Prediction Log'!D611)</f>
      </c>
      <c r="E610" s="58" t="str">
        <f>IF('Prediction Log'!E611=0, "",'Prediction Log'!E611)</f>
      </c>
      <c r="F610" s="65" t="str">
        <f>IF('Prediction Log'!H611=0, "",'Prediction Log'!H611)</f>
      </c>
      <c r="G610" s="64" t="str">
        <f>IF(ISBLANK(Games!B610), "",'Prediction Log'!$I611)</f>
      </c>
      <c r="H610" s="66" t="n">
        <f>'Prediction Log'!$J611</f>
        <v>0</v>
      </c>
      <c r="I610" s="65" t="str">
        <f>IF(ISBLANK(Games!T610), "",IF(AND(Games!T610="",Games!U610=""),"",IF(ISTEXT(Games!U610), "Side",Games!T610)))</f>
      </c>
      <c r="J610" s="65" t="str">
        <f>IF(ISBLANK(Games!T610), "",IF(Table12[[#This Row],[Bet]]="Spread", Games!X610, ""))</f>
      </c>
      <c r="K610" s="65" t="str">
        <f>IF(ISBLANK(Games!U610), "",IF(ISTEXT(Games!U610), Games!U610, ""))</f>
      </c>
      <c r="L610" s="57" t="str">
        <f>IF(ISBLANK(Games!D610), "", Games!D610)</f>
      </c>
      <c r="M610" s="65"/>
      <c r="N610" s="75" t="str">
        <f>IF(Games!V610="", "",Games!V610)</f>
      </c>
      <c r="O610" s="75" t="str">
        <f>IF(Games!Z610=0, "",Games!Z610)</f>
      </c>
      <c r="P610" s="67"/>
      <c r="Q610" s="67" t="str">
        <f>IF(ISBLANK(Games!W610), "", Games!W610)</f>
      </c>
      <c r="R610" s="67" t="str">
        <f>IF(ISBLANK(Games!AA610), "", Games!AA610)</f>
      </c>
      <c r="S610" s="67"/>
      <c r="T610" s="68" t="str">
        <f t="shared" si="88"/>
      </c>
      <c r="U610" s="68" t="str">
        <f t="shared" si="89"/>
      </c>
      <c r="V610" s="68" t="str">
        <f t="shared" si="90"/>
      </c>
      <c r="W610" s="68" t="str">
        <f t="shared" si="91"/>
      </c>
      <c r="X610" s="68" t="n">
        <f t="shared" si="84"/>
        <v>0</v>
      </c>
      <c r="Y610" s="68" t="n">
        <f t="shared" si="85"/>
        <v>0</v>
      </c>
      <c r="Z610" s="67" t="str">
        <f>IF(OR('Prediction Log'!L611="", Table12[[#This Row],[Bet]]="", Table12[[#This Row],[Bet]]="Spread"), "",IF('Prediction Log'!L611=Table12[[#This Row],[Side]], "W", IF('Prediction Log'!L611&lt;&gt;Table12[[#This Row],[Side]], "L", "")))</f>
      </c>
      <c r="AA610" s="59" t="str">
        <f t="shared" si="86"/>
      </c>
      <c r="AB610" s="67" t="str">
        <f>IF(OR(Table12[[#This Row],[Bet]]="Side",Table12[[#This Row],[Bet]]="", 'Prediction Log'!L611=""), "",IF('Prediction Log'!U611="Y", "W", IF('Prediction Log'!U611="N", "L", "")))</f>
      </c>
      <c r="AC610" s="59" t="str">
        <f t="shared" si="87"/>
      </c>
      <c r="AD610" s="67"/>
      <c r="AE610" s="65" t="str">
        <f t="shared" si="92"/>
      </c>
      <c r="AF6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1">
      <c r="A611" s="65" t="str">
        <f>IF(ISBLANK(Games!A611), "", Games!A611)</f>
      </c>
      <c r="B611" s="65" t="str">
        <f>IF('Prediction Log'!B612=0, "",'Prediction Log'!B612)</f>
      </c>
      <c r="C611" s="65" t="str">
        <f>IF('Prediction Log'!C612=0, "",'Prediction Log'!C612)</f>
      </c>
      <c r="D611" s="65" t="str">
        <f>IF('Prediction Log'!D612=0, "",'Prediction Log'!D612)</f>
      </c>
      <c r="E611" s="58" t="str">
        <f>IF('Prediction Log'!E612=0, "",'Prediction Log'!E612)</f>
      </c>
      <c r="F611" s="65" t="str">
        <f>IF('Prediction Log'!H612=0, "",'Prediction Log'!H612)</f>
      </c>
      <c r="G611" s="64" t="str">
        <f>IF(ISBLANK(Games!B611), "",'Prediction Log'!$I612)</f>
      </c>
      <c r="H611" s="66" t="n">
        <f>'Prediction Log'!$J612</f>
        <v>0</v>
      </c>
      <c r="I611" s="65" t="str">
        <f>IF(ISBLANK(Games!T611), "",IF(AND(Games!T611="",Games!U611=""),"",IF(ISTEXT(Games!U611), "Side",Games!T611)))</f>
      </c>
      <c r="J611" s="65" t="str">
        <f>IF(ISBLANK(Games!T611), "",IF(Table12[[#This Row],[Bet]]="Spread", Games!X611, ""))</f>
      </c>
      <c r="K611" s="65" t="str">
        <f>IF(ISBLANK(Games!U611), "",IF(ISTEXT(Games!U611), Games!U611, ""))</f>
      </c>
      <c r="L611" s="57" t="str">
        <f>IF(ISBLANK(Games!D611), "", Games!D611)</f>
      </c>
      <c r="M611" s="65"/>
      <c r="N611" s="75" t="str">
        <f>IF(Games!V611="", "",Games!V611)</f>
      </c>
      <c r="O611" s="75" t="str">
        <f>IF(Games!Z611=0, "",Games!Z611)</f>
      </c>
      <c r="P611" s="67"/>
      <c r="Q611" s="67" t="str">
        <f>IF(ISBLANK(Games!W611), "", Games!W611)</f>
      </c>
      <c r="R611" s="67" t="str">
        <f>IF(ISBLANK(Games!AA611), "", Games!AA611)</f>
      </c>
      <c r="S611" s="67"/>
      <c r="T611" s="68" t="str">
        <f t="shared" si="88"/>
      </c>
      <c r="U611" s="68" t="str">
        <f t="shared" si="89"/>
      </c>
      <c r="V611" s="68" t="str">
        <f t="shared" si="90"/>
      </c>
      <c r="W611" s="68" t="str">
        <f t="shared" si="91"/>
      </c>
      <c r="X611" s="68" t="n">
        <f t="shared" si="84"/>
        <v>0</v>
      </c>
      <c r="Y611" s="68" t="n">
        <f t="shared" si="85"/>
        <v>0</v>
      </c>
      <c r="Z611" s="67" t="str">
        <f>IF(OR('Prediction Log'!L612="", Table12[[#This Row],[Bet]]="", Table12[[#This Row],[Bet]]="Spread"), "",IF('Prediction Log'!L612=Table12[[#This Row],[Side]], "W", IF('Prediction Log'!L612&lt;&gt;Table12[[#This Row],[Side]], "L", "")))</f>
      </c>
      <c r="AA611" s="59" t="str">
        <f t="shared" si="86"/>
      </c>
      <c r="AB611" s="67" t="str">
        <f>IF(OR(Table12[[#This Row],[Bet]]="Side",Table12[[#This Row],[Bet]]="", 'Prediction Log'!L612=""), "",IF('Prediction Log'!U612="Y", "W", IF('Prediction Log'!U612="N", "L", "")))</f>
      </c>
      <c r="AC611" s="59" t="str">
        <f t="shared" si="87"/>
      </c>
      <c r="AD611" s="67"/>
      <c r="AE611" s="65" t="str">
        <f t="shared" si="92"/>
      </c>
      <c r="AF6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2">
      <c r="A612" s="65" t="str">
        <f>IF(ISBLANK(Games!A612), "", Games!A612)</f>
      </c>
      <c r="B612" s="65" t="str">
        <f>IF('Prediction Log'!B613=0, "",'Prediction Log'!B613)</f>
      </c>
      <c r="C612" s="65" t="str">
        <f>IF('Prediction Log'!C613=0, "",'Prediction Log'!C613)</f>
      </c>
      <c r="D612" s="65" t="str">
        <f>IF('Prediction Log'!D613=0, "",'Prediction Log'!D613)</f>
      </c>
      <c r="E612" s="58" t="str">
        <f>IF('Prediction Log'!E613=0, "",'Prediction Log'!E613)</f>
      </c>
      <c r="F612" s="65" t="str">
        <f>IF('Prediction Log'!H613=0, "",'Prediction Log'!H613)</f>
      </c>
      <c r="G612" s="64" t="str">
        <f>IF(ISBLANK(Games!B612), "",'Prediction Log'!$I613)</f>
      </c>
      <c r="H612" s="66" t="n">
        <f>'Prediction Log'!$J613</f>
        <v>0</v>
      </c>
      <c r="I612" s="65" t="str">
        <f>IF(ISBLANK(Games!T612), "",IF(AND(Games!T612="",Games!U612=""),"",IF(ISTEXT(Games!U612), "Side",Games!T612)))</f>
      </c>
      <c r="J612" s="65" t="str">
        <f>IF(ISBLANK(Games!T612), "",IF(Table12[[#This Row],[Bet]]="Spread", Games!X612, ""))</f>
      </c>
      <c r="K612" s="65" t="str">
        <f>IF(ISBLANK(Games!U612), "",IF(ISTEXT(Games!U612), Games!U612, ""))</f>
      </c>
      <c r="L612" s="57" t="str">
        <f>IF(ISBLANK(Games!D612), "", Games!D612)</f>
      </c>
      <c r="M612" s="65"/>
      <c r="N612" s="75" t="str">
        <f>IF(Games!V612="", "",Games!V612)</f>
      </c>
      <c r="O612" s="75" t="str">
        <f>IF(Games!Z612=0, "",Games!Z612)</f>
      </c>
      <c r="P612" s="67"/>
      <c r="Q612" s="67" t="str">
        <f>IF(ISBLANK(Games!W612), "", Games!W612)</f>
      </c>
      <c r="R612" s="67" t="str">
        <f>IF(ISBLANK(Games!AA612), "", Games!AA612)</f>
      </c>
      <c r="S612" s="67"/>
      <c r="T612" s="68" t="str">
        <f t="shared" si="88"/>
      </c>
      <c r="U612" s="68" t="str">
        <f t="shared" si="89"/>
      </c>
      <c r="V612" s="68" t="str">
        <f t="shared" si="90"/>
      </c>
      <c r="W612" s="68" t="str">
        <f t="shared" si="91"/>
      </c>
      <c r="X612" s="68" t="n">
        <f t="shared" si="84"/>
        <v>0</v>
      </c>
      <c r="Y612" s="68" t="n">
        <f t="shared" si="85"/>
        <v>0</v>
      </c>
      <c r="Z612" s="67" t="str">
        <f>IF(OR('Prediction Log'!L613="", Table12[[#This Row],[Bet]]="", Table12[[#This Row],[Bet]]="Spread"), "",IF('Prediction Log'!L613=Table12[[#This Row],[Side]], "W", IF('Prediction Log'!L613&lt;&gt;Table12[[#This Row],[Side]], "L", "")))</f>
      </c>
      <c r="AA612" s="59" t="str">
        <f t="shared" si="86"/>
      </c>
      <c r="AB612" s="67" t="str">
        <f>IF(OR(Table12[[#This Row],[Bet]]="Side",Table12[[#This Row],[Bet]]="", 'Prediction Log'!L613=""), "",IF('Prediction Log'!U613="Y", "W", IF('Prediction Log'!U613="N", "L", "")))</f>
      </c>
      <c r="AC612" s="59" t="str">
        <f t="shared" si="87"/>
      </c>
      <c r="AD612" s="67"/>
      <c r="AE612" s="65" t="str">
        <f t="shared" si="92"/>
      </c>
      <c r="AF6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3">
      <c r="A613" s="65" t="str">
        <f>IF(ISBLANK(Games!A613), "", Games!A613)</f>
      </c>
      <c r="B613" s="65" t="str">
        <f>IF('Prediction Log'!B614=0, "",'Prediction Log'!B614)</f>
      </c>
      <c r="C613" s="65" t="str">
        <f>IF('Prediction Log'!C614=0, "",'Prediction Log'!C614)</f>
      </c>
      <c r="D613" s="65" t="str">
        <f>IF('Prediction Log'!D614=0, "",'Prediction Log'!D614)</f>
      </c>
      <c r="E613" s="58" t="str">
        <f>IF('Prediction Log'!E614=0, "",'Prediction Log'!E614)</f>
      </c>
      <c r="F613" s="65" t="str">
        <f>IF('Prediction Log'!H614=0, "",'Prediction Log'!H614)</f>
      </c>
      <c r="G613" s="64" t="str">
        <f>IF(ISBLANK(Games!B613), "",'Prediction Log'!$I614)</f>
      </c>
      <c r="H613" s="66" t="n">
        <f>'Prediction Log'!$J614</f>
        <v>0</v>
      </c>
      <c r="I613" s="65" t="str">
        <f>IF(ISBLANK(Games!T613), "",IF(AND(Games!T613="",Games!U613=""),"",IF(ISTEXT(Games!U613), "Side",Games!T613)))</f>
      </c>
      <c r="J613" s="65" t="str">
        <f>IF(ISBLANK(Games!T613), "",IF(Table12[[#This Row],[Bet]]="Spread", Games!X613, ""))</f>
      </c>
      <c r="K613" s="65" t="str">
        <f>IF(ISBLANK(Games!U613), "",IF(ISTEXT(Games!U613), Games!U613, ""))</f>
      </c>
      <c r="L613" s="57" t="str">
        <f>IF(ISBLANK(Games!D613), "", Games!D613)</f>
      </c>
      <c r="M613" s="65"/>
      <c r="N613" s="75" t="str">
        <f>IF(Games!V613="", "",Games!V613)</f>
      </c>
      <c r="O613" s="75" t="str">
        <f>IF(Games!Z613=0, "",Games!Z613)</f>
      </c>
      <c r="P613" s="67"/>
      <c r="Q613" s="67" t="str">
        <f>IF(ISBLANK(Games!W613), "", Games!W613)</f>
      </c>
      <c r="R613" s="67" t="str">
        <f>IF(ISBLANK(Games!AA613), "", Games!AA613)</f>
      </c>
      <c r="S613" s="67"/>
      <c r="T613" s="68" t="str">
        <f t="shared" si="88"/>
      </c>
      <c r="U613" s="68" t="str">
        <f t="shared" si="89"/>
      </c>
      <c r="V613" s="68" t="str">
        <f t="shared" si="90"/>
      </c>
      <c r="W613" s="68" t="str">
        <f t="shared" si="91"/>
      </c>
      <c r="X613" s="68" t="n">
        <f t="shared" si="84"/>
        <v>0</v>
      </c>
      <c r="Y613" s="68" t="n">
        <f t="shared" si="85"/>
        <v>0</v>
      </c>
      <c r="Z613" s="67" t="str">
        <f>IF(OR('Prediction Log'!L614="", Table12[[#This Row],[Bet]]="", Table12[[#This Row],[Bet]]="Spread"), "",IF('Prediction Log'!L614=Table12[[#This Row],[Side]], "W", IF('Prediction Log'!L614&lt;&gt;Table12[[#This Row],[Side]], "L", "")))</f>
      </c>
      <c r="AA613" s="59" t="str">
        <f t="shared" si="86"/>
      </c>
      <c r="AB613" s="67" t="str">
        <f>IF(OR(Table12[[#This Row],[Bet]]="Side",Table12[[#This Row],[Bet]]="", 'Prediction Log'!L614=""), "",IF('Prediction Log'!U614="Y", "W", IF('Prediction Log'!U614="N", "L", "")))</f>
      </c>
      <c r="AC613" s="59" t="str">
        <f t="shared" si="87"/>
      </c>
      <c r="AD613" s="67"/>
      <c r="AE613" s="65" t="str">
        <f t="shared" si="92"/>
      </c>
      <c r="AF6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4">
      <c r="A614" s="65" t="str">
        <f>IF(ISBLANK(Games!A614), "", Games!A614)</f>
      </c>
      <c r="B614" s="65" t="str">
        <f>IF('Prediction Log'!B615=0, "",'Prediction Log'!B615)</f>
      </c>
      <c r="C614" s="65" t="str">
        <f>IF('Prediction Log'!C615=0, "",'Prediction Log'!C615)</f>
      </c>
      <c r="D614" s="65" t="str">
        <f>IF('Prediction Log'!D615=0, "",'Prediction Log'!D615)</f>
      </c>
      <c r="E614" s="58" t="str">
        <f>IF('Prediction Log'!E615=0, "",'Prediction Log'!E615)</f>
      </c>
      <c r="F614" s="65" t="str">
        <f>IF('Prediction Log'!H615=0, "",'Prediction Log'!H615)</f>
      </c>
      <c r="G614" s="64" t="str">
        <f>IF(ISBLANK(Games!B614), "",'Prediction Log'!$I615)</f>
      </c>
      <c r="H614" s="66" t="n">
        <f>'Prediction Log'!$J615</f>
        <v>0</v>
      </c>
      <c r="I614" s="65" t="str">
        <f>IF(ISBLANK(Games!T614), "",IF(AND(Games!T614="",Games!U614=""),"",IF(ISTEXT(Games!U614), "Side",Games!T614)))</f>
      </c>
      <c r="J614" s="65" t="str">
        <f>IF(ISBLANK(Games!T614), "",IF(Table12[[#This Row],[Bet]]="Spread", Games!X614, ""))</f>
      </c>
      <c r="K614" s="65" t="str">
        <f>IF(ISBLANK(Games!U614), "",IF(ISTEXT(Games!U614), Games!U614, ""))</f>
      </c>
      <c r="L614" s="57" t="str">
        <f>IF(ISBLANK(Games!D614), "", Games!D614)</f>
      </c>
      <c r="M614" s="65"/>
      <c r="N614" s="75" t="str">
        <f>IF(Games!V614="", "",Games!V614)</f>
      </c>
      <c r="O614" s="75" t="str">
        <f>IF(Games!Z614=0, "",Games!Z614)</f>
      </c>
      <c r="P614" s="67"/>
      <c r="Q614" s="67" t="str">
        <f>IF(ISBLANK(Games!W614), "", Games!W614)</f>
      </c>
      <c r="R614" s="67" t="str">
        <f>IF(ISBLANK(Games!AA614), "", Games!AA614)</f>
      </c>
      <c r="S614" s="67"/>
      <c r="T614" s="68" t="str">
        <f t="shared" si="88"/>
      </c>
      <c r="U614" s="68" t="str">
        <f t="shared" si="89"/>
      </c>
      <c r="V614" s="68" t="str">
        <f t="shared" si="90"/>
      </c>
      <c r="W614" s="68" t="str">
        <f t="shared" si="91"/>
      </c>
      <c r="X614" s="68" t="n">
        <f t="shared" ref="X614:X677" si="93">P614+IF(S614&lt;0, (P614/(S614/-100)), P614*(S614/100))</f>
        <v>0</v>
      </c>
      <c r="Y614" s="68" t="n">
        <f t="shared" ref="Y614:Y677" si="94">S614-P614</f>
        <v>0</v>
      </c>
      <c r="Z614" s="67" t="str">
        <f>IF(OR('Prediction Log'!L615="", Table12[[#This Row],[Bet]]="", Table12[[#This Row],[Bet]]="Spread"), "",IF('Prediction Log'!L615=Table12[[#This Row],[Side]], "W", IF('Prediction Log'!L615&lt;&gt;Table12[[#This Row],[Side]], "L", "")))</f>
      </c>
      <c r="AA614" s="59" t="str">
        <f t="shared" ref="AA614:AA677" si="95">IF(Z614="W", U614, IF(Z614="L",-N614, ""))</f>
      </c>
      <c r="AB614" s="67" t="str">
        <f>IF(OR(Table12[[#This Row],[Bet]]="Side",Table12[[#This Row],[Bet]]="", 'Prediction Log'!L615=""), "",IF('Prediction Log'!U615="Y", "W", IF('Prediction Log'!U615="N", "L", "")))</f>
      </c>
      <c r="AC614" s="59" t="str">
        <f t="shared" si="87"/>
      </c>
      <c r="AD614" s="67"/>
      <c r="AE614" s="65" t="str">
        <f t="shared" si="92"/>
      </c>
      <c r="AF6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5">
      <c r="A615" s="65" t="str">
        <f>IF(ISBLANK(Games!A615), "", Games!A615)</f>
      </c>
      <c r="B615" s="65" t="str">
        <f>IF('Prediction Log'!B616=0, "",'Prediction Log'!B616)</f>
      </c>
      <c r="C615" s="65" t="str">
        <f>IF('Prediction Log'!C616=0, "",'Prediction Log'!C616)</f>
      </c>
      <c r="D615" s="65" t="str">
        <f>IF('Prediction Log'!D616=0, "",'Prediction Log'!D616)</f>
      </c>
      <c r="E615" s="58" t="str">
        <f>IF('Prediction Log'!E616=0, "",'Prediction Log'!E616)</f>
      </c>
      <c r="F615" s="65" t="str">
        <f>IF('Prediction Log'!H616=0, "",'Prediction Log'!H616)</f>
      </c>
      <c r="G615" s="64" t="str">
        <f>IF(ISBLANK(Games!B615), "",'Prediction Log'!$I616)</f>
      </c>
      <c r="H615" s="66" t="n">
        <f>'Prediction Log'!$J616</f>
        <v>0</v>
      </c>
      <c r="I615" s="65" t="str">
        <f>IF(ISBLANK(Games!T615), "",IF(AND(Games!T615="",Games!U615=""),"",IF(ISTEXT(Games!U615), "Side",Games!T615)))</f>
      </c>
      <c r="J615" s="65" t="str">
        <f>IF(ISBLANK(Games!T615), "",IF(Table12[[#This Row],[Bet]]="Spread", Games!X615, ""))</f>
      </c>
      <c r="K615" s="65" t="str">
        <f>IF(ISBLANK(Games!U615), "",IF(ISTEXT(Games!U615), Games!U615, ""))</f>
      </c>
      <c r="L615" s="57" t="str">
        <f>IF(ISBLANK(Games!D615), "", Games!D615)</f>
      </c>
      <c r="M615" s="65"/>
      <c r="N615" s="75" t="str">
        <f>IF(Games!V615="", "",Games!V615)</f>
      </c>
      <c r="O615" s="75" t="str">
        <f>IF(Games!Z615=0, "",Games!Z615)</f>
      </c>
      <c r="P615" s="67"/>
      <c r="Q615" s="67" t="str">
        <f>IF(ISBLANK(Games!W615), "", Games!W615)</f>
      </c>
      <c r="R615" s="67" t="str">
        <f>IF(ISBLANK(Games!AA615), "", Games!AA615)</f>
      </c>
      <c r="S615" s="67"/>
      <c r="T615" s="68" t="str">
        <f t="shared" si="88"/>
      </c>
      <c r="U615" s="68" t="str">
        <f t="shared" si="89"/>
      </c>
      <c r="V615" s="68" t="str">
        <f t="shared" si="90"/>
      </c>
      <c r="W615" s="68" t="str">
        <f t="shared" si="91"/>
      </c>
      <c r="X615" s="68" t="n">
        <f t="shared" si="93"/>
        <v>0</v>
      </c>
      <c r="Y615" s="68" t="n">
        <f t="shared" si="94"/>
        <v>0</v>
      </c>
      <c r="Z615" s="67" t="str">
        <f>IF(OR('Prediction Log'!L616="", Table12[[#This Row],[Bet]]="", Table12[[#This Row],[Bet]]="Spread"), "",IF('Prediction Log'!L616=Table12[[#This Row],[Side]], "W", IF('Prediction Log'!L616&lt;&gt;Table12[[#This Row],[Side]], "L", "")))</f>
      </c>
      <c r="AA615" s="59" t="str">
        <f t="shared" si="95"/>
      </c>
      <c r="AB615" s="67" t="str">
        <f>IF(OR(Table12[[#This Row],[Bet]]="Side",Table12[[#This Row],[Bet]]="", 'Prediction Log'!L616=""), "",IF('Prediction Log'!U616="Y", "W", IF('Prediction Log'!U616="N", "L", "")))</f>
      </c>
      <c r="AC615" s="59" t="str">
        <f t="shared" si="87"/>
      </c>
      <c r="AD615" s="67"/>
      <c r="AE615" s="65" t="str">
        <f t="shared" si="92"/>
      </c>
      <c r="AF6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6">
      <c r="A616" s="65" t="str">
        <f>IF(ISBLANK(Games!A616), "", Games!A616)</f>
      </c>
      <c r="B616" s="65" t="str">
        <f>IF('Prediction Log'!B617=0, "",'Prediction Log'!B617)</f>
      </c>
      <c r="C616" s="65" t="str">
        <f>IF('Prediction Log'!C617=0, "",'Prediction Log'!C617)</f>
      </c>
      <c r="D616" s="65" t="str">
        <f>IF('Prediction Log'!D617=0, "",'Prediction Log'!D617)</f>
      </c>
      <c r="E616" s="58" t="str">
        <f>IF('Prediction Log'!E617=0, "",'Prediction Log'!E617)</f>
      </c>
      <c r="F616" s="65" t="str">
        <f>IF('Prediction Log'!H617=0, "",'Prediction Log'!H617)</f>
      </c>
      <c r="G616" s="64" t="str">
        <f>IF(ISBLANK(Games!B616), "",'Prediction Log'!$I617)</f>
      </c>
      <c r="H616" s="66" t="n">
        <f>'Prediction Log'!$J617</f>
        <v>0</v>
      </c>
      <c r="I616" s="65" t="str">
        <f>IF(ISBLANK(Games!T616), "",IF(AND(Games!T616="",Games!U616=""),"",IF(ISTEXT(Games!U616), "Side",Games!T616)))</f>
      </c>
      <c r="J616" s="65" t="str">
        <f>IF(ISBLANK(Games!T616), "",IF(Table12[[#This Row],[Bet]]="Spread", Games!X616, ""))</f>
      </c>
      <c r="K616" s="65" t="str">
        <f>IF(ISBLANK(Games!U616), "",IF(ISTEXT(Games!U616), Games!U616, ""))</f>
      </c>
      <c r="L616" s="57" t="str">
        <f>IF(ISBLANK(Games!D616), "", Games!D616)</f>
      </c>
      <c r="M616" s="65"/>
      <c r="N616" s="75" t="str">
        <f>IF(Games!V616="", "",Games!V616)</f>
      </c>
      <c r="O616" s="75" t="str">
        <f>IF(Games!Z616=0, "",Games!Z616)</f>
      </c>
      <c r="P616" s="67"/>
      <c r="Q616" s="67" t="str">
        <f>IF(ISBLANK(Games!W616), "", Games!W616)</f>
      </c>
      <c r="R616" s="67" t="str">
        <f>IF(ISBLANK(Games!AA616), "", Games!AA616)</f>
      </c>
      <c r="S616" s="67"/>
      <c r="T616" s="68" t="str">
        <f t="shared" si="88"/>
      </c>
      <c r="U616" s="68" t="str">
        <f t="shared" si="89"/>
      </c>
      <c r="V616" s="68" t="str">
        <f t="shared" si="90"/>
      </c>
      <c r="W616" s="68" t="str">
        <f t="shared" si="91"/>
      </c>
      <c r="X616" s="68" t="n">
        <f t="shared" si="93"/>
        <v>0</v>
      </c>
      <c r="Y616" s="68" t="n">
        <f t="shared" si="94"/>
        <v>0</v>
      </c>
      <c r="Z616" s="67" t="str">
        <f>IF(OR('Prediction Log'!L617="", Table12[[#This Row],[Bet]]="", Table12[[#This Row],[Bet]]="Spread"), "",IF('Prediction Log'!L617=Table12[[#This Row],[Side]], "W", IF('Prediction Log'!L617&lt;&gt;Table12[[#This Row],[Side]], "L", "")))</f>
      </c>
      <c r="AA616" s="59" t="str">
        <f t="shared" si="95"/>
      </c>
      <c r="AB616" s="67" t="str">
        <f>IF(OR(Table12[[#This Row],[Bet]]="Side",Table12[[#This Row],[Bet]]="", 'Prediction Log'!L617=""), "",IF('Prediction Log'!U617="Y", "W", IF('Prediction Log'!U617="N", "L", "")))</f>
      </c>
      <c r="AC616" s="59" t="str">
        <f t="shared" si="87"/>
      </c>
      <c r="AD616" s="67"/>
      <c r="AE616" s="65" t="str">
        <f t="shared" si="92"/>
      </c>
      <c r="AF6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7">
      <c r="A617" s="65" t="str">
        <f>IF(ISBLANK(Games!A617), "", Games!A617)</f>
      </c>
      <c r="B617" s="65" t="str">
        <f>IF('Prediction Log'!B618=0, "",'Prediction Log'!B618)</f>
      </c>
      <c r="C617" s="65" t="str">
        <f>IF('Prediction Log'!C618=0, "",'Prediction Log'!C618)</f>
      </c>
      <c r="D617" s="65" t="str">
        <f>IF('Prediction Log'!D618=0, "",'Prediction Log'!D618)</f>
      </c>
      <c r="E617" s="58" t="str">
        <f>IF('Prediction Log'!E618=0, "",'Prediction Log'!E618)</f>
      </c>
      <c r="F617" s="65" t="str">
        <f>IF('Prediction Log'!H618=0, "",'Prediction Log'!H618)</f>
      </c>
      <c r="G617" s="64" t="str">
        <f>IF(ISBLANK(Games!B617), "",'Prediction Log'!$I618)</f>
      </c>
      <c r="H617" s="66" t="n">
        <f>'Prediction Log'!$J618</f>
        <v>0</v>
      </c>
      <c r="I617" s="65" t="str">
        <f>IF(ISBLANK(Games!T617), "",IF(AND(Games!T617="",Games!U617=""),"",IF(ISTEXT(Games!U617), "Side",Games!T617)))</f>
      </c>
      <c r="J617" s="65" t="str">
        <f>IF(ISBLANK(Games!T617), "",IF(Table12[[#This Row],[Bet]]="Spread", Games!X617, ""))</f>
      </c>
      <c r="K617" s="65" t="str">
        <f>IF(ISBLANK(Games!U617), "",IF(ISTEXT(Games!U617), Games!U617, ""))</f>
      </c>
      <c r="L617" s="57" t="str">
        <f>IF(ISBLANK(Games!D617), "", Games!D617)</f>
      </c>
      <c r="M617" s="65"/>
      <c r="N617" s="75" t="str">
        <f>IF(Games!V617="", "",Games!V617)</f>
      </c>
      <c r="O617" s="75" t="str">
        <f>IF(Games!Z617=0, "",Games!Z617)</f>
      </c>
      <c r="P617" s="67"/>
      <c r="Q617" s="67" t="str">
        <f>IF(ISBLANK(Games!W617), "", Games!W617)</f>
      </c>
      <c r="R617" s="67" t="str">
        <f>IF(ISBLANK(Games!AA617), "", Games!AA617)</f>
      </c>
      <c r="S617" s="67"/>
      <c r="T617" s="68" t="str">
        <f t="shared" si="88"/>
      </c>
      <c r="U617" s="68" t="str">
        <f t="shared" si="89"/>
      </c>
      <c r="V617" s="68" t="str">
        <f t="shared" si="90"/>
      </c>
      <c r="W617" s="68" t="str">
        <f t="shared" si="91"/>
      </c>
      <c r="X617" s="68" t="n">
        <f t="shared" si="93"/>
        <v>0</v>
      </c>
      <c r="Y617" s="68" t="n">
        <f t="shared" si="94"/>
        <v>0</v>
      </c>
      <c r="Z617" s="67" t="str">
        <f>IF(OR('Prediction Log'!L618="", Table12[[#This Row],[Bet]]="", Table12[[#This Row],[Bet]]="Spread"), "",IF('Prediction Log'!L618=Table12[[#This Row],[Side]], "W", IF('Prediction Log'!L618&lt;&gt;Table12[[#This Row],[Side]], "L", "")))</f>
      </c>
      <c r="AA617" s="59" t="str">
        <f t="shared" si="95"/>
      </c>
      <c r="AB617" s="67" t="str">
        <f>IF(OR(Table12[[#This Row],[Bet]]="Side",Table12[[#This Row],[Bet]]="", 'Prediction Log'!L618=""), "",IF('Prediction Log'!U618="Y", "W", IF('Prediction Log'!U618="N", "L", "")))</f>
      </c>
      <c r="AC617" s="59" t="str">
        <f t="shared" si="87"/>
      </c>
      <c r="AD617" s="67"/>
      <c r="AE617" s="65" t="str">
        <f t="shared" si="92"/>
      </c>
      <c r="AF6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8">
      <c r="A618" s="65" t="str">
        <f>IF(ISBLANK(Games!A618), "", Games!A618)</f>
      </c>
      <c r="B618" s="65" t="str">
        <f>IF('Prediction Log'!B619=0, "",'Prediction Log'!B619)</f>
      </c>
      <c r="C618" s="65" t="str">
        <f>IF('Prediction Log'!C619=0, "",'Prediction Log'!C619)</f>
      </c>
      <c r="D618" s="65" t="str">
        <f>IF('Prediction Log'!D619=0, "",'Prediction Log'!D619)</f>
      </c>
      <c r="E618" s="58" t="str">
        <f>IF('Prediction Log'!E619=0, "",'Prediction Log'!E619)</f>
      </c>
      <c r="F618" s="65" t="str">
        <f>IF('Prediction Log'!H619=0, "",'Prediction Log'!H619)</f>
      </c>
      <c r="G618" s="64" t="str">
        <f>IF(ISBLANK(Games!B618), "",'Prediction Log'!$I619)</f>
      </c>
      <c r="H618" s="66" t="n">
        <f>'Prediction Log'!$J619</f>
        <v>0</v>
      </c>
      <c r="I618" s="65" t="str">
        <f>IF(ISBLANK(Games!T618), "",IF(AND(Games!T618="",Games!U618=""),"",IF(ISTEXT(Games!U618), "Side",Games!T618)))</f>
      </c>
      <c r="J618" s="65" t="str">
        <f>IF(ISBLANK(Games!T618), "",IF(Table12[[#This Row],[Bet]]="Spread", Games!X618, ""))</f>
      </c>
      <c r="K618" s="65" t="str">
        <f>IF(ISBLANK(Games!U618), "",IF(ISTEXT(Games!U618), Games!U618, ""))</f>
      </c>
      <c r="L618" s="57" t="str">
        <f>IF(ISBLANK(Games!D618), "", Games!D618)</f>
      </c>
      <c r="M618" s="65"/>
      <c r="N618" s="75" t="str">
        <f>IF(Games!V618="", "",Games!V618)</f>
      </c>
      <c r="O618" s="75" t="str">
        <f>IF(Games!Z618=0, "",Games!Z618)</f>
      </c>
      <c r="P618" s="67"/>
      <c r="Q618" s="67" t="str">
        <f>IF(ISBLANK(Games!W618), "", Games!W618)</f>
      </c>
      <c r="R618" s="67" t="str">
        <f>IF(ISBLANK(Games!AA618), "", Games!AA618)</f>
      </c>
      <c r="S618" s="67"/>
      <c r="T618" s="68" t="str">
        <f t="shared" si="88"/>
      </c>
      <c r="U618" s="68" t="str">
        <f t="shared" si="89"/>
      </c>
      <c r="V618" s="68" t="str">
        <f t="shared" si="90"/>
      </c>
      <c r="W618" s="68" t="str">
        <f t="shared" si="91"/>
      </c>
      <c r="X618" s="68" t="n">
        <f t="shared" si="93"/>
        <v>0</v>
      </c>
      <c r="Y618" s="68" t="n">
        <f t="shared" si="94"/>
        <v>0</v>
      </c>
      <c r="Z618" s="67" t="str">
        <f>IF(OR('Prediction Log'!L619="", Table12[[#This Row],[Bet]]="", Table12[[#This Row],[Bet]]="Spread"), "",IF('Prediction Log'!L619=Table12[[#This Row],[Side]], "W", IF('Prediction Log'!L619&lt;&gt;Table12[[#This Row],[Side]], "L", "")))</f>
      </c>
      <c r="AA618" s="59" t="str">
        <f t="shared" si="95"/>
      </c>
      <c r="AB618" s="67" t="str">
        <f>IF(OR(Table12[[#This Row],[Bet]]="Side",Table12[[#This Row],[Bet]]="", 'Prediction Log'!L619=""), "",IF('Prediction Log'!U619="Y", "W", IF('Prediction Log'!U619="N", "L", "")))</f>
      </c>
      <c r="AC618" s="59" t="str">
        <f t="shared" si="87"/>
      </c>
      <c r="AD618" s="67"/>
      <c r="AE618" s="65" t="str">
        <f t="shared" si="92"/>
      </c>
      <c r="AF6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9">
      <c r="A619" s="65" t="str">
        <f>IF(ISBLANK(Games!A619), "", Games!A619)</f>
      </c>
      <c r="B619" s="65" t="str">
        <f>IF('Prediction Log'!B620=0, "",'Prediction Log'!B620)</f>
      </c>
      <c r="C619" s="65" t="str">
        <f>IF('Prediction Log'!C620=0, "",'Prediction Log'!C620)</f>
      </c>
      <c r="D619" s="65" t="str">
        <f>IF('Prediction Log'!D620=0, "",'Prediction Log'!D620)</f>
      </c>
      <c r="E619" s="58" t="str">
        <f>IF('Prediction Log'!E620=0, "",'Prediction Log'!E620)</f>
      </c>
      <c r="F619" s="65" t="str">
        <f>IF('Prediction Log'!H620=0, "",'Prediction Log'!H620)</f>
      </c>
      <c r="G619" s="64" t="str">
        <f>IF(ISBLANK(Games!B619), "",'Prediction Log'!$I620)</f>
      </c>
      <c r="H619" s="66" t="n">
        <f>'Prediction Log'!$J620</f>
        <v>0</v>
      </c>
      <c r="I619" s="65" t="str">
        <f>IF(ISBLANK(Games!T619), "",IF(AND(Games!T619="",Games!U619=""),"",IF(ISTEXT(Games!U619), "Side",Games!T619)))</f>
      </c>
      <c r="J619" s="65" t="str">
        <f>IF(ISBLANK(Games!T619), "",IF(Table12[[#This Row],[Bet]]="Spread", Games!X619, ""))</f>
      </c>
      <c r="K619" s="65" t="str">
        <f>IF(ISBLANK(Games!U619), "",IF(ISTEXT(Games!U619), Games!U619, ""))</f>
      </c>
      <c r="L619" s="57" t="str">
        <f>IF(ISBLANK(Games!D619), "", Games!D619)</f>
      </c>
      <c r="M619" s="65"/>
      <c r="N619" s="75" t="str">
        <f>IF(Games!V619="", "",Games!V619)</f>
      </c>
      <c r="O619" s="75" t="str">
        <f>IF(Games!Z619=0, "",Games!Z619)</f>
      </c>
      <c r="P619" s="67"/>
      <c r="Q619" s="67" t="str">
        <f>IF(ISBLANK(Games!W619), "", Games!W619)</f>
      </c>
      <c r="R619" s="67" t="str">
        <f>IF(ISBLANK(Games!AA619), "", Games!AA619)</f>
      </c>
      <c r="S619" s="67"/>
      <c r="T619" s="68" t="str">
        <f t="shared" si="88"/>
      </c>
      <c r="U619" s="68" t="str">
        <f t="shared" si="89"/>
      </c>
      <c r="V619" s="68" t="str">
        <f t="shared" si="90"/>
      </c>
      <c r="W619" s="68" t="str">
        <f t="shared" si="91"/>
      </c>
      <c r="X619" s="68" t="n">
        <f t="shared" si="93"/>
        <v>0</v>
      </c>
      <c r="Y619" s="68" t="n">
        <f t="shared" si="94"/>
        <v>0</v>
      </c>
      <c r="Z619" s="67" t="str">
        <f>IF(OR('Prediction Log'!L620="", Table12[[#This Row],[Bet]]="", Table12[[#This Row],[Bet]]="Spread"), "",IF('Prediction Log'!L620=Table12[[#This Row],[Side]], "W", IF('Prediction Log'!L620&lt;&gt;Table12[[#This Row],[Side]], "L", "")))</f>
      </c>
      <c r="AA619" s="59" t="str">
        <f t="shared" si="95"/>
      </c>
      <c r="AB619" s="67" t="str">
        <f>IF(OR(Table12[[#This Row],[Bet]]="Side",Table12[[#This Row],[Bet]]="", 'Prediction Log'!L620=""), "",IF('Prediction Log'!U620="Y", "W", IF('Prediction Log'!U620="N", "L", "")))</f>
      </c>
      <c r="AC619" s="59" t="str">
        <f t="shared" si="87"/>
      </c>
      <c r="AD619" s="67"/>
      <c r="AE619" s="65" t="str">
        <f t="shared" si="92"/>
      </c>
      <c r="AF6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0">
      <c r="A620" s="65" t="str">
        <f>IF(ISBLANK(Games!A620), "", Games!A620)</f>
      </c>
      <c r="B620" s="65" t="str">
        <f>IF('Prediction Log'!B621=0, "",'Prediction Log'!B621)</f>
      </c>
      <c r="C620" s="65" t="str">
        <f>IF('Prediction Log'!C621=0, "",'Prediction Log'!C621)</f>
      </c>
      <c r="D620" s="65" t="str">
        <f>IF('Prediction Log'!D621=0, "",'Prediction Log'!D621)</f>
      </c>
      <c r="E620" s="58" t="str">
        <f>IF('Prediction Log'!E621=0, "",'Prediction Log'!E621)</f>
      </c>
      <c r="F620" s="65" t="str">
        <f>IF('Prediction Log'!H621=0, "",'Prediction Log'!H621)</f>
      </c>
      <c r="G620" s="64" t="str">
        <f>IF(ISBLANK(Games!B620), "",'Prediction Log'!$I621)</f>
      </c>
      <c r="H620" s="66" t="n">
        <f>'Prediction Log'!$J621</f>
        <v>0</v>
      </c>
      <c r="I620" s="65" t="str">
        <f>IF(ISBLANK(Games!T620), "",IF(AND(Games!T620="",Games!U620=""),"",IF(ISTEXT(Games!U620), "Side",Games!T620)))</f>
      </c>
      <c r="J620" s="65" t="str">
        <f>IF(ISBLANK(Games!T620), "",IF(Table12[[#This Row],[Bet]]="Spread", Games!X620, ""))</f>
      </c>
      <c r="K620" s="65" t="str">
        <f>IF(ISBLANK(Games!U620), "",IF(ISTEXT(Games!U620), Games!U620, ""))</f>
      </c>
      <c r="L620" s="57" t="str">
        <f>IF(ISBLANK(Games!D620), "", Games!D620)</f>
      </c>
      <c r="M620" s="65"/>
      <c r="N620" s="75" t="str">
        <f>IF(Games!V620="", "",Games!V620)</f>
      </c>
      <c r="O620" s="75" t="str">
        <f>IF(Games!Z620=0, "",Games!Z620)</f>
      </c>
      <c r="P620" s="67"/>
      <c r="Q620" s="67" t="str">
        <f>IF(ISBLANK(Games!W620), "", Games!W620)</f>
      </c>
      <c r="R620" s="67" t="str">
        <f>IF(ISBLANK(Games!AA620), "", Games!AA620)</f>
      </c>
      <c r="S620" s="67"/>
      <c r="T620" s="68" t="str">
        <f t="shared" si="88"/>
      </c>
      <c r="U620" s="68" t="str">
        <f t="shared" si="89"/>
      </c>
      <c r="V620" s="68" t="str">
        <f t="shared" si="90"/>
      </c>
      <c r="W620" s="68" t="str">
        <f t="shared" si="91"/>
      </c>
      <c r="X620" s="68" t="n">
        <f t="shared" si="93"/>
        <v>0</v>
      </c>
      <c r="Y620" s="68" t="n">
        <f t="shared" si="94"/>
        <v>0</v>
      </c>
      <c r="Z620" s="67" t="str">
        <f>IF(OR('Prediction Log'!L621="", Table12[[#This Row],[Bet]]="", Table12[[#This Row],[Bet]]="Spread"), "",IF('Prediction Log'!L621=Table12[[#This Row],[Side]], "W", IF('Prediction Log'!L621&lt;&gt;Table12[[#This Row],[Side]], "L", "")))</f>
      </c>
      <c r="AA620" s="59" t="str">
        <f t="shared" si="95"/>
      </c>
      <c r="AB620" s="67" t="str">
        <f>IF(OR(Table12[[#This Row],[Bet]]="Side",Table12[[#This Row],[Bet]]="", 'Prediction Log'!L621=""), "",IF('Prediction Log'!U621="Y", "W", IF('Prediction Log'!U621="N", "L", "")))</f>
      </c>
      <c r="AC620" s="59" t="str">
        <f t="shared" si="87"/>
      </c>
      <c r="AD620" s="67"/>
      <c r="AE620" s="65" t="str">
        <f t="shared" si="92"/>
      </c>
      <c r="AF6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1">
      <c r="A621" s="65" t="str">
        <f>IF(ISBLANK(Games!A621), "", Games!A621)</f>
      </c>
      <c r="B621" s="65" t="str">
        <f>IF('Prediction Log'!B622=0, "",'Prediction Log'!B622)</f>
      </c>
      <c r="C621" s="65" t="str">
        <f>IF('Prediction Log'!C622=0, "",'Prediction Log'!C622)</f>
      </c>
      <c r="D621" s="65" t="str">
        <f>IF('Prediction Log'!D622=0, "",'Prediction Log'!D622)</f>
      </c>
      <c r="E621" s="58" t="str">
        <f>IF('Prediction Log'!E622=0, "",'Prediction Log'!E622)</f>
      </c>
      <c r="F621" s="65" t="str">
        <f>IF('Prediction Log'!H622=0, "",'Prediction Log'!H622)</f>
      </c>
      <c r="G621" s="64" t="str">
        <f>IF(ISBLANK(Games!B621), "",'Prediction Log'!$I622)</f>
      </c>
      <c r="H621" s="66" t="n">
        <f>'Prediction Log'!$J622</f>
        <v>0</v>
      </c>
      <c r="I621" s="65" t="str">
        <f>IF(ISBLANK(Games!T621), "",IF(AND(Games!T621="",Games!U621=""),"",IF(ISTEXT(Games!U621), "Side",Games!T621)))</f>
      </c>
      <c r="J621" s="65" t="str">
        <f>IF(ISBLANK(Games!T621), "",IF(Table12[[#This Row],[Bet]]="Spread", Games!X621, ""))</f>
      </c>
      <c r="K621" s="65" t="str">
        <f>IF(ISBLANK(Games!U621), "",IF(ISTEXT(Games!U621), Games!U621, ""))</f>
      </c>
      <c r="L621" s="57" t="str">
        <f>IF(ISBLANK(Games!D621), "", Games!D621)</f>
      </c>
      <c r="M621" s="65"/>
      <c r="N621" s="75" t="str">
        <f>IF(Games!V621="", "",Games!V621)</f>
      </c>
      <c r="O621" s="75" t="str">
        <f>IF(Games!Z621=0, "",Games!Z621)</f>
      </c>
      <c r="P621" s="67"/>
      <c r="Q621" s="67" t="str">
        <f>IF(ISBLANK(Games!W621), "", Games!W621)</f>
      </c>
      <c r="R621" s="67" t="str">
        <f>IF(ISBLANK(Games!AA621), "", Games!AA621)</f>
      </c>
      <c r="S621" s="67"/>
      <c r="T621" s="68" t="str">
        <f t="shared" si="88"/>
      </c>
      <c r="U621" s="68" t="str">
        <f t="shared" si="89"/>
      </c>
      <c r="V621" s="68" t="str">
        <f t="shared" si="90"/>
      </c>
      <c r="W621" s="68" t="str">
        <f t="shared" si="91"/>
      </c>
      <c r="X621" s="68" t="n">
        <f t="shared" si="93"/>
        <v>0</v>
      </c>
      <c r="Y621" s="68" t="n">
        <f t="shared" si="94"/>
        <v>0</v>
      </c>
      <c r="Z621" s="67" t="str">
        <f>IF(OR('Prediction Log'!L622="", Table12[[#This Row],[Bet]]="", Table12[[#This Row],[Bet]]="Spread"), "",IF('Prediction Log'!L622=Table12[[#This Row],[Side]], "W", IF('Prediction Log'!L622&lt;&gt;Table12[[#This Row],[Side]], "L", "")))</f>
      </c>
      <c r="AA621" s="59" t="str">
        <f t="shared" si="95"/>
      </c>
      <c r="AB621" s="67" t="str">
        <f>IF(OR(Table12[[#This Row],[Bet]]="Side",Table12[[#This Row],[Bet]]="", 'Prediction Log'!L622=""), "",IF('Prediction Log'!U622="Y", "W", IF('Prediction Log'!U622="N", "L", "")))</f>
      </c>
      <c r="AC621" s="59" t="str">
        <f t="shared" si="87"/>
      </c>
      <c r="AD621" s="67"/>
      <c r="AE621" s="65" t="str">
        <f t="shared" si="92"/>
      </c>
      <c r="AF6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2">
      <c r="A622" s="65" t="str">
        <f>IF(ISBLANK(Games!A622), "", Games!A622)</f>
      </c>
      <c r="B622" s="65" t="str">
        <f>IF('Prediction Log'!B623=0, "",'Prediction Log'!B623)</f>
      </c>
      <c r="C622" s="65" t="str">
        <f>IF('Prediction Log'!C623=0, "",'Prediction Log'!C623)</f>
      </c>
      <c r="D622" s="65" t="str">
        <f>IF('Prediction Log'!D623=0, "",'Prediction Log'!D623)</f>
      </c>
      <c r="E622" s="58" t="str">
        <f>IF('Prediction Log'!E623=0, "",'Prediction Log'!E623)</f>
      </c>
      <c r="F622" s="65" t="str">
        <f>IF('Prediction Log'!H623=0, "",'Prediction Log'!H623)</f>
      </c>
      <c r="G622" s="64" t="str">
        <f>IF(ISBLANK(Games!B622), "",'Prediction Log'!$I623)</f>
      </c>
      <c r="H622" s="66" t="n">
        <f>'Prediction Log'!$J623</f>
        <v>0</v>
      </c>
      <c r="I622" s="65" t="str">
        <f>IF(ISBLANK(Games!T622), "",IF(AND(Games!T622="",Games!U622=""),"",IF(ISTEXT(Games!U622), "Side",Games!T622)))</f>
      </c>
      <c r="J622" s="65" t="str">
        <f>IF(ISBLANK(Games!T622), "",IF(Table12[[#This Row],[Bet]]="Spread", Games!X622, ""))</f>
      </c>
      <c r="K622" s="65" t="str">
        <f>IF(ISBLANK(Games!U622), "",IF(ISTEXT(Games!U622), Games!U622, ""))</f>
      </c>
      <c r="L622" s="57" t="str">
        <f>IF(ISBLANK(Games!D622), "", Games!D622)</f>
      </c>
      <c r="M622" s="65"/>
      <c r="N622" s="75" t="str">
        <f>IF(Games!V622="", "",Games!V622)</f>
      </c>
      <c r="O622" s="75" t="str">
        <f>IF(Games!Z622=0, "",Games!Z622)</f>
      </c>
      <c r="P622" s="67"/>
      <c r="Q622" s="67" t="str">
        <f>IF(ISBLANK(Games!W622), "", Games!W622)</f>
      </c>
      <c r="R622" s="67" t="str">
        <f>IF(ISBLANK(Games!AA622), "", Games!AA622)</f>
      </c>
      <c r="S622" s="67"/>
      <c r="T622" s="68" t="str">
        <f t="shared" si="88"/>
      </c>
      <c r="U622" s="68" t="str">
        <f t="shared" si="89"/>
      </c>
      <c r="V622" s="68" t="str">
        <f t="shared" si="90"/>
      </c>
      <c r="W622" s="68" t="str">
        <f t="shared" si="91"/>
      </c>
      <c r="X622" s="68" t="n">
        <f t="shared" si="93"/>
        <v>0</v>
      </c>
      <c r="Y622" s="68" t="n">
        <f t="shared" si="94"/>
        <v>0</v>
      </c>
      <c r="Z622" s="67" t="str">
        <f>IF(OR('Prediction Log'!L623="", Table12[[#This Row],[Bet]]="", Table12[[#This Row],[Bet]]="Spread"), "",IF('Prediction Log'!L623=Table12[[#This Row],[Side]], "W", IF('Prediction Log'!L623&lt;&gt;Table12[[#This Row],[Side]], "L", "")))</f>
      </c>
      <c r="AA622" s="59" t="str">
        <f t="shared" si="95"/>
      </c>
      <c r="AB622" s="67" t="str">
        <f>IF(OR(Table12[[#This Row],[Bet]]="Side",Table12[[#This Row],[Bet]]="", 'Prediction Log'!L623=""), "",IF('Prediction Log'!U623="Y", "W", IF('Prediction Log'!U623="N", "L", "")))</f>
      </c>
      <c r="AC622" s="59" t="str">
        <f t="shared" si="87"/>
      </c>
      <c r="AD622" s="67"/>
      <c r="AE622" s="65" t="str">
        <f t="shared" si="92"/>
      </c>
      <c r="AF6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3">
      <c r="A623" s="65" t="str">
        <f>IF(ISBLANK(Games!A623), "", Games!A623)</f>
      </c>
      <c r="B623" s="65" t="str">
        <f>IF('Prediction Log'!B624=0, "",'Prediction Log'!B624)</f>
      </c>
      <c r="C623" s="65" t="str">
        <f>IF('Prediction Log'!C624=0, "",'Prediction Log'!C624)</f>
      </c>
      <c r="D623" s="65" t="str">
        <f>IF('Prediction Log'!D624=0, "",'Prediction Log'!D624)</f>
      </c>
      <c r="E623" s="58" t="str">
        <f>IF('Prediction Log'!E624=0, "",'Prediction Log'!E624)</f>
      </c>
      <c r="F623" s="65" t="str">
        <f>IF('Prediction Log'!H624=0, "",'Prediction Log'!H624)</f>
      </c>
      <c r="G623" s="64" t="str">
        <f>IF(ISBLANK(Games!B623), "",'Prediction Log'!$I624)</f>
      </c>
      <c r="H623" s="66" t="n">
        <f>'Prediction Log'!$J624</f>
        <v>0</v>
      </c>
      <c r="I623" s="65" t="str">
        <f>IF(ISBLANK(Games!T623), "",IF(AND(Games!T623="",Games!U623=""),"",IF(ISTEXT(Games!U623), "Side",Games!T623)))</f>
      </c>
      <c r="J623" s="65" t="str">
        <f>IF(ISBLANK(Games!T623), "",IF(Table12[[#This Row],[Bet]]="Spread", Games!X623, ""))</f>
      </c>
      <c r="K623" s="65" t="str">
        <f>IF(ISBLANK(Games!U623), "",IF(ISTEXT(Games!U623), Games!U623, ""))</f>
      </c>
      <c r="L623" s="57" t="str">
        <f>IF(ISBLANK(Games!D623), "", Games!D623)</f>
      </c>
      <c r="M623" s="65"/>
      <c r="N623" s="75" t="str">
        <f>IF(Games!V623="", "",Games!V623)</f>
      </c>
      <c r="O623" s="75" t="str">
        <f>IF(Games!Z623=0, "",Games!Z623)</f>
      </c>
      <c r="P623" s="67"/>
      <c r="Q623" s="67" t="str">
        <f>IF(ISBLANK(Games!W623), "", Games!W623)</f>
      </c>
      <c r="R623" s="67" t="str">
        <f>IF(ISBLANK(Games!AA623), "", Games!AA623)</f>
      </c>
      <c r="S623" s="67"/>
      <c r="T623" s="68" t="str">
        <f t="shared" si="88"/>
      </c>
      <c r="U623" s="68" t="str">
        <f t="shared" si="89"/>
      </c>
      <c r="V623" s="68" t="str">
        <f t="shared" si="90"/>
      </c>
      <c r="W623" s="68" t="str">
        <f t="shared" si="91"/>
      </c>
      <c r="X623" s="68" t="n">
        <f t="shared" si="93"/>
        <v>0</v>
      </c>
      <c r="Y623" s="68" t="n">
        <f t="shared" si="94"/>
        <v>0</v>
      </c>
      <c r="Z623" s="67" t="str">
        <f>IF(OR('Prediction Log'!L624="", Table12[[#This Row],[Bet]]="", Table12[[#This Row],[Bet]]="Spread"), "",IF('Prediction Log'!L624=Table12[[#This Row],[Side]], "W", IF('Prediction Log'!L624&lt;&gt;Table12[[#This Row],[Side]], "L", "")))</f>
      </c>
      <c r="AA623" s="59" t="str">
        <f t="shared" si="95"/>
      </c>
      <c r="AB623" s="67" t="str">
        <f>IF(OR(Table12[[#This Row],[Bet]]="Side",Table12[[#This Row],[Bet]]="", 'Prediction Log'!L624=""), "",IF('Prediction Log'!U624="Y", "W", IF('Prediction Log'!U624="N", "L", "")))</f>
      </c>
      <c r="AC623" s="59" t="str">
        <f t="shared" si="87"/>
      </c>
      <c r="AD623" s="67"/>
      <c r="AE623" s="65" t="str">
        <f t="shared" si="92"/>
      </c>
      <c r="AF6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4">
      <c r="A624" s="65" t="str">
        <f>IF(ISBLANK(Games!A624), "", Games!A624)</f>
      </c>
      <c r="B624" s="65" t="str">
        <f>IF('Prediction Log'!B625=0, "",'Prediction Log'!B625)</f>
      </c>
      <c r="C624" s="65" t="str">
        <f>IF('Prediction Log'!C625=0, "",'Prediction Log'!C625)</f>
      </c>
      <c r="D624" s="65" t="str">
        <f>IF('Prediction Log'!D625=0, "",'Prediction Log'!D625)</f>
      </c>
      <c r="E624" s="58" t="str">
        <f>IF('Prediction Log'!E625=0, "",'Prediction Log'!E625)</f>
      </c>
      <c r="F624" s="65" t="str">
        <f>IF('Prediction Log'!H625=0, "",'Prediction Log'!H625)</f>
      </c>
      <c r="G624" s="64" t="str">
        <f>IF(ISBLANK(Games!B624), "",'Prediction Log'!$I625)</f>
      </c>
      <c r="H624" s="66" t="n">
        <f>'Prediction Log'!$J625</f>
        <v>0</v>
      </c>
      <c r="I624" s="65" t="str">
        <f>IF(ISBLANK(Games!T624), "",IF(AND(Games!T624="",Games!U624=""),"",IF(ISTEXT(Games!U624), "Side",Games!T624)))</f>
      </c>
      <c r="J624" s="65" t="str">
        <f>IF(ISBLANK(Games!T624), "",IF(Table12[[#This Row],[Bet]]="Spread", Games!X624, ""))</f>
      </c>
      <c r="K624" s="65" t="str">
        <f>IF(ISBLANK(Games!U624), "",IF(ISTEXT(Games!U624), Games!U624, ""))</f>
      </c>
      <c r="L624" s="57" t="str">
        <f>IF(ISBLANK(Games!D624), "", Games!D624)</f>
      </c>
      <c r="M624" s="65"/>
      <c r="N624" s="75" t="str">
        <f>IF(Games!V624="", "",Games!V624)</f>
      </c>
      <c r="O624" s="75" t="str">
        <f>IF(Games!Z624=0, "",Games!Z624)</f>
      </c>
      <c r="P624" s="67"/>
      <c r="Q624" s="67" t="str">
        <f>IF(ISBLANK(Games!W624), "", Games!W624)</f>
      </c>
      <c r="R624" s="67" t="str">
        <f>IF(ISBLANK(Games!AA624), "", Games!AA624)</f>
      </c>
      <c r="S624" s="67"/>
      <c r="T624" s="68" t="str">
        <f t="shared" si="88"/>
      </c>
      <c r="U624" s="68" t="str">
        <f t="shared" si="89"/>
      </c>
      <c r="V624" s="68" t="str">
        <f t="shared" si="90"/>
      </c>
      <c r="W624" s="68" t="str">
        <f t="shared" si="91"/>
      </c>
      <c r="X624" s="68" t="n">
        <f t="shared" si="93"/>
        <v>0</v>
      </c>
      <c r="Y624" s="68" t="n">
        <f t="shared" si="94"/>
        <v>0</v>
      </c>
      <c r="Z624" s="67" t="str">
        <f>IF(OR('Prediction Log'!L625="", Table12[[#This Row],[Bet]]="", Table12[[#This Row],[Bet]]="Spread"), "",IF('Prediction Log'!L625=Table12[[#This Row],[Side]], "W", IF('Prediction Log'!L625&lt;&gt;Table12[[#This Row],[Side]], "L", "")))</f>
      </c>
      <c r="AA624" s="59" t="str">
        <f t="shared" si="95"/>
      </c>
      <c r="AB624" s="67" t="str">
        <f>IF(OR(Table12[[#This Row],[Bet]]="Side",Table12[[#This Row],[Bet]]="", 'Prediction Log'!L625=""), "",IF('Prediction Log'!U625="Y", "W", IF('Prediction Log'!U625="N", "L", "")))</f>
      </c>
      <c r="AC624" s="59" t="str">
        <f t="shared" si="87"/>
      </c>
      <c r="AD624" s="67"/>
      <c r="AE624" s="65" t="str">
        <f t="shared" si="92"/>
      </c>
      <c r="AF6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5">
      <c r="A625" s="65" t="str">
        <f>IF(ISBLANK(Games!A625), "", Games!A625)</f>
      </c>
      <c r="B625" s="65" t="str">
        <f>IF('Prediction Log'!B626=0, "",'Prediction Log'!B626)</f>
      </c>
      <c r="C625" s="65" t="str">
        <f>IF('Prediction Log'!C626=0, "",'Prediction Log'!C626)</f>
      </c>
      <c r="D625" s="65" t="str">
        <f>IF('Prediction Log'!D626=0, "",'Prediction Log'!D626)</f>
      </c>
      <c r="E625" s="58" t="str">
        <f>IF('Prediction Log'!E626=0, "",'Prediction Log'!E626)</f>
      </c>
      <c r="F625" s="65" t="str">
        <f>IF('Prediction Log'!H626=0, "",'Prediction Log'!H626)</f>
      </c>
      <c r="G625" s="64" t="str">
        <f>IF(ISBLANK(Games!B625), "",'Prediction Log'!$I626)</f>
      </c>
      <c r="H625" s="66" t="n">
        <f>'Prediction Log'!$J626</f>
        <v>0</v>
      </c>
      <c r="I625" s="65" t="str">
        <f>IF(ISBLANK(Games!T625), "",IF(AND(Games!T625="",Games!U625=""),"",IF(ISTEXT(Games!U625), "Side",Games!T625)))</f>
      </c>
      <c r="J625" s="65" t="str">
        <f>IF(ISBLANK(Games!T625), "",IF(Table12[[#This Row],[Bet]]="Spread", Games!X625, ""))</f>
      </c>
      <c r="K625" s="65" t="str">
        <f>IF(ISBLANK(Games!U625), "",IF(ISTEXT(Games!U625), Games!U625, ""))</f>
      </c>
      <c r="L625" s="57" t="str">
        <f>IF(ISBLANK(Games!D625), "", Games!D625)</f>
      </c>
      <c r="M625" s="65"/>
      <c r="N625" s="75" t="str">
        <f>IF(Games!V625="", "",Games!V625)</f>
      </c>
      <c r="O625" s="75" t="str">
        <f>IF(Games!Z625=0, "",Games!Z625)</f>
      </c>
      <c r="P625" s="67"/>
      <c r="Q625" s="67" t="str">
        <f>IF(ISBLANK(Games!W625), "", Games!W625)</f>
      </c>
      <c r="R625" s="67" t="str">
        <f>IF(ISBLANK(Games!AA625), "", Games!AA625)</f>
      </c>
      <c r="S625" s="67"/>
      <c r="T625" s="68" t="str">
        <f t="shared" si="88"/>
      </c>
      <c r="U625" s="68" t="str">
        <f t="shared" si="89"/>
      </c>
      <c r="V625" s="68" t="str">
        <f t="shared" si="90"/>
      </c>
      <c r="W625" s="68" t="str">
        <f t="shared" si="91"/>
      </c>
      <c r="X625" s="68" t="n">
        <f t="shared" si="93"/>
        <v>0</v>
      </c>
      <c r="Y625" s="68" t="n">
        <f t="shared" si="94"/>
        <v>0</v>
      </c>
      <c r="Z625" s="67" t="str">
        <f>IF(OR('Prediction Log'!L626="", Table12[[#This Row],[Bet]]="", Table12[[#This Row],[Bet]]="Spread"), "",IF('Prediction Log'!L626=Table12[[#This Row],[Side]], "W", IF('Prediction Log'!L626&lt;&gt;Table12[[#This Row],[Side]], "L", "")))</f>
      </c>
      <c r="AA625" s="59" t="str">
        <f t="shared" si="95"/>
      </c>
      <c r="AB625" s="67" t="str">
        <f>IF(OR(Table12[[#This Row],[Bet]]="Side",Table12[[#This Row],[Bet]]="", 'Prediction Log'!L626=""), "",IF('Prediction Log'!U626="Y", "W", IF('Prediction Log'!U626="N", "L", "")))</f>
      </c>
      <c r="AC625" s="59" t="str">
        <f t="shared" si="87"/>
      </c>
      <c r="AD625" s="67"/>
      <c r="AE625" s="65" t="str">
        <f t="shared" si="92"/>
      </c>
      <c r="AF6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6">
      <c r="A626" s="65" t="str">
        <f>IF(ISBLANK(Games!A626), "", Games!A626)</f>
      </c>
      <c r="B626" s="65" t="str">
        <f>IF('Prediction Log'!B627=0, "",'Prediction Log'!B627)</f>
      </c>
      <c r="C626" s="65" t="str">
        <f>IF('Prediction Log'!C627=0, "",'Prediction Log'!C627)</f>
      </c>
      <c r="D626" s="65" t="str">
        <f>IF('Prediction Log'!D627=0, "",'Prediction Log'!D627)</f>
      </c>
      <c r="E626" s="58" t="str">
        <f>IF('Prediction Log'!E627=0, "",'Prediction Log'!E627)</f>
      </c>
      <c r="F626" s="65" t="str">
        <f>IF('Prediction Log'!H627=0, "",'Prediction Log'!H627)</f>
      </c>
      <c r="G626" s="64" t="str">
        <f>IF(ISBLANK(Games!B626), "",'Prediction Log'!$I627)</f>
      </c>
      <c r="H626" s="66" t="n">
        <f>'Prediction Log'!$J627</f>
        <v>0</v>
      </c>
      <c r="I626" s="65" t="str">
        <f>IF(ISBLANK(Games!T626), "",IF(AND(Games!T626="",Games!U626=""),"",IF(ISTEXT(Games!U626), "Side",Games!T626)))</f>
      </c>
      <c r="J626" s="65" t="str">
        <f>IF(ISBLANK(Games!T626), "",IF(Table12[[#This Row],[Bet]]="Spread", Games!X626, ""))</f>
      </c>
      <c r="K626" s="65" t="str">
        <f>IF(ISBLANK(Games!U626), "",IF(ISTEXT(Games!U626), Games!U626, ""))</f>
      </c>
      <c r="L626" s="57" t="str">
        <f>IF(ISBLANK(Games!D626), "", Games!D626)</f>
      </c>
      <c r="M626" s="65"/>
      <c r="N626" s="75" t="str">
        <f>IF(Games!V626="", "",Games!V626)</f>
      </c>
      <c r="O626" s="75" t="str">
        <f>IF(Games!Z626=0, "",Games!Z626)</f>
      </c>
      <c r="P626" s="67"/>
      <c r="Q626" s="67" t="str">
        <f>IF(ISBLANK(Games!W626), "", Games!W626)</f>
      </c>
      <c r="R626" s="67" t="str">
        <f>IF(ISBLANK(Games!AA626), "", Games!AA626)</f>
      </c>
      <c r="S626" s="67"/>
      <c r="T626" s="68" t="str">
        <f t="shared" si="88"/>
      </c>
      <c r="U626" s="68" t="str">
        <f t="shared" si="89"/>
      </c>
      <c r="V626" s="68" t="str">
        <f t="shared" si="90"/>
      </c>
      <c r="W626" s="68" t="str">
        <f t="shared" si="91"/>
      </c>
      <c r="X626" s="68" t="n">
        <f t="shared" si="93"/>
        <v>0</v>
      </c>
      <c r="Y626" s="68" t="n">
        <f t="shared" si="94"/>
        <v>0</v>
      </c>
      <c r="Z626" s="67" t="str">
        <f>IF(OR('Prediction Log'!L627="", Table12[[#This Row],[Bet]]="", Table12[[#This Row],[Bet]]="Spread"), "",IF('Prediction Log'!L627=Table12[[#This Row],[Side]], "W", IF('Prediction Log'!L627&lt;&gt;Table12[[#This Row],[Side]], "L", "")))</f>
      </c>
      <c r="AA626" s="59" t="str">
        <f t="shared" si="95"/>
      </c>
      <c r="AB626" s="67" t="str">
        <f>IF(OR(Table12[[#This Row],[Bet]]="Side",Table12[[#This Row],[Bet]]="", 'Prediction Log'!L627=""), "",IF('Prediction Log'!U627="Y", "W", IF('Prediction Log'!U627="N", "L", "")))</f>
      </c>
      <c r="AC626" s="59" t="str">
        <f t="shared" si="87"/>
      </c>
      <c r="AD626" s="67"/>
      <c r="AE626" s="65" t="str">
        <f t="shared" si="92"/>
      </c>
      <c r="AF6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7">
      <c r="A627" s="65" t="str">
        <f>IF(ISBLANK(Games!A627), "", Games!A627)</f>
      </c>
      <c r="B627" s="65" t="str">
        <f>IF('Prediction Log'!B628=0, "",'Prediction Log'!B628)</f>
      </c>
      <c r="C627" s="65" t="str">
        <f>IF('Prediction Log'!C628=0, "",'Prediction Log'!C628)</f>
      </c>
      <c r="D627" s="65" t="str">
        <f>IF('Prediction Log'!D628=0, "",'Prediction Log'!D628)</f>
      </c>
      <c r="E627" s="58" t="str">
        <f>IF('Prediction Log'!E628=0, "",'Prediction Log'!E628)</f>
      </c>
      <c r="F627" s="65" t="str">
        <f>IF('Prediction Log'!H628=0, "",'Prediction Log'!H628)</f>
      </c>
      <c r="G627" s="64" t="str">
        <f>IF(ISBLANK(Games!B627), "",'Prediction Log'!$I628)</f>
      </c>
      <c r="H627" s="66" t="n">
        <f>'Prediction Log'!$J628</f>
        <v>0</v>
      </c>
      <c r="I627" s="65" t="str">
        <f>IF(ISBLANK(Games!T627), "",IF(AND(Games!T627="",Games!U627=""),"",IF(ISTEXT(Games!U627), "Side",Games!T627)))</f>
      </c>
      <c r="J627" s="65" t="str">
        <f>IF(ISBLANK(Games!T627), "",IF(Table12[[#This Row],[Bet]]="Spread", Games!X627, ""))</f>
      </c>
      <c r="K627" s="65" t="str">
        <f>IF(ISBLANK(Games!U627), "",IF(ISTEXT(Games!U627), Games!U627, ""))</f>
      </c>
      <c r="L627" s="57" t="str">
        <f>IF(ISBLANK(Games!D627), "", Games!D627)</f>
      </c>
      <c r="M627" s="65"/>
      <c r="N627" s="75" t="str">
        <f>IF(Games!V627="", "",Games!V627)</f>
      </c>
      <c r="O627" s="75" t="str">
        <f>IF(Games!Z627=0, "",Games!Z627)</f>
      </c>
      <c r="P627" s="67"/>
      <c r="Q627" s="67" t="str">
        <f>IF(ISBLANK(Games!W627), "", Games!W627)</f>
      </c>
      <c r="R627" s="67" t="str">
        <f>IF(ISBLANK(Games!AA627), "", Games!AA627)</f>
      </c>
      <c r="S627" s="67"/>
      <c r="T627" s="68" t="str">
        <f t="shared" si="88"/>
      </c>
      <c r="U627" s="68" t="str">
        <f t="shared" si="89"/>
      </c>
      <c r="V627" s="68" t="str">
        <f t="shared" si="90"/>
      </c>
      <c r="W627" s="68" t="str">
        <f t="shared" si="91"/>
      </c>
      <c r="X627" s="68" t="n">
        <f t="shared" si="93"/>
        <v>0</v>
      </c>
      <c r="Y627" s="68" t="n">
        <f t="shared" si="94"/>
        <v>0</v>
      </c>
      <c r="Z627" s="67" t="str">
        <f>IF(OR('Prediction Log'!L628="", Table12[[#This Row],[Bet]]="", Table12[[#This Row],[Bet]]="Spread"), "",IF('Prediction Log'!L628=Table12[[#This Row],[Side]], "W", IF('Prediction Log'!L628&lt;&gt;Table12[[#This Row],[Side]], "L", "")))</f>
      </c>
      <c r="AA627" s="59" t="str">
        <f t="shared" si="95"/>
      </c>
      <c r="AB627" s="67" t="str">
        <f>IF(OR(Table12[[#This Row],[Bet]]="Side",Table12[[#This Row],[Bet]]="", 'Prediction Log'!L628=""), "",IF('Prediction Log'!U628="Y", "W", IF('Prediction Log'!U628="N", "L", "")))</f>
      </c>
      <c r="AC627" s="59" t="str">
        <f t="shared" si="87"/>
      </c>
      <c r="AD627" s="67"/>
      <c r="AE627" s="65" t="str">
        <f t="shared" si="92"/>
      </c>
      <c r="AF6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8">
      <c r="A628" s="65" t="str">
        <f>IF(ISBLANK(Games!A628), "", Games!A628)</f>
      </c>
      <c r="B628" s="65" t="str">
        <f>IF('Prediction Log'!B629=0, "",'Prediction Log'!B629)</f>
      </c>
      <c r="C628" s="65" t="str">
        <f>IF('Prediction Log'!C629=0, "",'Prediction Log'!C629)</f>
      </c>
      <c r="D628" s="65" t="str">
        <f>IF('Prediction Log'!D629=0, "",'Prediction Log'!D629)</f>
      </c>
      <c r="E628" s="58" t="str">
        <f>IF('Prediction Log'!E629=0, "",'Prediction Log'!E629)</f>
      </c>
      <c r="F628" s="65" t="str">
        <f>IF('Prediction Log'!H629=0, "",'Prediction Log'!H629)</f>
      </c>
      <c r="G628" s="64" t="str">
        <f>IF(ISBLANK(Games!B628), "",'Prediction Log'!$I629)</f>
      </c>
      <c r="H628" s="66" t="n">
        <f>'Prediction Log'!$J629</f>
        <v>0</v>
      </c>
      <c r="I628" s="65" t="str">
        <f>IF(ISBLANK(Games!T628), "",IF(AND(Games!T628="",Games!U628=""),"",IF(ISTEXT(Games!U628), "Side",Games!T628)))</f>
      </c>
      <c r="J628" s="65" t="str">
        <f>IF(ISBLANK(Games!T628), "",IF(Table12[[#This Row],[Bet]]="Spread", Games!X628, ""))</f>
      </c>
      <c r="K628" s="65" t="str">
        <f>IF(ISBLANK(Games!U628), "",IF(ISTEXT(Games!U628), Games!U628, ""))</f>
      </c>
      <c r="L628" s="57" t="str">
        <f>IF(ISBLANK(Games!D628), "", Games!D628)</f>
      </c>
      <c r="M628" s="65"/>
      <c r="N628" s="75" t="str">
        <f>IF(Games!V628="", "",Games!V628)</f>
      </c>
      <c r="O628" s="75" t="str">
        <f>IF(Games!Z628=0, "",Games!Z628)</f>
      </c>
      <c r="P628" s="67"/>
      <c r="Q628" s="67" t="str">
        <f>IF(ISBLANK(Games!W628), "", Games!W628)</f>
      </c>
      <c r="R628" s="67" t="str">
        <f>IF(ISBLANK(Games!AA628), "", Games!AA628)</f>
      </c>
      <c r="S628" s="67"/>
      <c r="T628" s="68" t="str">
        <f t="shared" si="88"/>
      </c>
      <c r="U628" s="68" t="str">
        <f t="shared" si="89"/>
      </c>
      <c r="V628" s="68" t="str">
        <f t="shared" si="90"/>
      </c>
      <c r="W628" s="68" t="str">
        <f t="shared" si="91"/>
      </c>
      <c r="X628" s="68" t="n">
        <f t="shared" si="93"/>
        <v>0</v>
      </c>
      <c r="Y628" s="68" t="n">
        <f t="shared" si="94"/>
        <v>0</v>
      </c>
      <c r="Z628" s="67" t="str">
        <f>IF(OR('Prediction Log'!L629="", Table12[[#This Row],[Bet]]="", Table12[[#This Row],[Bet]]="Spread"), "",IF('Prediction Log'!L629=Table12[[#This Row],[Side]], "W", IF('Prediction Log'!L629&lt;&gt;Table12[[#This Row],[Side]], "L", "")))</f>
      </c>
      <c r="AA628" s="59" t="str">
        <f t="shared" si="95"/>
      </c>
      <c r="AB628" s="67" t="str">
        <f>IF(OR(Table12[[#This Row],[Bet]]="Side",Table12[[#This Row],[Bet]]="", 'Prediction Log'!L629=""), "",IF('Prediction Log'!U629="Y", "W", IF('Prediction Log'!U629="N", "L", "")))</f>
      </c>
      <c r="AC628" s="59" t="str">
        <f t="shared" si="87"/>
      </c>
      <c r="AD628" s="67"/>
      <c r="AE628" s="65" t="str">
        <f t="shared" si="92"/>
      </c>
      <c r="AF6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9">
      <c r="A629" s="65" t="str">
        <f>IF(ISBLANK(Games!A629), "", Games!A629)</f>
      </c>
      <c r="B629" s="65" t="str">
        <f>IF('Prediction Log'!B630=0, "",'Prediction Log'!B630)</f>
      </c>
      <c r="C629" s="65" t="str">
        <f>IF('Prediction Log'!C630=0, "",'Prediction Log'!C630)</f>
      </c>
      <c r="D629" s="65" t="str">
        <f>IF('Prediction Log'!D630=0, "",'Prediction Log'!D630)</f>
      </c>
      <c r="E629" s="58" t="str">
        <f>IF('Prediction Log'!E630=0, "",'Prediction Log'!E630)</f>
      </c>
      <c r="F629" s="65" t="str">
        <f>IF('Prediction Log'!H630=0, "",'Prediction Log'!H630)</f>
      </c>
      <c r="G629" s="64" t="str">
        <f>IF(ISBLANK(Games!B629), "",'Prediction Log'!$I630)</f>
      </c>
      <c r="H629" s="66" t="n">
        <f>'Prediction Log'!$J630</f>
        <v>0</v>
      </c>
      <c r="I629" s="65" t="str">
        <f>IF(ISBLANK(Games!T629), "",IF(AND(Games!T629="",Games!U629=""),"",IF(ISTEXT(Games!U629), "Side",Games!T629)))</f>
      </c>
      <c r="J629" s="65" t="str">
        <f>IF(ISBLANK(Games!T629), "",IF(Table12[[#This Row],[Bet]]="Spread", Games!X629, ""))</f>
      </c>
      <c r="K629" s="65" t="str">
        <f>IF(ISBLANK(Games!U629), "",IF(ISTEXT(Games!U629), Games!U629, ""))</f>
      </c>
      <c r="L629" s="57" t="str">
        <f>IF(ISBLANK(Games!D629), "", Games!D629)</f>
      </c>
      <c r="M629" s="65"/>
      <c r="N629" s="75" t="str">
        <f>IF(Games!V629="", "",Games!V629)</f>
      </c>
      <c r="O629" s="75" t="str">
        <f>IF(Games!Z629=0, "",Games!Z629)</f>
      </c>
      <c r="P629" s="67"/>
      <c r="Q629" s="67" t="str">
        <f>IF(ISBLANK(Games!W629), "", Games!W629)</f>
      </c>
      <c r="R629" s="67" t="str">
        <f>IF(ISBLANK(Games!AA629), "", Games!AA629)</f>
      </c>
      <c r="S629" s="67"/>
      <c r="T629" s="68" t="str">
        <f t="shared" si="88"/>
      </c>
      <c r="U629" s="68" t="str">
        <f t="shared" si="89"/>
      </c>
      <c r="V629" s="68" t="str">
        <f t="shared" si="90"/>
      </c>
      <c r="W629" s="68" t="str">
        <f t="shared" si="91"/>
      </c>
      <c r="X629" s="68" t="n">
        <f t="shared" si="93"/>
        <v>0</v>
      </c>
      <c r="Y629" s="68" t="n">
        <f t="shared" si="94"/>
        <v>0</v>
      </c>
      <c r="Z629" s="67" t="str">
        <f>IF(OR('Prediction Log'!L630="", Table12[[#This Row],[Bet]]="", Table12[[#This Row],[Bet]]="Spread"), "",IF('Prediction Log'!L630=Table12[[#This Row],[Side]], "W", IF('Prediction Log'!L630&lt;&gt;Table12[[#This Row],[Side]], "L", "")))</f>
      </c>
      <c r="AA629" s="59" t="str">
        <f t="shared" si="95"/>
      </c>
      <c r="AB629" s="67" t="str">
        <f>IF(OR(Table12[[#This Row],[Bet]]="Side",Table12[[#This Row],[Bet]]="", 'Prediction Log'!L630=""), "",IF('Prediction Log'!U630="Y", "W", IF('Prediction Log'!U630="N", "L", "")))</f>
      </c>
      <c r="AC629" s="59" t="str">
        <f t="shared" si="87"/>
      </c>
      <c r="AD629" s="67"/>
      <c r="AE629" s="65" t="str">
        <f t="shared" si="92"/>
      </c>
      <c r="AF6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0">
      <c r="A630" s="65" t="str">
        <f>IF(ISBLANK(Games!A630), "", Games!A630)</f>
      </c>
      <c r="B630" s="65" t="str">
        <f>IF('Prediction Log'!B631=0, "",'Prediction Log'!B631)</f>
      </c>
      <c r="C630" s="65" t="str">
        <f>IF('Prediction Log'!C631=0, "",'Prediction Log'!C631)</f>
      </c>
      <c r="D630" s="65" t="str">
        <f>IF('Prediction Log'!D631=0, "",'Prediction Log'!D631)</f>
      </c>
      <c r="E630" s="58" t="str">
        <f>IF('Prediction Log'!E631=0, "",'Prediction Log'!E631)</f>
      </c>
      <c r="F630" s="65" t="str">
        <f>IF('Prediction Log'!H631=0, "",'Prediction Log'!H631)</f>
      </c>
      <c r="G630" s="64" t="str">
        <f>IF(ISBLANK(Games!B630), "",'Prediction Log'!$I631)</f>
      </c>
      <c r="H630" s="66" t="n">
        <f>'Prediction Log'!$J631</f>
        <v>0</v>
      </c>
      <c r="I630" s="65" t="str">
        <f>IF(ISBLANK(Games!T630), "",IF(AND(Games!T630="",Games!U630=""),"",IF(ISTEXT(Games!U630), "Side",Games!T630)))</f>
      </c>
      <c r="J630" s="65" t="str">
        <f>IF(ISBLANK(Games!T630), "",IF(Table12[[#This Row],[Bet]]="Spread", Games!X630, ""))</f>
      </c>
      <c r="K630" s="65" t="str">
        <f>IF(ISBLANK(Games!U630), "",IF(ISTEXT(Games!U630), Games!U630, ""))</f>
      </c>
      <c r="L630" s="57" t="str">
        <f>IF(ISBLANK(Games!D630), "", Games!D630)</f>
      </c>
      <c r="M630" s="65"/>
      <c r="N630" s="75" t="str">
        <f>IF(Games!V630="", "",Games!V630)</f>
      </c>
      <c r="O630" s="75" t="str">
        <f>IF(Games!Z630=0, "",Games!Z630)</f>
      </c>
      <c r="P630" s="67"/>
      <c r="Q630" s="67" t="str">
        <f>IF(ISBLANK(Games!W630), "", Games!W630)</f>
      </c>
      <c r="R630" s="67" t="str">
        <f>IF(ISBLANK(Games!AA630), "", Games!AA630)</f>
      </c>
      <c r="S630" s="67"/>
      <c r="T630" s="68" t="str">
        <f t="shared" si="88"/>
      </c>
      <c r="U630" s="68" t="str">
        <f t="shared" si="89"/>
      </c>
      <c r="V630" s="68" t="str">
        <f t="shared" si="90"/>
      </c>
      <c r="W630" s="68" t="str">
        <f t="shared" si="91"/>
      </c>
      <c r="X630" s="68" t="n">
        <f t="shared" si="93"/>
        <v>0</v>
      </c>
      <c r="Y630" s="68" t="n">
        <f t="shared" si="94"/>
        <v>0</v>
      </c>
      <c r="Z630" s="67" t="str">
        <f>IF(OR('Prediction Log'!L631="", Table12[[#This Row],[Bet]]="", Table12[[#This Row],[Bet]]="Spread"), "",IF('Prediction Log'!L631=Table12[[#This Row],[Side]], "W", IF('Prediction Log'!L631&lt;&gt;Table12[[#This Row],[Side]], "L", "")))</f>
      </c>
      <c r="AA630" s="59" t="str">
        <f t="shared" si="95"/>
      </c>
      <c r="AB630" s="67" t="str">
        <f>IF(OR(Table12[[#This Row],[Bet]]="Side",Table12[[#This Row],[Bet]]="", 'Prediction Log'!L631=""), "",IF('Prediction Log'!U631="Y", "W", IF('Prediction Log'!U631="N", "L", "")))</f>
      </c>
      <c r="AC630" s="59" t="str">
        <f t="shared" si="87"/>
      </c>
      <c r="AD630" s="67"/>
      <c r="AE630" s="65" t="str">
        <f t="shared" si="92"/>
      </c>
      <c r="AF6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1">
      <c r="A631" s="65" t="str">
        <f>IF(ISBLANK(Games!A631), "", Games!A631)</f>
      </c>
      <c r="B631" s="65" t="str">
        <f>IF('Prediction Log'!B632=0, "",'Prediction Log'!B632)</f>
      </c>
      <c r="C631" s="65" t="str">
        <f>IF('Prediction Log'!C632=0, "",'Prediction Log'!C632)</f>
      </c>
      <c r="D631" s="65" t="str">
        <f>IF('Prediction Log'!D632=0, "",'Prediction Log'!D632)</f>
      </c>
      <c r="E631" s="58" t="str">
        <f>IF('Prediction Log'!E632=0, "",'Prediction Log'!E632)</f>
      </c>
      <c r="F631" s="65" t="str">
        <f>IF('Prediction Log'!H632=0, "",'Prediction Log'!H632)</f>
      </c>
      <c r="G631" s="64" t="str">
        <f>IF(ISBLANK(Games!B631), "",'Prediction Log'!$I632)</f>
      </c>
      <c r="H631" s="66" t="n">
        <f>'Prediction Log'!$J632</f>
        <v>0</v>
      </c>
      <c r="I631" s="65" t="str">
        <f>IF(ISBLANK(Games!T631), "",IF(AND(Games!T631="",Games!U631=""),"",IF(ISTEXT(Games!U631), "Side",Games!T631)))</f>
      </c>
      <c r="J631" s="65" t="str">
        <f>IF(ISBLANK(Games!T631), "",IF(Table12[[#This Row],[Bet]]="Spread", Games!X631, ""))</f>
      </c>
      <c r="K631" s="65" t="str">
        <f>IF(ISBLANK(Games!U631), "",IF(ISTEXT(Games!U631), Games!U631, ""))</f>
      </c>
      <c r="L631" s="57" t="str">
        <f>IF(ISBLANK(Games!D631), "", Games!D631)</f>
      </c>
      <c r="M631" s="65"/>
      <c r="N631" s="75" t="str">
        <f>IF(Games!V631="", "",Games!V631)</f>
      </c>
      <c r="O631" s="75" t="str">
        <f>IF(Games!Z631=0, "",Games!Z631)</f>
      </c>
      <c r="P631" s="67"/>
      <c r="Q631" s="67" t="str">
        <f>IF(ISBLANK(Games!W631), "", Games!W631)</f>
      </c>
      <c r="R631" s="67" t="str">
        <f>IF(ISBLANK(Games!AA631), "", Games!AA631)</f>
      </c>
      <c r="S631" s="67"/>
      <c r="T631" s="68" t="str">
        <f t="shared" si="88"/>
      </c>
      <c r="U631" s="68" t="str">
        <f t="shared" si="89"/>
      </c>
      <c r="V631" s="68" t="str">
        <f t="shared" si="90"/>
      </c>
      <c r="W631" s="68" t="str">
        <f t="shared" si="91"/>
      </c>
      <c r="X631" s="68" t="n">
        <f t="shared" si="93"/>
        <v>0</v>
      </c>
      <c r="Y631" s="68" t="n">
        <f t="shared" si="94"/>
        <v>0</v>
      </c>
      <c r="Z631" s="67" t="str">
        <f>IF(OR('Prediction Log'!L632="", Table12[[#This Row],[Bet]]="", Table12[[#This Row],[Bet]]="Spread"), "",IF('Prediction Log'!L632=Table12[[#This Row],[Side]], "W", IF('Prediction Log'!L632&lt;&gt;Table12[[#This Row],[Side]], "L", "")))</f>
      </c>
      <c r="AA631" s="59" t="str">
        <f t="shared" si="95"/>
      </c>
      <c r="AB631" s="67" t="str">
        <f>IF(OR(Table12[[#This Row],[Bet]]="Side",Table12[[#This Row],[Bet]]="", 'Prediction Log'!L632=""), "",IF('Prediction Log'!U632="Y", "W", IF('Prediction Log'!U632="N", "L", "")))</f>
      </c>
      <c r="AC631" s="59" t="str">
        <f t="shared" si="87"/>
      </c>
      <c r="AD631" s="67"/>
      <c r="AE631" s="65" t="str">
        <f t="shared" si="92"/>
      </c>
      <c r="AF6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2">
      <c r="A632" s="65" t="str">
        <f>IF(ISBLANK(Games!A632), "", Games!A632)</f>
      </c>
      <c r="B632" s="65" t="str">
        <f>IF('Prediction Log'!B633=0, "",'Prediction Log'!B633)</f>
      </c>
      <c r="C632" s="65" t="str">
        <f>IF('Prediction Log'!C633=0, "",'Prediction Log'!C633)</f>
      </c>
      <c r="D632" s="65" t="str">
        <f>IF('Prediction Log'!D633=0, "",'Prediction Log'!D633)</f>
      </c>
      <c r="E632" s="58" t="str">
        <f>IF('Prediction Log'!E633=0, "",'Prediction Log'!E633)</f>
      </c>
      <c r="F632" s="65" t="str">
        <f>IF('Prediction Log'!H633=0, "",'Prediction Log'!H633)</f>
      </c>
      <c r="G632" s="64" t="str">
        <f>IF(ISBLANK(Games!B632), "",'Prediction Log'!$I633)</f>
      </c>
      <c r="H632" s="66" t="n">
        <f>'Prediction Log'!$J633</f>
        <v>0</v>
      </c>
      <c r="I632" s="65" t="str">
        <f>IF(ISBLANK(Games!T632), "",IF(AND(Games!T632="",Games!U632=""),"",IF(ISTEXT(Games!U632), "Side",Games!T632)))</f>
      </c>
      <c r="J632" s="65" t="str">
        <f>IF(ISBLANK(Games!T632), "",IF(Table12[[#This Row],[Bet]]="Spread", Games!X632, ""))</f>
      </c>
      <c r="K632" s="65" t="str">
        <f>IF(ISBLANK(Games!U632), "",IF(ISTEXT(Games!U632), Games!U632, ""))</f>
      </c>
      <c r="L632" s="57" t="str">
        <f>IF(ISBLANK(Games!D632), "", Games!D632)</f>
      </c>
      <c r="M632" s="65"/>
      <c r="N632" s="75" t="str">
        <f>IF(Games!V632="", "",Games!V632)</f>
      </c>
      <c r="O632" s="75" t="str">
        <f>IF(Games!Z632=0, "",Games!Z632)</f>
      </c>
      <c r="P632" s="67"/>
      <c r="Q632" s="67" t="str">
        <f>IF(ISBLANK(Games!W632), "", Games!W632)</f>
      </c>
      <c r="R632" s="67" t="str">
        <f>IF(ISBLANK(Games!AA632), "", Games!AA632)</f>
      </c>
      <c r="S632" s="67"/>
      <c r="T632" s="68" t="str">
        <f t="shared" si="88"/>
      </c>
      <c r="U632" s="68" t="str">
        <f t="shared" si="89"/>
      </c>
      <c r="V632" s="68" t="str">
        <f t="shared" si="90"/>
      </c>
      <c r="W632" s="68" t="str">
        <f t="shared" si="91"/>
      </c>
      <c r="X632" s="68" t="n">
        <f t="shared" si="93"/>
        <v>0</v>
      </c>
      <c r="Y632" s="68" t="n">
        <f t="shared" si="94"/>
        <v>0</v>
      </c>
      <c r="Z632" s="67" t="str">
        <f>IF(OR('Prediction Log'!L633="", Table12[[#This Row],[Bet]]="", Table12[[#This Row],[Bet]]="Spread"), "",IF('Prediction Log'!L633=Table12[[#This Row],[Side]], "W", IF('Prediction Log'!L633&lt;&gt;Table12[[#This Row],[Side]], "L", "")))</f>
      </c>
      <c r="AA632" s="59" t="str">
        <f t="shared" si="95"/>
      </c>
      <c r="AB632" s="67" t="str">
        <f>IF(OR(Table12[[#This Row],[Bet]]="Side",Table12[[#This Row],[Bet]]="", 'Prediction Log'!L633=""), "",IF('Prediction Log'!U633="Y", "W", IF('Prediction Log'!U633="N", "L", "")))</f>
      </c>
      <c r="AC632" s="59" t="str">
        <f t="shared" si="87"/>
      </c>
      <c r="AD632" s="67"/>
      <c r="AE632" s="65" t="str">
        <f t="shared" si="92"/>
      </c>
      <c r="AF6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3">
      <c r="A633" s="65" t="str">
        <f>IF(ISBLANK(Games!A633), "", Games!A633)</f>
      </c>
      <c r="B633" s="65" t="str">
        <f>IF('Prediction Log'!B634=0, "",'Prediction Log'!B634)</f>
      </c>
      <c r="C633" s="65" t="str">
        <f>IF('Prediction Log'!C634=0, "",'Prediction Log'!C634)</f>
      </c>
      <c r="D633" s="65" t="str">
        <f>IF('Prediction Log'!D634=0, "",'Prediction Log'!D634)</f>
      </c>
      <c r="E633" s="58" t="str">
        <f>IF('Prediction Log'!E634=0, "",'Prediction Log'!E634)</f>
      </c>
      <c r="F633" s="65" t="str">
        <f>IF('Prediction Log'!H634=0, "",'Prediction Log'!H634)</f>
      </c>
      <c r="G633" s="64" t="str">
        <f>IF(ISBLANK(Games!B633), "",'Prediction Log'!$I634)</f>
      </c>
      <c r="H633" s="66" t="n">
        <f>'Prediction Log'!$J634</f>
        <v>0</v>
      </c>
      <c r="I633" s="65" t="str">
        <f>IF(ISBLANK(Games!T633), "",IF(AND(Games!T633="",Games!U633=""),"",IF(ISTEXT(Games!U633), "Side",Games!T633)))</f>
      </c>
      <c r="J633" s="65" t="str">
        <f>IF(ISBLANK(Games!T633), "",IF(Table12[[#This Row],[Bet]]="Spread", Games!X633, ""))</f>
      </c>
      <c r="K633" s="65" t="str">
        <f>IF(ISBLANK(Games!U633), "",IF(ISTEXT(Games!U633), Games!U633, ""))</f>
      </c>
      <c r="L633" s="57" t="str">
        <f>IF(ISBLANK(Games!D633), "", Games!D633)</f>
      </c>
      <c r="M633" s="65"/>
      <c r="N633" s="75" t="str">
        <f>IF(Games!V633="", "",Games!V633)</f>
      </c>
      <c r="O633" s="75" t="str">
        <f>IF(Games!Z633=0, "",Games!Z633)</f>
      </c>
      <c r="P633" s="67"/>
      <c r="Q633" s="67" t="str">
        <f>IF(ISBLANK(Games!W633), "", Games!W633)</f>
      </c>
      <c r="R633" s="67" t="str">
        <f>IF(ISBLANK(Games!AA633), "", Games!AA633)</f>
      </c>
      <c r="S633" s="67"/>
      <c r="T633" s="68" t="str">
        <f t="shared" si="88"/>
      </c>
      <c r="U633" s="68" t="str">
        <f t="shared" si="89"/>
      </c>
      <c r="V633" s="68" t="str">
        <f t="shared" si="90"/>
      </c>
      <c r="W633" s="68" t="str">
        <f t="shared" si="91"/>
      </c>
      <c r="X633" s="68" t="n">
        <f t="shared" si="93"/>
        <v>0</v>
      </c>
      <c r="Y633" s="68" t="n">
        <f t="shared" si="94"/>
        <v>0</v>
      </c>
      <c r="Z633" s="67" t="str">
        <f>IF(OR('Prediction Log'!L634="", Table12[[#This Row],[Bet]]="", Table12[[#This Row],[Bet]]="Spread"), "",IF('Prediction Log'!L634=Table12[[#This Row],[Side]], "W", IF('Prediction Log'!L634&lt;&gt;Table12[[#This Row],[Side]], "L", "")))</f>
      </c>
      <c r="AA633" s="59" t="str">
        <f t="shared" si="95"/>
      </c>
      <c r="AB633" s="67" t="str">
        <f>IF(OR(Table12[[#This Row],[Bet]]="Side",Table12[[#This Row],[Bet]]="", 'Prediction Log'!L634=""), "",IF('Prediction Log'!U634="Y", "W", IF('Prediction Log'!U634="N", "L", "")))</f>
      </c>
      <c r="AC633" s="59" t="str">
        <f t="shared" si="87"/>
      </c>
      <c r="AD633" s="67"/>
      <c r="AE633" s="65" t="str">
        <f t="shared" si="92"/>
      </c>
      <c r="AF6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4">
      <c r="A634" s="65" t="str">
        <f>IF(ISBLANK(Games!A634), "", Games!A634)</f>
      </c>
      <c r="B634" s="65" t="str">
        <f>IF('Prediction Log'!B635=0, "",'Prediction Log'!B635)</f>
      </c>
      <c r="C634" s="65" t="str">
        <f>IF('Prediction Log'!C635=0, "",'Prediction Log'!C635)</f>
      </c>
      <c r="D634" s="65" t="str">
        <f>IF('Prediction Log'!D635=0, "",'Prediction Log'!D635)</f>
      </c>
      <c r="E634" s="58" t="str">
        <f>IF('Prediction Log'!E635=0, "",'Prediction Log'!E635)</f>
      </c>
      <c r="F634" s="65" t="str">
        <f>IF('Prediction Log'!H635=0, "",'Prediction Log'!H635)</f>
      </c>
      <c r="G634" s="64" t="str">
        <f>IF(ISBLANK(Games!B634), "",'Prediction Log'!$I635)</f>
      </c>
      <c r="H634" s="66" t="n">
        <f>'Prediction Log'!$J635</f>
        <v>0</v>
      </c>
      <c r="I634" s="65" t="str">
        <f>IF(ISBLANK(Games!T634), "",IF(AND(Games!T634="",Games!U634=""),"",IF(ISTEXT(Games!U634), "Side",Games!T634)))</f>
      </c>
      <c r="J634" s="65" t="str">
        <f>IF(ISBLANK(Games!T634), "",IF(Table12[[#This Row],[Bet]]="Spread", Games!X634, ""))</f>
      </c>
      <c r="K634" s="65" t="str">
        <f>IF(ISBLANK(Games!U634), "",IF(ISTEXT(Games!U634), Games!U634, ""))</f>
      </c>
      <c r="L634" s="57" t="str">
        <f>IF(ISBLANK(Games!D634), "", Games!D634)</f>
      </c>
      <c r="M634" s="65"/>
      <c r="N634" s="75" t="str">
        <f>IF(Games!V634="", "",Games!V634)</f>
      </c>
      <c r="O634" s="75" t="str">
        <f>IF(Games!Z634=0, "",Games!Z634)</f>
      </c>
      <c r="P634" s="67"/>
      <c r="Q634" s="67" t="str">
        <f>IF(ISBLANK(Games!W634), "", Games!W634)</f>
      </c>
      <c r="R634" s="67" t="str">
        <f>IF(ISBLANK(Games!AA634), "", Games!AA634)</f>
      </c>
      <c r="S634" s="67"/>
      <c r="T634" s="68" t="str">
        <f t="shared" si="88"/>
      </c>
      <c r="U634" s="68" t="str">
        <f t="shared" si="89"/>
      </c>
      <c r="V634" s="68" t="str">
        <f t="shared" si="90"/>
      </c>
      <c r="W634" s="68" t="str">
        <f t="shared" si="91"/>
      </c>
      <c r="X634" s="68" t="n">
        <f t="shared" si="93"/>
        <v>0</v>
      </c>
      <c r="Y634" s="68" t="n">
        <f t="shared" si="94"/>
        <v>0</v>
      </c>
      <c r="Z634" s="67" t="str">
        <f>IF(OR('Prediction Log'!L635="", Table12[[#This Row],[Bet]]="", Table12[[#This Row],[Bet]]="Spread"), "",IF('Prediction Log'!L635=Table12[[#This Row],[Side]], "W", IF('Prediction Log'!L635&lt;&gt;Table12[[#This Row],[Side]], "L", "")))</f>
      </c>
      <c r="AA634" s="59" t="str">
        <f t="shared" si="95"/>
      </c>
      <c r="AB634" s="67" t="str">
        <f>IF(OR(Table12[[#This Row],[Bet]]="Side",Table12[[#This Row],[Bet]]="", 'Prediction Log'!L635=""), "",IF('Prediction Log'!U635="Y", "W", IF('Prediction Log'!U635="N", "L", "")))</f>
      </c>
      <c r="AC634" s="59" t="str">
        <f t="shared" si="87"/>
      </c>
      <c r="AD634" s="67"/>
      <c r="AE634" s="65" t="str">
        <f t="shared" si="92"/>
      </c>
      <c r="AF6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5">
      <c r="A635" s="65" t="str">
        <f>IF(ISBLANK(Games!A635), "", Games!A635)</f>
      </c>
      <c r="B635" s="65" t="str">
        <f>IF('Prediction Log'!B636=0, "",'Prediction Log'!B636)</f>
      </c>
      <c r="C635" s="65" t="str">
        <f>IF('Prediction Log'!C636=0, "",'Prediction Log'!C636)</f>
      </c>
      <c r="D635" s="65" t="str">
        <f>IF('Prediction Log'!D636=0, "",'Prediction Log'!D636)</f>
      </c>
      <c r="E635" s="58" t="str">
        <f>IF('Prediction Log'!E636=0, "",'Prediction Log'!E636)</f>
      </c>
      <c r="F635" s="65" t="str">
        <f>IF('Prediction Log'!H636=0, "",'Prediction Log'!H636)</f>
      </c>
      <c r="G635" s="64" t="str">
        <f>IF(ISBLANK(Games!B635), "",'Prediction Log'!$I636)</f>
      </c>
      <c r="H635" s="66" t="n">
        <f>'Prediction Log'!$J636</f>
        <v>0</v>
      </c>
      <c r="I635" s="65" t="str">
        <f>IF(ISBLANK(Games!T635), "",IF(AND(Games!T635="",Games!U635=""),"",IF(ISTEXT(Games!U635), "Side",Games!T635)))</f>
      </c>
      <c r="J635" s="65" t="str">
        <f>IF(ISBLANK(Games!T635), "",IF(Table12[[#This Row],[Bet]]="Spread", Games!X635, ""))</f>
      </c>
      <c r="K635" s="65" t="str">
        <f>IF(ISBLANK(Games!U635), "",IF(ISTEXT(Games!U635), Games!U635, ""))</f>
      </c>
      <c r="L635" s="57" t="str">
        <f>IF(ISBLANK(Games!D635), "", Games!D635)</f>
      </c>
      <c r="M635" s="65"/>
      <c r="N635" s="75" t="str">
        <f>IF(Games!V635="", "",Games!V635)</f>
      </c>
      <c r="O635" s="75" t="str">
        <f>IF(Games!Z635=0, "",Games!Z635)</f>
      </c>
      <c r="P635" s="67"/>
      <c r="Q635" s="67" t="str">
        <f>IF(ISBLANK(Games!W635), "", Games!W635)</f>
      </c>
      <c r="R635" s="67" t="str">
        <f>IF(ISBLANK(Games!AA635), "", Games!AA635)</f>
      </c>
      <c r="S635" s="67"/>
      <c r="T635" s="68" t="str">
        <f t="shared" si="88"/>
      </c>
      <c r="U635" s="68" t="str">
        <f t="shared" si="89"/>
      </c>
      <c r="V635" s="68" t="str">
        <f t="shared" si="90"/>
      </c>
      <c r="W635" s="68" t="str">
        <f t="shared" si="91"/>
      </c>
      <c r="X635" s="68" t="n">
        <f t="shared" si="93"/>
        <v>0</v>
      </c>
      <c r="Y635" s="68" t="n">
        <f t="shared" si="94"/>
        <v>0</v>
      </c>
      <c r="Z635" s="67" t="str">
        <f>IF(OR('Prediction Log'!L636="", Table12[[#This Row],[Bet]]="", Table12[[#This Row],[Bet]]="Spread"), "",IF('Prediction Log'!L636=Table12[[#This Row],[Side]], "W", IF('Prediction Log'!L636&lt;&gt;Table12[[#This Row],[Side]], "L", "")))</f>
      </c>
      <c r="AA635" s="59" t="str">
        <f t="shared" si="95"/>
      </c>
      <c r="AB635" s="67" t="str">
        <f>IF(OR(Table12[[#This Row],[Bet]]="Side",Table12[[#This Row],[Bet]]="", 'Prediction Log'!L636=""), "",IF('Prediction Log'!U636="Y", "W", IF('Prediction Log'!U636="N", "L", "")))</f>
      </c>
      <c r="AC635" s="59" t="str">
        <f t="shared" si="87"/>
      </c>
      <c r="AD635" s="67"/>
      <c r="AE635" s="65" t="str">
        <f t="shared" si="92"/>
      </c>
      <c r="AF6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6">
      <c r="A636" s="65" t="str">
        <f>IF(ISBLANK(Games!A636), "", Games!A636)</f>
      </c>
      <c r="B636" s="65" t="str">
        <f>IF('Prediction Log'!B637=0, "",'Prediction Log'!B637)</f>
      </c>
      <c r="C636" s="65" t="str">
        <f>IF('Prediction Log'!C637=0, "",'Prediction Log'!C637)</f>
      </c>
      <c r="D636" s="65" t="str">
        <f>IF('Prediction Log'!D637=0, "",'Prediction Log'!D637)</f>
      </c>
      <c r="E636" s="58" t="str">
        <f>IF('Prediction Log'!E637=0, "",'Prediction Log'!E637)</f>
      </c>
      <c r="F636" s="65" t="str">
        <f>IF('Prediction Log'!H637=0, "",'Prediction Log'!H637)</f>
      </c>
      <c r="G636" s="64" t="str">
        <f>IF(ISBLANK(Games!B636), "",'Prediction Log'!$I637)</f>
      </c>
      <c r="H636" s="66" t="n">
        <f>'Prediction Log'!$J637</f>
        <v>0</v>
      </c>
      <c r="I636" s="65" t="str">
        <f>IF(ISBLANK(Games!T636), "",IF(AND(Games!T636="",Games!U636=""),"",IF(ISTEXT(Games!U636), "Side",Games!T636)))</f>
      </c>
      <c r="J636" s="65" t="str">
        <f>IF(ISBLANK(Games!T636), "",IF(Table12[[#This Row],[Bet]]="Spread", Games!X636, ""))</f>
      </c>
      <c r="K636" s="65" t="str">
        <f>IF(ISBLANK(Games!U636), "",IF(ISTEXT(Games!U636), Games!U636, ""))</f>
      </c>
      <c r="L636" s="57" t="str">
        <f>IF(ISBLANK(Games!D636), "", Games!D636)</f>
      </c>
      <c r="M636" s="65"/>
      <c r="N636" s="75" t="str">
        <f>IF(Games!V636="", "",Games!V636)</f>
      </c>
      <c r="O636" s="75" t="str">
        <f>IF(Games!Z636=0, "",Games!Z636)</f>
      </c>
      <c r="P636" s="67"/>
      <c r="Q636" s="67" t="str">
        <f>IF(ISBLANK(Games!W636), "", Games!W636)</f>
      </c>
      <c r="R636" s="67" t="str">
        <f>IF(ISBLANK(Games!AA636), "", Games!AA636)</f>
      </c>
      <c r="S636" s="67"/>
      <c r="T636" s="68" t="str">
        <f t="shared" si="88"/>
      </c>
      <c r="U636" s="68" t="str">
        <f t="shared" si="89"/>
      </c>
      <c r="V636" s="68" t="str">
        <f t="shared" si="90"/>
      </c>
      <c r="W636" s="68" t="str">
        <f t="shared" si="91"/>
      </c>
      <c r="X636" s="68" t="n">
        <f t="shared" si="93"/>
        <v>0</v>
      </c>
      <c r="Y636" s="68" t="n">
        <f t="shared" si="94"/>
        <v>0</v>
      </c>
      <c r="Z636" s="67" t="str">
        <f>IF(OR('Prediction Log'!L637="", Table12[[#This Row],[Bet]]="", Table12[[#This Row],[Bet]]="Spread"), "",IF('Prediction Log'!L637=Table12[[#This Row],[Side]], "W", IF('Prediction Log'!L637&lt;&gt;Table12[[#This Row],[Side]], "L", "")))</f>
      </c>
      <c r="AA636" s="59" t="str">
        <f t="shared" si="95"/>
      </c>
      <c r="AB636" s="67" t="str">
        <f>IF(OR(Table12[[#This Row],[Bet]]="Side",Table12[[#This Row],[Bet]]="", 'Prediction Log'!L637=""), "",IF('Prediction Log'!U637="Y", "W", IF('Prediction Log'!U637="N", "L", "")))</f>
      </c>
      <c r="AC636" s="59" t="str">
        <f t="shared" si="87"/>
      </c>
      <c r="AD636" s="67"/>
      <c r="AE636" s="65" t="str">
        <f t="shared" si="92"/>
      </c>
      <c r="AF6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7">
      <c r="A637" s="65" t="str">
        <f>IF(ISBLANK(Games!A637), "", Games!A637)</f>
      </c>
      <c r="B637" s="65" t="str">
        <f>IF('Prediction Log'!B638=0, "",'Prediction Log'!B638)</f>
      </c>
      <c r="C637" s="65" t="str">
        <f>IF('Prediction Log'!C638=0, "",'Prediction Log'!C638)</f>
      </c>
      <c r="D637" s="65" t="str">
        <f>IF('Prediction Log'!D638=0, "",'Prediction Log'!D638)</f>
      </c>
      <c r="E637" s="58" t="str">
        <f>IF('Prediction Log'!E638=0, "",'Prediction Log'!E638)</f>
      </c>
      <c r="F637" s="65" t="str">
        <f>IF('Prediction Log'!H638=0, "",'Prediction Log'!H638)</f>
      </c>
      <c r="G637" s="64" t="str">
        <f>IF(ISBLANK(Games!B637), "",'Prediction Log'!$I638)</f>
      </c>
      <c r="H637" s="66" t="n">
        <f>'Prediction Log'!$J638</f>
        <v>0</v>
      </c>
      <c r="I637" s="65" t="str">
        <f>IF(ISBLANK(Games!T637), "",IF(AND(Games!T637="",Games!U637=""),"",IF(ISTEXT(Games!U637), "Side",Games!T637)))</f>
      </c>
      <c r="J637" s="65" t="str">
        <f>IF(ISBLANK(Games!T637), "",IF(Table12[[#This Row],[Bet]]="Spread", Games!X637, ""))</f>
      </c>
      <c r="K637" s="65" t="str">
        <f>IF(ISBLANK(Games!U637), "",IF(ISTEXT(Games!U637), Games!U637, ""))</f>
      </c>
      <c r="L637" s="57" t="str">
        <f>IF(ISBLANK(Games!D637), "", Games!D637)</f>
      </c>
      <c r="M637" s="65"/>
      <c r="N637" s="75" t="str">
        <f>IF(Games!V637="", "",Games!V637)</f>
      </c>
      <c r="O637" s="75" t="str">
        <f>IF(Games!Z637=0, "",Games!Z637)</f>
      </c>
      <c r="P637" s="67"/>
      <c r="Q637" s="67" t="str">
        <f>IF(ISBLANK(Games!W637), "", Games!W637)</f>
      </c>
      <c r="R637" s="67" t="str">
        <f>IF(ISBLANK(Games!AA637), "", Games!AA637)</f>
      </c>
      <c r="S637" s="67"/>
      <c r="T637" s="68" t="str">
        <f t="shared" si="88"/>
      </c>
      <c r="U637" s="68" t="str">
        <f t="shared" si="89"/>
      </c>
      <c r="V637" s="68" t="str">
        <f t="shared" si="90"/>
      </c>
      <c r="W637" s="68" t="str">
        <f t="shared" si="91"/>
      </c>
      <c r="X637" s="68" t="n">
        <f t="shared" si="93"/>
        <v>0</v>
      </c>
      <c r="Y637" s="68" t="n">
        <f t="shared" si="94"/>
        <v>0</v>
      </c>
      <c r="Z637" s="67" t="str">
        <f>IF(OR('Prediction Log'!L638="", Table12[[#This Row],[Bet]]="", Table12[[#This Row],[Bet]]="Spread"), "",IF('Prediction Log'!L638=Table12[[#This Row],[Side]], "W", IF('Prediction Log'!L638&lt;&gt;Table12[[#This Row],[Side]], "L", "")))</f>
      </c>
      <c r="AA637" s="59" t="str">
        <f t="shared" si="95"/>
      </c>
      <c r="AB637" s="67" t="str">
        <f>IF(OR(Table12[[#This Row],[Bet]]="Side",Table12[[#This Row],[Bet]]="", 'Prediction Log'!L638=""), "",IF('Prediction Log'!U638="Y", "W", IF('Prediction Log'!U638="N", "L", "")))</f>
      </c>
      <c r="AC637" s="59" t="str">
        <f t="shared" si="87"/>
      </c>
      <c r="AD637" s="67"/>
      <c r="AE637" s="65" t="str">
        <f t="shared" si="92"/>
      </c>
      <c r="AF6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8">
      <c r="A638" s="65" t="str">
        <f>IF(ISBLANK(Games!A638), "", Games!A638)</f>
      </c>
      <c r="B638" s="65" t="str">
        <f>IF('Prediction Log'!B639=0, "",'Prediction Log'!B639)</f>
      </c>
      <c r="C638" s="65" t="str">
        <f>IF('Prediction Log'!C639=0, "",'Prediction Log'!C639)</f>
      </c>
      <c r="D638" s="65" t="str">
        <f>IF('Prediction Log'!D639=0, "",'Prediction Log'!D639)</f>
      </c>
      <c r="E638" s="58" t="str">
        <f>IF('Prediction Log'!E639=0, "",'Prediction Log'!E639)</f>
      </c>
      <c r="F638" s="65" t="str">
        <f>IF('Prediction Log'!H639=0, "",'Prediction Log'!H639)</f>
      </c>
      <c r="G638" s="64" t="str">
        <f>IF(ISBLANK(Games!B638), "",'Prediction Log'!$I639)</f>
      </c>
      <c r="H638" s="66" t="n">
        <f>'Prediction Log'!$J639</f>
        <v>0</v>
      </c>
      <c r="I638" s="65" t="str">
        <f>IF(ISBLANK(Games!T638), "",IF(AND(Games!T638="",Games!U638=""),"",IF(ISTEXT(Games!U638), "Side",Games!T638)))</f>
      </c>
      <c r="J638" s="65" t="str">
        <f>IF(ISBLANK(Games!T638), "",IF(Table12[[#This Row],[Bet]]="Spread", Games!X638, ""))</f>
      </c>
      <c r="K638" s="65" t="str">
        <f>IF(ISBLANK(Games!U638), "",IF(ISTEXT(Games!U638), Games!U638, ""))</f>
      </c>
      <c r="L638" s="57" t="str">
        <f>IF(ISBLANK(Games!D638), "", Games!D638)</f>
      </c>
      <c r="M638" s="65"/>
      <c r="N638" s="75" t="str">
        <f>IF(Games!V638="", "",Games!V638)</f>
      </c>
      <c r="O638" s="75" t="str">
        <f>IF(Games!Z638=0, "",Games!Z638)</f>
      </c>
      <c r="P638" s="67"/>
      <c r="Q638" s="67" t="str">
        <f>IF(ISBLANK(Games!W638), "", Games!W638)</f>
      </c>
      <c r="R638" s="67" t="str">
        <f>IF(ISBLANK(Games!AA638), "", Games!AA638)</f>
      </c>
      <c r="S638" s="67"/>
      <c r="T638" s="68" t="str">
        <f t="shared" si="88"/>
      </c>
      <c r="U638" s="68" t="str">
        <f t="shared" si="89"/>
      </c>
      <c r="V638" s="68" t="str">
        <f t="shared" si="90"/>
      </c>
      <c r="W638" s="68" t="str">
        <f t="shared" si="91"/>
      </c>
      <c r="X638" s="68" t="n">
        <f t="shared" si="93"/>
        <v>0</v>
      </c>
      <c r="Y638" s="68" t="n">
        <f t="shared" si="94"/>
        <v>0</v>
      </c>
      <c r="Z638" s="67" t="str">
        <f>IF(OR('Prediction Log'!L639="", Table12[[#This Row],[Bet]]="", Table12[[#This Row],[Bet]]="Spread"), "",IF('Prediction Log'!L639=Table12[[#This Row],[Side]], "W", IF('Prediction Log'!L639&lt;&gt;Table12[[#This Row],[Side]], "L", "")))</f>
      </c>
      <c r="AA638" s="59" t="str">
        <f t="shared" si="95"/>
      </c>
      <c r="AB638" s="67" t="str">
        <f>IF(OR(Table12[[#This Row],[Bet]]="Side",Table12[[#This Row],[Bet]]="", 'Prediction Log'!L639=""), "",IF('Prediction Log'!U639="Y", "W", IF('Prediction Log'!U639="N", "L", "")))</f>
      </c>
      <c r="AC638" s="59" t="str">
        <f t="shared" si="87"/>
      </c>
      <c r="AD638" s="67"/>
      <c r="AE638" s="65" t="str">
        <f t="shared" si="92"/>
      </c>
      <c r="AF6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9">
      <c r="A639" s="65" t="str">
        <f>IF(ISBLANK(Games!A639), "", Games!A639)</f>
      </c>
      <c r="B639" s="65" t="str">
        <f>IF('Prediction Log'!B640=0, "",'Prediction Log'!B640)</f>
      </c>
      <c r="C639" s="65" t="str">
        <f>IF('Prediction Log'!C640=0, "",'Prediction Log'!C640)</f>
      </c>
      <c r="D639" s="65" t="str">
        <f>IF('Prediction Log'!D640=0, "",'Prediction Log'!D640)</f>
      </c>
      <c r="E639" s="58" t="str">
        <f>IF('Prediction Log'!E640=0, "",'Prediction Log'!E640)</f>
      </c>
      <c r="F639" s="65" t="str">
        <f>IF('Prediction Log'!H640=0, "",'Prediction Log'!H640)</f>
      </c>
      <c r="G639" s="64" t="str">
        <f>IF(ISBLANK(Games!B639), "",'Prediction Log'!$I640)</f>
      </c>
      <c r="H639" s="66" t="n">
        <f>'Prediction Log'!$J640</f>
        <v>0</v>
      </c>
      <c r="I639" s="65" t="str">
        <f>IF(ISBLANK(Games!T639), "",IF(AND(Games!T639="",Games!U639=""),"",IF(ISTEXT(Games!U639), "Side",Games!T639)))</f>
      </c>
      <c r="J639" s="65" t="str">
        <f>IF(ISBLANK(Games!T639), "",IF(Table12[[#This Row],[Bet]]="Spread", Games!X639, ""))</f>
      </c>
      <c r="K639" s="65" t="str">
        <f>IF(ISBLANK(Games!U639), "",IF(ISTEXT(Games!U639), Games!U639, ""))</f>
      </c>
      <c r="L639" s="57" t="str">
        <f>IF(ISBLANK(Games!D639), "", Games!D639)</f>
      </c>
      <c r="M639" s="65"/>
      <c r="N639" s="75" t="str">
        <f>IF(Games!V639="", "",Games!V639)</f>
      </c>
      <c r="O639" s="75" t="str">
        <f>IF(Games!Z639=0, "",Games!Z639)</f>
      </c>
      <c r="P639" s="67"/>
      <c r="Q639" s="67" t="str">
        <f>IF(ISBLANK(Games!W639), "", Games!W639)</f>
      </c>
      <c r="R639" s="67" t="str">
        <f>IF(ISBLANK(Games!AA639), "", Games!AA639)</f>
      </c>
      <c r="S639" s="67"/>
      <c r="T639" s="68" t="str">
        <f t="shared" si="88"/>
      </c>
      <c r="U639" s="68" t="str">
        <f t="shared" si="89"/>
      </c>
      <c r="V639" s="68" t="str">
        <f t="shared" si="90"/>
      </c>
      <c r="W639" s="68" t="str">
        <f t="shared" si="91"/>
      </c>
      <c r="X639" s="68" t="n">
        <f t="shared" si="93"/>
        <v>0</v>
      </c>
      <c r="Y639" s="68" t="n">
        <f t="shared" si="94"/>
        <v>0</v>
      </c>
      <c r="Z639" s="67" t="str">
        <f>IF(OR('Prediction Log'!L640="", Table12[[#This Row],[Bet]]="", Table12[[#This Row],[Bet]]="Spread"), "",IF('Prediction Log'!L640=Table12[[#This Row],[Side]], "W", IF('Prediction Log'!L640&lt;&gt;Table12[[#This Row],[Side]], "L", "")))</f>
      </c>
      <c r="AA639" s="59" t="str">
        <f t="shared" si="95"/>
      </c>
      <c r="AB639" s="67" t="str">
        <f>IF(OR(Table12[[#This Row],[Bet]]="Side",Table12[[#This Row],[Bet]]="", 'Prediction Log'!L640=""), "",IF('Prediction Log'!U640="Y", "W", IF('Prediction Log'!U640="N", "L", "")))</f>
      </c>
      <c r="AC639" s="59" t="str">
        <f t="shared" si="87"/>
      </c>
      <c r="AD639" s="67"/>
      <c r="AE639" s="65" t="str">
        <f t="shared" si="92"/>
      </c>
      <c r="AF6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0">
      <c r="A640" s="65" t="str">
        <f>IF(ISBLANK(Games!A640), "", Games!A640)</f>
      </c>
      <c r="B640" s="65" t="str">
        <f>IF('Prediction Log'!B641=0, "",'Prediction Log'!B641)</f>
      </c>
      <c r="C640" s="65" t="str">
        <f>IF('Prediction Log'!C641=0, "",'Prediction Log'!C641)</f>
      </c>
      <c r="D640" s="65" t="str">
        <f>IF('Prediction Log'!D641=0, "",'Prediction Log'!D641)</f>
      </c>
      <c r="E640" s="58" t="str">
        <f>IF('Prediction Log'!E641=0, "",'Prediction Log'!E641)</f>
      </c>
      <c r="F640" s="65" t="str">
        <f>IF('Prediction Log'!H641=0, "",'Prediction Log'!H641)</f>
      </c>
      <c r="G640" s="64" t="str">
        <f>IF(ISBLANK(Games!B640), "",'Prediction Log'!$I641)</f>
      </c>
      <c r="H640" s="66" t="n">
        <f>'Prediction Log'!$J641</f>
        <v>0</v>
      </c>
      <c r="I640" s="65" t="str">
        <f>IF(ISBLANK(Games!T640), "",IF(AND(Games!T640="",Games!U640=""),"",IF(ISTEXT(Games!U640), "Side",Games!T640)))</f>
      </c>
      <c r="J640" s="65" t="str">
        <f>IF(ISBLANK(Games!T640), "",IF(Table12[[#This Row],[Bet]]="Spread", Games!X640, ""))</f>
      </c>
      <c r="K640" s="65" t="str">
        <f>IF(ISBLANK(Games!U640), "",IF(ISTEXT(Games!U640), Games!U640, ""))</f>
      </c>
      <c r="L640" s="57" t="str">
        <f>IF(ISBLANK(Games!D640), "", Games!D640)</f>
      </c>
      <c r="M640" s="65"/>
      <c r="N640" s="75" t="str">
        <f>IF(Games!V640="", "",Games!V640)</f>
      </c>
      <c r="O640" s="75" t="str">
        <f>IF(Games!Z640=0, "",Games!Z640)</f>
      </c>
      <c r="P640" s="67"/>
      <c r="Q640" s="67" t="str">
        <f>IF(ISBLANK(Games!W640), "", Games!W640)</f>
      </c>
      <c r="R640" s="67" t="str">
        <f>IF(ISBLANK(Games!AA640), "", Games!AA640)</f>
      </c>
      <c r="S640" s="67"/>
      <c r="T640" s="68" t="str">
        <f t="shared" si="88"/>
      </c>
      <c r="U640" s="68" t="str">
        <f t="shared" si="89"/>
      </c>
      <c r="V640" s="68" t="str">
        <f t="shared" si="90"/>
      </c>
      <c r="W640" s="68" t="str">
        <f t="shared" si="91"/>
      </c>
      <c r="X640" s="68" t="n">
        <f t="shared" si="93"/>
        <v>0</v>
      </c>
      <c r="Y640" s="68" t="n">
        <f t="shared" si="94"/>
        <v>0</v>
      </c>
      <c r="Z640" s="67" t="str">
        <f>IF(OR('Prediction Log'!L641="", Table12[[#This Row],[Bet]]="", Table12[[#This Row],[Bet]]="Spread"), "",IF('Prediction Log'!L641=Table12[[#This Row],[Side]], "W", IF('Prediction Log'!L641&lt;&gt;Table12[[#This Row],[Side]], "L", "")))</f>
      </c>
      <c r="AA640" s="59" t="str">
        <f t="shared" si="95"/>
      </c>
      <c r="AB640" s="67" t="str">
        <f>IF(OR(Table12[[#This Row],[Bet]]="Side",Table12[[#This Row],[Bet]]="", 'Prediction Log'!L641=""), "",IF('Prediction Log'!U641="Y", "W", IF('Prediction Log'!U641="N", "L", "")))</f>
      </c>
      <c r="AC640" s="59" t="str">
        <f t="shared" si="87"/>
      </c>
      <c r="AD640" s="67"/>
      <c r="AE640" s="65" t="str">
        <f t="shared" si="92"/>
      </c>
      <c r="AF6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1">
      <c r="A641" s="65" t="str">
        <f>IF(ISBLANK(Games!A641), "", Games!A641)</f>
      </c>
      <c r="B641" s="65" t="str">
        <f>IF('Prediction Log'!B642=0, "",'Prediction Log'!B642)</f>
      </c>
      <c r="C641" s="65" t="str">
        <f>IF('Prediction Log'!C642=0, "",'Prediction Log'!C642)</f>
      </c>
      <c r="D641" s="65" t="str">
        <f>IF('Prediction Log'!D642=0, "",'Prediction Log'!D642)</f>
      </c>
      <c r="E641" s="58" t="str">
        <f>IF('Prediction Log'!E642=0, "",'Prediction Log'!E642)</f>
      </c>
      <c r="F641" s="65" t="str">
        <f>IF('Prediction Log'!H642=0, "",'Prediction Log'!H642)</f>
      </c>
      <c r="G641" s="64" t="str">
        <f>IF(ISBLANK(Games!B641), "",'Prediction Log'!$I642)</f>
      </c>
      <c r="H641" s="66" t="n">
        <f>'Prediction Log'!$J642</f>
        <v>0</v>
      </c>
      <c r="I641" s="65" t="str">
        <f>IF(ISBLANK(Games!T641), "",IF(AND(Games!T641="",Games!U641=""),"",IF(ISTEXT(Games!U641), "Side",Games!T641)))</f>
      </c>
      <c r="J641" s="65" t="str">
        <f>IF(ISBLANK(Games!T641), "",IF(Table12[[#This Row],[Bet]]="Spread", Games!X641, ""))</f>
      </c>
      <c r="K641" s="65" t="str">
        <f>IF(ISBLANK(Games!U641), "",IF(ISTEXT(Games!U641), Games!U641, ""))</f>
      </c>
      <c r="L641" s="57" t="str">
        <f>IF(ISBLANK(Games!D641), "", Games!D641)</f>
      </c>
      <c r="M641" s="65"/>
      <c r="N641" s="75" t="str">
        <f>IF(Games!V641="", "",Games!V641)</f>
      </c>
      <c r="O641" s="75" t="str">
        <f>IF(Games!Z641=0, "",Games!Z641)</f>
      </c>
      <c r="P641" s="67"/>
      <c r="Q641" s="67" t="str">
        <f>IF(ISBLANK(Games!W641), "", Games!W641)</f>
      </c>
      <c r="R641" s="67" t="str">
        <f>IF(ISBLANK(Games!AA641), "", Games!AA641)</f>
      </c>
      <c r="S641" s="67"/>
      <c r="T641" s="68" t="str">
        <f t="shared" si="88"/>
      </c>
      <c r="U641" s="68" t="str">
        <f t="shared" si="89"/>
      </c>
      <c r="V641" s="68" t="str">
        <f t="shared" si="90"/>
      </c>
      <c r="W641" s="68" t="str">
        <f t="shared" si="91"/>
      </c>
      <c r="X641" s="68" t="n">
        <f t="shared" si="93"/>
        <v>0</v>
      </c>
      <c r="Y641" s="68" t="n">
        <f t="shared" si="94"/>
        <v>0</v>
      </c>
      <c r="Z641" s="67" t="str">
        <f>IF(OR('Prediction Log'!L642="", Table12[[#This Row],[Bet]]="", Table12[[#This Row],[Bet]]="Spread"), "",IF('Prediction Log'!L642=Table12[[#This Row],[Side]], "W", IF('Prediction Log'!L642&lt;&gt;Table12[[#This Row],[Side]], "L", "")))</f>
      </c>
      <c r="AA641" s="59" t="str">
        <f t="shared" si="95"/>
      </c>
      <c r="AB641" s="67" t="str">
        <f>IF(OR(Table12[[#This Row],[Bet]]="Side",Table12[[#This Row],[Bet]]="", 'Prediction Log'!L642=""), "",IF('Prediction Log'!U642="Y", "W", IF('Prediction Log'!U642="N", "L", "")))</f>
      </c>
      <c r="AC641" s="59" t="str">
        <f t="shared" si="87"/>
      </c>
      <c r="AD641" s="67"/>
      <c r="AE641" s="65" t="str">
        <f t="shared" si="92"/>
      </c>
      <c r="AF6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2">
      <c r="A642" s="65" t="str">
        <f>IF(ISBLANK(Games!A642), "", Games!A642)</f>
      </c>
      <c r="B642" s="65" t="str">
        <f>IF('Prediction Log'!B643=0, "",'Prediction Log'!B643)</f>
      </c>
      <c r="C642" s="65" t="str">
        <f>IF('Prediction Log'!C643=0, "",'Prediction Log'!C643)</f>
      </c>
      <c r="D642" s="65" t="str">
        <f>IF('Prediction Log'!D643=0, "",'Prediction Log'!D643)</f>
      </c>
      <c r="E642" s="58" t="str">
        <f>IF('Prediction Log'!E643=0, "",'Prediction Log'!E643)</f>
      </c>
      <c r="F642" s="65" t="str">
        <f>IF('Prediction Log'!H643=0, "",'Prediction Log'!H643)</f>
      </c>
      <c r="G642" s="64" t="str">
        <f>IF(ISBLANK(Games!B642), "",'Prediction Log'!$I643)</f>
      </c>
      <c r="H642" s="66" t="n">
        <f>'Prediction Log'!$J643</f>
        <v>0</v>
      </c>
      <c r="I642" s="65" t="str">
        <f>IF(ISBLANK(Games!T642), "",IF(AND(Games!T642="",Games!U642=""),"",IF(ISTEXT(Games!U642), "Side",Games!T642)))</f>
      </c>
      <c r="J642" s="65" t="str">
        <f>IF(ISBLANK(Games!T642), "",IF(Table12[[#This Row],[Bet]]="Spread", Games!X642, ""))</f>
      </c>
      <c r="K642" s="65" t="str">
        <f>IF(ISBLANK(Games!U642), "",IF(ISTEXT(Games!U642), Games!U642, ""))</f>
      </c>
      <c r="L642" s="57" t="str">
        <f>IF(ISBLANK(Games!D642), "", Games!D642)</f>
      </c>
      <c r="M642" s="65"/>
      <c r="N642" s="75" t="str">
        <f>IF(Games!V642="", "",Games!V642)</f>
      </c>
      <c r="O642" s="75" t="str">
        <f>IF(Games!Z642=0, "",Games!Z642)</f>
      </c>
      <c r="P642" s="67"/>
      <c r="Q642" s="67" t="str">
        <f>IF(ISBLANK(Games!W642), "", Games!W642)</f>
      </c>
      <c r="R642" s="67" t="str">
        <f>IF(ISBLANK(Games!AA642), "", Games!AA642)</f>
      </c>
      <c r="S642" s="67"/>
      <c r="T642" s="68" t="str">
        <f t="shared" si="88"/>
      </c>
      <c r="U642" s="68" t="str">
        <f t="shared" si="89"/>
      </c>
      <c r="V642" s="68" t="str">
        <f t="shared" si="90"/>
      </c>
      <c r="W642" s="68" t="str">
        <f t="shared" si="91"/>
      </c>
      <c r="X642" s="68" t="n">
        <f t="shared" si="93"/>
        <v>0</v>
      </c>
      <c r="Y642" s="68" t="n">
        <f t="shared" si="94"/>
        <v>0</v>
      </c>
      <c r="Z642" s="67" t="str">
        <f>IF(OR('Prediction Log'!L643="", Table12[[#This Row],[Bet]]="", Table12[[#This Row],[Bet]]="Spread"), "",IF('Prediction Log'!L643=Table12[[#This Row],[Side]], "W", IF('Prediction Log'!L643&lt;&gt;Table12[[#This Row],[Side]], "L", "")))</f>
      </c>
      <c r="AA642" s="59" t="str">
        <f t="shared" si="95"/>
      </c>
      <c r="AB642" s="67" t="str">
        <f>IF(OR(Table12[[#This Row],[Bet]]="Side",Table12[[#This Row],[Bet]]="", 'Prediction Log'!L643=""), "",IF('Prediction Log'!U643="Y", "W", IF('Prediction Log'!U643="N", "L", "")))</f>
      </c>
      <c r="AC642" s="59" t="str">
        <f t="shared" ref="AC642:AC705" si="96">IF(AB642="W", W642, IF(AB642="L",-O642, ""))</f>
      </c>
      <c r="AD642" s="67"/>
      <c r="AE642" s="65" t="str">
        <f t="shared" si="92"/>
      </c>
      <c r="AF6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3">
      <c r="A643" s="65" t="str">
        <f>IF(ISBLANK(Games!A643), "", Games!A643)</f>
      </c>
      <c r="B643" s="65" t="str">
        <f>IF('Prediction Log'!B644=0, "",'Prediction Log'!B644)</f>
      </c>
      <c r="C643" s="65" t="str">
        <f>IF('Prediction Log'!C644=0, "",'Prediction Log'!C644)</f>
      </c>
      <c r="D643" s="65" t="str">
        <f>IF('Prediction Log'!D644=0, "",'Prediction Log'!D644)</f>
      </c>
      <c r="E643" s="58" t="str">
        <f>IF('Prediction Log'!E644=0, "",'Prediction Log'!E644)</f>
      </c>
      <c r="F643" s="65" t="str">
        <f>IF('Prediction Log'!H644=0, "",'Prediction Log'!H644)</f>
      </c>
      <c r="G643" s="64" t="str">
        <f>IF(ISBLANK(Games!B643), "",'Prediction Log'!$I644)</f>
      </c>
      <c r="H643" s="66" t="n">
        <f>'Prediction Log'!$J644</f>
        <v>0</v>
      </c>
      <c r="I643" s="65" t="str">
        <f>IF(ISBLANK(Games!T643), "",IF(AND(Games!T643="",Games!U643=""),"",IF(ISTEXT(Games!U643), "Side",Games!T643)))</f>
      </c>
      <c r="J643" s="65" t="str">
        <f>IF(ISBLANK(Games!T643), "",IF(Table12[[#This Row],[Bet]]="Spread", Games!X643, ""))</f>
      </c>
      <c r="K643" s="65" t="str">
        <f>IF(ISBLANK(Games!U643), "",IF(ISTEXT(Games!U643), Games!U643, ""))</f>
      </c>
      <c r="L643" s="57" t="str">
        <f>IF(ISBLANK(Games!D643), "", Games!D643)</f>
      </c>
      <c r="M643" s="65"/>
      <c r="N643" s="75" t="str">
        <f>IF(Games!V643="", "",Games!V643)</f>
      </c>
      <c r="O643" s="75" t="str">
        <f>IF(Games!Z643=0, "",Games!Z643)</f>
      </c>
      <c r="P643" s="67"/>
      <c r="Q643" s="67" t="str">
        <f>IF(ISBLANK(Games!W643), "", Games!W643)</f>
      </c>
      <c r="R643" s="67" t="str">
        <f>IF(ISBLANK(Games!AA643), "", Games!AA643)</f>
      </c>
      <c r="S643" s="67"/>
      <c r="T643" s="68" t="str">
        <f t="shared" ref="T643:T706" si="97">IFERROR(N643+IF(Q643&lt;0, (N643/(Q643/-100)), N643*(Q643/100)), "")</f>
      </c>
      <c r="U643" s="68" t="str">
        <f t="shared" ref="U643:U706" si="98">IFERROR(T643-N643, "")</f>
      </c>
      <c r="V643" s="68" t="str">
        <f t="shared" ref="V643:V706" si="99">IFERROR(O643+IF(R643&lt;0, (O643/(R643/-100)), O643*(R643/100)), "")</f>
      </c>
      <c r="W643" s="68" t="str">
        <f t="shared" ref="W643:W706" si="100">IFERROR(V643-O643, "")</f>
      </c>
      <c r="X643" s="68" t="n">
        <f t="shared" si="93"/>
        <v>0</v>
      </c>
      <c r="Y643" s="68" t="n">
        <f t="shared" si="94"/>
        <v>0</v>
      </c>
      <c r="Z643" s="67" t="str">
        <f>IF(OR('Prediction Log'!L644="", Table12[[#This Row],[Bet]]="", Table12[[#This Row],[Bet]]="Spread"), "",IF('Prediction Log'!L644=Table12[[#This Row],[Side]], "W", IF('Prediction Log'!L644&lt;&gt;Table12[[#This Row],[Side]], "L", "")))</f>
      </c>
      <c r="AA643" s="59" t="str">
        <f t="shared" si="95"/>
      </c>
      <c r="AB643" s="67" t="str">
        <f>IF(OR(Table12[[#This Row],[Bet]]="Side",Table12[[#This Row],[Bet]]="", 'Prediction Log'!L644=""), "",IF('Prediction Log'!U644="Y", "W", IF('Prediction Log'!U644="N", "L", "")))</f>
      </c>
      <c r="AC643" s="59" t="str">
        <f t="shared" si="96"/>
      </c>
      <c r="AD643" s="67"/>
      <c r="AE643" s="65" t="str">
        <f t="shared" ref="AE643:AE706" si="101">IF(AD643="W", Y643, IF(AD643="L",-R643, ""))</f>
      </c>
      <c r="AF6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4">
      <c r="A644" s="65" t="str">
        <f>IF(ISBLANK(Games!A644), "", Games!A644)</f>
      </c>
      <c r="B644" s="65" t="str">
        <f>IF('Prediction Log'!B645=0, "",'Prediction Log'!B645)</f>
      </c>
      <c r="C644" s="65" t="str">
        <f>IF('Prediction Log'!C645=0, "",'Prediction Log'!C645)</f>
      </c>
      <c r="D644" s="65" t="str">
        <f>IF('Prediction Log'!D645=0, "",'Prediction Log'!D645)</f>
      </c>
      <c r="E644" s="58" t="str">
        <f>IF('Prediction Log'!E645=0, "",'Prediction Log'!E645)</f>
      </c>
      <c r="F644" s="65" t="str">
        <f>IF('Prediction Log'!H645=0, "",'Prediction Log'!H645)</f>
      </c>
      <c r="G644" s="64" t="str">
        <f>IF(ISBLANK(Games!B644), "",'Prediction Log'!$I645)</f>
      </c>
      <c r="H644" s="66" t="n">
        <f>'Prediction Log'!$J645</f>
        <v>0</v>
      </c>
      <c r="I644" s="65" t="str">
        <f>IF(ISBLANK(Games!T644), "",IF(AND(Games!T644="",Games!U644=""),"",IF(ISTEXT(Games!U644), "Side",Games!T644)))</f>
      </c>
      <c r="J644" s="65" t="str">
        <f>IF(ISBLANK(Games!T644), "",IF(Table12[[#This Row],[Bet]]="Spread", Games!X644, ""))</f>
      </c>
      <c r="K644" s="65" t="str">
        <f>IF(ISBLANK(Games!U644), "",IF(ISTEXT(Games!U644), Games!U644, ""))</f>
      </c>
      <c r="L644" s="57" t="str">
        <f>IF(ISBLANK(Games!D644), "", Games!D644)</f>
      </c>
      <c r="M644" s="65"/>
      <c r="N644" s="75" t="str">
        <f>IF(Games!V644="", "",Games!V644)</f>
      </c>
      <c r="O644" s="75" t="str">
        <f>IF(Games!Z644=0, "",Games!Z644)</f>
      </c>
      <c r="P644" s="67"/>
      <c r="Q644" s="67" t="str">
        <f>IF(ISBLANK(Games!W644), "", Games!W644)</f>
      </c>
      <c r="R644" s="67" t="str">
        <f>IF(ISBLANK(Games!AA644), "", Games!AA644)</f>
      </c>
      <c r="S644" s="67"/>
      <c r="T644" s="68" t="str">
        <f t="shared" si="97"/>
      </c>
      <c r="U644" s="68" t="str">
        <f t="shared" si="98"/>
      </c>
      <c r="V644" s="68" t="str">
        <f t="shared" si="99"/>
      </c>
      <c r="W644" s="68" t="str">
        <f t="shared" si="100"/>
      </c>
      <c r="X644" s="68" t="n">
        <f t="shared" si="93"/>
        <v>0</v>
      </c>
      <c r="Y644" s="68" t="n">
        <f t="shared" si="94"/>
        <v>0</v>
      </c>
      <c r="Z644" s="67" t="str">
        <f>IF(OR('Prediction Log'!L645="", Table12[[#This Row],[Bet]]="", Table12[[#This Row],[Bet]]="Spread"), "",IF('Prediction Log'!L645=Table12[[#This Row],[Side]], "W", IF('Prediction Log'!L645&lt;&gt;Table12[[#This Row],[Side]], "L", "")))</f>
      </c>
      <c r="AA644" s="59" t="str">
        <f t="shared" si="95"/>
      </c>
      <c r="AB644" s="67" t="str">
        <f>IF(OR(Table12[[#This Row],[Bet]]="Side",Table12[[#This Row],[Bet]]="", 'Prediction Log'!L645=""), "",IF('Prediction Log'!U645="Y", "W", IF('Prediction Log'!U645="N", "L", "")))</f>
      </c>
      <c r="AC644" s="59" t="str">
        <f t="shared" si="96"/>
      </c>
      <c r="AD644" s="67"/>
      <c r="AE644" s="65" t="str">
        <f t="shared" si="101"/>
      </c>
      <c r="AF6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5">
      <c r="A645" s="65" t="str">
        <f>IF(ISBLANK(Games!A645), "", Games!A645)</f>
      </c>
      <c r="B645" s="65" t="str">
        <f>IF('Prediction Log'!B646=0, "",'Prediction Log'!B646)</f>
      </c>
      <c r="C645" s="65" t="str">
        <f>IF('Prediction Log'!C646=0, "",'Prediction Log'!C646)</f>
      </c>
      <c r="D645" s="65" t="str">
        <f>IF('Prediction Log'!D646=0, "",'Prediction Log'!D646)</f>
      </c>
      <c r="E645" s="58" t="str">
        <f>IF('Prediction Log'!E646=0, "",'Prediction Log'!E646)</f>
      </c>
      <c r="F645" s="65" t="str">
        <f>IF('Prediction Log'!H646=0, "",'Prediction Log'!H646)</f>
      </c>
      <c r="G645" s="64" t="str">
        <f>IF(ISBLANK(Games!B645), "",'Prediction Log'!$I646)</f>
      </c>
      <c r="H645" s="66" t="n">
        <f>'Prediction Log'!$J646</f>
        <v>0</v>
      </c>
      <c r="I645" s="65" t="str">
        <f>IF(ISBLANK(Games!T645), "",IF(AND(Games!T645="",Games!U645=""),"",IF(ISTEXT(Games!U645), "Side",Games!T645)))</f>
      </c>
      <c r="J645" s="65" t="str">
        <f>IF(ISBLANK(Games!T645), "",IF(Table12[[#This Row],[Bet]]="Spread", Games!X645, ""))</f>
      </c>
      <c r="K645" s="65" t="str">
        <f>IF(ISBLANK(Games!U645), "",IF(ISTEXT(Games!U645), Games!U645, ""))</f>
      </c>
      <c r="L645" s="57" t="str">
        <f>IF(ISBLANK(Games!D645), "", Games!D645)</f>
      </c>
      <c r="M645" s="65"/>
      <c r="N645" s="75" t="str">
        <f>IF(Games!V645="", "",Games!V645)</f>
      </c>
      <c r="O645" s="75" t="str">
        <f>IF(Games!Z645=0, "",Games!Z645)</f>
      </c>
      <c r="P645" s="67"/>
      <c r="Q645" s="67" t="str">
        <f>IF(ISBLANK(Games!W645), "", Games!W645)</f>
      </c>
      <c r="R645" s="67" t="str">
        <f>IF(ISBLANK(Games!AA645), "", Games!AA645)</f>
      </c>
      <c r="S645" s="67"/>
      <c r="T645" s="68" t="str">
        <f t="shared" si="97"/>
      </c>
      <c r="U645" s="68" t="str">
        <f t="shared" si="98"/>
      </c>
      <c r="V645" s="68" t="str">
        <f t="shared" si="99"/>
      </c>
      <c r="W645" s="68" t="str">
        <f t="shared" si="100"/>
      </c>
      <c r="X645" s="68" t="n">
        <f t="shared" si="93"/>
        <v>0</v>
      </c>
      <c r="Y645" s="68" t="n">
        <f t="shared" si="94"/>
        <v>0</v>
      </c>
      <c r="Z645" s="67" t="str">
        <f>IF(OR('Prediction Log'!L646="", Table12[[#This Row],[Bet]]="", Table12[[#This Row],[Bet]]="Spread"), "",IF('Prediction Log'!L646=Table12[[#This Row],[Side]], "W", IF('Prediction Log'!L646&lt;&gt;Table12[[#This Row],[Side]], "L", "")))</f>
      </c>
      <c r="AA645" s="59" t="str">
        <f t="shared" si="95"/>
      </c>
      <c r="AB645" s="67" t="str">
        <f>IF(OR(Table12[[#This Row],[Bet]]="Side",Table12[[#This Row],[Bet]]="", 'Prediction Log'!L646=""), "",IF('Prediction Log'!U646="Y", "W", IF('Prediction Log'!U646="N", "L", "")))</f>
      </c>
      <c r="AC645" s="59" t="str">
        <f t="shared" si="96"/>
      </c>
      <c r="AD645" s="67"/>
      <c r="AE645" s="65" t="str">
        <f t="shared" si="101"/>
      </c>
      <c r="AF6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6">
      <c r="A646" s="65" t="str">
        <f>IF(ISBLANK(Games!A646), "", Games!A646)</f>
      </c>
      <c r="B646" s="65" t="str">
        <f>IF('Prediction Log'!B647=0, "",'Prediction Log'!B647)</f>
      </c>
      <c r="C646" s="65" t="str">
        <f>IF('Prediction Log'!C647=0, "",'Prediction Log'!C647)</f>
      </c>
      <c r="D646" s="65" t="str">
        <f>IF('Prediction Log'!D647=0, "",'Prediction Log'!D647)</f>
      </c>
      <c r="E646" s="58" t="str">
        <f>IF('Prediction Log'!E647=0, "",'Prediction Log'!E647)</f>
      </c>
      <c r="F646" s="65" t="str">
        <f>IF('Prediction Log'!H647=0, "",'Prediction Log'!H647)</f>
      </c>
      <c r="G646" s="64" t="str">
        <f>IF(ISBLANK(Games!B646), "",'Prediction Log'!$I647)</f>
      </c>
      <c r="H646" s="66" t="n">
        <f>'Prediction Log'!$J647</f>
        <v>0</v>
      </c>
      <c r="I646" s="65" t="str">
        <f>IF(ISBLANK(Games!T646), "",IF(AND(Games!T646="",Games!U646=""),"",IF(ISTEXT(Games!U646), "Side",Games!T646)))</f>
      </c>
      <c r="J646" s="65" t="str">
        <f>IF(ISBLANK(Games!T646), "",IF(Table12[[#This Row],[Bet]]="Spread", Games!X646, ""))</f>
      </c>
      <c r="K646" s="65" t="str">
        <f>IF(ISBLANK(Games!U646), "",IF(ISTEXT(Games!U646), Games!U646, ""))</f>
      </c>
      <c r="L646" s="57" t="str">
        <f>IF(ISBLANK(Games!D646), "", Games!D646)</f>
      </c>
      <c r="M646" s="65"/>
      <c r="N646" s="75" t="str">
        <f>IF(Games!V646="", "",Games!V646)</f>
      </c>
      <c r="O646" s="75" t="str">
        <f>IF(Games!Z646=0, "",Games!Z646)</f>
      </c>
      <c r="P646" s="67"/>
      <c r="Q646" s="67" t="str">
        <f>IF(ISBLANK(Games!W646), "", Games!W646)</f>
      </c>
      <c r="R646" s="67" t="str">
        <f>IF(ISBLANK(Games!AA646), "", Games!AA646)</f>
      </c>
      <c r="S646" s="67"/>
      <c r="T646" s="68" t="str">
        <f t="shared" si="97"/>
      </c>
      <c r="U646" s="68" t="str">
        <f t="shared" si="98"/>
      </c>
      <c r="V646" s="68" t="str">
        <f t="shared" si="99"/>
      </c>
      <c r="W646" s="68" t="str">
        <f t="shared" si="100"/>
      </c>
      <c r="X646" s="68" t="n">
        <f t="shared" si="93"/>
        <v>0</v>
      </c>
      <c r="Y646" s="68" t="n">
        <f t="shared" si="94"/>
        <v>0</v>
      </c>
      <c r="Z646" s="67" t="str">
        <f>IF(OR('Prediction Log'!L647="", Table12[[#This Row],[Bet]]="", Table12[[#This Row],[Bet]]="Spread"), "",IF('Prediction Log'!L647=Table12[[#This Row],[Side]], "W", IF('Prediction Log'!L647&lt;&gt;Table12[[#This Row],[Side]], "L", "")))</f>
      </c>
      <c r="AA646" s="59" t="str">
        <f t="shared" si="95"/>
      </c>
      <c r="AB646" s="67" t="str">
        <f>IF(OR(Table12[[#This Row],[Bet]]="Side",Table12[[#This Row],[Bet]]="", 'Prediction Log'!L647=""), "",IF('Prediction Log'!U647="Y", "W", IF('Prediction Log'!U647="N", "L", "")))</f>
      </c>
      <c r="AC646" s="59" t="str">
        <f t="shared" si="96"/>
      </c>
      <c r="AD646" s="67"/>
      <c r="AE646" s="65" t="str">
        <f t="shared" si="101"/>
      </c>
      <c r="AF6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7">
      <c r="A647" s="65" t="str">
        <f>IF(ISBLANK(Games!A647), "", Games!A647)</f>
      </c>
      <c r="B647" s="65" t="str">
        <f>IF('Prediction Log'!B648=0, "",'Prediction Log'!B648)</f>
      </c>
      <c r="C647" s="65" t="str">
        <f>IF('Prediction Log'!C648=0, "",'Prediction Log'!C648)</f>
      </c>
      <c r="D647" s="65" t="str">
        <f>IF('Prediction Log'!D648=0, "",'Prediction Log'!D648)</f>
      </c>
      <c r="E647" s="58" t="str">
        <f>IF('Prediction Log'!E648=0, "",'Prediction Log'!E648)</f>
      </c>
      <c r="F647" s="65" t="str">
        <f>IF('Prediction Log'!H648=0, "",'Prediction Log'!H648)</f>
      </c>
      <c r="G647" s="64" t="str">
        <f>IF(ISBLANK(Games!B647), "",'Prediction Log'!$I648)</f>
      </c>
      <c r="H647" s="66" t="n">
        <f>'Prediction Log'!$J648</f>
        <v>0</v>
      </c>
      <c r="I647" s="65" t="str">
        <f>IF(ISBLANK(Games!T647), "",IF(AND(Games!T647="",Games!U647=""),"",IF(ISTEXT(Games!U647), "Side",Games!T647)))</f>
      </c>
      <c r="J647" s="65" t="str">
        <f>IF(ISBLANK(Games!T647), "",IF(Table12[[#This Row],[Bet]]="Spread", Games!X647, ""))</f>
      </c>
      <c r="K647" s="65" t="str">
        <f>IF(ISBLANK(Games!U647), "",IF(ISTEXT(Games!U647), Games!U647, ""))</f>
      </c>
      <c r="L647" s="57" t="str">
        <f>IF(ISBLANK(Games!D647), "", Games!D647)</f>
      </c>
      <c r="M647" s="65"/>
      <c r="N647" s="75" t="str">
        <f>IF(Games!V647="", "",Games!V647)</f>
      </c>
      <c r="O647" s="75" t="str">
        <f>IF(Games!Z647=0, "",Games!Z647)</f>
      </c>
      <c r="P647" s="67"/>
      <c r="Q647" s="67" t="str">
        <f>IF(ISBLANK(Games!W647), "", Games!W647)</f>
      </c>
      <c r="R647" s="67" t="str">
        <f>IF(ISBLANK(Games!AA647), "", Games!AA647)</f>
      </c>
      <c r="S647" s="67"/>
      <c r="T647" s="68" t="str">
        <f t="shared" si="97"/>
      </c>
      <c r="U647" s="68" t="str">
        <f t="shared" si="98"/>
      </c>
      <c r="V647" s="68" t="str">
        <f t="shared" si="99"/>
      </c>
      <c r="W647" s="68" t="str">
        <f t="shared" si="100"/>
      </c>
      <c r="X647" s="68" t="n">
        <f t="shared" si="93"/>
        <v>0</v>
      </c>
      <c r="Y647" s="68" t="n">
        <f t="shared" si="94"/>
        <v>0</v>
      </c>
      <c r="Z647" s="67" t="str">
        <f>IF(OR('Prediction Log'!L648="", Table12[[#This Row],[Bet]]="", Table12[[#This Row],[Bet]]="Spread"), "",IF('Prediction Log'!L648=Table12[[#This Row],[Side]], "W", IF('Prediction Log'!L648&lt;&gt;Table12[[#This Row],[Side]], "L", "")))</f>
      </c>
      <c r="AA647" s="59" t="str">
        <f t="shared" si="95"/>
      </c>
      <c r="AB647" s="67" t="str">
        <f>IF(OR(Table12[[#This Row],[Bet]]="Side",Table12[[#This Row],[Bet]]="", 'Prediction Log'!L648=""), "",IF('Prediction Log'!U648="Y", "W", IF('Prediction Log'!U648="N", "L", "")))</f>
      </c>
      <c r="AC647" s="59" t="str">
        <f t="shared" si="96"/>
      </c>
      <c r="AD647" s="67"/>
      <c r="AE647" s="65" t="str">
        <f t="shared" si="101"/>
      </c>
      <c r="AF6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8">
      <c r="A648" s="65" t="str">
        <f>IF(ISBLANK(Games!A648), "", Games!A648)</f>
      </c>
      <c r="B648" s="65" t="str">
        <f>IF('Prediction Log'!B649=0, "",'Prediction Log'!B649)</f>
      </c>
      <c r="C648" s="65" t="str">
        <f>IF('Prediction Log'!C649=0, "",'Prediction Log'!C649)</f>
      </c>
      <c r="D648" s="65" t="str">
        <f>IF('Prediction Log'!D649=0, "",'Prediction Log'!D649)</f>
      </c>
      <c r="E648" s="58" t="str">
        <f>IF('Prediction Log'!E649=0, "",'Prediction Log'!E649)</f>
      </c>
      <c r="F648" s="65" t="str">
        <f>IF('Prediction Log'!H649=0, "",'Prediction Log'!H649)</f>
      </c>
      <c r="G648" s="64" t="str">
        <f>IF(ISBLANK(Games!B648), "",'Prediction Log'!$I649)</f>
      </c>
      <c r="H648" s="66" t="n">
        <f>'Prediction Log'!$J649</f>
        <v>0</v>
      </c>
      <c r="I648" s="65" t="str">
        <f>IF(ISBLANK(Games!T648), "",IF(AND(Games!T648="",Games!U648=""),"",IF(ISTEXT(Games!U648), "Side",Games!T648)))</f>
      </c>
      <c r="J648" s="65" t="str">
        <f>IF(ISBLANK(Games!T648), "",IF(Table12[[#This Row],[Bet]]="Spread", Games!X648, ""))</f>
      </c>
      <c r="K648" s="65" t="str">
        <f>IF(ISBLANK(Games!U648), "",IF(ISTEXT(Games!U648), Games!U648, ""))</f>
      </c>
      <c r="L648" s="57" t="str">
        <f>IF(ISBLANK(Games!D648), "", Games!D648)</f>
      </c>
      <c r="M648" s="65"/>
      <c r="N648" s="75" t="str">
        <f>IF(Games!V648="", "",Games!V648)</f>
      </c>
      <c r="O648" s="75" t="str">
        <f>IF(Games!Z648=0, "",Games!Z648)</f>
      </c>
      <c r="P648" s="67"/>
      <c r="Q648" s="67" t="str">
        <f>IF(ISBLANK(Games!W648), "", Games!W648)</f>
      </c>
      <c r="R648" s="67" t="str">
        <f>IF(ISBLANK(Games!AA648), "", Games!AA648)</f>
      </c>
      <c r="S648" s="67"/>
      <c r="T648" s="68" t="str">
        <f t="shared" si="97"/>
      </c>
      <c r="U648" s="68" t="str">
        <f t="shared" si="98"/>
      </c>
      <c r="V648" s="68" t="str">
        <f t="shared" si="99"/>
      </c>
      <c r="W648" s="68" t="str">
        <f t="shared" si="100"/>
      </c>
      <c r="X648" s="68" t="n">
        <f t="shared" si="93"/>
        <v>0</v>
      </c>
      <c r="Y648" s="68" t="n">
        <f t="shared" si="94"/>
        <v>0</v>
      </c>
      <c r="Z648" s="67" t="str">
        <f>IF(OR('Prediction Log'!L649="", Table12[[#This Row],[Bet]]="", Table12[[#This Row],[Bet]]="Spread"), "",IF('Prediction Log'!L649=Table12[[#This Row],[Side]], "W", IF('Prediction Log'!L649&lt;&gt;Table12[[#This Row],[Side]], "L", "")))</f>
      </c>
      <c r="AA648" s="59" t="str">
        <f t="shared" si="95"/>
      </c>
      <c r="AB648" s="67" t="str">
        <f>IF(OR(Table12[[#This Row],[Bet]]="Side",Table12[[#This Row],[Bet]]="", 'Prediction Log'!L649=""), "",IF('Prediction Log'!U649="Y", "W", IF('Prediction Log'!U649="N", "L", "")))</f>
      </c>
      <c r="AC648" s="59" t="str">
        <f t="shared" si="96"/>
      </c>
      <c r="AD648" s="67"/>
      <c r="AE648" s="65" t="str">
        <f t="shared" si="101"/>
      </c>
      <c r="AF6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9">
      <c r="A649" s="65" t="str">
        <f>IF(ISBLANK(Games!A649), "", Games!A649)</f>
      </c>
      <c r="B649" s="65" t="str">
        <f>IF('Prediction Log'!B650=0, "",'Prediction Log'!B650)</f>
      </c>
      <c r="C649" s="65" t="str">
        <f>IF('Prediction Log'!C650=0, "",'Prediction Log'!C650)</f>
      </c>
      <c r="D649" s="65" t="str">
        <f>IF('Prediction Log'!D650=0, "",'Prediction Log'!D650)</f>
      </c>
      <c r="E649" s="58" t="str">
        <f>IF('Prediction Log'!E650=0, "",'Prediction Log'!E650)</f>
      </c>
      <c r="F649" s="65" t="str">
        <f>IF('Prediction Log'!H650=0, "",'Prediction Log'!H650)</f>
      </c>
      <c r="G649" s="64" t="str">
        <f>IF(ISBLANK(Games!B649), "",'Prediction Log'!$I650)</f>
      </c>
      <c r="H649" s="66" t="n">
        <f>'Prediction Log'!$J650</f>
        <v>0</v>
      </c>
      <c r="I649" s="65" t="str">
        <f>IF(ISBLANK(Games!T649), "",IF(AND(Games!T649="",Games!U649=""),"",IF(ISTEXT(Games!U649), "Side",Games!T649)))</f>
      </c>
      <c r="J649" s="65" t="str">
        <f>IF(ISBLANK(Games!T649), "",IF(Table12[[#This Row],[Bet]]="Spread", Games!X649, ""))</f>
      </c>
      <c r="K649" s="65" t="str">
        <f>IF(ISBLANK(Games!U649), "",IF(ISTEXT(Games!U649), Games!U649, ""))</f>
      </c>
      <c r="L649" s="57" t="str">
        <f>IF(ISBLANK(Games!D649), "", Games!D649)</f>
      </c>
      <c r="M649" s="65"/>
      <c r="N649" s="75" t="str">
        <f>IF(Games!V649="", "",Games!V649)</f>
      </c>
      <c r="O649" s="75" t="str">
        <f>IF(Games!Z649=0, "",Games!Z649)</f>
      </c>
      <c r="P649" s="67"/>
      <c r="Q649" s="67" t="str">
        <f>IF(ISBLANK(Games!W649), "", Games!W649)</f>
      </c>
      <c r="R649" s="67" t="str">
        <f>IF(ISBLANK(Games!AA649), "", Games!AA649)</f>
      </c>
      <c r="S649" s="67"/>
      <c r="T649" s="68" t="str">
        <f t="shared" si="97"/>
      </c>
      <c r="U649" s="68" t="str">
        <f t="shared" si="98"/>
      </c>
      <c r="V649" s="68" t="str">
        <f t="shared" si="99"/>
      </c>
      <c r="W649" s="68" t="str">
        <f t="shared" si="100"/>
      </c>
      <c r="X649" s="68" t="n">
        <f t="shared" si="93"/>
        <v>0</v>
      </c>
      <c r="Y649" s="68" t="n">
        <f t="shared" si="94"/>
        <v>0</v>
      </c>
      <c r="Z649" s="67" t="str">
        <f>IF(OR('Prediction Log'!L650="", Table12[[#This Row],[Bet]]="", Table12[[#This Row],[Bet]]="Spread"), "",IF('Prediction Log'!L650=Table12[[#This Row],[Side]], "W", IF('Prediction Log'!L650&lt;&gt;Table12[[#This Row],[Side]], "L", "")))</f>
      </c>
      <c r="AA649" s="59" t="str">
        <f t="shared" si="95"/>
      </c>
      <c r="AB649" s="67" t="str">
        <f>IF(OR(Table12[[#This Row],[Bet]]="Side",Table12[[#This Row],[Bet]]="", 'Prediction Log'!L650=""), "",IF('Prediction Log'!U650="Y", "W", IF('Prediction Log'!U650="N", "L", "")))</f>
      </c>
      <c r="AC649" s="59" t="str">
        <f t="shared" si="96"/>
      </c>
      <c r="AD649" s="67"/>
      <c r="AE649" s="65" t="str">
        <f t="shared" si="101"/>
      </c>
      <c r="AF6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0">
      <c r="A650" s="65" t="str">
        <f>IF(ISBLANK(Games!A650), "", Games!A650)</f>
      </c>
      <c r="B650" s="65" t="str">
        <f>IF('Prediction Log'!B651=0, "",'Prediction Log'!B651)</f>
      </c>
      <c r="C650" s="65" t="str">
        <f>IF('Prediction Log'!C651=0, "",'Prediction Log'!C651)</f>
      </c>
      <c r="D650" s="65" t="str">
        <f>IF('Prediction Log'!D651=0, "",'Prediction Log'!D651)</f>
      </c>
      <c r="E650" s="58" t="str">
        <f>IF('Prediction Log'!E651=0, "",'Prediction Log'!E651)</f>
      </c>
      <c r="F650" s="65" t="str">
        <f>IF('Prediction Log'!H651=0, "",'Prediction Log'!H651)</f>
      </c>
      <c r="G650" s="64" t="str">
        <f>IF(ISBLANK(Games!B650), "",'Prediction Log'!$I651)</f>
      </c>
      <c r="H650" s="66" t="n">
        <f>'Prediction Log'!$J651</f>
        <v>0</v>
      </c>
      <c r="I650" s="65" t="str">
        <f>IF(ISBLANK(Games!T650), "",IF(AND(Games!T650="",Games!U650=""),"",IF(ISTEXT(Games!U650), "Side",Games!T650)))</f>
      </c>
      <c r="J650" s="65" t="str">
        <f>IF(ISBLANK(Games!T650), "",IF(Table12[[#This Row],[Bet]]="Spread", Games!X650, ""))</f>
      </c>
      <c r="K650" s="65" t="str">
        <f>IF(ISBLANK(Games!U650), "",IF(ISTEXT(Games!U650), Games!U650, ""))</f>
      </c>
      <c r="L650" s="57" t="str">
        <f>IF(ISBLANK(Games!D650), "", Games!D650)</f>
      </c>
      <c r="M650" s="65"/>
      <c r="N650" s="75" t="str">
        <f>IF(Games!V650="", "",Games!V650)</f>
      </c>
      <c r="O650" s="75" t="str">
        <f>IF(Games!Z650=0, "",Games!Z650)</f>
      </c>
      <c r="P650" s="67"/>
      <c r="Q650" s="67" t="str">
        <f>IF(ISBLANK(Games!W650), "", Games!W650)</f>
      </c>
      <c r="R650" s="67" t="str">
        <f>IF(ISBLANK(Games!AA650), "", Games!AA650)</f>
      </c>
      <c r="S650" s="67"/>
      <c r="T650" s="68" t="str">
        <f t="shared" si="97"/>
      </c>
      <c r="U650" s="68" t="str">
        <f t="shared" si="98"/>
      </c>
      <c r="V650" s="68" t="str">
        <f t="shared" si="99"/>
      </c>
      <c r="W650" s="68" t="str">
        <f t="shared" si="100"/>
      </c>
      <c r="X650" s="68" t="n">
        <f t="shared" si="93"/>
        <v>0</v>
      </c>
      <c r="Y650" s="68" t="n">
        <f t="shared" si="94"/>
        <v>0</v>
      </c>
      <c r="Z650" s="67" t="str">
        <f>IF(OR('Prediction Log'!L651="", Table12[[#This Row],[Bet]]="", Table12[[#This Row],[Bet]]="Spread"), "",IF('Prediction Log'!L651=Table12[[#This Row],[Side]], "W", IF('Prediction Log'!L651&lt;&gt;Table12[[#This Row],[Side]], "L", "")))</f>
      </c>
      <c r="AA650" s="59" t="str">
        <f t="shared" si="95"/>
      </c>
      <c r="AB650" s="67" t="str">
        <f>IF(OR(Table12[[#This Row],[Bet]]="Side",Table12[[#This Row],[Bet]]="", 'Prediction Log'!L651=""), "",IF('Prediction Log'!U651="Y", "W", IF('Prediction Log'!U651="N", "L", "")))</f>
      </c>
      <c r="AC650" s="59" t="str">
        <f t="shared" si="96"/>
      </c>
      <c r="AD650" s="67"/>
      <c r="AE650" s="65" t="str">
        <f t="shared" si="101"/>
      </c>
      <c r="AF6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1">
      <c r="A651" s="65" t="str">
        <f>IF(ISBLANK(Games!A651), "", Games!A651)</f>
      </c>
      <c r="B651" s="65" t="str">
        <f>IF('Prediction Log'!B652=0, "",'Prediction Log'!B652)</f>
      </c>
      <c r="C651" s="65" t="str">
        <f>IF('Prediction Log'!C652=0, "",'Prediction Log'!C652)</f>
      </c>
      <c r="D651" s="65" t="str">
        <f>IF('Prediction Log'!D652=0, "",'Prediction Log'!D652)</f>
      </c>
      <c r="E651" s="58" t="str">
        <f>IF('Prediction Log'!E652=0, "",'Prediction Log'!E652)</f>
      </c>
      <c r="F651" s="65" t="str">
        <f>IF('Prediction Log'!H652=0, "",'Prediction Log'!H652)</f>
      </c>
      <c r="G651" s="64" t="str">
        <f>IF(ISBLANK(Games!B651), "",'Prediction Log'!$I652)</f>
      </c>
      <c r="H651" s="66" t="n">
        <f>'Prediction Log'!$J652</f>
        <v>0</v>
      </c>
      <c r="I651" s="65" t="str">
        <f>IF(ISBLANK(Games!T651), "",IF(AND(Games!T651="",Games!U651=""),"",IF(ISTEXT(Games!U651), "Side",Games!T651)))</f>
      </c>
      <c r="J651" s="65" t="str">
        <f>IF(ISBLANK(Games!T651), "",IF(Table12[[#This Row],[Bet]]="Spread", Games!X651, ""))</f>
      </c>
      <c r="K651" s="65" t="str">
        <f>IF(ISBLANK(Games!U651), "",IF(ISTEXT(Games!U651), Games!U651, ""))</f>
      </c>
      <c r="L651" s="57" t="str">
        <f>IF(ISBLANK(Games!D651), "", Games!D651)</f>
      </c>
      <c r="M651" s="65"/>
      <c r="N651" s="75" t="str">
        <f>IF(Games!V651="", "",Games!V651)</f>
      </c>
      <c r="O651" s="75" t="str">
        <f>IF(Games!Z651=0, "",Games!Z651)</f>
      </c>
      <c r="P651" s="67"/>
      <c r="Q651" s="67" t="str">
        <f>IF(ISBLANK(Games!W651), "", Games!W651)</f>
      </c>
      <c r="R651" s="67" t="str">
        <f>IF(ISBLANK(Games!AA651), "", Games!AA651)</f>
      </c>
      <c r="S651" s="67"/>
      <c r="T651" s="68" t="str">
        <f t="shared" si="97"/>
      </c>
      <c r="U651" s="68" t="str">
        <f t="shared" si="98"/>
      </c>
      <c r="V651" s="68" t="str">
        <f t="shared" si="99"/>
      </c>
      <c r="W651" s="68" t="str">
        <f t="shared" si="100"/>
      </c>
      <c r="X651" s="68" t="n">
        <f t="shared" si="93"/>
        <v>0</v>
      </c>
      <c r="Y651" s="68" t="n">
        <f t="shared" si="94"/>
        <v>0</v>
      </c>
      <c r="Z651" s="67" t="str">
        <f>IF(OR('Prediction Log'!L652="", Table12[[#This Row],[Bet]]="", Table12[[#This Row],[Bet]]="Spread"), "",IF('Prediction Log'!L652=Table12[[#This Row],[Side]], "W", IF('Prediction Log'!L652&lt;&gt;Table12[[#This Row],[Side]], "L", "")))</f>
      </c>
      <c r="AA651" s="59" t="str">
        <f t="shared" si="95"/>
      </c>
      <c r="AB651" s="67" t="str">
        <f>IF(OR(Table12[[#This Row],[Bet]]="Side",Table12[[#This Row],[Bet]]="", 'Prediction Log'!L652=""), "",IF('Prediction Log'!U652="Y", "W", IF('Prediction Log'!U652="N", "L", "")))</f>
      </c>
      <c r="AC651" s="59" t="str">
        <f t="shared" si="96"/>
      </c>
      <c r="AD651" s="67"/>
      <c r="AE651" s="65" t="str">
        <f t="shared" si="101"/>
      </c>
      <c r="AF6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2">
      <c r="A652" s="65" t="str">
        <f>IF(ISBLANK(Games!A652), "", Games!A652)</f>
      </c>
      <c r="B652" s="65" t="str">
        <f>IF('Prediction Log'!B653=0, "",'Prediction Log'!B653)</f>
      </c>
      <c r="C652" s="65" t="str">
        <f>IF('Prediction Log'!C653=0, "",'Prediction Log'!C653)</f>
      </c>
      <c r="D652" s="65" t="str">
        <f>IF('Prediction Log'!D653=0, "",'Prediction Log'!D653)</f>
      </c>
      <c r="E652" s="58" t="str">
        <f>IF('Prediction Log'!E653=0, "",'Prediction Log'!E653)</f>
      </c>
      <c r="F652" s="65" t="str">
        <f>IF('Prediction Log'!H653=0, "",'Prediction Log'!H653)</f>
      </c>
      <c r="G652" s="64" t="str">
        <f>IF(ISBLANK(Games!B652), "",'Prediction Log'!$I653)</f>
      </c>
      <c r="H652" s="66" t="n">
        <f>'Prediction Log'!$J653</f>
        <v>0</v>
      </c>
      <c r="I652" s="65" t="str">
        <f>IF(ISBLANK(Games!T652), "",IF(AND(Games!T652="",Games!U652=""),"",IF(ISTEXT(Games!U652), "Side",Games!T652)))</f>
      </c>
      <c r="J652" s="65" t="str">
        <f>IF(ISBLANK(Games!T652), "",IF(Table12[[#This Row],[Bet]]="Spread", Games!X652, ""))</f>
      </c>
      <c r="K652" s="65" t="str">
        <f>IF(ISBLANK(Games!U652), "",IF(ISTEXT(Games!U652), Games!U652, ""))</f>
      </c>
      <c r="L652" s="57" t="str">
        <f>IF(ISBLANK(Games!D652), "", Games!D652)</f>
      </c>
      <c r="M652" s="65"/>
      <c r="N652" s="75" t="str">
        <f>IF(Games!V652="", "",Games!V652)</f>
      </c>
      <c r="O652" s="75" t="str">
        <f>IF(Games!Z652=0, "",Games!Z652)</f>
      </c>
      <c r="P652" s="67"/>
      <c r="Q652" s="67" t="str">
        <f>IF(ISBLANK(Games!W652), "", Games!W652)</f>
      </c>
      <c r="R652" s="67" t="str">
        <f>IF(ISBLANK(Games!AA652), "", Games!AA652)</f>
      </c>
      <c r="S652" s="67"/>
      <c r="T652" s="68" t="str">
        <f t="shared" si="97"/>
      </c>
      <c r="U652" s="68" t="str">
        <f t="shared" si="98"/>
      </c>
      <c r="V652" s="68" t="str">
        <f t="shared" si="99"/>
      </c>
      <c r="W652" s="68" t="str">
        <f t="shared" si="100"/>
      </c>
      <c r="X652" s="68" t="n">
        <f t="shared" si="93"/>
        <v>0</v>
      </c>
      <c r="Y652" s="68" t="n">
        <f t="shared" si="94"/>
        <v>0</v>
      </c>
      <c r="Z652" s="67" t="str">
        <f>IF(OR('Prediction Log'!L653="", Table12[[#This Row],[Bet]]="", Table12[[#This Row],[Bet]]="Spread"), "",IF('Prediction Log'!L653=Table12[[#This Row],[Side]], "W", IF('Prediction Log'!L653&lt;&gt;Table12[[#This Row],[Side]], "L", "")))</f>
      </c>
      <c r="AA652" s="59" t="str">
        <f t="shared" si="95"/>
      </c>
      <c r="AB652" s="67" t="str">
        <f>IF(OR(Table12[[#This Row],[Bet]]="Side",Table12[[#This Row],[Bet]]="", 'Prediction Log'!L653=""), "",IF('Prediction Log'!U653="Y", "W", IF('Prediction Log'!U653="N", "L", "")))</f>
      </c>
      <c r="AC652" s="59" t="str">
        <f t="shared" si="96"/>
      </c>
      <c r="AD652" s="67"/>
      <c r="AE652" s="65" t="str">
        <f t="shared" si="101"/>
      </c>
      <c r="AF6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3">
      <c r="A653" s="65" t="str">
        <f>IF(ISBLANK(Games!A653), "", Games!A653)</f>
      </c>
      <c r="B653" s="65" t="str">
        <f>IF('Prediction Log'!B654=0, "",'Prediction Log'!B654)</f>
      </c>
      <c r="C653" s="65" t="str">
        <f>IF('Prediction Log'!C654=0, "",'Prediction Log'!C654)</f>
      </c>
      <c r="D653" s="65" t="str">
        <f>IF('Prediction Log'!D654=0, "",'Prediction Log'!D654)</f>
      </c>
      <c r="E653" s="58" t="str">
        <f>IF('Prediction Log'!E654=0, "",'Prediction Log'!E654)</f>
      </c>
      <c r="F653" s="65" t="str">
        <f>IF('Prediction Log'!H654=0, "",'Prediction Log'!H654)</f>
      </c>
      <c r="G653" s="64" t="str">
        <f>IF(ISBLANK(Games!B653), "",'Prediction Log'!$I654)</f>
      </c>
      <c r="H653" s="66" t="n">
        <f>'Prediction Log'!$J654</f>
        <v>0</v>
      </c>
      <c r="I653" s="65" t="str">
        <f>IF(ISBLANK(Games!T653), "",IF(AND(Games!T653="",Games!U653=""),"",IF(ISTEXT(Games!U653), "Side",Games!T653)))</f>
      </c>
      <c r="J653" s="65" t="str">
        <f>IF(ISBLANK(Games!T653), "",IF(Table12[[#This Row],[Bet]]="Spread", Games!X653, ""))</f>
      </c>
      <c r="K653" s="65" t="str">
        <f>IF(ISBLANK(Games!U653), "",IF(ISTEXT(Games!U653), Games!U653, ""))</f>
      </c>
      <c r="L653" s="57" t="str">
        <f>IF(ISBLANK(Games!D653), "", Games!D653)</f>
      </c>
      <c r="M653" s="65"/>
      <c r="N653" s="75" t="str">
        <f>IF(Games!V653="", "",Games!V653)</f>
      </c>
      <c r="O653" s="75" t="str">
        <f>IF(Games!Z653=0, "",Games!Z653)</f>
      </c>
      <c r="P653" s="67"/>
      <c r="Q653" s="67" t="str">
        <f>IF(ISBLANK(Games!W653), "", Games!W653)</f>
      </c>
      <c r="R653" s="67" t="str">
        <f>IF(ISBLANK(Games!AA653), "", Games!AA653)</f>
      </c>
      <c r="S653" s="67"/>
      <c r="T653" s="68" t="str">
        <f t="shared" si="97"/>
      </c>
      <c r="U653" s="68" t="str">
        <f t="shared" si="98"/>
      </c>
      <c r="V653" s="68" t="str">
        <f t="shared" si="99"/>
      </c>
      <c r="W653" s="68" t="str">
        <f t="shared" si="100"/>
      </c>
      <c r="X653" s="68" t="n">
        <f t="shared" si="93"/>
        <v>0</v>
      </c>
      <c r="Y653" s="68" t="n">
        <f t="shared" si="94"/>
        <v>0</v>
      </c>
      <c r="Z653" s="67" t="str">
        <f>IF(OR('Prediction Log'!L654="", Table12[[#This Row],[Bet]]="", Table12[[#This Row],[Bet]]="Spread"), "",IF('Prediction Log'!L654=Table12[[#This Row],[Side]], "W", IF('Prediction Log'!L654&lt;&gt;Table12[[#This Row],[Side]], "L", "")))</f>
      </c>
      <c r="AA653" s="59" t="str">
        <f t="shared" si="95"/>
      </c>
      <c r="AB653" s="67" t="str">
        <f>IF(OR(Table12[[#This Row],[Bet]]="Side",Table12[[#This Row],[Bet]]="", 'Prediction Log'!L654=""), "",IF('Prediction Log'!U654="Y", "W", IF('Prediction Log'!U654="N", "L", "")))</f>
      </c>
      <c r="AC653" s="59" t="str">
        <f t="shared" si="96"/>
      </c>
      <c r="AD653" s="67"/>
      <c r="AE653" s="65" t="str">
        <f t="shared" si="101"/>
      </c>
      <c r="AF6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4">
      <c r="A654" s="65" t="str">
        <f>IF(ISBLANK(Games!A654), "", Games!A654)</f>
      </c>
      <c r="B654" s="65" t="str">
        <f>IF('Prediction Log'!B655=0, "",'Prediction Log'!B655)</f>
      </c>
      <c r="C654" s="65" t="str">
        <f>IF('Prediction Log'!C655=0, "",'Prediction Log'!C655)</f>
      </c>
      <c r="D654" s="65" t="str">
        <f>IF('Prediction Log'!D655=0, "",'Prediction Log'!D655)</f>
      </c>
      <c r="E654" s="58" t="str">
        <f>IF('Prediction Log'!E655=0, "",'Prediction Log'!E655)</f>
      </c>
      <c r="F654" s="65" t="str">
        <f>IF('Prediction Log'!H655=0, "",'Prediction Log'!H655)</f>
      </c>
      <c r="G654" s="64" t="str">
        <f>IF(ISBLANK(Games!B654), "",'Prediction Log'!$I655)</f>
      </c>
      <c r="H654" s="66" t="n">
        <f>'Prediction Log'!$J655</f>
        <v>0</v>
      </c>
      <c r="I654" s="65" t="str">
        <f>IF(ISBLANK(Games!T654), "",IF(AND(Games!T654="",Games!U654=""),"",IF(ISTEXT(Games!U654), "Side",Games!T654)))</f>
      </c>
      <c r="J654" s="65" t="str">
        <f>IF(ISBLANK(Games!T654), "",IF(Table12[[#This Row],[Bet]]="Spread", Games!X654, ""))</f>
      </c>
      <c r="K654" s="65" t="str">
        <f>IF(ISBLANK(Games!U654), "",IF(ISTEXT(Games!U654), Games!U654, ""))</f>
      </c>
      <c r="L654" s="57" t="str">
        <f>IF(ISBLANK(Games!D654), "", Games!D654)</f>
      </c>
      <c r="M654" s="65"/>
      <c r="N654" s="75" t="str">
        <f>IF(Games!V654="", "",Games!V654)</f>
      </c>
      <c r="O654" s="75" t="str">
        <f>IF(Games!Z654=0, "",Games!Z654)</f>
      </c>
      <c r="P654" s="67"/>
      <c r="Q654" s="67" t="str">
        <f>IF(ISBLANK(Games!W654), "", Games!W654)</f>
      </c>
      <c r="R654" s="67" t="str">
        <f>IF(ISBLANK(Games!AA654), "", Games!AA654)</f>
      </c>
      <c r="S654" s="67"/>
      <c r="T654" s="68" t="str">
        <f t="shared" si="97"/>
      </c>
      <c r="U654" s="68" t="str">
        <f t="shared" si="98"/>
      </c>
      <c r="V654" s="68" t="str">
        <f t="shared" si="99"/>
      </c>
      <c r="W654" s="68" t="str">
        <f t="shared" si="100"/>
      </c>
      <c r="X654" s="68" t="n">
        <f t="shared" si="93"/>
        <v>0</v>
      </c>
      <c r="Y654" s="68" t="n">
        <f t="shared" si="94"/>
        <v>0</v>
      </c>
      <c r="Z654" s="67" t="str">
        <f>IF(OR('Prediction Log'!L655="", Table12[[#This Row],[Bet]]="", Table12[[#This Row],[Bet]]="Spread"), "",IF('Prediction Log'!L655=Table12[[#This Row],[Side]], "W", IF('Prediction Log'!L655&lt;&gt;Table12[[#This Row],[Side]], "L", "")))</f>
      </c>
      <c r="AA654" s="59" t="str">
        <f t="shared" si="95"/>
      </c>
      <c r="AB654" s="67" t="str">
        <f>IF(OR(Table12[[#This Row],[Bet]]="Side",Table12[[#This Row],[Bet]]="", 'Prediction Log'!L655=""), "",IF('Prediction Log'!U655="Y", "W", IF('Prediction Log'!U655="N", "L", "")))</f>
      </c>
      <c r="AC654" s="59" t="str">
        <f t="shared" si="96"/>
      </c>
      <c r="AD654" s="67"/>
      <c r="AE654" s="65" t="str">
        <f t="shared" si="101"/>
      </c>
      <c r="AF6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5">
      <c r="A655" s="65" t="str">
        <f>IF(ISBLANK(Games!A655), "", Games!A655)</f>
      </c>
      <c r="B655" s="65" t="str">
        <f>IF('Prediction Log'!B656=0, "",'Prediction Log'!B656)</f>
      </c>
      <c r="C655" s="65" t="str">
        <f>IF('Prediction Log'!C656=0, "",'Prediction Log'!C656)</f>
      </c>
      <c r="D655" s="65" t="str">
        <f>IF('Prediction Log'!D656=0, "",'Prediction Log'!D656)</f>
      </c>
      <c r="E655" s="58" t="str">
        <f>IF('Prediction Log'!E656=0, "",'Prediction Log'!E656)</f>
      </c>
      <c r="F655" s="65" t="str">
        <f>IF('Prediction Log'!H656=0, "",'Prediction Log'!H656)</f>
      </c>
      <c r="G655" s="64" t="str">
        <f>IF(ISBLANK(Games!B655), "",'Prediction Log'!$I656)</f>
      </c>
      <c r="H655" s="66" t="n">
        <f>'Prediction Log'!$J656</f>
        <v>0</v>
      </c>
      <c r="I655" s="65" t="str">
        <f>IF(ISBLANK(Games!T655), "",IF(AND(Games!T655="",Games!U655=""),"",IF(ISTEXT(Games!U655), "Side",Games!T655)))</f>
      </c>
      <c r="J655" s="65" t="str">
        <f>IF(ISBLANK(Games!T655), "",IF(Table12[[#This Row],[Bet]]="Spread", Games!X655, ""))</f>
      </c>
      <c r="K655" s="65" t="str">
        <f>IF(ISBLANK(Games!U655), "",IF(ISTEXT(Games!U655), Games!U655, ""))</f>
      </c>
      <c r="L655" s="57" t="str">
        <f>IF(ISBLANK(Games!D655), "", Games!D655)</f>
      </c>
      <c r="M655" s="65"/>
      <c r="N655" s="75" t="str">
        <f>IF(Games!V655="", "",Games!V655)</f>
      </c>
      <c r="O655" s="75" t="str">
        <f>IF(Games!Z655=0, "",Games!Z655)</f>
      </c>
      <c r="P655" s="67"/>
      <c r="Q655" s="67" t="str">
        <f>IF(ISBLANK(Games!W655), "", Games!W655)</f>
      </c>
      <c r="R655" s="67" t="str">
        <f>IF(ISBLANK(Games!AA655), "", Games!AA655)</f>
      </c>
      <c r="S655" s="67"/>
      <c r="T655" s="68" t="str">
        <f t="shared" si="97"/>
      </c>
      <c r="U655" s="68" t="str">
        <f t="shared" si="98"/>
      </c>
      <c r="V655" s="68" t="str">
        <f t="shared" si="99"/>
      </c>
      <c r="W655" s="68" t="str">
        <f t="shared" si="100"/>
      </c>
      <c r="X655" s="68" t="n">
        <f t="shared" si="93"/>
        <v>0</v>
      </c>
      <c r="Y655" s="68" t="n">
        <f t="shared" si="94"/>
        <v>0</v>
      </c>
      <c r="Z655" s="67" t="str">
        <f>IF(OR('Prediction Log'!L656="", Table12[[#This Row],[Bet]]="", Table12[[#This Row],[Bet]]="Spread"), "",IF('Prediction Log'!L656=Table12[[#This Row],[Side]], "W", IF('Prediction Log'!L656&lt;&gt;Table12[[#This Row],[Side]], "L", "")))</f>
      </c>
      <c r="AA655" s="59" t="str">
        <f t="shared" si="95"/>
      </c>
      <c r="AB655" s="67" t="str">
        <f>IF(OR(Table12[[#This Row],[Bet]]="Side",Table12[[#This Row],[Bet]]="", 'Prediction Log'!L656=""), "",IF('Prediction Log'!U656="Y", "W", IF('Prediction Log'!U656="N", "L", "")))</f>
      </c>
      <c r="AC655" s="59" t="str">
        <f t="shared" si="96"/>
      </c>
      <c r="AD655" s="67"/>
      <c r="AE655" s="65" t="str">
        <f t="shared" si="101"/>
      </c>
      <c r="AF6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6">
      <c r="A656" s="65" t="str">
        <f>IF(ISBLANK(Games!A656), "", Games!A656)</f>
      </c>
      <c r="B656" s="65" t="str">
        <f>IF('Prediction Log'!B657=0, "",'Prediction Log'!B657)</f>
      </c>
      <c r="C656" s="65" t="str">
        <f>IF('Prediction Log'!C657=0, "",'Prediction Log'!C657)</f>
      </c>
      <c r="D656" s="65" t="str">
        <f>IF('Prediction Log'!D657=0, "",'Prediction Log'!D657)</f>
      </c>
      <c r="E656" s="58" t="str">
        <f>IF('Prediction Log'!E657=0, "",'Prediction Log'!E657)</f>
      </c>
      <c r="F656" s="65" t="str">
        <f>IF('Prediction Log'!H657=0, "",'Prediction Log'!H657)</f>
      </c>
      <c r="G656" s="64" t="str">
        <f>IF(ISBLANK(Games!B656), "",'Prediction Log'!$I657)</f>
      </c>
      <c r="H656" s="66" t="n">
        <f>'Prediction Log'!$J657</f>
        <v>0</v>
      </c>
      <c r="I656" s="65" t="str">
        <f>IF(ISBLANK(Games!T656), "",IF(AND(Games!T656="",Games!U656=""),"",IF(ISTEXT(Games!U656), "Side",Games!T656)))</f>
      </c>
      <c r="J656" s="65" t="str">
        <f>IF(ISBLANK(Games!T656), "",IF(Table12[[#This Row],[Bet]]="Spread", Games!X656, ""))</f>
      </c>
      <c r="K656" s="65" t="str">
        <f>IF(ISBLANK(Games!U656), "",IF(ISTEXT(Games!U656), Games!U656, ""))</f>
      </c>
      <c r="L656" s="57" t="str">
        <f>IF(ISBLANK(Games!D656), "", Games!D656)</f>
      </c>
      <c r="M656" s="65"/>
      <c r="N656" s="75" t="str">
        <f>IF(Games!V656="", "",Games!V656)</f>
      </c>
      <c r="O656" s="75" t="str">
        <f>IF(Games!Z656=0, "",Games!Z656)</f>
      </c>
      <c r="P656" s="67"/>
      <c r="Q656" s="67" t="str">
        <f>IF(ISBLANK(Games!W656), "", Games!W656)</f>
      </c>
      <c r="R656" s="67" t="str">
        <f>IF(ISBLANK(Games!AA656), "", Games!AA656)</f>
      </c>
      <c r="S656" s="67"/>
      <c r="T656" s="68" t="str">
        <f t="shared" si="97"/>
      </c>
      <c r="U656" s="68" t="str">
        <f t="shared" si="98"/>
      </c>
      <c r="V656" s="68" t="str">
        <f t="shared" si="99"/>
      </c>
      <c r="W656" s="68" t="str">
        <f t="shared" si="100"/>
      </c>
      <c r="X656" s="68" t="n">
        <f t="shared" si="93"/>
        <v>0</v>
      </c>
      <c r="Y656" s="68" t="n">
        <f t="shared" si="94"/>
        <v>0</v>
      </c>
      <c r="Z656" s="67" t="str">
        <f>IF(OR('Prediction Log'!L657="", Table12[[#This Row],[Bet]]="", Table12[[#This Row],[Bet]]="Spread"), "",IF('Prediction Log'!L657=Table12[[#This Row],[Side]], "W", IF('Prediction Log'!L657&lt;&gt;Table12[[#This Row],[Side]], "L", "")))</f>
      </c>
      <c r="AA656" s="59" t="str">
        <f t="shared" si="95"/>
      </c>
      <c r="AB656" s="67" t="str">
        <f>IF(OR(Table12[[#This Row],[Bet]]="Side",Table12[[#This Row],[Bet]]="", 'Prediction Log'!L657=""), "",IF('Prediction Log'!U657="Y", "W", IF('Prediction Log'!U657="N", "L", "")))</f>
      </c>
      <c r="AC656" s="59" t="str">
        <f t="shared" si="96"/>
      </c>
      <c r="AD656" s="67"/>
      <c r="AE656" s="65" t="str">
        <f t="shared" si="101"/>
      </c>
      <c r="AF6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7">
      <c r="A657" s="65" t="str">
        <f>IF(ISBLANK(Games!A657), "", Games!A657)</f>
      </c>
      <c r="B657" s="65" t="str">
        <f>IF('Prediction Log'!B658=0, "",'Prediction Log'!B658)</f>
      </c>
      <c r="C657" s="65" t="str">
        <f>IF('Prediction Log'!C658=0, "",'Prediction Log'!C658)</f>
      </c>
      <c r="D657" s="65" t="str">
        <f>IF('Prediction Log'!D658=0, "",'Prediction Log'!D658)</f>
      </c>
      <c r="E657" s="58" t="str">
        <f>IF('Prediction Log'!E658=0, "",'Prediction Log'!E658)</f>
      </c>
      <c r="F657" s="65" t="str">
        <f>IF('Prediction Log'!H658=0, "",'Prediction Log'!H658)</f>
      </c>
      <c r="G657" s="64" t="str">
        <f>IF(ISBLANK(Games!B657), "",'Prediction Log'!$I658)</f>
      </c>
      <c r="H657" s="66" t="n">
        <f>'Prediction Log'!$J658</f>
        <v>0</v>
      </c>
      <c r="I657" s="65" t="str">
        <f>IF(ISBLANK(Games!T657), "",IF(AND(Games!T657="",Games!U657=""),"",IF(ISTEXT(Games!U657), "Side",Games!T657)))</f>
      </c>
      <c r="J657" s="65" t="str">
        <f>IF(ISBLANK(Games!T657), "",IF(Table12[[#This Row],[Bet]]="Spread", Games!X657, ""))</f>
      </c>
      <c r="K657" s="65" t="str">
        <f>IF(ISBLANK(Games!U657), "",IF(ISTEXT(Games!U657), Games!U657, ""))</f>
      </c>
      <c r="L657" s="57" t="str">
        <f>IF(ISBLANK(Games!D657), "", Games!D657)</f>
      </c>
      <c r="M657" s="65"/>
      <c r="N657" s="75" t="str">
        <f>IF(Games!V657="", "",Games!V657)</f>
      </c>
      <c r="O657" s="75" t="str">
        <f>IF(Games!Z657=0, "",Games!Z657)</f>
      </c>
      <c r="P657" s="67"/>
      <c r="Q657" s="67" t="str">
        <f>IF(ISBLANK(Games!W657), "", Games!W657)</f>
      </c>
      <c r="R657" s="67" t="str">
        <f>IF(ISBLANK(Games!AA657), "", Games!AA657)</f>
      </c>
      <c r="S657" s="67"/>
      <c r="T657" s="68" t="str">
        <f t="shared" si="97"/>
      </c>
      <c r="U657" s="68" t="str">
        <f t="shared" si="98"/>
      </c>
      <c r="V657" s="68" t="str">
        <f t="shared" si="99"/>
      </c>
      <c r="W657" s="68" t="str">
        <f t="shared" si="100"/>
      </c>
      <c r="X657" s="68" t="n">
        <f t="shared" si="93"/>
        <v>0</v>
      </c>
      <c r="Y657" s="68" t="n">
        <f t="shared" si="94"/>
        <v>0</v>
      </c>
      <c r="Z657" s="67" t="str">
        <f>IF(OR('Prediction Log'!L658="", Table12[[#This Row],[Bet]]="", Table12[[#This Row],[Bet]]="Spread"), "",IF('Prediction Log'!L658=Table12[[#This Row],[Side]], "W", IF('Prediction Log'!L658&lt;&gt;Table12[[#This Row],[Side]], "L", "")))</f>
      </c>
      <c r="AA657" s="59" t="str">
        <f t="shared" si="95"/>
      </c>
      <c r="AB657" s="67" t="str">
        <f>IF(OR(Table12[[#This Row],[Bet]]="Side",Table12[[#This Row],[Bet]]="", 'Prediction Log'!L658=""), "",IF('Prediction Log'!U658="Y", "W", IF('Prediction Log'!U658="N", "L", "")))</f>
      </c>
      <c r="AC657" s="59" t="str">
        <f t="shared" si="96"/>
      </c>
      <c r="AD657" s="67"/>
      <c r="AE657" s="65" t="str">
        <f t="shared" si="101"/>
      </c>
      <c r="AF6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8">
      <c r="A658" s="65" t="str">
        <f>IF(ISBLANK(Games!A658), "", Games!A658)</f>
      </c>
      <c r="B658" s="65" t="str">
        <f>IF('Prediction Log'!B659=0, "",'Prediction Log'!B659)</f>
      </c>
      <c r="C658" s="65" t="str">
        <f>IF('Prediction Log'!C659=0, "",'Prediction Log'!C659)</f>
      </c>
      <c r="D658" s="65" t="str">
        <f>IF('Prediction Log'!D659=0, "",'Prediction Log'!D659)</f>
      </c>
      <c r="E658" s="58" t="str">
        <f>IF('Prediction Log'!E659=0, "",'Prediction Log'!E659)</f>
      </c>
      <c r="F658" s="65" t="str">
        <f>IF('Prediction Log'!H659=0, "",'Prediction Log'!H659)</f>
      </c>
      <c r="G658" s="64" t="str">
        <f>IF(ISBLANK(Games!B658), "",'Prediction Log'!$I659)</f>
      </c>
      <c r="H658" s="66" t="n">
        <f>'Prediction Log'!$J659</f>
        <v>0</v>
      </c>
      <c r="I658" s="65" t="str">
        <f>IF(ISBLANK(Games!T658), "",IF(AND(Games!T658="",Games!U658=""),"",IF(ISTEXT(Games!U658), "Side",Games!T658)))</f>
      </c>
      <c r="J658" s="65" t="str">
        <f>IF(ISBLANK(Games!T658), "",IF(Table12[[#This Row],[Bet]]="Spread", Games!X658, ""))</f>
      </c>
      <c r="K658" s="65" t="str">
        <f>IF(ISBLANK(Games!U658), "",IF(ISTEXT(Games!U658), Games!U658, ""))</f>
      </c>
      <c r="L658" s="57" t="str">
        <f>IF(ISBLANK(Games!D658), "", Games!D658)</f>
      </c>
      <c r="M658" s="65"/>
      <c r="N658" s="75" t="str">
        <f>IF(Games!V658="", "",Games!V658)</f>
      </c>
      <c r="O658" s="75" t="str">
        <f>IF(Games!Z658=0, "",Games!Z658)</f>
      </c>
      <c r="P658" s="67"/>
      <c r="Q658" s="67" t="str">
        <f>IF(ISBLANK(Games!W658), "", Games!W658)</f>
      </c>
      <c r="R658" s="67" t="str">
        <f>IF(ISBLANK(Games!AA658), "", Games!AA658)</f>
      </c>
      <c r="S658" s="67"/>
      <c r="T658" s="68" t="str">
        <f t="shared" si="97"/>
      </c>
      <c r="U658" s="68" t="str">
        <f t="shared" si="98"/>
      </c>
      <c r="V658" s="68" t="str">
        <f t="shared" si="99"/>
      </c>
      <c r="W658" s="68" t="str">
        <f t="shared" si="100"/>
      </c>
      <c r="X658" s="68" t="n">
        <f t="shared" si="93"/>
        <v>0</v>
      </c>
      <c r="Y658" s="68" t="n">
        <f t="shared" si="94"/>
        <v>0</v>
      </c>
      <c r="Z658" s="67" t="str">
        <f>IF(OR('Prediction Log'!L659="", Table12[[#This Row],[Bet]]="", Table12[[#This Row],[Bet]]="Spread"), "",IF('Prediction Log'!L659=Table12[[#This Row],[Side]], "W", IF('Prediction Log'!L659&lt;&gt;Table12[[#This Row],[Side]], "L", "")))</f>
      </c>
      <c r="AA658" s="59" t="str">
        <f t="shared" si="95"/>
      </c>
      <c r="AB658" s="67" t="str">
        <f>IF(OR(Table12[[#This Row],[Bet]]="Side",Table12[[#This Row],[Bet]]="", 'Prediction Log'!L659=""), "",IF('Prediction Log'!U659="Y", "W", IF('Prediction Log'!U659="N", "L", "")))</f>
      </c>
      <c r="AC658" s="59" t="str">
        <f t="shared" si="96"/>
      </c>
      <c r="AD658" s="67"/>
      <c r="AE658" s="65" t="str">
        <f t="shared" si="101"/>
      </c>
      <c r="AF6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9">
      <c r="A659" s="65" t="str">
        <f>IF(ISBLANK(Games!A659), "", Games!A659)</f>
      </c>
      <c r="B659" s="65" t="str">
        <f>IF('Prediction Log'!B660=0, "",'Prediction Log'!B660)</f>
      </c>
      <c r="C659" s="65" t="str">
        <f>IF('Prediction Log'!C660=0, "",'Prediction Log'!C660)</f>
      </c>
      <c r="D659" s="65" t="str">
        <f>IF('Prediction Log'!D660=0, "",'Prediction Log'!D660)</f>
      </c>
      <c r="E659" s="58" t="str">
        <f>IF('Prediction Log'!E660=0, "",'Prediction Log'!E660)</f>
      </c>
      <c r="F659" s="65" t="str">
        <f>IF('Prediction Log'!H660=0, "",'Prediction Log'!H660)</f>
      </c>
      <c r="G659" s="64" t="str">
        <f>IF(ISBLANK(Games!B659), "",'Prediction Log'!$I660)</f>
      </c>
      <c r="H659" s="66" t="n">
        <f>'Prediction Log'!$J660</f>
        <v>0</v>
      </c>
      <c r="I659" s="65" t="str">
        <f>IF(ISBLANK(Games!T659), "",IF(AND(Games!T659="",Games!U659=""),"",IF(ISTEXT(Games!U659), "Side",Games!T659)))</f>
      </c>
      <c r="J659" s="65" t="str">
        <f>IF(ISBLANK(Games!T659), "",IF(Table12[[#This Row],[Bet]]="Spread", Games!X659, ""))</f>
      </c>
      <c r="K659" s="65" t="str">
        <f>IF(ISBLANK(Games!U659), "",IF(ISTEXT(Games!U659), Games!U659, ""))</f>
      </c>
      <c r="L659" s="57" t="str">
        <f>IF(ISBLANK(Games!D659), "", Games!D659)</f>
      </c>
      <c r="M659" s="65"/>
      <c r="N659" s="75" t="str">
        <f>IF(Games!V659="", "",Games!V659)</f>
      </c>
      <c r="O659" s="75" t="str">
        <f>IF(Games!Z659=0, "",Games!Z659)</f>
      </c>
      <c r="P659" s="67"/>
      <c r="Q659" s="67" t="str">
        <f>IF(ISBLANK(Games!W659), "", Games!W659)</f>
      </c>
      <c r="R659" s="67" t="str">
        <f>IF(ISBLANK(Games!AA659), "", Games!AA659)</f>
      </c>
      <c r="S659" s="67"/>
      <c r="T659" s="68" t="str">
        <f t="shared" si="97"/>
      </c>
      <c r="U659" s="68" t="str">
        <f t="shared" si="98"/>
      </c>
      <c r="V659" s="68" t="str">
        <f t="shared" si="99"/>
      </c>
      <c r="W659" s="68" t="str">
        <f t="shared" si="100"/>
      </c>
      <c r="X659" s="68" t="n">
        <f t="shared" si="93"/>
        <v>0</v>
      </c>
      <c r="Y659" s="68" t="n">
        <f t="shared" si="94"/>
        <v>0</v>
      </c>
      <c r="Z659" s="67" t="str">
        <f>IF(OR('Prediction Log'!L660="", Table12[[#This Row],[Bet]]="", Table12[[#This Row],[Bet]]="Spread"), "",IF('Prediction Log'!L660=Table12[[#This Row],[Side]], "W", IF('Prediction Log'!L660&lt;&gt;Table12[[#This Row],[Side]], "L", "")))</f>
      </c>
      <c r="AA659" s="59" t="str">
        <f t="shared" si="95"/>
      </c>
      <c r="AB659" s="67" t="str">
        <f>IF(OR(Table12[[#This Row],[Bet]]="Side",Table12[[#This Row],[Bet]]="", 'Prediction Log'!L660=""), "",IF('Prediction Log'!U660="Y", "W", IF('Prediction Log'!U660="N", "L", "")))</f>
      </c>
      <c r="AC659" s="59" t="str">
        <f t="shared" si="96"/>
      </c>
      <c r="AD659" s="67"/>
      <c r="AE659" s="65" t="str">
        <f t="shared" si="101"/>
      </c>
      <c r="AF6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0">
      <c r="A660" s="65" t="str">
        <f>IF(ISBLANK(Games!A660), "", Games!A660)</f>
      </c>
      <c r="B660" s="65" t="str">
        <f>IF('Prediction Log'!B661=0, "",'Prediction Log'!B661)</f>
      </c>
      <c r="C660" s="65" t="str">
        <f>IF('Prediction Log'!C661=0, "",'Prediction Log'!C661)</f>
      </c>
      <c r="D660" s="65" t="str">
        <f>IF('Prediction Log'!D661=0, "",'Prediction Log'!D661)</f>
      </c>
      <c r="E660" s="58" t="str">
        <f>IF('Prediction Log'!E661=0, "",'Prediction Log'!E661)</f>
      </c>
      <c r="F660" s="65" t="str">
        <f>IF('Prediction Log'!H661=0, "",'Prediction Log'!H661)</f>
      </c>
      <c r="G660" s="64" t="str">
        <f>IF(ISBLANK(Games!B660), "",'Prediction Log'!$I661)</f>
      </c>
      <c r="H660" s="66" t="n">
        <f>'Prediction Log'!$J661</f>
        <v>0</v>
      </c>
      <c r="I660" s="65" t="str">
        <f>IF(ISBLANK(Games!T660), "",IF(AND(Games!T660="",Games!U660=""),"",IF(ISTEXT(Games!U660), "Side",Games!T660)))</f>
      </c>
      <c r="J660" s="65" t="str">
        <f>IF(ISBLANK(Games!T660), "",IF(Table12[[#This Row],[Bet]]="Spread", Games!X660, ""))</f>
      </c>
      <c r="K660" s="65" t="str">
        <f>IF(ISBLANK(Games!U660), "",IF(ISTEXT(Games!U660), Games!U660, ""))</f>
      </c>
      <c r="L660" s="57" t="str">
        <f>IF(ISBLANK(Games!D660), "", Games!D660)</f>
      </c>
      <c r="M660" s="65"/>
      <c r="N660" s="75" t="str">
        <f>IF(Games!V660="", "",Games!V660)</f>
      </c>
      <c r="O660" s="75" t="str">
        <f>IF(Games!Z660=0, "",Games!Z660)</f>
      </c>
      <c r="P660" s="67"/>
      <c r="Q660" s="67" t="str">
        <f>IF(ISBLANK(Games!W660), "", Games!W660)</f>
      </c>
      <c r="R660" s="67" t="str">
        <f>IF(ISBLANK(Games!AA660), "", Games!AA660)</f>
      </c>
      <c r="S660" s="67"/>
      <c r="T660" s="68" t="str">
        <f t="shared" si="97"/>
      </c>
      <c r="U660" s="68" t="str">
        <f t="shared" si="98"/>
      </c>
      <c r="V660" s="68" t="str">
        <f t="shared" si="99"/>
      </c>
      <c r="W660" s="68" t="str">
        <f t="shared" si="100"/>
      </c>
      <c r="X660" s="68" t="n">
        <f t="shared" si="93"/>
        <v>0</v>
      </c>
      <c r="Y660" s="68" t="n">
        <f t="shared" si="94"/>
        <v>0</v>
      </c>
      <c r="Z660" s="67" t="str">
        <f>IF(OR('Prediction Log'!L661="", Table12[[#This Row],[Bet]]="", Table12[[#This Row],[Bet]]="Spread"), "",IF('Prediction Log'!L661=Table12[[#This Row],[Side]], "W", IF('Prediction Log'!L661&lt;&gt;Table12[[#This Row],[Side]], "L", "")))</f>
      </c>
      <c r="AA660" s="59" t="str">
        <f t="shared" si="95"/>
      </c>
      <c r="AB660" s="67" t="str">
        <f>IF(OR(Table12[[#This Row],[Bet]]="Side",Table12[[#This Row],[Bet]]="", 'Prediction Log'!L661=""), "",IF('Prediction Log'!U661="Y", "W", IF('Prediction Log'!U661="N", "L", "")))</f>
      </c>
      <c r="AC660" s="59" t="str">
        <f t="shared" si="96"/>
      </c>
      <c r="AD660" s="67"/>
      <c r="AE660" s="65" t="str">
        <f t="shared" si="101"/>
      </c>
      <c r="AF6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1">
      <c r="A661" s="65" t="str">
        <f>IF(ISBLANK(Games!A661), "", Games!A661)</f>
      </c>
      <c r="B661" s="65" t="str">
        <f>IF('Prediction Log'!B662=0, "",'Prediction Log'!B662)</f>
      </c>
      <c r="C661" s="65" t="str">
        <f>IF('Prediction Log'!C662=0, "",'Prediction Log'!C662)</f>
      </c>
      <c r="D661" s="65" t="str">
        <f>IF('Prediction Log'!D662=0, "",'Prediction Log'!D662)</f>
      </c>
      <c r="E661" s="58" t="str">
        <f>IF('Prediction Log'!E662=0, "",'Prediction Log'!E662)</f>
      </c>
      <c r="F661" s="65" t="str">
        <f>IF('Prediction Log'!H662=0, "",'Prediction Log'!H662)</f>
      </c>
      <c r="G661" s="64" t="str">
        <f>IF(ISBLANK(Games!B661), "",'Prediction Log'!$I662)</f>
      </c>
      <c r="H661" s="66" t="n">
        <f>'Prediction Log'!$J662</f>
        <v>0</v>
      </c>
      <c r="I661" s="65" t="str">
        <f>IF(ISBLANK(Games!T661), "",IF(AND(Games!T661="",Games!U661=""),"",IF(ISTEXT(Games!U661), "Side",Games!T661)))</f>
      </c>
      <c r="J661" s="65" t="str">
        <f>IF(ISBLANK(Games!T661), "",IF(Table12[[#This Row],[Bet]]="Spread", Games!X661, ""))</f>
      </c>
      <c r="K661" s="65" t="str">
        <f>IF(ISBLANK(Games!U661), "",IF(ISTEXT(Games!U661), Games!U661, ""))</f>
      </c>
      <c r="L661" s="57" t="str">
        <f>IF(ISBLANK(Games!D661), "", Games!D661)</f>
      </c>
      <c r="M661" s="65"/>
      <c r="N661" s="75" t="str">
        <f>IF(Games!V661="", "",Games!V661)</f>
      </c>
      <c r="O661" s="75" t="str">
        <f>IF(Games!Z661=0, "",Games!Z661)</f>
      </c>
      <c r="P661" s="67"/>
      <c r="Q661" s="67" t="str">
        <f>IF(ISBLANK(Games!W661), "", Games!W661)</f>
      </c>
      <c r="R661" s="67" t="str">
        <f>IF(ISBLANK(Games!AA661), "", Games!AA661)</f>
      </c>
      <c r="S661" s="67"/>
      <c r="T661" s="68" t="str">
        <f t="shared" si="97"/>
      </c>
      <c r="U661" s="68" t="str">
        <f t="shared" si="98"/>
      </c>
      <c r="V661" s="68" t="str">
        <f t="shared" si="99"/>
      </c>
      <c r="W661" s="68" t="str">
        <f t="shared" si="100"/>
      </c>
      <c r="X661" s="68" t="n">
        <f t="shared" si="93"/>
        <v>0</v>
      </c>
      <c r="Y661" s="68" t="n">
        <f t="shared" si="94"/>
        <v>0</v>
      </c>
      <c r="Z661" s="67" t="str">
        <f>IF(OR('Prediction Log'!L662="", Table12[[#This Row],[Bet]]="", Table12[[#This Row],[Bet]]="Spread"), "",IF('Prediction Log'!L662=Table12[[#This Row],[Side]], "W", IF('Prediction Log'!L662&lt;&gt;Table12[[#This Row],[Side]], "L", "")))</f>
      </c>
      <c r="AA661" s="59" t="str">
        <f t="shared" si="95"/>
      </c>
      <c r="AB661" s="67" t="str">
        <f>IF(OR(Table12[[#This Row],[Bet]]="Side",Table12[[#This Row],[Bet]]="", 'Prediction Log'!L662=""), "",IF('Prediction Log'!U662="Y", "W", IF('Prediction Log'!U662="N", "L", "")))</f>
      </c>
      <c r="AC661" s="59" t="str">
        <f t="shared" si="96"/>
      </c>
      <c r="AD661" s="67"/>
      <c r="AE661" s="65" t="str">
        <f t="shared" si="101"/>
      </c>
      <c r="AF6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2">
      <c r="A662" s="65" t="str">
        <f>IF(ISBLANK(Games!A662), "", Games!A662)</f>
      </c>
      <c r="B662" s="65" t="str">
        <f>IF('Prediction Log'!B663=0, "",'Prediction Log'!B663)</f>
      </c>
      <c r="C662" s="65" t="str">
        <f>IF('Prediction Log'!C663=0, "",'Prediction Log'!C663)</f>
      </c>
      <c r="D662" s="65" t="str">
        <f>IF('Prediction Log'!D663=0, "",'Prediction Log'!D663)</f>
      </c>
      <c r="E662" s="58" t="str">
        <f>IF('Prediction Log'!E663=0, "",'Prediction Log'!E663)</f>
      </c>
      <c r="F662" s="65" t="str">
        <f>IF('Prediction Log'!H663=0, "",'Prediction Log'!H663)</f>
      </c>
      <c r="G662" s="64" t="str">
        <f>IF(ISBLANK(Games!B662), "",'Prediction Log'!$I663)</f>
      </c>
      <c r="H662" s="66" t="n">
        <f>'Prediction Log'!$J663</f>
        <v>0</v>
      </c>
      <c r="I662" s="65" t="str">
        <f>IF(ISBLANK(Games!T662), "",IF(AND(Games!T662="",Games!U662=""),"",IF(ISTEXT(Games!U662), "Side",Games!T662)))</f>
      </c>
      <c r="J662" s="65" t="str">
        <f>IF(ISBLANK(Games!T662), "",IF(Table12[[#This Row],[Bet]]="Spread", Games!X662, ""))</f>
      </c>
      <c r="K662" s="65" t="str">
        <f>IF(ISBLANK(Games!U662), "",IF(ISTEXT(Games!U662), Games!U662, ""))</f>
      </c>
      <c r="L662" s="57" t="str">
        <f>IF(ISBLANK(Games!D662), "", Games!D662)</f>
      </c>
      <c r="M662" s="65"/>
      <c r="N662" s="75" t="str">
        <f>IF(Games!V662="", "",Games!V662)</f>
      </c>
      <c r="O662" s="75" t="str">
        <f>IF(Games!Z662=0, "",Games!Z662)</f>
      </c>
      <c r="P662" s="67"/>
      <c r="Q662" s="67" t="str">
        <f>IF(ISBLANK(Games!W662), "", Games!W662)</f>
      </c>
      <c r="R662" s="67" t="str">
        <f>IF(ISBLANK(Games!AA662), "", Games!AA662)</f>
      </c>
      <c r="S662" s="67"/>
      <c r="T662" s="68" t="str">
        <f t="shared" si="97"/>
      </c>
      <c r="U662" s="68" t="str">
        <f t="shared" si="98"/>
      </c>
      <c r="V662" s="68" t="str">
        <f t="shared" si="99"/>
      </c>
      <c r="W662" s="68" t="str">
        <f t="shared" si="100"/>
      </c>
      <c r="X662" s="68" t="n">
        <f t="shared" si="93"/>
        <v>0</v>
      </c>
      <c r="Y662" s="68" t="n">
        <f t="shared" si="94"/>
        <v>0</v>
      </c>
      <c r="Z662" s="67" t="str">
        <f>IF(OR('Prediction Log'!L663="", Table12[[#This Row],[Bet]]="", Table12[[#This Row],[Bet]]="Spread"), "",IF('Prediction Log'!L663=Table12[[#This Row],[Side]], "W", IF('Prediction Log'!L663&lt;&gt;Table12[[#This Row],[Side]], "L", "")))</f>
      </c>
      <c r="AA662" s="59" t="str">
        <f t="shared" si="95"/>
      </c>
      <c r="AB662" s="67" t="str">
        <f>IF(OR(Table12[[#This Row],[Bet]]="Side",Table12[[#This Row],[Bet]]="", 'Prediction Log'!L663=""), "",IF('Prediction Log'!U663="Y", "W", IF('Prediction Log'!U663="N", "L", "")))</f>
      </c>
      <c r="AC662" s="59" t="str">
        <f t="shared" si="96"/>
      </c>
      <c r="AD662" s="67"/>
      <c r="AE662" s="65" t="str">
        <f t="shared" si="101"/>
      </c>
      <c r="AF6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3">
      <c r="A663" s="65" t="str">
        <f>IF(ISBLANK(Games!A663), "", Games!A663)</f>
      </c>
      <c r="B663" s="65" t="str">
        <f>IF('Prediction Log'!B664=0, "",'Prediction Log'!B664)</f>
      </c>
      <c r="C663" s="65" t="str">
        <f>IF('Prediction Log'!C664=0, "",'Prediction Log'!C664)</f>
      </c>
      <c r="D663" s="65" t="str">
        <f>IF('Prediction Log'!D664=0, "",'Prediction Log'!D664)</f>
      </c>
      <c r="E663" s="58" t="str">
        <f>IF('Prediction Log'!E664=0, "",'Prediction Log'!E664)</f>
      </c>
      <c r="F663" s="65" t="str">
        <f>IF('Prediction Log'!H664=0, "",'Prediction Log'!H664)</f>
      </c>
      <c r="G663" s="64" t="str">
        <f>IF(ISBLANK(Games!B663), "",'Prediction Log'!$I664)</f>
      </c>
      <c r="H663" s="66" t="n">
        <f>'Prediction Log'!$J664</f>
        <v>0</v>
      </c>
      <c r="I663" s="65" t="str">
        <f>IF(ISBLANK(Games!T663), "",IF(AND(Games!T663="",Games!U663=""),"",IF(ISTEXT(Games!U663), "Side",Games!T663)))</f>
      </c>
      <c r="J663" s="65" t="str">
        <f>IF(ISBLANK(Games!T663), "",IF(Table12[[#This Row],[Bet]]="Spread", Games!X663, ""))</f>
      </c>
      <c r="K663" s="65" t="str">
        <f>IF(ISBLANK(Games!U663), "",IF(ISTEXT(Games!U663), Games!U663, ""))</f>
      </c>
      <c r="L663" s="57" t="str">
        <f>IF(ISBLANK(Games!D663), "", Games!D663)</f>
      </c>
      <c r="M663" s="65"/>
      <c r="N663" s="75" t="str">
        <f>IF(Games!V663="", "",Games!V663)</f>
      </c>
      <c r="O663" s="75" t="str">
        <f>IF(Games!Z663=0, "",Games!Z663)</f>
      </c>
      <c r="P663" s="67"/>
      <c r="Q663" s="67" t="str">
        <f>IF(ISBLANK(Games!W663), "", Games!W663)</f>
      </c>
      <c r="R663" s="67" t="str">
        <f>IF(ISBLANK(Games!AA663), "", Games!AA663)</f>
      </c>
      <c r="S663" s="67"/>
      <c r="T663" s="68" t="str">
        <f t="shared" si="97"/>
      </c>
      <c r="U663" s="68" t="str">
        <f t="shared" si="98"/>
      </c>
      <c r="V663" s="68" t="str">
        <f t="shared" si="99"/>
      </c>
      <c r="W663" s="68" t="str">
        <f t="shared" si="100"/>
      </c>
      <c r="X663" s="68" t="n">
        <f t="shared" si="93"/>
        <v>0</v>
      </c>
      <c r="Y663" s="68" t="n">
        <f t="shared" si="94"/>
        <v>0</v>
      </c>
      <c r="Z663" s="67" t="str">
        <f>IF(OR('Prediction Log'!L664="", Table12[[#This Row],[Bet]]="", Table12[[#This Row],[Bet]]="Spread"), "",IF('Prediction Log'!L664=Table12[[#This Row],[Side]], "W", IF('Prediction Log'!L664&lt;&gt;Table12[[#This Row],[Side]], "L", "")))</f>
      </c>
      <c r="AA663" s="59" t="str">
        <f t="shared" si="95"/>
      </c>
      <c r="AB663" s="67" t="str">
        <f>IF(OR(Table12[[#This Row],[Bet]]="Side",Table12[[#This Row],[Bet]]="", 'Prediction Log'!L664=""), "",IF('Prediction Log'!U664="Y", "W", IF('Prediction Log'!U664="N", "L", "")))</f>
      </c>
      <c r="AC663" s="59" t="str">
        <f t="shared" si="96"/>
      </c>
      <c r="AD663" s="67"/>
      <c r="AE663" s="65" t="str">
        <f t="shared" si="101"/>
      </c>
      <c r="AF6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4">
      <c r="A664" s="65" t="str">
        <f>IF(ISBLANK(Games!A664), "", Games!A664)</f>
      </c>
      <c r="B664" s="65" t="str">
        <f>IF('Prediction Log'!B665=0, "",'Prediction Log'!B665)</f>
      </c>
      <c r="C664" s="65" t="str">
        <f>IF('Prediction Log'!C665=0, "",'Prediction Log'!C665)</f>
      </c>
      <c r="D664" s="65" t="str">
        <f>IF('Prediction Log'!D665=0, "",'Prediction Log'!D665)</f>
      </c>
      <c r="E664" s="58" t="str">
        <f>IF('Prediction Log'!E665=0, "",'Prediction Log'!E665)</f>
      </c>
      <c r="F664" s="65" t="str">
        <f>IF('Prediction Log'!H665=0, "",'Prediction Log'!H665)</f>
      </c>
      <c r="G664" s="64" t="str">
        <f>IF(ISBLANK(Games!B664), "",'Prediction Log'!$I665)</f>
      </c>
      <c r="H664" s="66" t="n">
        <f>'Prediction Log'!$J665</f>
        <v>0</v>
      </c>
      <c r="I664" s="65" t="str">
        <f>IF(ISBLANK(Games!T664), "",IF(AND(Games!T664="",Games!U664=""),"",IF(ISTEXT(Games!U664), "Side",Games!T664)))</f>
      </c>
      <c r="J664" s="65" t="str">
        <f>IF(ISBLANK(Games!T664), "",IF(Table12[[#This Row],[Bet]]="Spread", Games!X664, ""))</f>
      </c>
      <c r="K664" s="65" t="str">
        <f>IF(ISBLANK(Games!U664), "",IF(ISTEXT(Games!U664), Games!U664, ""))</f>
      </c>
      <c r="L664" s="57" t="str">
        <f>IF(ISBLANK(Games!D664), "", Games!D664)</f>
      </c>
      <c r="M664" s="65"/>
      <c r="N664" s="75" t="str">
        <f>IF(Games!V664="", "",Games!V664)</f>
      </c>
      <c r="O664" s="75" t="str">
        <f>IF(Games!Z664=0, "",Games!Z664)</f>
      </c>
      <c r="P664" s="67"/>
      <c r="Q664" s="67" t="str">
        <f>IF(ISBLANK(Games!W664), "", Games!W664)</f>
      </c>
      <c r="R664" s="67" t="str">
        <f>IF(ISBLANK(Games!AA664), "", Games!AA664)</f>
      </c>
      <c r="S664" s="67"/>
      <c r="T664" s="68" t="str">
        <f t="shared" si="97"/>
      </c>
      <c r="U664" s="68" t="str">
        <f t="shared" si="98"/>
      </c>
      <c r="V664" s="68" t="str">
        <f t="shared" si="99"/>
      </c>
      <c r="W664" s="68" t="str">
        <f t="shared" si="100"/>
      </c>
      <c r="X664" s="68" t="n">
        <f t="shared" si="93"/>
        <v>0</v>
      </c>
      <c r="Y664" s="68" t="n">
        <f t="shared" si="94"/>
        <v>0</v>
      </c>
      <c r="Z664" s="67" t="str">
        <f>IF(OR('Prediction Log'!L665="", Table12[[#This Row],[Bet]]="", Table12[[#This Row],[Bet]]="Spread"), "",IF('Prediction Log'!L665=Table12[[#This Row],[Side]], "W", IF('Prediction Log'!L665&lt;&gt;Table12[[#This Row],[Side]], "L", "")))</f>
      </c>
      <c r="AA664" s="59" t="str">
        <f t="shared" si="95"/>
      </c>
      <c r="AB664" s="67" t="str">
        <f>IF(OR(Table12[[#This Row],[Bet]]="Side",Table12[[#This Row],[Bet]]="", 'Prediction Log'!L665=""), "",IF('Prediction Log'!U665="Y", "W", IF('Prediction Log'!U665="N", "L", "")))</f>
      </c>
      <c r="AC664" s="59" t="str">
        <f t="shared" si="96"/>
      </c>
      <c r="AD664" s="67"/>
      <c r="AE664" s="65" t="str">
        <f t="shared" si="101"/>
      </c>
      <c r="AF6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5">
      <c r="A665" s="65" t="str">
        <f>IF(ISBLANK(Games!A665), "", Games!A665)</f>
      </c>
      <c r="B665" s="65" t="str">
        <f>IF('Prediction Log'!B666=0, "",'Prediction Log'!B666)</f>
      </c>
      <c r="C665" s="65" t="str">
        <f>IF('Prediction Log'!C666=0, "",'Prediction Log'!C666)</f>
      </c>
      <c r="D665" s="65" t="str">
        <f>IF('Prediction Log'!D666=0, "",'Prediction Log'!D666)</f>
      </c>
      <c r="E665" s="58" t="str">
        <f>IF('Prediction Log'!E666=0, "",'Prediction Log'!E666)</f>
      </c>
      <c r="F665" s="65" t="str">
        <f>IF('Prediction Log'!H666=0, "",'Prediction Log'!H666)</f>
      </c>
      <c r="G665" s="64" t="str">
        <f>IF(ISBLANK(Games!B665), "",'Prediction Log'!$I666)</f>
      </c>
      <c r="H665" s="66" t="n">
        <f>'Prediction Log'!$J666</f>
        <v>0</v>
      </c>
      <c r="I665" s="65" t="str">
        <f>IF(ISBLANK(Games!T665), "",IF(AND(Games!T665="",Games!U665=""),"",IF(ISTEXT(Games!U665), "Side",Games!T665)))</f>
      </c>
      <c r="J665" s="65" t="str">
        <f>IF(ISBLANK(Games!T665), "",IF(Table12[[#This Row],[Bet]]="Spread", Games!X665, ""))</f>
      </c>
      <c r="K665" s="65" t="str">
        <f>IF(ISBLANK(Games!U665), "",IF(ISTEXT(Games!U665), Games!U665, ""))</f>
      </c>
      <c r="L665" s="57" t="str">
        <f>IF(ISBLANK(Games!D665), "", Games!D665)</f>
      </c>
      <c r="M665" s="65"/>
      <c r="N665" s="75" t="str">
        <f>IF(Games!V665="", "",Games!V665)</f>
      </c>
      <c r="O665" s="75" t="str">
        <f>IF(Games!Z665=0, "",Games!Z665)</f>
      </c>
      <c r="P665" s="67"/>
      <c r="Q665" s="67" t="str">
        <f>IF(ISBLANK(Games!W665), "", Games!W665)</f>
      </c>
      <c r="R665" s="67" t="str">
        <f>IF(ISBLANK(Games!AA665), "", Games!AA665)</f>
      </c>
      <c r="S665" s="67"/>
      <c r="T665" s="68" t="str">
        <f t="shared" si="97"/>
      </c>
      <c r="U665" s="68" t="str">
        <f t="shared" si="98"/>
      </c>
      <c r="V665" s="68" t="str">
        <f t="shared" si="99"/>
      </c>
      <c r="W665" s="68" t="str">
        <f t="shared" si="100"/>
      </c>
      <c r="X665" s="68" t="n">
        <f t="shared" si="93"/>
        <v>0</v>
      </c>
      <c r="Y665" s="68" t="n">
        <f t="shared" si="94"/>
        <v>0</v>
      </c>
      <c r="Z665" s="67" t="str">
        <f>IF(OR('Prediction Log'!L666="", Table12[[#This Row],[Bet]]="", Table12[[#This Row],[Bet]]="Spread"), "",IF('Prediction Log'!L666=Table12[[#This Row],[Side]], "W", IF('Prediction Log'!L666&lt;&gt;Table12[[#This Row],[Side]], "L", "")))</f>
      </c>
      <c r="AA665" s="59" t="str">
        <f t="shared" si="95"/>
      </c>
      <c r="AB665" s="67" t="str">
        <f>IF(OR(Table12[[#This Row],[Bet]]="Side",Table12[[#This Row],[Bet]]="", 'Prediction Log'!L666=""), "",IF('Prediction Log'!U666="Y", "W", IF('Prediction Log'!U666="N", "L", "")))</f>
      </c>
      <c r="AC665" s="59" t="str">
        <f t="shared" si="96"/>
      </c>
      <c r="AD665" s="67"/>
      <c r="AE665" s="65" t="str">
        <f t="shared" si="101"/>
      </c>
      <c r="AF6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6">
      <c r="A666" s="65" t="str">
        <f>IF(ISBLANK(Games!A666), "", Games!A666)</f>
      </c>
      <c r="B666" s="65" t="str">
        <f>IF('Prediction Log'!B667=0, "",'Prediction Log'!B667)</f>
      </c>
      <c r="C666" s="65" t="str">
        <f>IF('Prediction Log'!C667=0, "",'Prediction Log'!C667)</f>
      </c>
      <c r="D666" s="65" t="str">
        <f>IF('Prediction Log'!D667=0, "",'Prediction Log'!D667)</f>
      </c>
      <c r="E666" s="58" t="str">
        <f>IF('Prediction Log'!E667=0, "",'Prediction Log'!E667)</f>
      </c>
      <c r="F666" s="65" t="str">
        <f>IF('Prediction Log'!H667=0, "",'Prediction Log'!H667)</f>
      </c>
      <c r="G666" s="64" t="str">
        <f>IF(ISBLANK(Games!B666), "",'Prediction Log'!$I667)</f>
      </c>
      <c r="H666" s="66" t="n">
        <f>'Prediction Log'!$J667</f>
        <v>0</v>
      </c>
      <c r="I666" s="65" t="str">
        <f>IF(ISBLANK(Games!T666), "",IF(AND(Games!T666="",Games!U666=""),"",IF(ISTEXT(Games!U666), "Side",Games!T666)))</f>
      </c>
      <c r="J666" s="65" t="str">
        <f>IF(ISBLANK(Games!T666), "",IF(Table12[[#This Row],[Bet]]="Spread", Games!X666, ""))</f>
      </c>
      <c r="K666" s="65" t="str">
        <f>IF(ISBLANK(Games!U666), "",IF(ISTEXT(Games!U666), Games!U666, ""))</f>
      </c>
      <c r="L666" s="57" t="str">
        <f>IF(ISBLANK(Games!D666), "", Games!D666)</f>
      </c>
      <c r="M666" s="65"/>
      <c r="N666" s="75" t="str">
        <f>IF(Games!V666="", "",Games!V666)</f>
      </c>
      <c r="O666" s="75" t="str">
        <f>IF(Games!Z666=0, "",Games!Z666)</f>
      </c>
      <c r="P666" s="67"/>
      <c r="Q666" s="67" t="str">
        <f>IF(ISBLANK(Games!W666), "", Games!W666)</f>
      </c>
      <c r="R666" s="67" t="str">
        <f>IF(ISBLANK(Games!AA666), "", Games!AA666)</f>
      </c>
      <c r="S666" s="67"/>
      <c r="T666" s="68" t="str">
        <f t="shared" si="97"/>
      </c>
      <c r="U666" s="68" t="str">
        <f t="shared" si="98"/>
      </c>
      <c r="V666" s="68" t="str">
        <f t="shared" si="99"/>
      </c>
      <c r="W666" s="68" t="str">
        <f t="shared" si="100"/>
      </c>
      <c r="X666" s="68" t="n">
        <f t="shared" si="93"/>
        <v>0</v>
      </c>
      <c r="Y666" s="68" t="n">
        <f t="shared" si="94"/>
        <v>0</v>
      </c>
      <c r="Z666" s="67" t="str">
        <f>IF(OR('Prediction Log'!L667="", Table12[[#This Row],[Bet]]="", Table12[[#This Row],[Bet]]="Spread"), "",IF('Prediction Log'!L667=Table12[[#This Row],[Side]], "W", IF('Prediction Log'!L667&lt;&gt;Table12[[#This Row],[Side]], "L", "")))</f>
      </c>
      <c r="AA666" s="59" t="str">
        <f t="shared" si="95"/>
      </c>
      <c r="AB666" s="67" t="str">
        <f>IF(OR(Table12[[#This Row],[Bet]]="Side",Table12[[#This Row],[Bet]]="", 'Prediction Log'!L667=""), "",IF('Prediction Log'!U667="Y", "W", IF('Prediction Log'!U667="N", "L", "")))</f>
      </c>
      <c r="AC666" s="59" t="str">
        <f t="shared" si="96"/>
      </c>
      <c r="AD666" s="67"/>
      <c r="AE666" s="65" t="str">
        <f t="shared" si="101"/>
      </c>
      <c r="AF6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7">
      <c r="A667" s="65" t="str">
        <f>IF(ISBLANK(Games!A667), "", Games!A667)</f>
      </c>
      <c r="B667" s="65" t="str">
        <f>IF('Prediction Log'!B668=0, "",'Prediction Log'!B668)</f>
      </c>
      <c r="C667" s="65" t="str">
        <f>IF('Prediction Log'!C668=0, "",'Prediction Log'!C668)</f>
      </c>
      <c r="D667" s="65" t="str">
        <f>IF('Prediction Log'!D668=0, "",'Prediction Log'!D668)</f>
      </c>
      <c r="E667" s="58" t="str">
        <f>IF('Prediction Log'!E668=0, "",'Prediction Log'!E668)</f>
      </c>
      <c r="F667" s="65" t="str">
        <f>IF('Prediction Log'!H668=0, "",'Prediction Log'!H668)</f>
      </c>
      <c r="G667" s="64" t="str">
        <f>IF(ISBLANK(Games!B667), "",'Prediction Log'!$I668)</f>
      </c>
      <c r="H667" s="66" t="n">
        <f>'Prediction Log'!$J668</f>
        <v>0</v>
      </c>
      <c r="I667" s="65" t="str">
        <f>IF(ISBLANK(Games!T667), "",IF(AND(Games!T667="",Games!U667=""),"",IF(ISTEXT(Games!U667), "Side",Games!T667)))</f>
      </c>
      <c r="J667" s="65" t="str">
        <f>IF(ISBLANK(Games!T667), "",IF(Table12[[#This Row],[Bet]]="Spread", Games!X667, ""))</f>
      </c>
      <c r="K667" s="65" t="str">
        <f>IF(ISBLANK(Games!U667), "",IF(ISTEXT(Games!U667), Games!U667, ""))</f>
      </c>
      <c r="L667" s="57" t="str">
        <f>IF(ISBLANK(Games!D667), "", Games!D667)</f>
      </c>
      <c r="M667" s="65"/>
      <c r="N667" s="75" t="str">
        <f>IF(Games!V667="", "",Games!V667)</f>
      </c>
      <c r="O667" s="75" t="str">
        <f>IF(Games!Z667=0, "",Games!Z667)</f>
      </c>
      <c r="P667" s="67"/>
      <c r="Q667" s="67" t="str">
        <f>IF(ISBLANK(Games!W667), "", Games!W667)</f>
      </c>
      <c r="R667" s="67" t="str">
        <f>IF(ISBLANK(Games!AA667), "", Games!AA667)</f>
      </c>
      <c r="S667" s="67"/>
      <c r="T667" s="68" t="str">
        <f t="shared" si="97"/>
      </c>
      <c r="U667" s="68" t="str">
        <f t="shared" si="98"/>
      </c>
      <c r="V667" s="68" t="str">
        <f t="shared" si="99"/>
      </c>
      <c r="W667" s="68" t="str">
        <f t="shared" si="100"/>
      </c>
      <c r="X667" s="68" t="n">
        <f t="shared" si="93"/>
        <v>0</v>
      </c>
      <c r="Y667" s="68" t="n">
        <f t="shared" si="94"/>
        <v>0</v>
      </c>
      <c r="Z667" s="67" t="str">
        <f>IF(OR('Prediction Log'!L668="", Table12[[#This Row],[Bet]]="", Table12[[#This Row],[Bet]]="Spread"), "",IF('Prediction Log'!L668=Table12[[#This Row],[Side]], "W", IF('Prediction Log'!L668&lt;&gt;Table12[[#This Row],[Side]], "L", "")))</f>
      </c>
      <c r="AA667" s="59" t="str">
        <f t="shared" si="95"/>
      </c>
      <c r="AB667" s="67" t="str">
        <f>IF(OR(Table12[[#This Row],[Bet]]="Side",Table12[[#This Row],[Bet]]="", 'Prediction Log'!L668=""), "",IF('Prediction Log'!U668="Y", "W", IF('Prediction Log'!U668="N", "L", "")))</f>
      </c>
      <c r="AC667" s="59" t="str">
        <f t="shared" si="96"/>
      </c>
      <c r="AD667" s="67"/>
      <c r="AE667" s="65" t="str">
        <f t="shared" si="101"/>
      </c>
      <c r="AF6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8">
      <c r="A668" s="65" t="str">
        <f>IF(ISBLANK(Games!A668), "", Games!A668)</f>
      </c>
      <c r="B668" s="65" t="str">
        <f>IF('Prediction Log'!B669=0, "",'Prediction Log'!B669)</f>
      </c>
      <c r="C668" s="65" t="str">
        <f>IF('Prediction Log'!C669=0, "",'Prediction Log'!C669)</f>
      </c>
      <c r="D668" s="65" t="str">
        <f>IF('Prediction Log'!D669=0, "",'Prediction Log'!D669)</f>
      </c>
      <c r="E668" s="58" t="str">
        <f>IF('Prediction Log'!E669=0, "",'Prediction Log'!E669)</f>
      </c>
      <c r="F668" s="65" t="str">
        <f>IF('Prediction Log'!H669=0, "",'Prediction Log'!H669)</f>
      </c>
      <c r="G668" s="64" t="str">
        <f>IF(ISBLANK(Games!B668), "",'Prediction Log'!$I669)</f>
      </c>
      <c r="H668" s="66" t="n">
        <f>'Prediction Log'!$J669</f>
        <v>0</v>
      </c>
      <c r="I668" s="65" t="str">
        <f>IF(ISBLANK(Games!T668), "",IF(AND(Games!T668="",Games!U668=""),"",IF(ISTEXT(Games!U668), "Side",Games!T668)))</f>
      </c>
      <c r="J668" s="65" t="str">
        <f>IF(ISBLANK(Games!T668), "",IF(Table12[[#This Row],[Bet]]="Spread", Games!X668, ""))</f>
      </c>
      <c r="K668" s="65" t="str">
        <f>IF(ISBLANK(Games!U668), "",IF(ISTEXT(Games!U668), Games!U668, ""))</f>
      </c>
      <c r="L668" s="57" t="str">
        <f>IF(ISBLANK(Games!D668), "", Games!D668)</f>
      </c>
      <c r="M668" s="65"/>
      <c r="N668" s="75" t="str">
        <f>IF(Games!V668="", "",Games!V668)</f>
      </c>
      <c r="O668" s="75" t="str">
        <f>IF(Games!Z668=0, "",Games!Z668)</f>
      </c>
      <c r="P668" s="67"/>
      <c r="Q668" s="67" t="str">
        <f>IF(ISBLANK(Games!W668), "", Games!W668)</f>
      </c>
      <c r="R668" s="67" t="str">
        <f>IF(ISBLANK(Games!AA668), "", Games!AA668)</f>
      </c>
      <c r="S668" s="67"/>
      <c r="T668" s="68" t="str">
        <f t="shared" si="97"/>
      </c>
      <c r="U668" s="68" t="str">
        <f t="shared" si="98"/>
      </c>
      <c r="V668" s="68" t="str">
        <f t="shared" si="99"/>
      </c>
      <c r="W668" s="68" t="str">
        <f t="shared" si="100"/>
      </c>
      <c r="X668" s="68" t="n">
        <f t="shared" si="93"/>
        <v>0</v>
      </c>
      <c r="Y668" s="68" t="n">
        <f t="shared" si="94"/>
        <v>0</v>
      </c>
      <c r="Z668" s="67" t="str">
        <f>IF(OR('Prediction Log'!L669="", Table12[[#This Row],[Bet]]="", Table12[[#This Row],[Bet]]="Spread"), "",IF('Prediction Log'!L669=Table12[[#This Row],[Side]], "W", IF('Prediction Log'!L669&lt;&gt;Table12[[#This Row],[Side]], "L", "")))</f>
      </c>
      <c r="AA668" s="59" t="str">
        <f t="shared" si="95"/>
      </c>
      <c r="AB668" s="67" t="str">
        <f>IF(OR(Table12[[#This Row],[Bet]]="Side",Table12[[#This Row],[Bet]]="", 'Prediction Log'!L669=""), "",IF('Prediction Log'!U669="Y", "W", IF('Prediction Log'!U669="N", "L", "")))</f>
      </c>
      <c r="AC668" s="59" t="str">
        <f t="shared" si="96"/>
      </c>
      <c r="AD668" s="67"/>
      <c r="AE668" s="65" t="str">
        <f t="shared" si="101"/>
      </c>
      <c r="AF6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9">
      <c r="A669" s="65" t="str">
        <f>IF(ISBLANK(Games!A669), "", Games!A669)</f>
      </c>
      <c r="B669" s="65" t="str">
        <f>IF('Prediction Log'!B670=0, "",'Prediction Log'!B670)</f>
      </c>
      <c r="C669" s="65" t="str">
        <f>IF('Prediction Log'!C670=0, "",'Prediction Log'!C670)</f>
      </c>
      <c r="D669" s="65" t="str">
        <f>IF('Prediction Log'!D670=0, "",'Prediction Log'!D670)</f>
      </c>
      <c r="E669" s="58" t="str">
        <f>IF('Prediction Log'!E670=0, "",'Prediction Log'!E670)</f>
      </c>
      <c r="F669" s="65" t="str">
        <f>IF('Prediction Log'!H670=0, "",'Prediction Log'!H670)</f>
      </c>
      <c r="G669" s="64" t="str">
        <f>IF(ISBLANK(Games!B669), "",'Prediction Log'!$I670)</f>
      </c>
      <c r="H669" s="66" t="n">
        <f>'Prediction Log'!$J670</f>
        <v>0</v>
      </c>
      <c r="I669" s="65" t="str">
        <f>IF(ISBLANK(Games!T669), "",IF(AND(Games!T669="",Games!U669=""),"",IF(ISTEXT(Games!U669), "Side",Games!T669)))</f>
      </c>
      <c r="J669" s="65" t="str">
        <f>IF(ISBLANK(Games!T669), "",IF(Table12[[#This Row],[Bet]]="Spread", Games!X669, ""))</f>
      </c>
      <c r="K669" s="65" t="str">
        <f>IF(ISBLANK(Games!U669), "",IF(ISTEXT(Games!U669), Games!U669, ""))</f>
      </c>
      <c r="L669" s="57" t="str">
        <f>IF(ISBLANK(Games!D669), "", Games!D669)</f>
      </c>
      <c r="M669" s="65"/>
      <c r="N669" s="75" t="str">
        <f>IF(Games!V669="", "",Games!V669)</f>
      </c>
      <c r="O669" s="75" t="str">
        <f>IF(Games!Z669=0, "",Games!Z669)</f>
      </c>
      <c r="P669" s="67"/>
      <c r="Q669" s="67" t="str">
        <f>IF(ISBLANK(Games!W669), "", Games!W669)</f>
      </c>
      <c r="R669" s="67" t="str">
        <f>IF(ISBLANK(Games!AA669), "", Games!AA669)</f>
      </c>
      <c r="S669" s="67"/>
      <c r="T669" s="68" t="str">
        <f t="shared" si="97"/>
      </c>
      <c r="U669" s="68" t="str">
        <f t="shared" si="98"/>
      </c>
      <c r="V669" s="68" t="str">
        <f t="shared" si="99"/>
      </c>
      <c r="W669" s="68" t="str">
        <f t="shared" si="100"/>
      </c>
      <c r="X669" s="68" t="n">
        <f t="shared" si="93"/>
        <v>0</v>
      </c>
      <c r="Y669" s="68" t="n">
        <f t="shared" si="94"/>
        <v>0</v>
      </c>
      <c r="Z669" s="67" t="str">
        <f>IF(OR('Prediction Log'!L670="", Table12[[#This Row],[Bet]]="", Table12[[#This Row],[Bet]]="Spread"), "",IF('Prediction Log'!L670=Table12[[#This Row],[Side]], "W", IF('Prediction Log'!L670&lt;&gt;Table12[[#This Row],[Side]], "L", "")))</f>
      </c>
      <c r="AA669" s="59" t="str">
        <f t="shared" si="95"/>
      </c>
      <c r="AB669" s="67" t="str">
        <f>IF(OR(Table12[[#This Row],[Bet]]="Side",Table12[[#This Row],[Bet]]="", 'Prediction Log'!L670=""), "",IF('Prediction Log'!U670="Y", "W", IF('Prediction Log'!U670="N", "L", "")))</f>
      </c>
      <c r="AC669" s="59" t="str">
        <f t="shared" si="96"/>
      </c>
      <c r="AD669" s="67"/>
      <c r="AE669" s="65" t="str">
        <f t="shared" si="101"/>
      </c>
      <c r="AF6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0">
      <c r="A670" s="65" t="str">
        <f>IF(ISBLANK(Games!A670), "", Games!A670)</f>
      </c>
      <c r="B670" s="65" t="str">
        <f>IF('Prediction Log'!B671=0, "",'Prediction Log'!B671)</f>
      </c>
      <c r="C670" s="65" t="str">
        <f>IF('Prediction Log'!C671=0, "",'Prediction Log'!C671)</f>
      </c>
      <c r="D670" s="65" t="str">
        <f>IF('Prediction Log'!D671=0, "",'Prediction Log'!D671)</f>
      </c>
      <c r="E670" s="58" t="str">
        <f>IF('Prediction Log'!E671=0, "",'Prediction Log'!E671)</f>
      </c>
      <c r="F670" s="65" t="str">
        <f>IF('Prediction Log'!H671=0, "",'Prediction Log'!H671)</f>
      </c>
      <c r="G670" s="64" t="str">
        <f>IF(ISBLANK(Games!B670), "",'Prediction Log'!$I671)</f>
      </c>
      <c r="H670" s="66" t="n">
        <f>'Prediction Log'!$J671</f>
        <v>0</v>
      </c>
      <c r="I670" s="65" t="str">
        <f>IF(ISBLANK(Games!T670), "",IF(AND(Games!T670="",Games!U670=""),"",IF(ISTEXT(Games!U670), "Side",Games!T670)))</f>
      </c>
      <c r="J670" s="65" t="str">
        <f>IF(ISBLANK(Games!T670), "",IF(Table12[[#This Row],[Bet]]="Spread", Games!X670, ""))</f>
      </c>
      <c r="K670" s="65" t="str">
        <f>IF(ISBLANK(Games!U670), "",IF(ISTEXT(Games!U670), Games!U670, ""))</f>
      </c>
      <c r="L670" s="57" t="str">
        <f>IF(ISBLANK(Games!D670), "", Games!D670)</f>
      </c>
      <c r="M670" s="65"/>
      <c r="N670" s="75" t="str">
        <f>IF(Games!V670="", "",Games!V670)</f>
      </c>
      <c r="O670" s="75" t="str">
        <f>IF(Games!Z670=0, "",Games!Z670)</f>
      </c>
      <c r="P670" s="67"/>
      <c r="Q670" s="67" t="str">
        <f>IF(ISBLANK(Games!W670), "", Games!W670)</f>
      </c>
      <c r="R670" s="67" t="str">
        <f>IF(ISBLANK(Games!AA670), "", Games!AA670)</f>
      </c>
      <c r="S670" s="67"/>
      <c r="T670" s="68" t="str">
        <f t="shared" si="97"/>
      </c>
      <c r="U670" s="68" t="str">
        <f t="shared" si="98"/>
      </c>
      <c r="V670" s="68" t="str">
        <f t="shared" si="99"/>
      </c>
      <c r="W670" s="68" t="str">
        <f t="shared" si="100"/>
      </c>
      <c r="X670" s="68" t="n">
        <f t="shared" si="93"/>
        <v>0</v>
      </c>
      <c r="Y670" s="68" t="n">
        <f t="shared" si="94"/>
        <v>0</v>
      </c>
      <c r="Z670" s="67" t="str">
        <f>IF(OR('Prediction Log'!L671="", Table12[[#This Row],[Bet]]="", Table12[[#This Row],[Bet]]="Spread"), "",IF('Prediction Log'!L671=Table12[[#This Row],[Side]], "W", IF('Prediction Log'!L671&lt;&gt;Table12[[#This Row],[Side]], "L", "")))</f>
      </c>
      <c r="AA670" s="59" t="str">
        <f t="shared" si="95"/>
      </c>
      <c r="AB670" s="67" t="str">
        <f>IF(OR(Table12[[#This Row],[Bet]]="Side",Table12[[#This Row],[Bet]]="", 'Prediction Log'!L671=""), "",IF('Prediction Log'!U671="Y", "W", IF('Prediction Log'!U671="N", "L", "")))</f>
      </c>
      <c r="AC670" s="59" t="str">
        <f t="shared" si="96"/>
      </c>
      <c r="AD670" s="67"/>
      <c r="AE670" s="65" t="str">
        <f t="shared" si="101"/>
      </c>
      <c r="AF6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1">
      <c r="A671" s="65" t="str">
        <f>IF(ISBLANK(Games!A671), "", Games!A671)</f>
      </c>
      <c r="B671" s="65" t="str">
        <f>IF('Prediction Log'!B672=0, "",'Prediction Log'!B672)</f>
      </c>
      <c r="C671" s="65" t="str">
        <f>IF('Prediction Log'!C672=0, "",'Prediction Log'!C672)</f>
      </c>
      <c r="D671" s="65" t="str">
        <f>IF('Prediction Log'!D672=0, "",'Prediction Log'!D672)</f>
      </c>
      <c r="E671" s="58" t="str">
        <f>IF('Prediction Log'!E672=0, "",'Prediction Log'!E672)</f>
      </c>
      <c r="F671" s="65" t="str">
        <f>IF('Prediction Log'!H672=0, "",'Prediction Log'!H672)</f>
      </c>
      <c r="G671" s="64" t="str">
        <f>IF(ISBLANK(Games!B671), "",'Prediction Log'!$I672)</f>
      </c>
      <c r="H671" s="66" t="n">
        <f>'Prediction Log'!$J672</f>
        <v>0</v>
      </c>
      <c r="I671" s="65" t="str">
        <f>IF(ISBLANK(Games!T671), "",IF(AND(Games!T671="",Games!U671=""),"",IF(ISTEXT(Games!U671), "Side",Games!T671)))</f>
      </c>
      <c r="J671" s="65" t="str">
        <f>IF(ISBLANK(Games!T671), "",IF(Table12[[#This Row],[Bet]]="Spread", Games!X671, ""))</f>
      </c>
      <c r="K671" s="65" t="str">
        <f>IF(ISBLANK(Games!U671), "",IF(ISTEXT(Games!U671), Games!U671, ""))</f>
      </c>
      <c r="L671" s="57" t="str">
        <f>IF(ISBLANK(Games!D671), "", Games!D671)</f>
      </c>
      <c r="M671" s="65"/>
      <c r="N671" s="75" t="str">
        <f>IF(Games!V671="", "",Games!V671)</f>
      </c>
      <c r="O671" s="75" t="str">
        <f>IF(Games!Z671=0, "",Games!Z671)</f>
      </c>
      <c r="P671" s="67"/>
      <c r="Q671" s="67" t="str">
        <f>IF(ISBLANK(Games!W671), "", Games!W671)</f>
      </c>
      <c r="R671" s="67" t="str">
        <f>IF(ISBLANK(Games!AA671), "", Games!AA671)</f>
      </c>
      <c r="S671" s="67"/>
      <c r="T671" s="68" t="str">
        <f t="shared" si="97"/>
      </c>
      <c r="U671" s="68" t="str">
        <f t="shared" si="98"/>
      </c>
      <c r="V671" s="68" t="str">
        <f t="shared" si="99"/>
      </c>
      <c r="W671" s="68" t="str">
        <f t="shared" si="100"/>
      </c>
      <c r="X671" s="68" t="n">
        <f t="shared" si="93"/>
        <v>0</v>
      </c>
      <c r="Y671" s="68" t="n">
        <f t="shared" si="94"/>
        <v>0</v>
      </c>
      <c r="Z671" s="67" t="str">
        <f>IF(OR('Prediction Log'!L672="", Table12[[#This Row],[Bet]]="", Table12[[#This Row],[Bet]]="Spread"), "",IF('Prediction Log'!L672=Table12[[#This Row],[Side]], "W", IF('Prediction Log'!L672&lt;&gt;Table12[[#This Row],[Side]], "L", "")))</f>
      </c>
      <c r="AA671" s="59" t="str">
        <f t="shared" si="95"/>
      </c>
      <c r="AB671" s="67" t="str">
        <f>IF(OR(Table12[[#This Row],[Bet]]="Side",Table12[[#This Row],[Bet]]="", 'Prediction Log'!L672=""), "",IF('Prediction Log'!U672="Y", "W", IF('Prediction Log'!U672="N", "L", "")))</f>
      </c>
      <c r="AC671" s="59" t="str">
        <f t="shared" si="96"/>
      </c>
      <c r="AD671" s="67"/>
      <c r="AE671" s="65" t="str">
        <f t="shared" si="101"/>
      </c>
      <c r="AF6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2">
      <c r="A672" s="65" t="str">
        <f>IF(ISBLANK(Games!A672), "", Games!A672)</f>
      </c>
      <c r="B672" s="65" t="str">
        <f>IF('Prediction Log'!B673=0, "",'Prediction Log'!B673)</f>
      </c>
      <c r="C672" s="65" t="str">
        <f>IF('Prediction Log'!C673=0, "",'Prediction Log'!C673)</f>
      </c>
      <c r="D672" s="65" t="str">
        <f>IF('Prediction Log'!D673=0, "",'Prediction Log'!D673)</f>
      </c>
      <c r="E672" s="58" t="str">
        <f>IF('Prediction Log'!E673=0, "",'Prediction Log'!E673)</f>
      </c>
      <c r="F672" s="65" t="str">
        <f>IF('Prediction Log'!H673=0, "",'Prediction Log'!H673)</f>
      </c>
      <c r="G672" s="64" t="str">
        <f>IF(ISBLANK(Games!B672), "",'Prediction Log'!$I673)</f>
      </c>
      <c r="H672" s="66" t="n">
        <f>'Prediction Log'!$J673</f>
        <v>0</v>
      </c>
      <c r="I672" s="65" t="str">
        <f>IF(ISBLANK(Games!T672), "",IF(AND(Games!T672="",Games!U672=""),"",IF(ISTEXT(Games!U672), "Side",Games!T672)))</f>
      </c>
      <c r="J672" s="65" t="str">
        <f>IF(ISBLANK(Games!T672), "",IF(Table12[[#This Row],[Bet]]="Spread", Games!X672, ""))</f>
      </c>
      <c r="K672" s="65" t="str">
        <f>IF(ISBLANK(Games!U672), "",IF(ISTEXT(Games!U672), Games!U672, ""))</f>
      </c>
      <c r="L672" s="57" t="str">
        <f>IF(ISBLANK(Games!D672), "", Games!D672)</f>
      </c>
      <c r="M672" s="65"/>
      <c r="N672" s="75" t="str">
        <f>IF(Games!V672="", "",Games!V672)</f>
      </c>
      <c r="O672" s="75" t="str">
        <f>IF(Games!Z672=0, "",Games!Z672)</f>
      </c>
      <c r="P672" s="67"/>
      <c r="Q672" s="67" t="str">
        <f>IF(ISBLANK(Games!W672), "", Games!W672)</f>
      </c>
      <c r="R672" s="67" t="str">
        <f>IF(ISBLANK(Games!AA672), "", Games!AA672)</f>
      </c>
      <c r="S672" s="67"/>
      <c r="T672" s="68" t="str">
        <f t="shared" si="97"/>
      </c>
      <c r="U672" s="68" t="str">
        <f t="shared" si="98"/>
      </c>
      <c r="V672" s="68" t="str">
        <f t="shared" si="99"/>
      </c>
      <c r="W672" s="68" t="str">
        <f t="shared" si="100"/>
      </c>
      <c r="X672" s="68" t="n">
        <f t="shared" si="93"/>
        <v>0</v>
      </c>
      <c r="Y672" s="68" t="n">
        <f t="shared" si="94"/>
        <v>0</v>
      </c>
      <c r="Z672" s="67" t="str">
        <f>IF(OR('Prediction Log'!L673="", Table12[[#This Row],[Bet]]="", Table12[[#This Row],[Bet]]="Spread"), "",IF('Prediction Log'!L673=Table12[[#This Row],[Side]], "W", IF('Prediction Log'!L673&lt;&gt;Table12[[#This Row],[Side]], "L", "")))</f>
      </c>
      <c r="AA672" s="59" t="str">
        <f t="shared" si="95"/>
      </c>
      <c r="AB672" s="67" t="str">
        <f>IF(OR(Table12[[#This Row],[Bet]]="Side",Table12[[#This Row],[Bet]]="", 'Prediction Log'!L673=""), "",IF('Prediction Log'!U673="Y", "W", IF('Prediction Log'!U673="N", "L", "")))</f>
      </c>
      <c r="AC672" s="59" t="str">
        <f t="shared" si="96"/>
      </c>
      <c r="AD672" s="67"/>
      <c r="AE672" s="65" t="str">
        <f t="shared" si="101"/>
      </c>
      <c r="AF6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3">
      <c r="A673" s="65" t="str">
        <f>IF(ISBLANK(Games!A673), "", Games!A673)</f>
      </c>
      <c r="B673" s="65" t="str">
        <f>IF('Prediction Log'!B674=0, "",'Prediction Log'!B674)</f>
      </c>
      <c r="C673" s="65" t="str">
        <f>IF('Prediction Log'!C674=0, "",'Prediction Log'!C674)</f>
      </c>
      <c r="D673" s="65" t="str">
        <f>IF('Prediction Log'!D674=0, "",'Prediction Log'!D674)</f>
      </c>
      <c r="E673" s="58" t="str">
        <f>IF('Prediction Log'!E674=0, "",'Prediction Log'!E674)</f>
      </c>
      <c r="F673" s="65" t="str">
        <f>IF('Prediction Log'!H674=0, "",'Prediction Log'!H674)</f>
      </c>
      <c r="G673" s="64" t="str">
        <f>IF(ISBLANK(Games!B673), "",'Prediction Log'!$I674)</f>
      </c>
      <c r="H673" s="66" t="n">
        <f>'Prediction Log'!$J674</f>
        <v>0</v>
      </c>
      <c r="I673" s="65" t="str">
        <f>IF(ISBLANK(Games!T673), "",IF(AND(Games!T673="",Games!U673=""),"",IF(ISTEXT(Games!U673), "Side",Games!T673)))</f>
      </c>
      <c r="J673" s="65" t="str">
        <f>IF(ISBLANK(Games!T673), "",IF(Table12[[#This Row],[Bet]]="Spread", Games!X673, ""))</f>
      </c>
      <c r="K673" s="65" t="str">
        <f>IF(ISBLANK(Games!U673), "",IF(ISTEXT(Games!U673), Games!U673, ""))</f>
      </c>
      <c r="L673" s="57" t="str">
        <f>IF(ISBLANK(Games!D673), "", Games!D673)</f>
      </c>
      <c r="M673" s="65"/>
      <c r="N673" s="75" t="str">
        <f>IF(Games!V673="", "",Games!V673)</f>
      </c>
      <c r="O673" s="75" t="str">
        <f>IF(Games!Z673=0, "",Games!Z673)</f>
      </c>
      <c r="P673" s="67"/>
      <c r="Q673" s="67" t="str">
        <f>IF(ISBLANK(Games!W673), "", Games!W673)</f>
      </c>
      <c r="R673" s="67" t="str">
        <f>IF(ISBLANK(Games!AA673), "", Games!AA673)</f>
      </c>
      <c r="S673" s="67"/>
      <c r="T673" s="68" t="str">
        <f t="shared" si="97"/>
      </c>
      <c r="U673" s="68" t="str">
        <f t="shared" si="98"/>
      </c>
      <c r="V673" s="68" t="str">
        <f t="shared" si="99"/>
      </c>
      <c r="W673" s="68" t="str">
        <f t="shared" si="100"/>
      </c>
      <c r="X673" s="68" t="n">
        <f t="shared" si="93"/>
        <v>0</v>
      </c>
      <c r="Y673" s="68" t="n">
        <f t="shared" si="94"/>
        <v>0</v>
      </c>
      <c r="Z673" s="67" t="str">
        <f>IF(OR('Prediction Log'!L674="", Table12[[#This Row],[Bet]]="", Table12[[#This Row],[Bet]]="Spread"), "",IF('Prediction Log'!L674=Table12[[#This Row],[Side]], "W", IF('Prediction Log'!L674&lt;&gt;Table12[[#This Row],[Side]], "L", "")))</f>
      </c>
      <c r="AA673" s="59" t="str">
        <f t="shared" si="95"/>
      </c>
      <c r="AB673" s="67" t="str">
        <f>IF(OR(Table12[[#This Row],[Bet]]="Side",Table12[[#This Row],[Bet]]="", 'Prediction Log'!L674=""), "",IF('Prediction Log'!U674="Y", "W", IF('Prediction Log'!U674="N", "L", "")))</f>
      </c>
      <c r="AC673" s="59" t="str">
        <f t="shared" si="96"/>
      </c>
      <c r="AD673" s="67"/>
      <c r="AE673" s="65" t="str">
        <f t="shared" si="101"/>
      </c>
      <c r="AF6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4">
      <c r="A674" s="65" t="str">
        <f>IF(ISBLANK(Games!A674), "", Games!A674)</f>
      </c>
      <c r="B674" s="65" t="str">
        <f>IF('Prediction Log'!B675=0, "",'Prediction Log'!B675)</f>
      </c>
      <c r="C674" s="65" t="str">
        <f>IF('Prediction Log'!C675=0, "",'Prediction Log'!C675)</f>
      </c>
      <c r="D674" s="65" t="str">
        <f>IF('Prediction Log'!D675=0, "",'Prediction Log'!D675)</f>
      </c>
      <c r="E674" s="58" t="str">
        <f>IF('Prediction Log'!E675=0, "",'Prediction Log'!E675)</f>
      </c>
      <c r="F674" s="65" t="str">
        <f>IF('Prediction Log'!H675=0, "",'Prediction Log'!H675)</f>
      </c>
      <c r="G674" s="64" t="str">
        <f>IF(ISBLANK(Games!B674), "",'Prediction Log'!$I675)</f>
      </c>
      <c r="H674" s="66" t="n">
        <f>'Prediction Log'!$J675</f>
        <v>0</v>
      </c>
      <c r="I674" s="65" t="str">
        <f>IF(ISBLANK(Games!T674), "",IF(AND(Games!T674="",Games!U674=""),"",IF(ISTEXT(Games!U674), "Side",Games!T674)))</f>
      </c>
      <c r="J674" s="65" t="str">
        <f>IF(ISBLANK(Games!T674), "",IF(Table12[[#This Row],[Bet]]="Spread", Games!X674, ""))</f>
      </c>
      <c r="K674" s="65" t="str">
        <f>IF(ISBLANK(Games!U674), "",IF(ISTEXT(Games!U674), Games!U674, ""))</f>
      </c>
      <c r="L674" s="57" t="str">
        <f>IF(ISBLANK(Games!D674), "", Games!D674)</f>
      </c>
      <c r="M674" s="65"/>
      <c r="N674" s="75" t="str">
        <f>IF(Games!V674="", "",Games!V674)</f>
      </c>
      <c r="O674" s="75" t="str">
        <f>IF(Games!Z674=0, "",Games!Z674)</f>
      </c>
      <c r="P674" s="67"/>
      <c r="Q674" s="67" t="str">
        <f>IF(ISBLANK(Games!W674), "", Games!W674)</f>
      </c>
      <c r="R674" s="67" t="str">
        <f>IF(ISBLANK(Games!AA674), "", Games!AA674)</f>
      </c>
      <c r="S674" s="67"/>
      <c r="T674" s="68" t="str">
        <f t="shared" si="97"/>
      </c>
      <c r="U674" s="68" t="str">
        <f t="shared" si="98"/>
      </c>
      <c r="V674" s="68" t="str">
        <f t="shared" si="99"/>
      </c>
      <c r="W674" s="68" t="str">
        <f t="shared" si="100"/>
      </c>
      <c r="X674" s="68" t="n">
        <f t="shared" si="93"/>
        <v>0</v>
      </c>
      <c r="Y674" s="68" t="n">
        <f t="shared" si="94"/>
        <v>0</v>
      </c>
      <c r="Z674" s="67" t="str">
        <f>IF(OR('Prediction Log'!L675="", Table12[[#This Row],[Bet]]="", Table12[[#This Row],[Bet]]="Spread"), "",IF('Prediction Log'!L675=Table12[[#This Row],[Side]], "W", IF('Prediction Log'!L675&lt;&gt;Table12[[#This Row],[Side]], "L", "")))</f>
      </c>
      <c r="AA674" s="59" t="str">
        <f t="shared" si="95"/>
      </c>
      <c r="AB674" s="67" t="str">
        <f>IF(OR(Table12[[#This Row],[Bet]]="Side",Table12[[#This Row],[Bet]]="", 'Prediction Log'!L675=""), "",IF('Prediction Log'!U675="Y", "W", IF('Prediction Log'!U675="N", "L", "")))</f>
      </c>
      <c r="AC674" s="59" t="str">
        <f t="shared" si="96"/>
      </c>
      <c r="AD674" s="67"/>
      <c r="AE674" s="65" t="str">
        <f t="shared" si="101"/>
      </c>
      <c r="AF6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5">
      <c r="A675" s="65" t="str">
        <f>IF(ISBLANK(Games!A675), "", Games!A675)</f>
      </c>
      <c r="B675" s="65" t="str">
        <f>IF('Prediction Log'!B676=0, "",'Prediction Log'!B676)</f>
      </c>
      <c r="C675" s="65" t="str">
        <f>IF('Prediction Log'!C676=0, "",'Prediction Log'!C676)</f>
      </c>
      <c r="D675" s="65" t="str">
        <f>IF('Prediction Log'!D676=0, "",'Prediction Log'!D676)</f>
      </c>
      <c r="E675" s="58" t="str">
        <f>IF('Prediction Log'!E676=0, "",'Prediction Log'!E676)</f>
      </c>
      <c r="F675" s="65" t="str">
        <f>IF('Prediction Log'!H676=0, "",'Prediction Log'!H676)</f>
      </c>
      <c r="G675" s="64" t="str">
        <f>IF(ISBLANK(Games!B675), "",'Prediction Log'!$I676)</f>
      </c>
      <c r="H675" s="66" t="n">
        <f>'Prediction Log'!$J676</f>
        <v>0</v>
      </c>
      <c r="I675" s="65" t="str">
        <f>IF(ISBLANK(Games!T675), "",IF(AND(Games!T675="",Games!U675=""),"",IF(ISTEXT(Games!U675), "Side",Games!T675)))</f>
      </c>
      <c r="J675" s="65" t="str">
        <f>IF(ISBLANK(Games!T675), "",IF(Table12[[#This Row],[Bet]]="Spread", Games!X675, ""))</f>
      </c>
      <c r="K675" s="65" t="str">
        <f>IF(ISBLANK(Games!U675), "",IF(ISTEXT(Games!U675), Games!U675, ""))</f>
      </c>
      <c r="L675" s="57" t="str">
        <f>IF(ISBLANK(Games!D675), "", Games!D675)</f>
      </c>
      <c r="M675" s="65"/>
      <c r="N675" s="75" t="str">
        <f>IF(Games!V675="", "",Games!V675)</f>
      </c>
      <c r="O675" s="75" t="str">
        <f>IF(Games!Z675=0, "",Games!Z675)</f>
      </c>
      <c r="P675" s="67"/>
      <c r="Q675" s="67" t="str">
        <f>IF(ISBLANK(Games!W675), "", Games!W675)</f>
      </c>
      <c r="R675" s="67" t="str">
        <f>IF(ISBLANK(Games!AA675), "", Games!AA675)</f>
      </c>
      <c r="S675" s="67"/>
      <c r="T675" s="68" t="str">
        <f t="shared" si="97"/>
      </c>
      <c r="U675" s="68" t="str">
        <f t="shared" si="98"/>
      </c>
      <c r="V675" s="68" t="str">
        <f t="shared" si="99"/>
      </c>
      <c r="W675" s="68" t="str">
        <f t="shared" si="100"/>
      </c>
      <c r="X675" s="68" t="n">
        <f t="shared" si="93"/>
        <v>0</v>
      </c>
      <c r="Y675" s="68" t="n">
        <f t="shared" si="94"/>
        <v>0</v>
      </c>
      <c r="Z675" s="67" t="str">
        <f>IF(OR('Prediction Log'!L676="", Table12[[#This Row],[Bet]]="", Table12[[#This Row],[Bet]]="Spread"), "",IF('Prediction Log'!L676=Table12[[#This Row],[Side]], "W", IF('Prediction Log'!L676&lt;&gt;Table12[[#This Row],[Side]], "L", "")))</f>
      </c>
      <c r="AA675" s="59" t="str">
        <f t="shared" si="95"/>
      </c>
      <c r="AB675" s="67" t="str">
        <f>IF(OR(Table12[[#This Row],[Bet]]="Side",Table12[[#This Row],[Bet]]="", 'Prediction Log'!L676=""), "",IF('Prediction Log'!U676="Y", "W", IF('Prediction Log'!U676="N", "L", "")))</f>
      </c>
      <c r="AC675" s="59" t="str">
        <f t="shared" si="96"/>
      </c>
      <c r="AD675" s="67"/>
      <c r="AE675" s="65" t="str">
        <f t="shared" si="101"/>
      </c>
      <c r="AF6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6">
      <c r="A676" s="65" t="str">
        <f>IF(ISBLANK(Games!A676), "", Games!A676)</f>
      </c>
      <c r="B676" s="65" t="str">
        <f>IF('Prediction Log'!B677=0, "",'Prediction Log'!B677)</f>
      </c>
      <c r="C676" s="65" t="str">
        <f>IF('Prediction Log'!C677=0, "",'Prediction Log'!C677)</f>
      </c>
      <c r="D676" s="65" t="str">
        <f>IF('Prediction Log'!D677=0, "",'Prediction Log'!D677)</f>
      </c>
      <c r="E676" s="58" t="str">
        <f>IF('Prediction Log'!E677=0, "",'Prediction Log'!E677)</f>
      </c>
      <c r="F676" s="65" t="str">
        <f>IF('Prediction Log'!H677=0, "",'Prediction Log'!H677)</f>
      </c>
      <c r="G676" s="64" t="str">
        <f>IF(ISBLANK(Games!B676), "",'Prediction Log'!$I677)</f>
      </c>
      <c r="H676" s="66" t="n">
        <f>'Prediction Log'!$J677</f>
        <v>0</v>
      </c>
      <c r="I676" s="65" t="str">
        <f>IF(ISBLANK(Games!T676), "",IF(AND(Games!T676="",Games!U676=""),"",IF(ISTEXT(Games!U676), "Side",Games!T676)))</f>
      </c>
      <c r="J676" s="65" t="str">
        <f>IF(ISBLANK(Games!T676), "",IF(Table12[[#This Row],[Bet]]="Spread", Games!X676, ""))</f>
      </c>
      <c r="K676" s="65" t="str">
        <f>IF(ISBLANK(Games!U676), "",IF(ISTEXT(Games!U676), Games!U676, ""))</f>
      </c>
      <c r="L676" s="57" t="str">
        <f>IF(ISBLANK(Games!D676), "", Games!D676)</f>
      </c>
      <c r="M676" s="65"/>
      <c r="N676" s="75" t="str">
        <f>IF(Games!V676="", "",Games!V676)</f>
      </c>
      <c r="O676" s="75" t="str">
        <f>IF(Games!Z676=0, "",Games!Z676)</f>
      </c>
      <c r="P676" s="67"/>
      <c r="Q676" s="67" t="str">
        <f>IF(ISBLANK(Games!W676), "", Games!W676)</f>
      </c>
      <c r="R676" s="67" t="str">
        <f>IF(ISBLANK(Games!AA676), "", Games!AA676)</f>
      </c>
      <c r="S676" s="67"/>
      <c r="T676" s="68" t="str">
        <f t="shared" si="97"/>
      </c>
      <c r="U676" s="68" t="str">
        <f t="shared" si="98"/>
      </c>
      <c r="V676" s="68" t="str">
        <f t="shared" si="99"/>
      </c>
      <c r="W676" s="68" t="str">
        <f t="shared" si="100"/>
      </c>
      <c r="X676" s="68" t="n">
        <f t="shared" si="93"/>
        <v>0</v>
      </c>
      <c r="Y676" s="68" t="n">
        <f t="shared" si="94"/>
        <v>0</v>
      </c>
      <c r="Z676" s="67" t="str">
        <f>IF(OR('Prediction Log'!L677="", Table12[[#This Row],[Bet]]="", Table12[[#This Row],[Bet]]="Spread"), "",IF('Prediction Log'!L677=Table12[[#This Row],[Side]], "W", IF('Prediction Log'!L677&lt;&gt;Table12[[#This Row],[Side]], "L", "")))</f>
      </c>
      <c r="AA676" s="59" t="str">
        <f t="shared" si="95"/>
      </c>
      <c r="AB676" s="67" t="str">
        <f>IF(OR(Table12[[#This Row],[Bet]]="Side",Table12[[#This Row],[Bet]]="", 'Prediction Log'!L677=""), "",IF('Prediction Log'!U677="Y", "W", IF('Prediction Log'!U677="N", "L", "")))</f>
      </c>
      <c r="AC676" s="59" t="str">
        <f t="shared" si="96"/>
      </c>
      <c r="AD676" s="67"/>
      <c r="AE676" s="65" t="str">
        <f t="shared" si="101"/>
      </c>
      <c r="AF6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7">
      <c r="A677" s="65" t="str">
        <f>IF(ISBLANK(Games!A677), "", Games!A677)</f>
      </c>
      <c r="B677" s="65" t="str">
        <f>IF('Prediction Log'!B678=0, "",'Prediction Log'!B678)</f>
      </c>
      <c r="C677" s="65" t="str">
        <f>IF('Prediction Log'!C678=0, "",'Prediction Log'!C678)</f>
      </c>
      <c r="D677" s="65" t="str">
        <f>IF('Prediction Log'!D678=0, "",'Prediction Log'!D678)</f>
      </c>
      <c r="E677" s="58" t="str">
        <f>IF('Prediction Log'!E678=0, "",'Prediction Log'!E678)</f>
      </c>
      <c r="F677" s="65" t="str">
        <f>IF('Prediction Log'!H678=0, "",'Prediction Log'!H678)</f>
      </c>
      <c r="G677" s="64" t="str">
        <f>IF(ISBLANK(Games!B677), "",'Prediction Log'!$I678)</f>
      </c>
      <c r="H677" s="66" t="n">
        <f>'Prediction Log'!$J678</f>
        <v>0</v>
      </c>
      <c r="I677" s="65" t="str">
        <f>IF(ISBLANK(Games!T677), "",IF(AND(Games!T677="",Games!U677=""),"",IF(ISTEXT(Games!U677), "Side",Games!T677)))</f>
      </c>
      <c r="J677" s="65" t="str">
        <f>IF(ISBLANK(Games!T677), "",IF(Table12[[#This Row],[Bet]]="Spread", Games!X677, ""))</f>
      </c>
      <c r="K677" s="65" t="str">
        <f>IF(ISBLANK(Games!U677), "",IF(ISTEXT(Games!U677), Games!U677, ""))</f>
      </c>
      <c r="L677" s="57" t="str">
        <f>IF(ISBLANK(Games!D677), "", Games!D677)</f>
      </c>
      <c r="M677" s="65"/>
      <c r="N677" s="75" t="str">
        <f>IF(Games!V677="", "",Games!V677)</f>
      </c>
      <c r="O677" s="75" t="str">
        <f>IF(Games!Z677=0, "",Games!Z677)</f>
      </c>
      <c r="P677" s="67"/>
      <c r="Q677" s="67" t="str">
        <f>IF(ISBLANK(Games!W677), "", Games!W677)</f>
      </c>
      <c r="R677" s="67" t="str">
        <f>IF(ISBLANK(Games!AA677), "", Games!AA677)</f>
      </c>
      <c r="S677" s="67"/>
      <c r="T677" s="68" t="str">
        <f t="shared" si="97"/>
      </c>
      <c r="U677" s="68" t="str">
        <f t="shared" si="98"/>
      </c>
      <c r="V677" s="68" t="str">
        <f t="shared" si="99"/>
      </c>
      <c r="W677" s="68" t="str">
        <f t="shared" si="100"/>
      </c>
      <c r="X677" s="68" t="n">
        <f t="shared" si="93"/>
        <v>0</v>
      </c>
      <c r="Y677" s="68" t="n">
        <f t="shared" si="94"/>
        <v>0</v>
      </c>
      <c r="Z677" s="67" t="str">
        <f>IF(OR('Prediction Log'!L678="", Table12[[#This Row],[Bet]]="", Table12[[#This Row],[Bet]]="Spread"), "",IF('Prediction Log'!L678=Table12[[#This Row],[Side]], "W", IF('Prediction Log'!L678&lt;&gt;Table12[[#This Row],[Side]], "L", "")))</f>
      </c>
      <c r="AA677" s="59" t="str">
        <f t="shared" si="95"/>
      </c>
      <c r="AB677" s="67" t="str">
        <f>IF(OR(Table12[[#This Row],[Bet]]="Side",Table12[[#This Row],[Bet]]="", 'Prediction Log'!L678=""), "",IF('Prediction Log'!U678="Y", "W", IF('Prediction Log'!U678="N", "L", "")))</f>
      </c>
      <c r="AC677" s="59" t="str">
        <f t="shared" si="96"/>
      </c>
      <c r="AD677" s="67"/>
      <c r="AE677" s="65" t="str">
        <f t="shared" si="101"/>
      </c>
      <c r="AF6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8">
      <c r="A678" s="65" t="str">
        <f>IF(ISBLANK(Games!A678), "", Games!A678)</f>
      </c>
      <c r="B678" s="65" t="str">
        <f>IF('Prediction Log'!B679=0, "",'Prediction Log'!B679)</f>
      </c>
      <c r="C678" s="65" t="str">
        <f>IF('Prediction Log'!C679=0, "",'Prediction Log'!C679)</f>
      </c>
      <c r="D678" s="65" t="str">
        <f>IF('Prediction Log'!D679=0, "",'Prediction Log'!D679)</f>
      </c>
      <c r="E678" s="58" t="str">
        <f>IF('Prediction Log'!E679=0, "",'Prediction Log'!E679)</f>
      </c>
      <c r="F678" s="65" t="str">
        <f>IF('Prediction Log'!H679=0, "",'Prediction Log'!H679)</f>
      </c>
      <c r="G678" s="64" t="str">
        <f>IF(ISBLANK(Games!B678), "",'Prediction Log'!$I679)</f>
      </c>
      <c r="H678" s="66" t="n">
        <f>'Prediction Log'!$J679</f>
        <v>0</v>
      </c>
      <c r="I678" s="65" t="str">
        <f>IF(ISBLANK(Games!T678), "",IF(AND(Games!T678="",Games!U678=""),"",IF(ISTEXT(Games!U678), "Side",Games!T678)))</f>
      </c>
      <c r="J678" s="65" t="str">
        <f>IF(ISBLANK(Games!T678), "",IF(Table12[[#This Row],[Bet]]="Spread", Games!X678, ""))</f>
      </c>
      <c r="K678" s="65" t="str">
        <f>IF(ISBLANK(Games!U678), "",IF(ISTEXT(Games!U678), Games!U678, ""))</f>
      </c>
      <c r="L678" s="57" t="str">
        <f>IF(ISBLANK(Games!D678), "", Games!D678)</f>
      </c>
      <c r="M678" s="65"/>
      <c r="N678" s="75" t="str">
        <f>IF(Games!V678="", "",Games!V678)</f>
      </c>
      <c r="O678" s="75" t="str">
        <f>IF(Games!Z678=0, "",Games!Z678)</f>
      </c>
      <c r="P678" s="67"/>
      <c r="Q678" s="67" t="str">
        <f>IF(ISBLANK(Games!W678), "", Games!W678)</f>
      </c>
      <c r="R678" s="67" t="str">
        <f>IF(ISBLANK(Games!AA678), "", Games!AA678)</f>
      </c>
      <c r="S678" s="67"/>
      <c r="T678" s="68" t="str">
        <f t="shared" si="97"/>
      </c>
      <c r="U678" s="68" t="str">
        <f t="shared" si="98"/>
      </c>
      <c r="V678" s="68" t="str">
        <f t="shared" si="99"/>
      </c>
      <c r="W678" s="68" t="str">
        <f t="shared" si="100"/>
      </c>
      <c r="X678" s="68" t="n">
        <f t="shared" ref="X678:X741" si="102">P678+IF(S678&lt;0, (P678/(S678/-100)), P678*(S678/100))</f>
        <v>0</v>
      </c>
      <c r="Y678" s="68" t="n">
        <f t="shared" ref="Y678:Y741" si="103">S678-P678</f>
        <v>0</v>
      </c>
      <c r="Z678" s="67" t="str">
        <f>IF(OR('Prediction Log'!L679="", Table12[[#This Row],[Bet]]="", Table12[[#This Row],[Bet]]="Spread"), "",IF('Prediction Log'!L679=Table12[[#This Row],[Side]], "W", IF('Prediction Log'!L679&lt;&gt;Table12[[#This Row],[Side]], "L", "")))</f>
      </c>
      <c r="AA678" s="59" t="str">
        <f t="shared" ref="AA678:AA741" si="104">IF(Z678="W", U678, IF(Z678="L",-N678, ""))</f>
      </c>
      <c r="AB678" s="67" t="str">
        <f>IF(OR(Table12[[#This Row],[Bet]]="Side",Table12[[#This Row],[Bet]]="", 'Prediction Log'!L679=""), "",IF('Prediction Log'!U679="Y", "W", IF('Prediction Log'!U679="N", "L", "")))</f>
      </c>
      <c r="AC678" s="59" t="str">
        <f t="shared" si="96"/>
      </c>
      <c r="AD678" s="67"/>
      <c r="AE678" s="65" t="str">
        <f t="shared" si="101"/>
      </c>
      <c r="AF6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9">
      <c r="A679" s="65" t="str">
        <f>IF(ISBLANK(Games!A679), "", Games!A679)</f>
      </c>
      <c r="B679" s="65" t="str">
        <f>IF('Prediction Log'!B680=0, "",'Prediction Log'!B680)</f>
      </c>
      <c r="C679" s="65" t="str">
        <f>IF('Prediction Log'!C680=0, "",'Prediction Log'!C680)</f>
      </c>
      <c r="D679" s="65" t="str">
        <f>IF('Prediction Log'!D680=0, "",'Prediction Log'!D680)</f>
      </c>
      <c r="E679" s="58" t="str">
        <f>IF('Prediction Log'!E680=0, "",'Prediction Log'!E680)</f>
      </c>
      <c r="F679" s="65" t="str">
        <f>IF('Prediction Log'!H680=0, "",'Prediction Log'!H680)</f>
      </c>
      <c r="G679" s="64" t="str">
        <f>IF(ISBLANK(Games!B679), "",'Prediction Log'!$I680)</f>
      </c>
      <c r="H679" s="66" t="n">
        <f>'Prediction Log'!$J680</f>
        <v>0</v>
      </c>
      <c r="I679" s="65" t="str">
        <f>IF(ISBLANK(Games!T679), "",IF(AND(Games!T679="",Games!U679=""),"",IF(ISTEXT(Games!U679), "Side",Games!T679)))</f>
      </c>
      <c r="J679" s="65" t="str">
        <f>IF(ISBLANK(Games!T679), "",IF(Table12[[#This Row],[Bet]]="Spread", Games!X679, ""))</f>
      </c>
      <c r="K679" s="65" t="str">
        <f>IF(ISBLANK(Games!U679), "",IF(ISTEXT(Games!U679), Games!U679, ""))</f>
      </c>
      <c r="L679" s="57" t="str">
        <f>IF(ISBLANK(Games!D679), "", Games!D679)</f>
      </c>
      <c r="M679" s="65"/>
      <c r="N679" s="75" t="str">
        <f>IF(Games!V679="", "",Games!V679)</f>
      </c>
      <c r="O679" s="75" t="str">
        <f>IF(Games!Z679=0, "",Games!Z679)</f>
      </c>
      <c r="P679" s="67"/>
      <c r="Q679" s="67" t="str">
        <f>IF(ISBLANK(Games!W679), "", Games!W679)</f>
      </c>
      <c r="R679" s="67" t="str">
        <f>IF(ISBLANK(Games!AA679), "", Games!AA679)</f>
      </c>
      <c r="S679" s="67"/>
      <c r="T679" s="68" t="str">
        <f t="shared" si="97"/>
      </c>
      <c r="U679" s="68" t="str">
        <f t="shared" si="98"/>
      </c>
      <c r="V679" s="68" t="str">
        <f t="shared" si="99"/>
      </c>
      <c r="W679" s="68" t="str">
        <f t="shared" si="100"/>
      </c>
      <c r="X679" s="68" t="n">
        <f t="shared" si="102"/>
        <v>0</v>
      </c>
      <c r="Y679" s="68" t="n">
        <f t="shared" si="103"/>
        <v>0</v>
      </c>
      <c r="Z679" s="67" t="str">
        <f>IF(OR('Prediction Log'!L680="", Table12[[#This Row],[Bet]]="", Table12[[#This Row],[Bet]]="Spread"), "",IF('Prediction Log'!L680=Table12[[#This Row],[Side]], "W", IF('Prediction Log'!L680&lt;&gt;Table12[[#This Row],[Side]], "L", "")))</f>
      </c>
      <c r="AA679" s="59" t="str">
        <f t="shared" si="104"/>
      </c>
      <c r="AB679" s="67" t="str">
        <f>IF(OR(Table12[[#This Row],[Bet]]="Side",Table12[[#This Row],[Bet]]="", 'Prediction Log'!L680=""), "",IF('Prediction Log'!U680="Y", "W", IF('Prediction Log'!U680="N", "L", "")))</f>
      </c>
      <c r="AC679" s="59" t="str">
        <f t="shared" si="96"/>
      </c>
      <c r="AD679" s="67"/>
      <c r="AE679" s="65" t="str">
        <f t="shared" si="101"/>
      </c>
      <c r="AF6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0">
      <c r="A680" s="65" t="str">
        <f>IF(ISBLANK(Games!A680), "", Games!A680)</f>
      </c>
      <c r="B680" s="65" t="str">
        <f>IF('Prediction Log'!B681=0, "",'Prediction Log'!B681)</f>
      </c>
      <c r="C680" s="65" t="str">
        <f>IF('Prediction Log'!C681=0, "",'Prediction Log'!C681)</f>
      </c>
      <c r="D680" s="65" t="str">
        <f>IF('Prediction Log'!D681=0, "",'Prediction Log'!D681)</f>
      </c>
      <c r="E680" s="58" t="str">
        <f>IF('Prediction Log'!E681=0, "",'Prediction Log'!E681)</f>
      </c>
      <c r="F680" s="65" t="str">
        <f>IF('Prediction Log'!H681=0, "",'Prediction Log'!H681)</f>
      </c>
      <c r="G680" s="64" t="str">
        <f>IF(ISBLANK(Games!B680), "",'Prediction Log'!$I681)</f>
      </c>
      <c r="H680" s="66" t="n">
        <f>'Prediction Log'!$J681</f>
        <v>0</v>
      </c>
      <c r="I680" s="65" t="str">
        <f>IF(ISBLANK(Games!T680), "",IF(AND(Games!T680="",Games!U680=""),"",IF(ISTEXT(Games!U680), "Side",Games!T680)))</f>
      </c>
      <c r="J680" s="65" t="str">
        <f>IF(ISBLANK(Games!T680), "",IF(Table12[[#This Row],[Bet]]="Spread", Games!X680, ""))</f>
      </c>
      <c r="K680" s="65" t="str">
        <f>IF(ISBLANK(Games!U680), "",IF(ISTEXT(Games!U680), Games!U680, ""))</f>
      </c>
      <c r="L680" s="57" t="str">
        <f>IF(ISBLANK(Games!D680), "", Games!D680)</f>
      </c>
      <c r="M680" s="65"/>
      <c r="N680" s="75" t="str">
        <f>IF(Games!V680="", "",Games!V680)</f>
      </c>
      <c r="O680" s="75" t="str">
        <f>IF(Games!Z680=0, "",Games!Z680)</f>
      </c>
      <c r="P680" s="67"/>
      <c r="Q680" s="67" t="str">
        <f>IF(ISBLANK(Games!W680), "", Games!W680)</f>
      </c>
      <c r="R680" s="67" t="str">
        <f>IF(ISBLANK(Games!AA680), "", Games!AA680)</f>
      </c>
      <c r="S680" s="67"/>
      <c r="T680" s="68" t="str">
        <f t="shared" si="97"/>
      </c>
      <c r="U680" s="68" t="str">
        <f t="shared" si="98"/>
      </c>
      <c r="V680" s="68" t="str">
        <f t="shared" si="99"/>
      </c>
      <c r="W680" s="68" t="str">
        <f t="shared" si="100"/>
      </c>
      <c r="X680" s="68" t="n">
        <f t="shared" si="102"/>
        <v>0</v>
      </c>
      <c r="Y680" s="68" t="n">
        <f t="shared" si="103"/>
        <v>0</v>
      </c>
      <c r="Z680" s="67" t="str">
        <f>IF(OR('Prediction Log'!L681="", Table12[[#This Row],[Bet]]="", Table12[[#This Row],[Bet]]="Spread"), "",IF('Prediction Log'!L681=Table12[[#This Row],[Side]], "W", IF('Prediction Log'!L681&lt;&gt;Table12[[#This Row],[Side]], "L", "")))</f>
      </c>
      <c r="AA680" s="59" t="str">
        <f t="shared" si="104"/>
      </c>
      <c r="AB680" s="67" t="str">
        <f>IF(OR(Table12[[#This Row],[Bet]]="Side",Table12[[#This Row],[Bet]]="", 'Prediction Log'!L681=""), "",IF('Prediction Log'!U681="Y", "W", IF('Prediction Log'!U681="N", "L", "")))</f>
      </c>
      <c r="AC680" s="59" t="str">
        <f t="shared" si="96"/>
      </c>
      <c r="AD680" s="67"/>
      <c r="AE680" s="65" t="str">
        <f t="shared" si="101"/>
      </c>
      <c r="AF6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1">
      <c r="A681" s="65" t="str">
        <f>IF(ISBLANK(Games!A681), "", Games!A681)</f>
      </c>
      <c r="B681" s="65" t="str">
        <f>IF('Prediction Log'!B682=0, "",'Prediction Log'!B682)</f>
      </c>
      <c r="C681" s="65" t="str">
        <f>IF('Prediction Log'!C682=0, "",'Prediction Log'!C682)</f>
      </c>
      <c r="D681" s="65" t="str">
        <f>IF('Prediction Log'!D682=0, "",'Prediction Log'!D682)</f>
      </c>
      <c r="E681" s="58" t="str">
        <f>IF('Prediction Log'!E682=0, "",'Prediction Log'!E682)</f>
      </c>
      <c r="F681" s="65" t="str">
        <f>IF('Prediction Log'!H682=0, "",'Prediction Log'!H682)</f>
      </c>
      <c r="G681" s="64" t="str">
        <f>IF(ISBLANK(Games!B681), "",'Prediction Log'!$I682)</f>
      </c>
      <c r="H681" s="66" t="n">
        <f>'Prediction Log'!$J682</f>
        <v>0</v>
      </c>
      <c r="I681" s="65" t="str">
        <f>IF(ISBLANK(Games!T681), "",IF(AND(Games!T681="",Games!U681=""),"",IF(ISTEXT(Games!U681), "Side",Games!T681)))</f>
      </c>
      <c r="J681" s="65" t="str">
        <f>IF(ISBLANK(Games!T681), "",IF(Table12[[#This Row],[Bet]]="Spread", Games!X681, ""))</f>
      </c>
      <c r="K681" s="65" t="str">
        <f>IF(ISBLANK(Games!U681), "",IF(ISTEXT(Games!U681), Games!U681, ""))</f>
      </c>
      <c r="L681" s="57" t="str">
        <f>IF(ISBLANK(Games!D681), "", Games!D681)</f>
      </c>
      <c r="M681" s="65"/>
      <c r="N681" s="75" t="str">
        <f>IF(Games!V681="", "",Games!V681)</f>
      </c>
      <c r="O681" s="75" t="str">
        <f>IF(Games!Z681=0, "",Games!Z681)</f>
      </c>
      <c r="P681" s="67"/>
      <c r="Q681" s="67" t="str">
        <f>IF(ISBLANK(Games!W681), "", Games!W681)</f>
      </c>
      <c r="R681" s="67" t="str">
        <f>IF(ISBLANK(Games!AA681), "", Games!AA681)</f>
      </c>
      <c r="S681" s="67"/>
      <c r="T681" s="68" t="str">
        <f t="shared" si="97"/>
      </c>
      <c r="U681" s="68" t="str">
        <f t="shared" si="98"/>
      </c>
      <c r="V681" s="68" t="str">
        <f t="shared" si="99"/>
      </c>
      <c r="W681" s="68" t="str">
        <f t="shared" si="100"/>
      </c>
      <c r="X681" s="68" t="n">
        <f t="shared" si="102"/>
        <v>0</v>
      </c>
      <c r="Y681" s="68" t="n">
        <f t="shared" si="103"/>
        <v>0</v>
      </c>
      <c r="Z681" s="67" t="str">
        <f>IF(OR('Prediction Log'!L682="", Table12[[#This Row],[Bet]]="", Table12[[#This Row],[Bet]]="Spread"), "",IF('Prediction Log'!L682=Table12[[#This Row],[Side]], "W", IF('Prediction Log'!L682&lt;&gt;Table12[[#This Row],[Side]], "L", "")))</f>
      </c>
      <c r="AA681" s="59" t="str">
        <f t="shared" si="104"/>
      </c>
      <c r="AB681" s="67" t="str">
        <f>IF(OR(Table12[[#This Row],[Bet]]="Side",Table12[[#This Row],[Bet]]="", 'Prediction Log'!L682=""), "",IF('Prediction Log'!U682="Y", "W", IF('Prediction Log'!U682="N", "L", "")))</f>
      </c>
      <c r="AC681" s="59" t="str">
        <f t="shared" si="96"/>
      </c>
      <c r="AD681" s="67"/>
      <c r="AE681" s="65" t="str">
        <f t="shared" si="101"/>
      </c>
      <c r="AF6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2">
      <c r="A682" s="65" t="str">
        <f>IF(ISBLANK(Games!A682), "", Games!A682)</f>
      </c>
      <c r="B682" s="65" t="str">
        <f>IF('Prediction Log'!B683=0, "",'Prediction Log'!B683)</f>
      </c>
      <c r="C682" s="65" t="str">
        <f>IF('Prediction Log'!C683=0, "",'Prediction Log'!C683)</f>
      </c>
      <c r="D682" s="65" t="str">
        <f>IF('Prediction Log'!D683=0, "",'Prediction Log'!D683)</f>
      </c>
      <c r="E682" s="58" t="str">
        <f>IF('Prediction Log'!E683=0, "",'Prediction Log'!E683)</f>
      </c>
      <c r="F682" s="65" t="str">
        <f>IF('Prediction Log'!H683=0, "",'Prediction Log'!H683)</f>
      </c>
      <c r="G682" s="64" t="str">
        <f>IF(ISBLANK(Games!B682), "",'Prediction Log'!$I683)</f>
      </c>
      <c r="H682" s="66" t="n">
        <f>'Prediction Log'!$J683</f>
        <v>0</v>
      </c>
      <c r="I682" s="65" t="str">
        <f>IF(ISBLANK(Games!T682), "",IF(AND(Games!T682="",Games!U682=""),"",IF(ISTEXT(Games!U682), "Side",Games!T682)))</f>
      </c>
      <c r="J682" s="65" t="str">
        <f>IF(ISBLANK(Games!T682), "",IF(Table12[[#This Row],[Bet]]="Spread", Games!X682, ""))</f>
      </c>
      <c r="K682" s="65" t="str">
        <f>IF(ISBLANK(Games!U682), "",IF(ISTEXT(Games!U682), Games!U682, ""))</f>
      </c>
      <c r="L682" s="57" t="str">
        <f>IF(ISBLANK(Games!D682), "", Games!D682)</f>
      </c>
      <c r="M682" s="65"/>
      <c r="N682" s="75" t="str">
        <f>IF(Games!V682="", "",Games!V682)</f>
      </c>
      <c r="O682" s="75" t="str">
        <f>IF(Games!Z682=0, "",Games!Z682)</f>
      </c>
      <c r="P682" s="67"/>
      <c r="Q682" s="67" t="str">
        <f>IF(ISBLANK(Games!W682), "", Games!W682)</f>
      </c>
      <c r="R682" s="67" t="str">
        <f>IF(ISBLANK(Games!AA682), "", Games!AA682)</f>
      </c>
      <c r="S682" s="67"/>
      <c r="T682" s="68" t="str">
        <f t="shared" si="97"/>
      </c>
      <c r="U682" s="68" t="str">
        <f t="shared" si="98"/>
      </c>
      <c r="V682" s="68" t="str">
        <f t="shared" si="99"/>
      </c>
      <c r="W682" s="68" t="str">
        <f t="shared" si="100"/>
      </c>
      <c r="X682" s="68" t="n">
        <f t="shared" si="102"/>
        <v>0</v>
      </c>
      <c r="Y682" s="68" t="n">
        <f t="shared" si="103"/>
        <v>0</v>
      </c>
      <c r="Z682" s="67" t="str">
        <f>IF(OR('Prediction Log'!L683="", Table12[[#This Row],[Bet]]="", Table12[[#This Row],[Bet]]="Spread"), "",IF('Prediction Log'!L683=Table12[[#This Row],[Side]], "W", IF('Prediction Log'!L683&lt;&gt;Table12[[#This Row],[Side]], "L", "")))</f>
      </c>
      <c r="AA682" s="59" t="str">
        <f t="shared" si="104"/>
      </c>
      <c r="AB682" s="67" t="str">
        <f>IF(OR(Table12[[#This Row],[Bet]]="Side",Table12[[#This Row],[Bet]]="", 'Prediction Log'!L683=""), "",IF('Prediction Log'!U683="Y", "W", IF('Prediction Log'!U683="N", "L", "")))</f>
      </c>
      <c r="AC682" s="59" t="str">
        <f t="shared" si="96"/>
      </c>
      <c r="AD682" s="67"/>
      <c r="AE682" s="65" t="str">
        <f t="shared" si="101"/>
      </c>
      <c r="AF6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3">
      <c r="A683" s="65" t="str">
        <f>IF(ISBLANK(Games!A683), "", Games!A683)</f>
      </c>
      <c r="B683" s="65" t="str">
        <f>IF('Prediction Log'!B684=0, "",'Prediction Log'!B684)</f>
      </c>
      <c r="C683" s="65" t="str">
        <f>IF('Prediction Log'!C684=0, "",'Prediction Log'!C684)</f>
      </c>
      <c r="D683" s="65" t="str">
        <f>IF('Prediction Log'!D684=0, "",'Prediction Log'!D684)</f>
      </c>
      <c r="E683" s="58" t="str">
        <f>IF('Prediction Log'!E684=0, "",'Prediction Log'!E684)</f>
      </c>
      <c r="F683" s="65" t="str">
        <f>IF('Prediction Log'!H684=0, "",'Prediction Log'!H684)</f>
      </c>
      <c r="G683" s="64" t="str">
        <f>IF(ISBLANK(Games!B683), "",'Prediction Log'!$I684)</f>
      </c>
      <c r="H683" s="66" t="n">
        <f>'Prediction Log'!$J684</f>
        <v>0</v>
      </c>
      <c r="I683" s="65" t="str">
        <f>IF(ISBLANK(Games!T683), "",IF(AND(Games!T683="",Games!U683=""),"",IF(ISTEXT(Games!U683), "Side",Games!T683)))</f>
      </c>
      <c r="J683" s="65" t="str">
        <f>IF(ISBLANK(Games!T683), "",IF(Table12[[#This Row],[Bet]]="Spread", Games!X683, ""))</f>
      </c>
      <c r="K683" s="65" t="str">
        <f>IF(ISBLANK(Games!U683), "",IF(ISTEXT(Games!U683), Games!U683, ""))</f>
      </c>
      <c r="L683" s="57" t="str">
        <f>IF(ISBLANK(Games!D683), "", Games!D683)</f>
      </c>
      <c r="M683" s="65"/>
      <c r="N683" s="75" t="str">
        <f>IF(Games!V683="", "",Games!V683)</f>
      </c>
      <c r="O683" s="75" t="str">
        <f>IF(Games!Z683=0, "",Games!Z683)</f>
      </c>
      <c r="P683" s="67"/>
      <c r="Q683" s="67" t="str">
        <f>IF(ISBLANK(Games!W683), "", Games!W683)</f>
      </c>
      <c r="R683" s="67" t="str">
        <f>IF(ISBLANK(Games!AA683), "", Games!AA683)</f>
      </c>
      <c r="S683" s="67"/>
      <c r="T683" s="68" t="str">
        <f t="shared" si="97"/>
      </c>
      <c r="U683" s="68" t="str">
        <f t="shared" si="98"/>
      </c>
      <c r="V683" s="68" t="str">
        <f t="shared" si="99"/>
      </c>
      <c r="W683" s="68" t="str">
        <f t="shared" si="100"/>
      </c>
      <c r="X683" s="68" t="n">
        <f t="shared" si="102"/>
        <v>0</v>
      </c>
      <c r="Y683" s="68" t="n">
        <f t="shared" si="103"/>
        <v>0</v>
      </c>
      <c r="Z683" s="67" t="str">
        <f>IF(OR('Prediction Log'!L684="", Table12[[#This Row],[Bet]]="", Table12[[#This Row],[Bet]]="Spread"), "",IF('Prediction Log'!L684=Table12[[#This Row],[Side]], "W", IF('Prediction Log'!L684&lt;&gt;Table12[[#This Row],[Side]], "L", "")))</f>
      </c>
      <c r="AA683" s="59" t="str">
        <f t="shared" si="104"/>
      </c>
      <c r="AB683" s="67" t="str">
        <f>IF(OR(Table12[[#This Row],[Bet]]="Side",Table12[[#This Row],[Bet]]="", 'Prediction Log'!L684=""), "",IF('Prediction Log'!U684="Y", "W", IF('Prediction Log'!U684="N", "L", "")))</f>
      </c>
      <c r="AC683" s="59" t="str">
        <f t="shared" si="96"/>
      </c>
      <c r="AD683" s="67"/>
      <c r="AE683" s="65" t="str">
        <f t="shared" si="101"/>
      </c>
      <c r="AF6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4">
      <c r="A684" s="65" t="str">
        <f>IF(ISBLANK(Games!A684), "", Games!A684)</f>
      </c>
      <c r="B684" s="65" t="str">
        <f>IF('Prediction Log'!B685=0, "",'Prediction Log'!B685)</f>
      </c>
      <c r="C684" s="65" t="str">
        <f>IF('Prediction Log'!C685=0, "",'Prediction Log'!C685)</f>
      </c>
      <c r="D684" s="65" t="str">
        <f>IF('Prediction Log'!D685=0, "",'Prediction Log'!D685)</f>
      </c>
      <c r="E684" s="58" t="str">
        <f>IF('Prediction Log'!E685=0, "",'Prediction Log'!E685)</f>
      </c>
      <c r="F684" s="65" t="str">
        <f>IF('Prediction Log'!H685=0, "",'Prediction Log'!H685)</f>
      </c>
      <c r="G684" s="64" t="str">
        <f>IF(ISBLANK(Games!B684), "",'Prediction Log'!$I685)</f>
      </c>
      <c r="H684" s="66" t="n">
        <f>'Prediction Log'!$J685</f>
        <v>0</v>
      </c>
      <c r="I684" s="65" t="str">
        <f>IF(ISBLANK(Games!T684), "",IF(AND(Games!T684="",Games!U684=""),"",IF(ISTEXT(Games!U684), "Side",Games!T684)))</f>
      </c>
      <c r="J684" s="65" t="str">
        <f>IF(ISBLANK(Games!T684), "",IF(Table12[[#This Row],[Bet]]="Spread", Games!X684, ""))</f>
      </c>
      <c r="K684" s="65" t="str">
        <f>IF(ISBLANK(Games!U684), "",IF(ISTEXT(Games!U684), Games!U684, ""))</f>
      </c>
      <c r="L684" s="57" t="str">
        <f>IF(ISBLANK(Games!D684), "", Games!D684)</f>
      </c>
      <c r="M684" s="65"/>
      <c r="N684" s="75" t="str">
        <f>IF(Games!V684="", "",Games!V684)</f>
      </c>
      <c r="O684" s="75" t="str">
        <f>IF(Games!Z684=0, "",Games!Z684)</f>
      </c>
      <c r="P684" s="67"/>
      <c r="Q684" s="67" t="str">
        <f>IF(ISBLANK(Games!W684), "", Games!W684)</f>
      </c>
      <c r="R684" s="67" t="str">
        <f>IF(ISBLANK(Games!AA684), "", Games!AA684)</f>
      </c>
      <c r="S684" s="67"/>
      <c r="T684" s="68" t="str">
        <f t="shared" si="97"/>
      </c>
      <c r="U684" s="68" t="str">
        <f t="shared" si="98"/>
      </c>
      <c r="V684" s="68" t="str">
        <f t="shared" si="99"/>
      </c>
      <c r="W684" s="68" t="str">
        <f t="shared" si="100"/>
      </c>
      <c r="X684" s="68" t="n">
        <f t="shared" si="102"/>
        <v>0</v>
      </c>
      <c r="Y684" s="68" t="n">
        <f t="shared" si="103"/>
        <v>0</v>
      </c>
      <c r="Z684" s="67" t="str">
        <f>IF(OR('Prediction Log'!L685="", Table12[[#This Row],[Bet]]="", Table12[[#This Row],[Bet]]="Spread"), "",IF('Prediction Log'!L685=Table12[[#This Row],[Side]], "W", IF('Prediction Log'!L685&lt;&gt;Table12[[#This Row],[Side]], "L", "")))</f>
      </c>
      <c r="AA684" s="59" t="str">
        <f t="shared" si="104"/>
      </c>
      <c r="AB684" s="67" t="str">
        <f>IF(OR(Table12[[#This Row],[Bet]]="Side",Table12[[#This Row],[Bet]]="", 'Prediction Log'!L685=""), "",IF('Prediction Log'!U685="Y", "W", IF('Prediction Log'!U685="N", "L", "")))</f>
      </c>
      <c r="AC684" s="59" t="str">
        <f t="shared" si="96"/>
      </c>
      <c r="AD684" s="67"/>
      <c r="AE684" s="65" t="str">
        <f t="shared" si="101"/>
      </c>
      <c r="AF6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5">
      <c r="A685" s="65" t="str">
        <f>IF(ISBLANK(Games!A685), "", Games!A685)</f>
      </c>
      <c r="B685" s="65" t="str">
        <f>IF('Prediction Log'!B686=0, "",'Prediction Log'!B686)</f>
      </c>
      <c r="C685" s="65" t="str">
        <f>IF('Prediction Log'!C686=0, "",'Prediction Log'!C686)</f>
      </c>
      <c r="D685" s="65" t="str">
        <f>IF('Prediction Log'!D686=0, "",'Prediction Log'!D686)</f>
      </c>
      <c r="E685" s="58" t="str">
        <f>IF('Prediction Log'!E686=0, "",'Prediction Log'!E686)</f>
      </c>
      <c r="F685" s="65" t="str">
        <f>IF('Prediction Log'!H686=0, "",'Prediction Log'!H686)</f>
      </c>
      <c r="G685" s="64" t="str">
        <f>IF(ISBLANK(Games!B685), "",'Prediction Log'!$I686)</f>
      </c>
      <c r="H685" s="66" t="n">
        <f>'Prediction Log'!$J686</f>
        <v>0</v>
      </c>
      <c r="I685" s="65" t="str">
        <f>IF(ISBLANK(Games!T685), "",IF(AND(Games!T685="",Games!U685=""),"",IF(ISTEXT(Games!U685), "Side",Games!T685)))</f>
      </c>
      <c r="J685" s="65" t="str">
        <f>IF(ISBLANK(Games!T685), "",IF(Table12[[#This Row],[Bet]]="Spread", Games!X685, ""))</f>
      </c>
      <c r="K685" s="65" t="str">
        <f>IF(ISBLANK(Games!U685), "",IF(ISTEXT(Games!U685), Games!U685, ""))</f>
      </c>
      <c r="L685" s="57" t="str">
        <f>IF(ISBLANK(Games!D685), "", Games!D685)</f>
      </c>
      <c r="M685" s="65"/>
      <c r="N685" s="75" t="str">
        <f>IF(Games!V685="", "",Games!V685)</f>
      </c>
      <c r="O685" s="75" t="str">
        <f>IF(Games!Z685=0, "",Games!Z685)</f>
      </c>
      <c r="P685" s="67"/>
      <c r="Q685" s="67" t="str">
        <f>IF(ISBLANK(Games!W685), "", Games!W685)</f>
      </c>
      <c r="R685" s="67" t="str">
        <f>IF(ISBLANK(Games!AA685), "", Games!AA685)</f>
      </c>
      <c r="S685" s="67"/>
      <c r="T685" s="68" t="str">
        <f t="shared" si="97"/>
      </c>
      <c r="U685" s="68" t="str">
        <f t="shared" si="98"/>
      </c>
      <c r="V685" s="68" t="str">
        <f t="shared" si="99"/>
      </c>
      <c r="W685" s="68" t="str">
        <f t="shared" si="100"/>
      </c>
      <c r="X685" s="68" t="n">
        <f t="shared" si="102"/>
        <v>0</v>
      </c>
      <c r="Y685" s="68" t="n">
        <f t="shared" si="103"/>
        <v>0</v>
      </c>
      <c r="Z685" s="67" t="str">
        <f>IF(OR('Prediction Log'!L686="", Table12[[#This Row],[Bet]]="", Table12[[#This Row],[Bet]]="Spread"), "",IF('Prediction Log'!L686=Table12[[#This Row],[Side]], "W", IF('Prediction Log'!L686&lt;&gt;Table12[[#This Row],[Side]], "L", "")))</f>
      </c>
      <c r="AA685" s="59" t="str">
        <f t="shared" si="104"/>
      </c>
      <c r="AB685" s="67" t="str">
        <f>IF(OR(Table12[[#This Row],[Bet]]="Side",Table12[[#This Row],[Bet]]="", 'Prediction Log'!L686=""), "",IF('Prediction Log'!U686="Y", "W", IF('Prediction Log'!U686="N", "L", "")))</f>
      </c>
      <c r="AC685" s="59" t="str">
        <f t="shared" si="96"/>
      </c>
      <c r="AD685" s="67"/>
      <c r="AE685" s="65" t="str">
        <f t="shared" si="101"/>
      </c>
      <c r="AF6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6">
      <c r="A686" s="65" t="str">
        <f>IF(ISBLANK(Games!A686), "", Games!A686)</f>
      </c>
      <c r="B686" s="65" t="str">
        <f>IF('Prediction Log'!B687=0, "",'Prediction Log'!B687)</f>
      </c>
      <c r="C686" s="65" t="str">
        <f>IF('Prediction Log'!C687=0, "",'Prediction Log'!C687)</f>
      </c>
      <c r="D686" s="65" t="str">
        <f>IF('Prediction Log'!D687=0, "",'Prediction Log'!D687)</f>
      </c>
      <c r="E686" s="58" t="str">
        <f>IF('Prediction Log'!E687=0, "",'Prediction Log'!E687)</f>
      </c>
      <c r="F686" s="65" t="str">
        <f>IF('Prediction Log'!H687=0, "",'Prediction Log'!H687)</f>
      </c>
      <c r="G686" s="64" t="str">
        <f>IF(ISBLANK(Games!B686), "",'Prediction Log'!$I687)</f>
      </c>
      <c r="H686" s="66" t="n">
        <f>'Prediction Log'!$J687</f>
        <v>0</v>
      </c>
      <c r="I686" s="65" t="str">
        <f>IF(ISBLANK(Games!T686), "",IF(AND(Games!T686="",Games!U686=""),"",IF(ISTEXT(Games!U686), "Side",Games!T686)))</f>
      </c>
      <c r="J686" s="65" t="str">
        <f>IF(ISBLANK(Games!T686), "",IF(Table12[[#This Row],[Bet]]="Spread", Games!X686, ""))</f>
      </c>
      <c r="K686" s="65" t="str">
        <f>IF(ISBLANK(Games!U686), "",IF(ISTEXT(Games!U686), Games!U686, ""))</f>
      </c>
      <c r="L686" s="57" t="str">
        <f>IF(ISBLANK(Games!D686), "", Games!D686)</f>
      </c>
      <c r="M686" s="65"/>
      <c r="N686" s="75" t="str">
        <f>IF(Games!V686="", "",Games!V686)</f>
      </c>
      <c r="O686" s="75" t="str">
        <f>IF(Games!Z686=0, "",Games!Z686)</f>
      </c>
      <c r="P686" s="67"/>
      <c r="Q686" s="67" t="str">
        <f>IF(ISBLANK(Games!W686), "", Games!W686)</f>
      </c>
      <c r="R686" s="67" t="str">
        <f>IF(ISBLANK(Games!AA686), "", Games!AA686)</f>
      </c>
      <c r="S686" s="67"/>
      <c r="T686" s="68" t="str">
        <f t="shared" si="97"/>
      </c>
      <c r="U686" s="68" t="str">
        <f t="shared" si="98"/>
      </c>
      <c r="V686" s="68" t="str">
        <f t="shared" si="99"/>
      </c>
      <c r="W686" s="68" t="str">
        <f t="shared" si="100"/>
      </c>
      <c r="X686" s="68" t="n">
        <f t="shared" si="102"/>
        <v>0</v>
      </c>
      <c r="Y686" s="68" t="n">
        <f t="shared" si="103"/>
        <v>0</v>
      </c>
      <c r="Z686" s="67" t="str">
        <f>IF(OR('Prediction Log'!L687="", Table12[[#This Row],[Bet]]="", Table12[[#This Row],[Bet]]="Spread"), "",IF('Prediction Log'!L687=Table12[[#This Row],[Side]], "W", IF('Prediction Log'!L687&lt;&gt;Table12[[#This Row],[Side]], "L", "")))</f>
      </c>
      <c r="AA686" s="59" t="str">
        <f t="shared" si="104"/>
      </c>
      <c r="AB686" s="67" t="str">
        <f>IF(OR(Table12[[#This Row],[Bet]]="Side",Table12[[#This Row],[Bet]]="", 'Prediction Log'!L687=""), "",IF('Prediction Log'!U687="Y", "W", IF('Prediction Log'!U687="N", "L", "")))</f>
      </c>
      <c r="AC686" s="59" t="str">
        <f t="shared" si="96"/>
      </c>
      <c r="AD686" s="67"/>
      <c r="AE686" s="65" t="str">
        <f t="shared" si="101"/>
      </c>
      <c r="AF6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7">
      <c r="A687" s="65" t="str">
        <f>IF(ISBLANK(Games!A687), "", Games!A687)</f>
      </c>
      <c r="B687" s="65" t="str">
        <f>IF('Prediction Log'!B688=0, "",'Prediction Log'!B688)</f>
      </c>
      <c r="C687" s="65" t="str">
        <f>IF('Prediction Log'!C688=0, "",'Prediction Log'!C688)</f>
      </c>
      <c r="D687" s="65" t="str">
        <f>IF('Prediction Log'!D688=0, "",'Prediction Log'!D688)</f>
      </c>
      <c r="E687" s="58" t="str">
        <f>IF('Prediction Log'!E688=0, "",'Prediction Log'!E688)</f>
      </c>
      <c r="F687" s="65" t="str">
        <f>IF('Prediction Log'!H688=0, "",'Prediction Log'!H688)</f>
      </c>
      <c r="G687" s="64" t="str">
        <f>IF(ISBLANK(Games!B687), "",'Prediction Log'!$I688)</f>
      </c>
      <c r="H687" s="66" t="n">
        <f>'Prediction Log'!$J688</f>
        <v>0</v>
      </c>
      <c r="I687" s="65" t="str">
        <f>IF(ISBLANK(Games!T687), "",IF(AND(Games!T687="",Games!U687=""),"",IF(ISTEXT(Games!U687), "Side",Games!T687)))</f>
      </c>
      <c r="J687" s="65" t="str">
        <f>IF(ISBLANK(Games!T687), "",IF(Table12[[#This Row],[Bet]]="Spread", Games!X687, ""))</f>
      </c>
      <c r="K687" s="65" t="str">
        <f>IF(ISBLANK(Games!U687), "",IF(ISTEXT(Games!U687), Games!U687, ""))</f>
      </c>
      <c r="L687" s="57" t="str">
        <f>IF(ISBLANK(Games!D687), "", Games!D687)</f>
      </c>
      <c r="M687" s="65"/>
      <c r="N687" s="75" t="str">
        <f>IF(Games!V687="", "",Games!V687)</f>
      </c>
      <c r="O687" s="75" t="str">
        <f>IF(Games!Z687=0, "",Games!Z687)</f>
      </c>
      <c r="P687" s="67"/>
      <c r="Q687" s="67" t="str">
        <f>IF(ISBLANK(Games!W687), "", Games!W687)</f>
      </c>
      <c r="R687" s="67" t="str">
        <f>IF(ISBLANK(Games!AA687), "", Games!AA687)</f>
      </c>
      <c r="S687" s="67"/>
      <c r="T687" s="68" t="str">
        <f t="shared" si="97"/>
      </c>
      <c r="U687" s="68" t="str">
        <f t="shared" si="98"/>
      </c>
      <c r="V687" s="68" t="str">
        <f t="shared" si="99"/>
      </c>
      <c r="W687" s="68" t="str">
        <f t="shared" si="100"/>
      </c>
      <c r="X687" s="68" t="n">
        <f t="shared" si="102"/>
        <v>0</v>
      </c>
      <c r="Y687" s="68" t="n">
        <f t="shared" si="103"/>
        <v>0</v>
      </c>
      <c r="Z687" s="67" t="str">
        <f>IF(OR('Prediction Log'!L688="", Table12[[#This Row],[Bet]]="", Table12[[#This Row],[Bet]]="Spread"), "",IF('Prediction Log'!L688=Table12[[#This Row],[Side]], "W", IF('Prediction Log'!L688&lt;&gt;Table12[[#This Row],[Side]], "L", "")))</f>
      </c>
      <c r="AA687" s="59" t="str">
        <f t="shared" si="104"/>
      </c>
      <c r="AB687" s="67" t="str">
        <f>IF(OR(Table12[[#This Row],[Bet]]="Side",Table12[[#This Row],[Bet]]="", 'Prediction Log'!L688=""), "",IF('Prediction Log'!U688="Y", "W", IF('Prediction Log'!U688="N", "L", "")))</f>
      </c>
      <c r="AC687" s="59" t="str">
        <f t="shared" si="96"/>
      </c>
      <c r="AD687" s="67"/>
      <c r="AE687" s="65" t="str">
        <f t="shared" si="101"/>
      </c>
      <c r="AF6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8">
      <c r="A688" s="65" t="str">
        <f>IF(ISBLANK(Games!A688), "", Games!A688)</f>
      </c>
      <c r="B688" s="65" t="str">
        <f>IF('Prediction Log'!B689=0, "",'Prediction Log'!B689)</f>
      </c>
      <c r="C688" s="65" t="str">
        <f>IF('Prediction Log'!C689=0, "",'Prediction Log'!C689)</f>
      </c>
      <c r="D688" s="65" t="str">
        <f>IF('Prediction Log'!D689=0, "",'Prediction Log'!D689)</f>
      </c>
      <c r="E688" s="58" t="str">
        <f>IF('Prediction Log'!E689=0, "",'Prediction Log'!E689)</f>
      </c>
      <c r="F688" s="65" t="str">
        <f>IF('Prediction Log'!H689=0, "",'Prediction Log'!H689)</f>
      </c>
      <c r="G688" s="64" t="str">
        <f>IF(ISBLANK(Games!B688), "",'Prediction Log'!$I689)</f>
      </c>
      <c r="H688" s="66" t="n">
        <f>'Prediction Log'!$J689</f>
        <v>0</v>
      </c>
      <c r="I688" s="65" t="str">
        <f>IF(ISBLANK(Games!T688), "",IF(AND(Games!T688="",Games!U688=""),"",IF(ISTEXT(Games!U688), "Side",Games!T688)))</f>
      </c>
      <c r="J688" s="65" t="str">
        <f>IF(ISBLANK(Games!T688), "",IF(Table12[[#This Row],[Bet]]="Spread", Games!X688, ""))</f>
      </c>
      <c r="K688" s="65" t="str">
        <f>IF(ISBLANK(Games!U688), "",IF(ISTEXT(Games!U688), Games!U688, ""))</f>
      </c>
      <c r="L688" s="57" t="str">
        <f>IF(ISBLANK(Games!D688), "", Games!D688)</f>
      </c>
      <c r="M688" s="65"/>
      <c r="N688" s="75" t="str">
        <f>IF(Games!V688="", "",Games!V688)</f>
      </c>
      <c r="O688" s="75" t="str">
        <f>IF(Games!Z688=0, "",Games!Z688)</f>
      </c>
      <c r="P688" s="67"/>
      <c r="Q688" s="67" t="str">
        <f>IF(ISBLANK(Games!W688), "", Games!W688)</f>
      </c>
      <c r="R688" s="67" t="str">
        <f>IF(ISBLANK(Games!AA688), "", Games!AA688)</f>
      </c>
      <c r="S688" s="67"/>
      <c r="T688" s="68" t="str">
        <f t="shared" si="97"/>
      </c>
      <c r="U688" s="68" t="str">
        <f t="shared" si="98"/>
      </c>
      <c r="V688" s="68" t="str">
        <f t="shared" si="99"/>
      </c>
      <c r="W688" s="68" t="str">
        <f t="shared" si="100"/>
      </c>
      <c r="X688" s="68" t="n">
        <f t="shared" si="102"/>
        <v>0</v>
      </c>
      <c r="Y688" s="68" t="n">
        <f t="shared" si="103"/>
        <v>0</v>
      </c>
      <c r="Z688" s="67" t="str">
        <f>IF(OR('Prediction Log'!L689="", Table12[[#This Row],[Bet]]="", Table12[[#This Row],[Bet]]="Spread"), "",IF('Prediction Log'!L689=Table12[[#This Row],[Side]], "W", IF('Prediction Log'!L689&lt;&gt;Table12[[#This Row],[Side]], "L", "")))</f>
      </c>
      <c r="AA688" s="59" t="str">
        <f t="shared" si="104"/>
      </c>
      <c r="AB688" s="67" t="str">
        <f>IF(OR(Table12[[#This Row],[Bet]]="Side",Table12[[#This Row],[Bet]]="", 'Prediction Log'!L689=""), "",IF('Prediction Log'!U689="Y", "W", IF('Prediction Log'!U689="N", "L", "")))</f>
      </c>
      <c r="AC688" s="59" t="str">
        <f t="shared" si="96"/>
      </c>
      <c r="AD688" s="67"/>
      <c r="AE688" s="65" t="str">
        <f t="shared" si="101"/>
      </c>
      <c r="AF6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9">
      <c r="A689" s="65" t="str">
        <f>IF(ISBLANK(Games!A689), "", Games!A689)</f>
      </c>
      <c r="B689" s="65" t="str">
        <f>IF('Prediction Log'!B690=0, "",'Prediction Log'!B690)</f>
      </c>
      <c r="C689" s="65" t="str">
        <f>IF('Prediction Log'!C690=0, "",'Prediction Log'!C690)</f>
      </c>
      <c r="D689" s="65" t="str">
        <f>IF('Prediction Log'!D690=0, "",'Prediction Log'!D690)</f>
      </c>
      <c r="E689" s="58" t="str">
        <f>IF('Prediction Log'!E690=0, "",'Prediction Log'!E690)</f>
      </c>
      <c r="F689" s="65" t="str">
        <f>IF('Prediction Log'!H690=0, "",'Prediction Log'!H690)</f>
      </c>
      <c r="G689" s="64" t="str">
        <f>IF(ISBLANK(Games!B689), "",'Prediction Log'!$I690)</f>
      </c>
      <c r="H689" s="66" t="n">
        <f>'Prediction Log'!$J690</f>
        <v>0</v>
      </c>
      <c r="I689" s="65" t="str">
        <f>IF(ISBLANK(Games!T689), "",IF(AND(Games!T689="",Games!U689=""),"",IF(ISTEXT(Games!U689), "Side",Games!T689)))</f>
      </c>
      <c r="J689" s="65" t="str">
        <f>IF(ISBLANK(Games!T689), "",IF(Table12[[#This Row],[Bet]]="Spread", Games!X689, ""))</f>
      </c>
      <c r="K689" s="65" t="str">
        <f>IF(ISBLANK(Games!U689), "",IF(ISTEXT(Games!U689), Games!U689, ""))</f>
      </c>
      <c r="L689" s="57" t="str">
        <f>IF(ISBLANK(Games!D689), "", Games!D689)</f>
      </c>
      <c r="M689" s="65"/>
      <c r="N689" s="75" t="str">
        <f>IF(Games!V689="", "",Games!V689)</f>
      </c>
      <c r="O689" s="75" t="str">
        <f>IF(Games!Z689=0, "",Games!Z689)</f>
      </c>
      <c r="P689" s="67"/>
      <c r="Q689" s="67" t="str">
        <f>IF(ISBLANK(Games!W689), "", Games!W689)</f>
      </c>
      <c r="R689" s="67" t="str">
        <f>IF(ISBLANK(Games!AA689), "", Games!AA689)</f>
      </c>
      <c r="S689" s="67"/>
      <c r="T689" s="68" t="str">
        <f t="shared" si="97"/>
      </c>
      <c r="U689" s="68" t="str">
        <f t="shared" si="98"/>
      </c>
      <c r="V689" s="68" t="str">
        <f t="shared" si="99"/>
      </c>
      <c r="W689" s="68" t="str">
        <f t="shared" si="100"/>
      </c>
      <c r="X689" s="68" t="n">
        <f t="shared" si="102"/>
        <v>0</v>
      </c>
      <c r="Y689" s="68" t="n">
        <f t="shared" si="103"/>
        <v>0</v>
      </c>
      <c r="Z689" s="67" t="str">
        <f>IF(OR('Prediction Log'!L690="", Table12[[#This Row],[Bet]]="", Table12[[#This Row],[Bet]]="Spread"), "",IF('Prediction Log'!L690=Table12[[#This Row],[Side]], "W", IF('Prediction Log'!L690&lt;&gt;Table12[[#This Row],[Side]], "L", "")))</f>
      </c>
      <c r="AA689" s="59" t="str">
        <f t="shared" si="104"/>
      </c>
      <c r="AB689" s="67" t="str">
        <f>IF(OR(Table12[[#This Row],[Bet]]="Side",Table12[[#This Row],[Bet]]="", 'Prediction Log'!L690=""), "",IF('Prediction Log'!U690="Y", "W", IF('Prediction Log'!U690="N", "L", "")))</f>
      </c>
      <c r="AC689" s="59" t="str">
        <f t="shared" si="96"/>
      </c>
      <c r="AD689" s="67"/>
      <c r="AE689" s="65" t="str">
        <f t="shared" si="101"/>
      </c>
      <c r="AF6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0">
      <c r="A690" s="65" t="str">
        <f>IF(ISBLANK(Games!A690), "", Games!A690)</f>
      </c>
      <c r="B690" s="65" t="str">
        <f>IF('Prediction Log'!B691=0, "",'Prediction Log'!B691)</f>
      </c>
      <c r="C690" s="65" t="str">
        <f>IF('Prediction Log'!C691=0, "",'Prediction Log'!C691)</f>
      </c>
      <c r="D690" s="65" t="str">
        <f>IF('Prediction Log'!D691=0, "",'Prediction Log'!D691)</f>
      </c>
      <c r="E690" s="58" t="str">
        <f>IF('Prediction Log'!E691=0, "",'Prediction Log'!E691)</f>
      </c>
      <c r="F690" s="65" t="str">
        <f>IF('Prediction Log'!H691=0, "",'Prediction Log'!H691)</f>
      </c>
      <c r="G690" s="64" t="str">
        <f>IF(ISBLANK(Games!B690), "",'Prediction Log'!$I691)</f>
      </c>
      <c r="H690" s="66" t="n">
        <f>'Prediction Log'!$J691</f>
        <v>0</v>
      </c>
      <c r="I690" s="65" t="str">
        <f>IF(ISBLANK(Games!T690), "",IF(AND(Games!T690="",Games!U690=""),"",IF(ISTEXT(Games!U690), "Side",Games!T690)))</f>
      </c>
      <c r="J690" s="65" t="str">
        <f>IF(ISBLANK(Games!T690), "",IF(Table12[[#This Row],[Bet]]="Spread", Games!X690, ""))</f>
      </c>
      <c r="K690" s="65" t="str">
        <f>IF(ISBLANK(Games!U690), "",IF(ISTEXT(Games!U690), Games!U690, ""))</f>
      </c>
      <c r="L690" s="57" t="str">
        <f>IF(ISBLANK(Games!D690), "", Games!D690)</f>
      </c>
      <c r="M690" s="65"/>
      <c r="N690" s="75" t="str">
        <f>IF(Games!V690="", "",Games!V690)</f>
      </c>
      <c r="O690" s="75" t="str">
        <f>IF(Games!Z690=0, "",Games!Z690)</f>
      </c>
      <c r="P690" s="67"/>
      <c r="Q690" s="67" t="str">
        <f>IF(ISBLANK(Games!W690), "", Games!W690)</f>
      </c>
      <c r="R690" s="67" t="str">
        <f>IF(ISBLANK(Games!AA690), "", Games!AA690)</f>
      </c>
      <c r="S690" s="67"/>
      <c r="T690" s="68" t="str">
        <f t="shared" si="97"/>
      </c>
      <c r="U690" s="68" t="str">
        <f t="shared" si="98"/>
      </c>
      <c r="V690" s="68" t="str">
        <f t="shared" si="99"/>
      </c>
      <c r="W690" s="68" t="str">
        <f t="shared" si="100"/>
      </c>
      <c r="X690" s="68" t="n">
        <f t="shared" si="102"/>
        <v>0</v>
      </c>
      <c r="Y690" s="68" t="n">
        <f t="shared" si="103"/>
        <v>0</v>
      </c>
      <c r="Z690" s="67" t="str">
        <f>IF(OR('Prediction Log'!L691="", Table12[[#This Row],[Bet]]="", Table12[[#This Row],[Bet]]="Spread"), "",IF('Prediction Log'!L691=Table12[[#This Row],[Side]], "W", IF('Prediction Log'!L691&lt;&gt;Table12[[#This Row],[Side]], "L", "")))</f>
      </c>
      <c r="AA690" s="59" t="str">
        <f t="shared" si="104"/>
      </c>
      <c r="AB690" s="67" t="str">
        <f>IF(OR(Table12[[#This Row],[Bet]]="Side",Table12[[#This Row],[Bet]]="", 'Prediction Log'!L691=""), "",IF('Prediction Log'!U691="Y", "W", IF('Prediction Log'!U691="N", "L", "")))</f>
      </c>
      <c r="AC690" s="59" t="str">
        <f t="shared" si="96"/>
      </c>
      <c r="AD690" s="67"/>
      <c r="AE690" s="65" t="str">
        <f t="shared" si="101"/>
      </c>
      <c r="AF6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1">
      <c r="A691" s="65" t="str">
        <f>IF(ISBLANK(Games!A691), "", Games!A691)</f>
      </c>
      <c r="B691" s="65" t="str">
        <f>IF('Prediction Log'!B692=0, "",'Prediction Log'!B692)</f>
      </c>
      <c r="C691" s="65" t="str">
        <f>IF('Prediction Log'!C692=0, "",'Prediction Log'!C692)</f>
      </c>
      <c r="D691" s="65" t="str">
        <f>IF('Prediction Log'!D692=0, "",'Prediction Log'!D692)</f>
      </c>
      <c r="E691" s="58" t="str">
        <f>IF('Prediction Log'!E692=0, "",'Prediction Log'!E692)</f>
      </c>
      <c r="F691" s="65" t="str">
        <f>IF('Prediction Log'!H692=0, "",'Prediction Log'!H692)</f>
      </c>
      <c r="G691" s="64" t="str">
        <f>IF(ISBLANK(Games!B691), "",'Prediction Log'!$I692)</f>
      </c>
      <c r="H691" s="66" t="n">
        <f>'Prediction Log'!$J692</f>
        <v>0</v>
      </c>
      <c r="I691" s="65" t="str">
        <f>IF(ISBLANK(Games!T691), "",IF(AND(Games!T691="",Games!U691=""),"",IF(ISTEXT(Games!U691), "Side",Games!T691)))</f>
      </c>
      <c r="J691" s="65" t="str">
        <f>IF(ISBLANK(Games!T691), "",IF(Table12[[#This Row],[Bet]]="Spread", Games!X691, ""))</f>
      </c>
      <c r="K691" s="65" t="str">
        <f>IF(ISBLANK(Games!U691), "",IF(ISTEXT(Games!U691), Games!U691, ""))</f>
      </c>
      <c r="L691" s="57" t="str">
        <f>IF(ISBLANK(Games!D691), "", Games!D691)</f>
      </c>
      <c r="M691" s="65"/>
      <c r="N691" s="75" t="str">
        <f>IF(Games!V691="", "",Games!V691)</f>
      </c>
      <c r="O691" s="75" t="str">
        <f>IF(Games!Z691=0, "",Games!Z691)</f>
      </c>
      <c r="P691" s="67"/>
      <c r="Q691" s="67" t="str">
        <f>IF(ISBLANK(Games!W691), "", Games!W691)</f>
      </c>
      <c r="R691" s="67" t="str">
        <f>IF(ISBLANK(Games!AA691), "", Games!AA691)</f>
      </c>
      <c r="S691" s="67"/>
      <c r="T691" s="68" t="str">
        <f t="shared" si="97"/>
      </c>
      <c r="U691" s="68" t="str">
        <f t="shared" si="98"/>
      </c>
      <c r="V691" s="68" t="str">
        <f t="shared" si="99"/>
      </c>
      <c r="W691" s="68" t="str">
        <f t="shared" si="100"/>
      </c>
      <c r="X691" s="68" t="n">
        <f t="shared" si="102"/>
        <v>0</v>
      </c>
      <c r="Y691" s="68" t="n">
        <f t="shared" si="103"/>
        <v>0</v>
      </c>
      <c r="Z691" s="67" t="str">
        <f>IF(OR('Prediction Log'!L692="", Table12[[#This Row],[Bet]]="", Table12[[#This Row],[Bet]]="Spread"), "",IF('Prediction Log'!L692=Table12[[#This Row],[Side]], "W", IF('Prediction Log'!L692&lt;&gt;Table12[[#This Row],[Side]], "L", "")))</f>
      </c>
      <c r="AA691" s="59" t="str">
        <f t="shared" si="104"/>
      </c>
      <c r="AB691" s="67" t="str">
        <f>IF(OR(Table12[[#This Row],[Bet]]="Side",Table12[[#This Row],[Bet]]="", 'Prediction Log'!L692=""), "",IF('Prediction Log'!U692="Y", "W", IF('Prediction Log'!U692="N", "L", "")))</f>
      </c>
      <c r="AC691" s="59" t="str">
        <f t="shared" si="96"/>
      </c>
      <c r="AD691" s="67"/>
      <c r="AE691" s="65" t="str">
        <f t="shared" si="101"/>
      </c>
      <c r="AF6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2">
      <c r="A692" s="65" t="str">
        <f>IF(ISBLANK(Games!A692), "", Games!A692)</f>
      </c>
      <c r="B692" s="65" t="str">
        <f>IF('Prediction Log'!B693=0, "",'Prediction Log'!B693)</f>
      </c>
      <c r="C692" s="65" t="str">
        <f>IF('Prediction Log'!C693=0, "",'Prediction Log'!C693)</f>
      </c>
      <c r="D692" s="65" t="str">
        <f>IF('Prediction Log'!D693=0, "",'Prediction Log'!D693)</f>
      </c>
      <c r="E692" s="58" t="str">
        <f>IF('Prediction Log'!E693=0, "",'Prediction Log'!E693)</f>
      </c>
      <c r="F692" s="65" t="str">
        <f>IF('Prediction Log'!H693=0, "",'Prediction Log'!H693)</f>
      </c>
      <c r="G692" s="64" t="str">
        <f>IF(ISBLANK(Games!B692), "",'Prediction Log'!$I693)</f>
      </c>
      <c r="H692" s="66" t="n">
        <f>'Prediction Log'!$J693</f>
        <v>0</v>
      </c>
      <c r="I692" s="65" t="str">
        <f>IF(ISBLANK(Games!T692), "",IF(AND(Games!T692="",Games!U692=""),"",IF(ISTEXT(Games!U692), "Side",Games!T692)))</f>
      </c>
      <c r="J692" s="65" t="str">
        <f>IF(ISBLANK(Games!T692), "",IF(Table12[[#This Row],[Bet]]="Spread", Games!X692, ""))</f>
      </c>
      <c r="K692" s="65" t="str">
        <f>IF(ISBLANK(Games!U692), "",IF(ISTEXT(Games!U692), Games!U692, ""))</f>
      </c>
      <c r="L692" s="57" t="str">
        <f>IF(ISBLANK(Games!D692), "", Games!D692)</f>
      </c>
      <c r="M692" s="65"/>
      <c r="N692" s="75" t="str">
        <f>IF(Games!V692="", "",Games!V692)</f>
      </c>
      <c r="O692" s="75" t="str">
        <f>IF(Games!Z692=0, "",Games!Z692)</f>
      </c>
      <c r="P692" s="67"/>
      <c r="Q692" s="67" t="str">
        <f>IF(ISBLANK(Games!W692), "", Games!W692)</f>
      </c>
      <c r="R692" s="67" t="str">
        <f>IF(ISBLANK(Games!AA692), "", Games!AA692)</f>
      </c>
      <c r="S692" s="67"/>
      <c r="T692" s="68" t="str">
        <f t="shared" si="97"/>
      </c>
      <c r="U692" s="68" t="str">
        <f t="shared" si="98"/>
      </c>
      <c r="V692" s="68" t="str">
        <f t="shared" si="99"/>
      </c>
      <c r="W692" s="68" t="str">
        <f t="shared" si="100"/>
      </c>
      <c r="X692" s="68" t="n">
        <f t="shared" si="102"/>
        <v>0</v>
      </c>
      <c r="Y692" s="68" t="n">
        <f t="shared" si="103"/>
        <v>0</v>
      </c>
      <c r="Z692" s="67" t="str">
        <f>IF(OR('Prediction Log'!L693="", Table12[[#This Row],[Bet]]="", Table12[[#This Row],[Bet]]="Spread"), "",IF('Prediction Log'!L693=Table12[[#This Row],[Side]], "W", IF('Prediction Log'!L693&lt;&gt;Table12[[#This Row],[Side]], "L", "")))</f>
      </c>
      <c r="AA692" s="59" t="str">
        <f t="shared" si="104"/>
      </c>
      <c r="AB692" s="67" t="str">
        <f>IF(OR(Table12[[#This Row],[Bet]]="Side",Table12[[#This Row],[Bet]]="", 'Prediction Log'!L693=""), "",IF('Prediction Log'!U693="Y", "W", IF('Prediction Log'!U693="N", "L", "")))</f>
      </c>
      <c r="AC692" s="59" t="str">
        <f t="shared" si="96"/>
      </c>
      <c r="AD692" s="67"/>
      <c r="AE692" s="65" t="str">
        <f t="shared" si="101"/>
      </c>
      <c r="AF6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3">
      <c r="A693" s="65" t="str">
        <f>IF(ISBLANK(Games!A693), "", Games!A693)</f>
      </c>
      <c r="B693" s="65" t="str">
        <f>IF('Prediction Log'!B694=0, "",'Prediction Log'!B694)</f>
      </c>
      <c r="C693" s="65" t="str">
        <f>IF('Prediction Log'!C694=0, "",'Prediction Log'!C694)</f>
      </c>
      <c r="D693" s="65" t="str">
        <f>IF('Prediction Log'!D694=0, "",'Prediction Log'!D694)</f>
      </c>
      <c r="E693" s="58" t="str">
        <f>IF('Prediction Log'!E694=0, "",'Prediction Log'!E694)</f>
      </c>
      <c r="F693" s="65" t="str">
        <f>IF('Prediction Log'!H694=0, "",'Prediction Log'!H694)</f>
      </c>
      <c r="G693" s="64" t="str">
        <f>IF(ISBLANK(Games!B693), "",'Prediction Log'!$I694)</f>
      </c>
      <c r="H693" s="66" t="n">
        <f>'Prediction Log'!$J694</f>
        <v>0</v>
      </c>
      <c r="I693" s="65" t="str">
        <f>IF(ISBLANK(Games!T693), "",IF(AND(Games!T693="",Games!U693=""),"",IF(ISTEXT(Games!U693), "Side",Games!T693)))</f>
      </c>
      <c r="J693" s="65" t="str">
        <f>IF(ISBLANK(Games!T693), "",IF(Table12[[#This Row],[Bet]]="Spread", Games!X693, ""))</f>
      </c>
      <c r="K693" s="65" t="str">
        <f>IF(ISBLANK(Games!U693), "",IF(ISTEXT(Games!U693), Games!U693, ""))</f>
      </c>
      <c r="L693" s="57" t="str">
        <f>IF(ISBLANK(Games!D693), "", Games!D693)</f>
      </c>
      <c r="M693" s="65"/>
      <c r="N693" s="75" t="str">
        <f>IF(Games!V693="", "",Games!V693)</f>
      </c>
      <c r="O693" s="75" t="str">
        <f>IF(Games!Z693=0, "",Games!Z693)</f>
      </c>
      <c r="P693" s="67"/>
      <c r="Q693" s="67" t="str">
        <f>IF(ISBLANK(Games!W693), "", Games!W693)</f>
      </c>
      <c r="R693" s="67" t="str">
        <f>IF(ISBLANK(Games!AA693), "", Games!AA693)</f>
      </c>
      <c r="S693" s="67"/>
      <c r="T693" s="68" t="str">
        <f t="shared" si="97"/>
      </c>
      <c r="U693" s="68" t="str">
        <f t="shared" si="98"/>
      </c>
      <c r="V693" s="68" t="str">
        <f t="shared" si="99"/>
      </c>
      <c r="W693" s="68" t="str">
        <f t="shared" si="100"/>
      </c>
      <c r="X693" s="68" t="n">
        <f t="shared" si="102"/>
        <v>0</v>
      </c>
      <c r="Y693" s="68" t="n">
        <f t="shared" si="103"/>
        <v>0</v>
      </c>
      <c r="Z693" s="67" t="str">
        <f>IF(OR('Prediction Log'!L694="", Table12[[#This Row],[Bet]]="", Table12[[#This Row],[Bet]]="Spread"), "",IF('Prediction Log'!L694=Table12[[#This Row],[Side]], "W", IF('Prediction Log'!L694&lt;&gt;Table12[[#This Row],[Side]], "L", "")))</f>
      </c>
      <c r="AA693" s="59" t="str">
        <f t="shared" si="104"/>
      </c>
      <c r="AB693" s="67" t="str">
        <f>IF(OR(Table12[[#This Row],[Bet]]="Side",Table12[[#This Row],[Bet]]="", 'Prediction Log'!L694=""), "",IF('Prediction Log'!U694="Y", "W", IF('Prediction Log'!U694="N", "L", "")))</f>
      </c>
      <c r="AC693" s="59" t="str">
        <f t="shared" si="96"/>
      </c>
      <c r="AD693" s="67"/>
      <c r="AE693" s="65" t="str">
        <f t="shared" si="101"/>
      </c>
      <c r="AF6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4">
      <c r="A694" s="65" t="str">
        <f>IF(ISBLANK(Games!A694), "", Games!A694)</f>
      </c>
      <c r="B694" s="65" t="str">
        <f>IF('Prediction Log'!B695=0, "",'Prediction Log'!B695)</f>
      </c>
      <c r="C694" s="65" t="str">
        <f>IF('Prediction Log'!C695=0, "",'Prediction Log'!C695)</f>
      </c>
      <c r="D694" s="65" t="str">
        <f>IF('Prediction Log'!D695=0, "",'Prediction Log'!D695)</f>
      </c>
      <c r="E694" s="58" t="str">
        <f>IF('Prediction Log'!E695=0, "",'Prediction Log'!E695)</f>
      </c>
      <c r="F694" s="65" t="str">
        <f>IF('Prediction Log'!H695=0, "",'Prediction Log'!H695)</f>
      </c>
      <c r="G694" s="64" t="str">
        <f>IF(ISBLANK(Games!B694), "",'Prediction Log'!$I695)</f>
      </c>
      <c r="H694" s="66" t="n">
        <f>'Prediction Log'!$J695</f>
        <v>0</v>
      </c>
      <c r="I694" s="65" t="str">
        <f>IF(ISBLANK(Games!T694), "",IF(AND(Games!T694="",Games!U694=""),"",IF(ISTEXT(Games!U694), "Side",Games!T694)))</f>
      </c>
      <c r="J694" s="65" t="str">
        <f>IF(ISBLANK(Games!T694), "",IF(Table12[[#This Row],[Bet]]="Spread", Games!X694, ""))</f>
      </c>
      <c r="K694" s="65" t="str">
        <f>IF(ISBLANK(Games!U694), "",IF(ISTEXT(Games!U694), Games!U694, ""))</f>
      </c>
      <c r="L694" s="57" t="str">
        <f>IF(ISBLANK(Games!D694), "", Games!D694)</f>
      </c>
      <c r="M694" s="65"/>
      <c r="N694" s="75" t="str">
        <f>IF(Games!V694="", "",Games!V694)</f>
      </c>
      <c r="O694" s="75" t="str">
        <f>IF(Games!Z694=0, "",Games!Z694)</f>
      </c>
      <c r="P694" s="67"/>
      <c r="Q694" s="67" t="str">
        <f>IF(ISBLANK(Games!W694), "", Games!W694)</f>
      </c>
      <c r="R694" s="67" t="str">
        <f>IF(ISBLANK(Games!AA694), "", Games!AA694)</f>
      </c>
      <c r="S694" s="67"/>
      <c r="T694" s="68" t="str">
        <f t="shared" si="97"/>
      </c>
      <c r="U694" s="68" t="str">
        <f t="shared" si="98"/>
      </c>
      <c r="V694" s="68" t="str">
        <f t="shared" si="99"/>
      </c>
      <c r="W694" s="68" t="str">
        <f t="shared" si="100"/>
      </c>
      <c r="X694" s="68" t="n">
        <f t="shared" si="102"/>
        <v>0</v>
      </c>
      <c r="Y694" s="68" t="n">
        <f t="shared" si="103"/>
        <v>0</v>
      </c>
      <c r="Z694" s="67" t="str">
        <f>IF(OR('Prediction Log'!L695="", Table12[[#This Row],[Bet]]="", Table12[[#This Row],[Bet]]="Spread"), "",IF('Prediction Log'!L695=Table12[[#This Row],[Side]], "W", IF('Prediction Log'!L695&lt;&gt;Table12[[#This Row],[Side]], "L", "")))</f>
      </c>
      <c r="AA694" s="59" t="str">
        <f t="shared" si="104"/>
      </c>
      <c r="AB694" s="67" t="str">
        <f>IF(OR(Table12[[#This Row],[Bet]]="Side",Table12[[#This Row],[Bet]]="", 'Prediction Log'!L695=""), "",IF('Prediction Log'!U695="Y", "W", IF('Prediction Log'!U695="N", "L", "")))</f>
      </c>
      <c r="AC694" s="59" t="str">
        <f t="shared" si="96"/>
      </c>
      <c r="AD694" s="67"/>
      <c r="AE694" s="65" t="str">
        <f t="shared" si="101"/>
      </c>
      <c r="AF6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5">
      <c r="A695" s="65" t="str">
        <f>IF(ISBLANK(Games!A695), "", Games!A695)</f>
      </c>
      <c r="B695" s="65" t="str">
        <f>IF('Prediction Log'!B696=0, "",'Prediction Log'!B696)</f>
      </c>
      <c r="C695" s="65" t="str">
        <f>IF('Prediction Log'!C696=0, "",'Prediction Log'!C696)</f>
      </c>
      <c r="D695" s="65" t="str">
        <f>IF('Prediction Log'!D696=0, "",'Prediction Log'!D696)</f>
      </c>
      <c r="E695" s="58" t="str">
        <f>IF('Prediction Log'!E696=0, "",'Prediction Log'!E696)</f>
      </c>
      <c r="F695" s="65" t="str">
        <f>IF('Prediction Log'!H696=0, "",'Prediction Log'!H696)</f>
      </c>
      <c r="G695" s="64" t="str">
        <f>IF(ISBLANK(Games!B695), "",'Prediction Log'!$I696)</f>
      </c>
      <c r="H695" s="66" t="n">
        <f>'Prediction Log'!$J696</f>
        <v>0</v>
      </c>
      <c r="I695" s="65" t="str">
        <f>IF(ISBLANK(Games!T695), "",IF(AND(Games!T695="",Games!U695=""),"",IF(ISTEXT(Games!U695), "Side",Games!T695)))</f>
      </c>
      <c r="J695" s="65" t="str">
        <f>IF(ISBLANK(Games!T695), "",IF(Table12[[#This Row],[Bet]]="Spread", Games!X695, ""))</f>
      </c>
      <c r="K695" s="65" t="str">
        <f>IF(ISBLANK(Games!U695), "",IF(ISTEXT(Games!U695), Games!U695, ""))</f>
      </c>
      <c r="L695" s="57" t="str">
        <f>IF(ISBLANK(Games!D695), "", Games!D695)</f>
      </c>
      <c r="M695" s="65"/>
      <c r="N695" s="75" t="str">
        <f>IF(Games!V695="", "",Games!V695)</f>
      </c>
      <c r="O695" s="75" t="str">
        <f>IF(Games!Z695=0, "",Games!Z695)</f>
      </c>
      <c r="P695" s="67"/>
      <c r="Q695" s="67" t="str">
        <f>IF(ISBLANK(Games!W695), "", Games!W695)</f>
      </c>
      <c r="R695" s="67" t="str">
        <f>IF(ISBLANK(Games!AA695), "", Games!AA695)</f>
      </c>
      <c r="S695" s="67"/>
      <c r="T695" s="68" t="str">
        <f t="shared" si="97"/>
      </c>
      <c r="U695" s="68" t="str">
        <f t="shared" si="98"/>
      </c>
      <c r="V695" s="68" t="str">
        <f t="shared" si="99"/>
      </c>
      <c r="W695" s="68" t="str">
        <f t="shared" si="100"/>
      </c>
      <c r="X695" s="68" t="n">
        <f t="shared" si="102"/>
        <v>0</v>
      </c>
      <c r="Y695" s="68" t="n">
        <f t="shared" si="103"/>
        <v>0</v>
      </c>
      <c r="Z695" s="67" t="str">
        <f>IF(OR('Prediction Log'!L696="", Table12[[#This Row],[Bet]]="", Table12[[#This Row],[Bet]]="Spread"), "",IF('Prediction Log'!L696=Table12[[#This Row],[Side]], "W", IF('Prediction Log'!L696&lt;&gt;Table12[[#This Row],[Side]], "L", "")))</f>
      </c>
      <c r="AA695" s="59" t="str">
        <f t="shared" si="104"/>
      </c>
      <c r="AB695" s="67" t="str">
        <f>IF(OR(Table12[[#This Row],[Bet]]="Side",Table12[[#This Row],[Bet]]="", 'Prediction Log'!L696=""), "",IF('Prediction Log'!U696="Y", "W", IF('Prediction Log'!U696="N", "L", "")))</f>
      </c>
      <c r="AC695" s="59" t="str">
        <f t="shared" si="96"/>
      </c>
      <c r="AD695" s="67"/>
      <c r="AE695" s="65" t="str">
        <f t="shared" si="101"/>
      </c>
      <c r="AF6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6">
      <c r="A696" s="65" t="str">
        <f>IF(ISBLANK(Games!A696), "", Games!A696)</f>
      </c>
      <c r="B696" s="65" t="str">
        <f>IF('Prediction Log'!B697=0, "",'Prediction Log'!B697)</f>
      </c>
      <c r="C696" s="65" t="str">
        <f>IF('Prediction Log'!C697=0, "",'Prediction Log'!C697)</f>
      </c>
      <c r="D696" s="65" t="str">
        <f>IF('Prediction Log'!D697=0, "",'Prediction Log'!D697)</f>
      </c>
      <c r="E696" s="58" t="str">
        <f>IF('Prediction Log'!E697=0, "",'Prediction Log'!E697)</f>
      </c>
      <c r="F696" s="65" t="str">
        <f>IF('Prediction Log'!H697=0, "",'Prediction Log'!H697)</f>
      </c>
      <c r="G696" s="64" t="str">
        <f>IF(ISBLANK(Games!B696), "",'Prediction Log'!$I697)</f>
      </c>
      <c r="H696" s="66" t="n">
        <f>'Prediction Log'!$J697</f>
        <v>0</v>
      </c>
      <c r="I696" s="65" t="str">
        <f>IF(ISBLANK(Games!T696), "",IF(AND(Games!T696="",Games!U696=""),"",IF(ISTEXT(Games!U696), "Side",Games!T696)))</f>
      </c>
      <c r="J696" s="65" t="str">
        <f>IF(ISBLANK(Games!T696), "",IF(Table12[[#This Row],[Bet]]="Spread", Games!X696, ""))</f>
      </c>
      <c r="K696" s="65" t="str">
        <f>IF(ISBLANK(Games!U696), "",IF(ISTEXT(Games!U696), Games!U696, ""))</f>
      </c>
      <c r="L696" s="57" t="str">
        <f>IF(ISBLANK(Games!D696), "", Games!D696)</f>
      </c>
      <c r="M696" s="65"/>
      <c r="N696" s="75" t="str">
        <f>IF(Games!V696="", "",Games!V696)</f>
      </c>
      <c r="O696" s="75" t="str">
        <f>IF(Games!Z696=0, "",Games!Z696)</f>
      </c>
      <c r="P696" s="67"/>
      <c r="Q696" s="67" t="str">
        <f>IF(ISBLANK(Games!W696), "", Games!W696)</f>
      </c>
      <c r="R696" s="67" t="str">
        <f>IF(ISBLANK(Games!AA696), "", Games!AA696)</f>
      </c>
      <c r="S696" s="67"/>
      <c r="T696" s="68" t="str">
        <f t="shared" si="97"/>
      </c>
      <c r="U696" s="68" t="str">
        <f t="shared" si="98"/>
      </c>
      <c r="V696" s="68" t="str">
        <f t="shared" si="99"/>
      </c>
      <c r="W696" s="68" t="str">
        <f t="shared" si="100"/>
      </c>
      <c r="X696" s="68" t="n">
        <f t="shared" si="102"/>
        <v>0</v>
      </c>
      <c r="Y696" s="68" t="n">
        <f t="shared" si="103"/>
        <v>0</v>
      </c>
      <c r="Z696" s="67" t="str">
        <f>IF(OR('Prediction Log'!L697="", Table12[[#This Row],[Bet]]="", Table12[[#This Row],[Bet]]="Spread"), "",IF('Prediction Log'!L697=Table12[[#This Row],[Side]], "W", IF('Prediction Log'!L697&lt;&gt;Table12[[#This Row],[Side]], "L", "")))</f>
      </c>
      <c r="AA696" s="59" t="str">
        <f t="shared" si="104"/>
      </c>
      <c r="AB696" s="67" t="str">
        <f>IF(OR(Table12[[#This Row],[Bet]]="Side",Table12[[#This Row],[Bet]]="", 'Prediction Log'!L697=""), "",IF('Prediction Log'!U697="Y", "W", IF('Prediction Log'!U697="N", "L", "")))</f>
      </c>
      <c r="AC696" s="59" t="str">
        <f t="shared" si="96"/>
      </c>
      <c r="AD696" s="67"/>
      <c r="AE696" s="65" t="str">
        <f t="shared" si="101"/>
      </c>
      <c r="AF6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7">
      <c r="A697" s="65" t="str">
        <f>IF(ISBLANK(Games!A697), "", Games!A697)</f>
      </c>
      <c r="B697" s="65" t="str">
        <f>IF('Prediction Log'!B698=0, "",'Prediction Log'!B698)</f>
      </c>
      <c r="C697" s="65" t="str">
        <f>IF('Prediction Log'!C698=0, "",'Prediction Log'!C698)</f>
      </c>
      <c r="D697" s="65" t="str">
        <f>IF('Prediction Log'!D698=0, "",'Prediction Log'!D698)</f>
      </c>
      <c r="E697" s="58" t="str">
        <f>IF('Prediction Log'!E698=0, "",'Prediction Log'!E698)</f>
      </c>
      <c r="F697" s="65" t="str">
        <f>IF('Prediction Log'!H698=0, "",'Prediction Log'!H698)</f>
      </c>
      <c r="G697" s="64" t="str">
        <f>IF(ISBLANK(Games!B697), "",'Prediction Log'!$I698)</f>
      </c>
      <c r="H697" s="66" t="n">
        <f>'Prediction Log'!$J698</f>
        <v>0</v>
      </c>
      <c r="I697" s="65" t="str">
        <f>IF(ISBLANK(Games!T697), "",IF(AND(Games!T697="",Games!U697=""),"",IF(ISTEXT(Games!U697), "Side",Games!T697)))</f>
      </c>
      <c r="J697" s="65" t="str">
        <f>IF(ISBLANK(Games!T697), "",IF(Table12[[#This Row],[Bet]]="Spread", Games!X697, ""))</f>
      </c>
      <c r="K697" s="65" t="str">
        <f>IF(ISBLANK(Games!U697), "",IF(ISTEXT(Games!U697), Games!U697, ""))</f>
      </c>
      <c r="L697" s="57" t="str">
        <f>IF(ISBLANK(Games!D697), "", Games!D697)</f>
      </c>
      <c r="M697" s="65"/>
      <c r="N697" s="75" t="str">
        <f>IF(Games!V697="", "",Games!V697)</f>
      </c>
      <c r="O697" s="75" t="str">
        <f>IF(Games!Z697=0, "",Games!Z697)</f>
      </c>
      <c r="P697" s="67"/>
      <c r="Q697" s="67" t="str">
        <f>IF(ISBLANK(Games!W697), "", Games!W697)</f>
      </c>
      <c r="R697" s="67" t="str">
        <f>IF(ISBLANK(Games!AA697), "", Games!AA697)</f>
      </c>
      <c r="S697" s="67"/>
      <c r="T697" s="68" t="str">
        <f t="shared" si="97"/>
      </c>
      <c r="U697" s="68" t="str">
        <f t="shared" si="98"/>
      </c>
      <c r="V697" s="68" t="str">
        <f t="shared" si="99"/>
      </c>
      <c r="W697" s="68" t="str">
        <f t="shared" si="100"/>
      </c>
      <c r="X697" s="68" t="n">
        <f t="shared" si="102"/>
        <v>0</v>
      </c>
      <c r="Y697" s="68" t="n">
        <f t="shared" si="103"/>
        <v>0</v>
      </c>
      <c r="Z697" s="67" t="str">
        <f>IF(OR('Prediction Log'!L698="", Table12[[#This Row],[Bet]]="", Table12[[#This Row],[Bet]]="Spread"), "",IF('Prediction Log'!L698=Table12[[#This Row],[Side]], "W", IF('Prediction Log'!L698&lt;&gt;Table12[[#This Row],[Side]], "L", "")))</f>
      </c>
      <c r="AA697" s="59" t="str">
        <f t="shared" si="104"/>
      </c>
      <c r="AB697" s="67" t="str">
        <f>IF(OR(Table12[[#This Row],[Bet]]="Side",Table12[[#This Row],[Bet]]="", 'Prediction Log'!L698=""), "",IF('Prediction Log'!U698="Y", "W", IF('Prediction Log'!U698="N", "L", "")))</f>
      </c>
      <c r="AC697" s="59" t="str">
        <f t="shared" si="96"/>
      </c>
      <c r="AD697" s="67"/>
      <c r="AE697" s="65" t="str">
        <f t="shared" si="101"/>
      </c>
      <c r="AF6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8">
      <c r="A698" s="65" t="str">
        <f>IF(ISBLANK(Games!A698), "", Games!A698)</f>
      </c>
      <c r="B698" s="65" t="str">
        <f>IF('Prediction Log'!B699=0, "",'Prediction Log'!B699)</f>
      </c>
      <c r="C698" s="65" t="str">
        <f>IF('Prediction Log'!C699=0, "",'Prediction Log'!C699)</f>
      </c>
      <c r="D698" s="65" t="str">
        <f>IF('Prediction Log'!D699=0, "",'Prediction Log'!D699)</f>
      </c>
      <c r="E698" s="58" t="str">
        <f>IF('Prediction Log'!E699=0, "",'Prediction Log'!E699)</f>
      </c>
      <c r="F698" s="65" t="str">
        <f>IF('Prediction Log'!H699=0, "",'Prediction Log'!H699)</f>
      </c>
      <c r="G698" s="64" t="str">
        <f>IF(ISBLANK(Games!B698), "",'Prediction Log'!$I699)</f>
      </c>
      <c r="H698" s="66" t="n">
        <f>'Prediction Log'!$J699</f>
        <v>0</v>
      </c>
      <c r="I698" s="65" t="str">
        <f>IF(ISBLANK(Games!T698), "",IF(AND(Games!T698="",Games!U698=""),"",IF(ISTEXT(Games!U698), "Side",Games!T698)))</f>
      </c>
      <c r="J698" s="65" t="str">
        <f>IF(ISBLANK(Games!T698), "",IF(Table12[[#This Row],[Bet]]="Spread", Games!X698, ""))</f>
      </c>
      <c r="K698" s="65" t="str">
        <f>IF(ISBLANK(Games!U698), "",IF(ISTEXT(Games!U698), Games!U698, ""))</f>
      </c>
      <c r="L698" s="57" t="str">
        <f>IF(ISBLANK(Games!D698), "", Games!D698)</f>
      </c>
      <c r="M698" s="65"/>
      <c r="N698" s="75" t="str">
        <f>IF(Games!V698="", "",Games!V698)</f>
      </c>
      <c r="O698" s="75" t="str">
        <f>IF(Games!Z698=0, "",Games!Z698)</f>
      </c>
      <c r="P698" s="67"/>
      <c r="Q698" s="67" t="str">
        <f>IF(ISBLANK(Games!W698), "", Games!W698)</f>
      </c>
      <c r="R698" s="67" t="str">
        <f>IF(ISBLANK(Games!AA698), "", Games!AA698)</f>
      </c>
      <c r="S698" s="67"/>
      <c r="T698" s="68" t="str">
        <f t="shared" si="97"/>
      </c>
      <c r="U698" s="68" t="str">
        <f t="shared" si="98"/>
      </c>
      <c r="V698" s="68" t="str">
        <f t="shared" si="99"/>
      </c>
      <c r="W698" s="68" t="str">
        <f t="shared" si="100"/>
      </c>
      <c r="X698" s="68" t="n">
        <f t="shared" si="102"/>
        <v>0</v>
      </c>
      <c r="Y698" s="68" t="n">
        <f t="shared" si="103"/>
        <v>0</v>
      </c>
      <c r="Z698" s="67" t="str">
        <f>IF(OR('Prediction Log'!L699="", Table12[[#This Row],[Bet]]="", Table12[[#This Row],[Bet]]="Spread"), "",IF('Prediction Log'!L699=Table12[[#This Row],[Side]], "W", IF('Prediction Log'!L699&lt;&gt;Table12[[#This Row],[Side]], "L", "")))</f>
      </c>
      <c r="AA698" s="59" t="str">
        <f t="shared" si="104"/>
      </c>
      <c r="AB698" s="67" t="str">
        <f>IF(OR(Table12[[#This Row],[Bet]]="Side",Table12[[#This Row],[Bet]]="", 'Prediction Log'!L699=""), "",IF('Prediction Log'!U699="Y", "W", IF('Prediction Log'!U699="N", "L", "")))</f>
      </c>
      <c r="AC698" s="59" t="str">
        <f t="shared" si="96"/>
      </c>
      <c r="AD698" s="67"/>
      <c r="AE698" s="65" t="str">
        <f t="shared" si="101"/>
      </c>
      <c r="AF6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9">
      <c r="A699" s="65" t="str">
        <f>IF(ISBLANK(Games!A699), "", Games!A699)</f>
      </c>
      <c r="B699" s="65" t="str">
        <f>IF('Prediction Log'!B700=0, "",'Prediction Log'!B700)</f>
      </c>
      <c r="C699" s="65" t="str">
        <f>IF('Prediction Log'!C700=0, "",'Prediction Log'!C700)</f>
      </c>
      <c r="D699" s="65" t="str">
        <f>IF('Prediction Log'!D700=0, "",'Prediction Log'!D700)</f>
      </c>
      <c r="E699" s="58" t="str">
        <f>IF('Prediction Log'!E700=0, "",'Prediction Log'!E700)</f>
      </c>
      <c r="F699" s="65" t="str">
        <f>IF('Prediction Log'!H700=0, "",'Prediction Log'!H700)</f>
      </c>
      <c r="G699" s="64" t="str">
        <f>IF(ISBLANK(Games!B699), "",'Prediction Log'!$I700)</f>
      </c>
      <c r="H699" s="66" t="n">
        <f>'Prediction Log'!$J700</f>
        <v>0</v>
      </c>
      <c r="I699" s="65" t="str">
        <f>IF(ISBLANK(Games!T699), "",IF(AND(Games!T699="",Games!U699=""),"",IF(ISTEXT(Games!U699), "Side",Games!T699)))</f>
      </c>
      <c r="J699" s="65" t="str">
        <f>IF(ISBLANK(Games!T699), "",IF(Table12[[#This Row],[Bet]]="Spread", Games!X699, ""))</f>
      </c>
      <c r="K699" s="65" t="str">
        <f>IF(ISBLANK(Games!U699), "",IF(ISTEXT(Games!U699), Games!U699, ""))</f>
      </c>
      <c r="L699" s="57" t="str">
        <f>IF(ISBLANK(Games!D699), "", Games!D699)</f>
      </c>
      <c r="M699" s="65"/>
      <c r="N699" s="75" t="str">
        <f>IF(Games!V699="", "",Games!V699)</f>
      </c>
      <c r="O699" s="75" t="str">
        <f>IF(Games!Z699=0, "",Games!Z699)</f>
      </c>
      <c r="P699" s="67"/>
      <c r="Q699" s="67" t="str">
        <f>IF(ISBLANK(Games!W699), "", Games!W699)</f>
      </c>
      <c r="R699" s="67" t="str">
        <f>IF(ISBLANK(Games!AA699), "", Games!AA699)</f>
      </c>
      <c r="S699" s="67"/>
      <c r="T699" s="68" t="str">
        <f t="shared" si="97"/>
      </c>
      <c r="U699" s="68" t="str">
        <f t="shared" si="98"/>
      </c>
      <c r="V699" s="68" t="str">
        <f t="shared" si="99"/>
      </c>
      <c r="W699" s="68" t="str">
        <f t="shared" si="100"/>
      </c>
      <c r="X699" s="68" t="n">
        <f t="shared" si="102"/>
        <v>0</v>
      </c>
      <c r="Y699" s="68" t="n">
        <f t="shared" si="103"/>
        <v>0</v>
      </c>
      <c r="Z699" s="67" t="str">
        <f>IF(OR('Prediction Log'!L700="", Table12[[#This Row],[Bet]]="", Table12[[#This Row],[Bet]]="Spread"), "",IF('Prediction Log'!L700=Table12[[#This Row],[Side]], "W", IF('Prediction Log'!L700&lt;&gt;Table12[[#This Row],[Side]], "L", "")))</f>
      </c>
      <c r="AA699" s="59" t="str">
        <f t="shared" si="104"/>
      </c>
      <c r="AB699" s="67" t="str">
        <f>IF(OR(Table12[[#This Row],[Bet]]="Side",Table12[[#This Row],[Bet]]="", 'Prediction Log'!L700=""), "",IF('Prediction Log'!U700="Y", "W", IF('Prediction Log'!U700="N", "L", "")))</f>
      </c>
      <c r="AC699" s="59" t="str">
        <f t="shared" si="96"/>
      </c>
      <c r="AD699" s="67"/>
      <c r="AE699" s="65" t="str">
        <f t="shared" si="101"/>
      </c>
      <c r="AF6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0">
      <c r="A700" s="65" t="str">
        <f>IF(ISBLANK(Games!A700), "", Games!A700)</f>
      </c>
      <c r="B700" s="65" t="str">
        <f>IF('Prediction Log'!B701=0, "",'Prediction Log'!B701)</f>
      </c>
      <c r="C700" s="65" t="str">
        <f>IF('Prediction Log'!C701=0, "",'Prediction Log'!C701)</f>
      </c>
      <c r="D700" s="65" t="str">
        <f>IF('Prediction Log'!D701=0, "",'Prediction Log'!D701)</f>
      </c>
      <c r="E700" s="58" t="str">
        <f>IF('Prediction Log'!E701=0, "",'Prediction Log'!E701)</f>
      </c>
      <c r="F700" s="65" t="str">
        <f>IF('Prediction Log'!H701=0, "",'Prediction Log'!H701)</f>
      </c>
      <c r="G700" s="64" t="str">
        <f>IF(ISBLANK(Games!B700), "",'Prediction Log'!$I701)</f>
      </c>
      <c r="H700" s="66" t="n">
        <f>'Prediction Log'!$J701</f>
        <v>0</v>
      </c>
      <c r="I700" s="65" t="str">
        <f>IF(ISBLANK(Games!T700), "",IF(AND(Games!T700="",Games!U700=""),"",IF(ISTEXT(Games!U700), "Side",Games!T700)))</f>
      </c>
      <c r="J700" s="65" t="str">
        <f>IF(ISBLANK(Games!T700), "",IF(Table12[[#This Row],[Bet]]="Spread", Games!X700, ""))</f>
      </c>
      <c r="K700" s="65" t="str">
        <f>IF(ISBLANK(Games!U700), "",IF(ISTEXT(Games!U700), Games!U700, ""))</f>
      </c>
      <c r="L700" s="57" t="str">
        <f>IF(ISBLANK(Games!D700), "", Games!D700)</f>
      </c>
      <c r="M700" s="65"/>
      <c r="N700" s="75" t="str">
        <f>IF(Games!V700="", "",Games!V700)</f>
      </c>
      <c r="O700" s="75" t="str">
        <f>IF(Games!Z700=0, "",Games!Z700)</f>
      </c>
      <c r="P700" s="67"/>
      <c r="Q700" s="67" t="str">
        <f>IF(ISBLANK(Games!W700), "", Games!W700)</f>
      </c>
      <c r="R700" s="67" t="str">
        <f>IF(ISBLANK(Games!AA700), "", Games!AA700)</f>
      </c>
      <c r="S700" s="67"/>
      <c r="T700" s="68" t="str">
        <f t="shared" si="97"/>
      </c>
      <c r="U700" s="68" t="str">
        <f t="shared" si="98"/>
      </c>
      <c r="V700" s="68" t="str">
        <f t="shared" si="99"/>
      </c>
      <c r="W700" s="68" t="str">
        <f t="shared" si="100"/>
      </c>
      <c r="X700" s="68" t="n">
        <f t="shared" si="102"/>
        <v>0</v>
      </c>
      <c r="Y700" s="68" t="n">
        <f t="shared" si="103"/>
        <v>0</v>
      </c>
      <c r="Z700" s="67" t="str">
        <f>IF(OR('Prediction Log'!L701="", Table12[[#This Row],[Bet]]="", Table12[[#This Row],[Bet]]="Spread"), "",IF('Prediction Log'!L701=Table12[[#This Row],[Side]], "W", IF('Prediction Log'!L701&lt;&gt;Table12[[#This Row],[Side]], "L", "")))</f>
      </c>
      <c r="AA700" s="59" t="str">
        <f t="shared" si="104"/>
      </c>
      <c r="AB700" s="67" t="str">
        <f>IF(OR(Table12[[#This Row],[Bet]]="Side",Table12[[#This Row],[Bet]]="", 'Prediction Log'!L701=""), "",IF('Prediction Log'!U701="Y", "W", IF('Prediction Log'!U701="N", "L", "")))</f>
      </c>
      <c r="AC700" s="59" t="str">
        <f t="shared" si="96"/>
      </c>
      <c r="AD700" s="67"/>
      <c r="AE700" s="65" t="str">
        <f t="shared" si="101"/>
      </c>
      <c r="AF7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1">
      <c r="A701" s="65" t="str">
        <f>IF(ISBLANK(Games!A701), "", Games!A701)</f>
      </c>
      <c r="B701" s="65" t="str">
        <f>IF('Prediction Log'!B702=0, "",'Prediction Log'!B702)</f>
      </c>
      <c r="C701" s="65" t="str">
        <f>IF('Prediction Log'!C702=0, "",'Prediction Log'!C702)</f>
      </c>
      <c r="D701" s="65" t="str">
        <f>IF('Prediction Log'!D702=0, "",'Prediction Log'!D702)</f>
      </c>
      <c r="E701" s="58" t="str">
        <f>IF('Prediction Log'!E702=0, "",'Prediction Log'!E702)</f>
      </c>
      <c r="F701" s="65" t="str">
        <f>IF('Prediction Log'!H702=0, "",'Prediction Log'!H702)</f>
      </c>
      <c r="G701" s="64" t="str">
        <f>IF(ISBLANK(Games!B701), "",'Prediction Log'!$I702)</f>
      </c>
      <c r="H701" s="66" t="n">
        <f>'Prediction Log'!$J702</f>
        <v>0</v>
      </c>
      <c r="I701" s="65" t="str">
        <f>IF(ISBLANK(Games!T701), "",IF(AND(Games!T701="",Games!U701=""),"",IF(ISTEXT(Games!U701), "Side",Games!T701)))</f>
      </c>
      <c r="J701" s="65" t="str">
        <f>IF(ISBLANK(Games!T701), "",IF(Table12[[#This Row],[Bet]]="Spread", Games!X701, ""))</f>
      </c>
      <c r="K701" s="65" t="str">
        <f>IF(ISBLANK(Games!U701), "",IF(ISTEXT(Games!U701), Games!U701, ""))</f>
      </c>
      <c r="L701" s="57" t="str">
        <f>IF(ISBLANK(Games!D701), "", Games!D701)</f>
      </c>
      <c r="M701" s="65"/>
      <c r="N701" s="75" t="str">
        <f>IF(Games!V701="", "",Games!V701)</f>
      </c>
      <c r="O701" s="75" t="str">
        <f>IF(Games!Z701=0, "",Games!Z701)</f>
      </c>
      <c r="P701" s="67"/>
      <c r="Q701" s="67" t="str">
        <f>IF(ISBLANK(Games!W701), "", Games!W701)</f>
      </c>
      <c r="R701" s="67" t="str">
        <f>IF(ISBLANK(Games!AA701), "", Games!AA701)</f>
      </c>
      <c r="S701" s="67"/>
      <c r="T701" s="68" t="str">
        <f t="shared" si="97"/>
      </c>
      <c r="U701" s="68" t="str">
        <f t="shared" si="98"/>
      </c>
      <c r="V701" s="68" t="str">
        <f t="shared" si="99"/>
      </c>
      <c r="W701" s="68" t="str">
        <f t="shared" si="100"/>
      </c>
      <c r="X701" s="68" t="n">
        <f t="shared" si="102"/>
        <v>0</v>
      </c>
      <c r="Y701" s="68" t="n">
        <f t="shared" si="103"/>
        <v>0</v>
      </c>
      <c r="Z701" s="67" t="str">
        <f>IF(OR('Prediction Log'!L702="", Table12[[#This Row],[Bet]]="", Table12[[#This Row],[Bet]]="Spread"), "",IF('Prediction Log'!L702=Table12[[#This Row],[Side]], "W", IF('Prediction Log'!L702&lt;&gt;Table12[[#This Row],[Side]], "L", "")))</f>
      </c>
      <c r="AA701" s="59" t="str">
        <f t="shared" si="104"/>
      </c>
      <c r="AB701" s="67" t="str">
        <f>IF(OR(Table12[[#This Row],[Bet]]="Side",Table12[[#This Row],[Bet]]="", 'Prediction Log'!L702=""), "",IF('Prediction Log'!U702="Y", "W", IF('Prediction Log'!U702="N", "L", "")))</f>
      </c>
      <c r="AC701" s="59" t="str">
        <f t="shared" si="96"/>
      </c>
      <c r="AD701" s="67"/>
      <c r="AE701" s="65" t="str">
        <f t="shared" si="101"/>
      </c>
      <c r="AF70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2">
      <c r="A702" s="65" t="str">
        <f>IF(ISBLANK(Games!A702), "", Games!A702)</f>
      </c>
      <c r="B702" s="65" t="str">
        <f>IF('Prediction Log'!B703=0, "",'Prediction Log'!B703)</f>
      </c>
      <c r="C702" s="65" t="str">
        <f>IF('Prediction Log'!C703=0, "",'Prediction Log'!C703)</f>
      </c>
      <c r="D702" s="65" t="str">
        <f>IF('Prediction Log'!D703=0, "",'Prediction Log'!D703)</f>
      </c>
      <c r="E702" s="58" t="str">
        <f>IF('Prediction Log'!E703=0, "",'Prediction Log'!E703)</f>
      </c>
      <c r="F702" s="65" t="str">
        <f>IF('Prediction Log'!H703=0, "",'Prediction Log'!H703)</f>
      </c>
      <c r="G702" s="64" t="str">
        <f>IF(ISBLANK(Games!B702), "",'Prediction Log'!$I703)</f>
      </c>
      <c r="H702" s="66" t="n">
        <f>'Prediction Log'!$J703</f>
        <v>0</v>
      </c>
      <c r="I702" s="65" t="str">
        <f>IF(ISBLANK(Games!T702), "",IF(AND(Games!T702="",Games!U702=""),"",IF(ISTEXT(Games!U702), "Side",Games!T702)))</f>
      </c>
      <c r="J702" s="65" t="str">
        <f>IF(ISBLANK(Games!T702), "",IF(Table12[[#This Row],[Bet]]="Spread", Games!X702, ""))</f>
      </c>
      <c r="K702" s="65" t="str">
        <f>IF(ISBLANK(Games!U702), "",IF(ISTEXT(Games!U702), Games!U702, ""))</f>
      </c>
      <c r="L702" s="57" t="str">
        <f>IF(ISBLANK(Games!D702), "", Games!D702)</f>
      </c>
      <c r="M702" s="65"/>
      <c r="N702" s="75" t="str">
        <f>IF(Games!V702="", "",Games!V702)</f>
      </c>
      <c r="O702" s="75" t="str">
        <f>IF(Games!Z702=0, "",Games!Z702)</f>
      </c>
      <c r="P702" s="67"/>
      <c r="Q702" s="67" t="str">
        <f>IF(ISBLANK(Games!W702), "", Games!W702)</f>
      </c>
      <c r="R702" s="67" t="str">
        <f>IF(ISBLANK(Games!AA702), "", Games!AA702)</f>
      </c>
      <c r="S702" s="67"/>
      <c r="T702" s="68" t="str">
        <f t="shared" si="97"/>
      </c>
      <c r="U702" s="68" t="str">
        <f t="shared" si="98"/>
      </c>
      <c r="V702" s="68" t="str">
        <f t="shared" si="99"/>
      </c>
      <c r="W702" s="68" t="str">
        <f t="shared" si="100"/>
      </c>
      <c r="X702" s="68" t="n">
        <f t="shared" si="102"/>
        <v>0</v>
      </c>
      <c r="Y702" s="68" t="n">
        <f t="shared" si="103"/>
        <v>0</v>
      </c>
      <c r="Z702" s="67" t="str">
        <f>IF(OR('Prediction Log'!L703="", Table12[[#This Row],[Bet]]="", Table12[[#This Row],[Bet]]="Spread"), "",IF('Prediction Log'!L703=Table12[[#This Row],[Side]], "W", IF('Prediction Log'!L703&lt;&gt;Table12[[#This Row],[Side]], "L", "")))</f>
      </c>
      <c r="AA702" s="59" t="str">
        <f t="shared" si="104"/>
      </c>
      <c r="AB702" s="67" t="str">
        <f>IF(OR(Table12[[#This Row],[Bet]]="Side",Table12[[#This Row],[Bet]]="", 'Prediction Log'!L703=""), "",IF('Prediction Log'!U703="Y", "W", IF('Prediction Log'!U703="N", "L", "")))</f>
      </c>
      <c r="AC702" s="59" t="str">
        <f t="shared" si="96"/>
      </c>
      <c r="AD702" s="67"/>
      <c r="AE702" s="65" t="str">
        <f t="shared" si="101"/>
      </c>
      <c r="AF70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3">
      <c r="A703" s="65" t="str">
        <f>IF(ISBLANK(Games!A703), "", Games!A703)</f>
      </c>
      <c r="B703" s="65" t="str">
        <f>IF('Prediction Log'!B704=0, "",'Prediction Log'!B704)</f>
      </c>
      <c r="C703" s="65" t="str">
        <f>IF('Prediction Log'!C704=0, "",'Prediction Log'!C704)</f>
      </c>
      <c r="D703" s="65" t="str">
        <f>IF('Prediction Log'!D704=0, "",'Prediction Log'!D704)</f>
      </c>
      <c r="E703" s="58" t="str">
        <f>IF('Prediction Log'!E704=0, "",'Prediction Log'!E704)</f>
      </c>
      <c r="F703" s="65" t="str">
        <f>IF('Prediction Log'!H704=0, "",'Prediction Log'!H704)</f>
      </c>
      <c r="G703" s="64" t="str">
        <f>IF(ISBLANK(Games!B703), "",'Prediction Log'!$I704)</f>
      </c>
      <c r="H703" s="66" t="n">
        <f>'Prediction Log'!$J704</f>
        <v>0</v>
      </c>
      <c r="I703" s="65" t="str">
        <f>IF(ISBLANK(Games!T703), "",IF(AND(Games!T703="",Games!U703=""),"",IF(ISTEXT(Games!U703), "Side",Games!T703)))</f>
      </c>
      <c r="J703" s="65" t="str">
        <f>IF(ISBLANK(Games!T703), "",IF(Table12[[#This Row],[Bet]]="Spread", Games!X703, ""))</f>
      </c>
      <c r="K703" s="65" t="str">
        <f>IF(ISBLANK(Games!U703), "",IF(ISTEXT(Games!U703), Games!U703, ""))</f>
      </c>
      <c r="L703" s="57" t="str">
        <f>IF(ISBLANK(Games!D703), "", Games!D703)</f>
      </c>
      <c r="M703" s="65"/>
      <c r="N703" s="75" t="str">
        <f>IF(Games!V703="", "",Games!V703)</f>
      </c>
      <c r="O703" s="75" t="str">
        <f>IF(Games!Z703=0, "",Games!Z703)</f>
      </c>
      <c r="P703" s="67"/>
      <c r="Q703" s="67" t="str">
        <f>IF(ISBLANK(Games!W703), "", Games!W703)</f>
      </c>
      <c r="R703" s="67" t="str">
        <f>IF(ISBLANK(Games!AA703), "", Games!AA703)</f>
      </c>
      <c r="S703" s="67"/>
      <c r="T703" s="68" t="str">
        <f t="shared" si="97"/>
      </c>
      <c r="U703" s="68" t="str">
        <f t="shared" si="98"/>
      </c>
      <c r="V703" s="68" t="str">
        <f t="shared" si="99"/>
      </c>
      <c r="W703" s="68" t="str">
        <f t="shared" si="100"/>
      </c>
      <c r="X703" s="68" t="n">
        <f t="shared" si="102"/>
        <v>0</v>
      </c>
      <c r="Y703" s="68" t="n">
        <f t="shared" si="103"/>
        <v>0</v>
      </c>
      <c r="Z703" s="67" t="str">
        <f>IF(OR('Prediction Log'!L704="", Table12[[#This Row],[Bet]]="", Table12[[#This Row],[Bet]]="Spread"), "",IF('Prediction Log'!L704=Table12[[#This Row],[Side]], "W", IF('Prediction Log'!L704&lt;&gt;Table12[[#This Row],[Side]], "L", "")))</f>
      </c>
      <c r="AA703" s="59" t="str">
        <f t="shared" si="104"/>
      </c>
      <c r="AB703" s="67" t="str">
        <f>IF(OR(Table12[[#This Row],[Bet]]="Side",Table12[[#This Row],[Bet]]="", 'Prediction Log'!L704=""), "",IF('Prediction Log'!U704="Y", "W", IF('Prediction Log'!U704="N", "L", "")))</f>
      </c>
      <c r="AC703" s="59" t="str">
        <f t="shared" si="96"/>
      </c>
      <c r="AD703" s="67"/>
      <c r="AE703" s="65" t="str">
        <f t="shared" si="101"/>
      </c>
      <c r="AF70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4">
      <c r="A704" s="65" t="str">
        <f>IF(ISBLANK(Games!A704), "", Games!A704)</f>
      </c>
      <c r="B704" s="65" t="str">
        <f>IF('Prediction Log'!B705=0, "",'Prediction Log'!B705)</f>
      </c>
      <c r="C704" s="65" t="str">
        <f>IF('Prediction Log'!C705=0, "",'Prediction Log'!C705)</f>
      </c>
      <c r="D704" s="65" t="str">
        <f>IF('Prediction Log'!D705=0, "",'Prediction Log'!D705)</f>
      </c>
      <c r="E704" s="58" t="str">
        <f>IF('Prediction Log'!E705=0, "",'Prediction Log'!E705)</f>
      </c>
      <c r="F704" s="65" t="str">
        <f>IF('Prediction Log'!H705=0, "",'Prediction Log'!H705)</f>
      </c>
      <c r="G704" s="64" t="str">
        <f>IF(ISBLANK(Games!B704), "",'Prediction Log'!$I705)</f>
      </c>
      <c r="H704" s="66" t="n">
        <f>'Prediction Log'!$J705</f>
        <v>0</v>
      </c>
      <c r="I704" s="65" t="str">
        <f>IF(ISBLANK(Games!T704), "",IF(AND(Games!T704="",Games!U704=""),"",IF(ISTEXT(Games!U704), "Side",Games!T704)))</f>
      </c>
      <c r="J704" s="65" t="str">
        <f>IF(ISBLANK(Games!T704), "",IF(Table12[[#This Row],[Bet]]="Spread", Games!X704, ""))</f>
      </c>
      <c r="K704" s="65" t="str">
        <f>IF(ISBLANK(Games!U704), "",IF(ISTEXT(Games!U704), Games!U704, ""))</f>
      </c>
      <c r="L704" s="57" t="str">
        <f>IF(ISBLANK(Games!D704), "", Games!D704)</f>
      </c>
      <c r="M704" s="65"/>
      <c r="N704" s="75" t="str">
        <f>IF(Games!V704="", "",Games!V704)</f>
      </c>
      <c r="O704" s="75" t="str">
        <f>IF(Games!Z704=0, "",Games!Z704)</f>
      </c>
      <c r="P704" s="67"/>
      <c r="Q704" s="67" t="str">
        <f>IF(ISBLANK(Games!W704), "", Games!W704)</f>
      </c>
      <c r="R704" s="67" t="str">
        <f>IF(ISBLANK(Games!AA704), "", Games!AA704)</f>
      </c>
      <c r="S704" s="67"/>
      <c r="T704" s="68" t="str">
        <f t="shared" si="97"/>
      </c>
      <c r="U704" s="68" t="str">
        <f t="shared" si="98"/>
      </c>
      <c r="V704" s="68" t="str">
        <f t="shared" si="99"/>
      </c>
      <c r="W704" s="68" t="str">
        <f t="shared" si="100"/>
      </c>
      <c r="X704" s="68" t="n">
        <f t="shared" si="102"/>
        <v>0</v>
      </c>
      <c r="Y704" s="68" t="n">
        <f t="shared" si="103"/>
        <v>0</v>
      </c>
      <c r="Z704" s="67" t="str">
        <f>IF(OR('Prediction Log'!L705="", Table12[[#This Row],[Bet]]="", Table12[[#This Row],[Bet]]="Spread"), "",IF('Prediction Log'!L705=Table12[[#This Row],[Side]], "W", IF('Prediction Log'!L705&lt;&gt;Table12[[#This Row],[Side]], "L", "")))</f>
      </c>
      <c r="AA704" s="59" t="str">
        <f t="shared" si="104"/>
      </c>
      <c r="AB704" s="67" t="str">
        <f>IF(OR(Table12[[#This Row],[Bet]]="Side",Table12[[#This Row],[Bet]]="", 'Prediction Log'!L705=""), "",IF('Prediction Log'!U705="Y", "W", IF('Prediction Log'!U705="N", "L", "")))</f>
      </c>
      <c r="AC704" s="59" t="str">
        <f t="shared" si="96"/>
      </c>
      <c r="AD704" s="67"/>
      <c r="AE704" s="65" t="str">
        <f t="shared" si="101"/>
      </c>
      <c r="AF70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5">
      <c r="A705" s="65" t="str">
        <f>IF(ISBLANK(Games!A705), "", Games!A705)</f>
      </c>
      <c r="B705" s="65" t="str">
        <f>IF('Prediction Log'!B706=0, "",'Prediction Log'!B706)</f>
      </c>
      <c r="C705" s="65" t="str">
        <f>IF('Prediction Log'!C706=0, "",'Prediction Log'!C706)</f>
      </c>
      <c r="D705" s="65" t="str">
        <f>IF('Prediction Log'!D706=0, "",'Prediction Log'!D706)</f>
      </c>
      <c r="E705" s="58" t="str">
        <f>IF('Prediction Log'!E706=0, "",'Prediction Log'!E706)</f>
      </c>
      <c r="F705" s="65" t="str">
        <f>IF('Prediction Log'!H706=0, "",'Prediction Log'!H706)</f>
      </c>
      <c r="G705" s="64" t="str">
        <f>IF(ISBLANK(Games!B705), "",'Prediction Log'!$I706)</f>
      </c>
      <c r="H705" s="66" t="n">
        <f>'Prediction Log'!$J706</f>
        <v>0</v>
      </c>
      <c r="I705" s="65" t="str">
        <f>IF(ISBLANK(Games!T705), "",IF(AND(Games!T705="",Games!U705=""),"",IF(ISTEXT(Games!U705), "Side",Games!T705)))</f>
      </c>
      <c r="J705" s="65" t="str">
        <f>IF(ISBLANK(Games!T705), "",IF(Table12[[#This Row],[Bet]]="Spread", Games!X705, ""))</f>
      </c>
      <c r="K705" s="65" t="str">
        <f>IF(ISBLANK(Games!U705), "",IF(ISTEXT(Games!U705), Games!U705, ""))</f>
      </c>
      <c r="L705" s="57" t="str">
        <f>IF(ISBLANK(Games!D705), "", Games!D705)</f>
      </c>
      <c r="M705" s="65"/>
      <c r="N705" s="75" t="str">
        <f>IF(Games!V705="", "",Games!V705)</f>
      </c>
      <c r="O705" s="75" t="str">
        <f>IF(Games!Z705=0, "",Games!Z705)</f>
      </c>
      <c r="P705" s="67"/>
      <c r="Q705" s="67" t="str">
        <f>IF(ISBLANK(Games!W705), "", Games!W705)</f>
      </c>
      <c r="R705" s="67" t="str">
        <f>IF(ISBLANK(Games!AA705), "", Games!AA705)</f>
      </c>
      <c r="S705" s="67"/>
      <c r="T705" s="68" t="str">
        <f t="shared" si="97"/>
      </c>
      <c r="U705" s="68" t="str">
        <f t="shared" si="98"/>
      </c>
      <c r="V705" s="68" t="str">
        <f t="shared" si="99"/>
      </c>
      <c r="W705" s="68" t="str">
        <f t="shared" si="100"/>
      </c>
      <c r="X705" s="68" t="n">
        <f t="shared" si="102"/>
        <v>0</v>
      </c>
      <c r="Y705" s="68" t="n">
        <f t="shared" si="103"/>
        <v>0</v>
      </c>
      <c r="Z705" s="67" t="str">
        <f>IF(OR('Prediction Log'!L706="", Table12[[#This Row],[Bet]]="", Table12[[#This Row],[Bet]]="Spread"), "",IF('Prediction Log'!L706=Table12[[#This Row],[Side]], "W", IF('Prediction Log'!L706&lt;&gt;Table12[[#This Row],[Side]], "L", "")))</f>
      </c>
      <c r="AA705" s="59" t="str">
        <f t="shared" si="104"/>
      </c>
      <c r="AB705" s="67" t="str">
        <f>IF(OR(Table12[[#This Row],[Bet]]="Side",Table12[[#This Row],[Bet]]="", 'Prediction Log'!L706=""), "",IF('Prediction Log'!U706="Y", "W", IF('Prediction Log'!U706="N", "L", "")))</f>
      </c>
      <c r="AC705" s="59" t="str">
        <f t="shared" si="96"/>
      </c>
      <c r="AD705" s="67"/>
      <c r="AE705" s="65" t="str">
        <f t="shared" si="101"/>
      </c>
      <c r="AF70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6">
      <c r="A706" s="65" t="str">
        <f>IF(ISBLANK(Games!A706), "", Games!A706)</f>
      </c>
      <c r="B706" s="65" t="str">
        <f>IF('Prediction Log'!B707=0, "",'Prediction Log'!B707)</f>
      </c>
      <c r="C706" s="65" t="str">
        <f>IF('Prediction Log'!C707=0, "",'Prediction Log'!C707)</f>
      </c>
      <c r="D706" s="65" t="str">
        <f>IF('Prediction Log'!D707=0, "",'Prediction Log'!D707)</f>
      </c>
      <c r="E706" s="58" t="str">
        <f>IF('Prediction Log'!E707=0, "",'Prediction Log'!E707)</f>
      </c>
      <c r="F706" s="65" t="str">
        <f>IF('Prediction Log'!H707=0, "",'Prediction Log'!H707)</f>
      </c>
      <c r="G706" s="64" t="str">
        <f>IF(ISBLANK(Games!B706), "",'Prediction Log'!$I707)</f>
      </c>
      <c r="H706" s="66" t="n">
        <f>'Prediction Log'!$J707</f>
        <v>0</v>
      </c>
      <c r="I706" s="65" t="str">
        <f>IF(ISBLANK(Games!T706), "",IF(AND(Games!T706="",Games!U706=""),"",IF(ISTEXT(Games!U706), "Side",Games!T706)))</f>
      </c>
      <c r="J706" s="65" t="str">
        <f>IF(ISBLANK(Games!T706), "",IF(Table12[[#This Row],[Bet]]="Spread", Games!X706, ""))</f>
      </c>
      <c r="K706" s="65" t="str">
        <f>IF(ISBLANK(Games!U706), "",IF(ISTEXT(Games!U706), Games!U706, ""))</f>
      </c>
      <c r="L706" s="57" t="str">
        <f>IF(ISBLANK(Games!D706), "", Games!D706)</f>
      </c>
      <c r="M706" s="65"/>
      <c r="N706" s="75" t="str">
        <f>IF(Games!V706="", "",Games!V706)</f>
      </c>
      <c r="O706" s="75" t="str">
        <f>IF(Games!Z706=0, "",Games!Z706)</f>
      </c>
      <c r="P706" s="67"/>
      <c r="Q706" s="67" t="str">
        <f>IF(ISBLANK(Games!W706), "", Games!W706)</f>
      </c>
      <c r="R706" s="67" t="str">
        <f>IF(ISBLANK(Games!AA706), "", Games!AA706)</f>
      </c>
      <c r="S706" s="67"/>
      <c r="T706" s="68" t="str">
        <f t="shared" si="97"/>
      </c>
      <c r="U706" s="68" t="str">
        <f t="shared" si="98"/>
      </c>
      <c r="V706" s="68" t="str">
        <f t="shared" si="99"/>
      </c>
      <c r="W706" s="68" t="str">
        <f t="shared" si="100"/>
      </c>
      <c r="X706" s="68" t="n">
        <f t="shared" si="102"/>
        <v>0</v>
      </c>
      <c r="Y706" s="68" t="n">
        <f t="shared" si="103"/>
        <v>0</v>
      </c>
      <c r="Z706" s="67" t="str">
        <f>IF(OR('Prediction Log'!L707="", Table12[[#This Row],[Bet]]="", Table12[[#This Row],[Bet]]="Spread"), "",IF('Prediction Log'!L707=Table12[[#This Row],[Side]], "W", IF('Prediction Log'!L707&lt;&gt;Table12[[#This Row],[Side]], "L", "")))</f>
      </c>
      <c r="AA706" s="59" t="str">
        <f t="shared" si="104"/>
      </c>
      <c r="AB706" s="67" t="str">
        <f>IF(OR(Table12[[#This Row],[Bet]]="Side",Table12[[#This Row],[Bet]]="", 'Prediction Log'!L707=""), "",IF('Prediction Log'!U707="Y", "W", IF('Prediction Log'!U707="N", "L", "")))</f>
      </c>
      <c r="AC706" s="59" t="str">
        <f t="shared" ref="AC706:AC769" si="105">IF(AB706="W", W706, IF(AB706="L",-O706, ""))</f>
      </c>
      <c r="AD706" s="67"/>
      <c r="AE706" s="65" t="str">
        <f t="shared" si="101"/>
      </c>
      <c r="AF70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7">
      <c r="A707" s="65" t="str">
        <f>IF(ISBLANK(Games!A707), "", Games!A707)</f>
      </c>
      <c r="B707" s="65" t="str">
        <f>IF('Prediction Log'!B708=0, "",'Prediction Log'!B708)</f>
      </c>
      <c r="C707" s="65" t="str">
        <f>IF('Prediction Log'!C708=0, "",'Prediction Log'!C708)</f>
      </c>
      <c r="D707" s="65" t="str">
        <f>IF('Prediction Log'!D708=0, "",'Prediction Log'!D708)</f>
      </c>
      <c r="E707" s="58" t="str">
        <f>IF('Prediction Log'!E708=0, "",'Prediction Log'!E708)</f>
      </c>
      <c r="F707" s="65" t="str">
        <f>IF('Prediction Log'!H708=0, "",'Prediction Log'!H708)</f>
      </c>
      <c r="G707" s="64" t="str">
        <f>IF(ISBLANK(Games!B707), "",'Prediction Log'!$I708)</f>
      </c>
      <c r="H707" s="66" t="n">
        <f>'Prediction Log'!$J708</f>
        <v>0</v>
      </c>
      <c r="I707" s="65" t="str">
        <f>IF(ISBLANK(Games!T707), "",IF(AND(Games!T707="",Games!U707=""),"",IF(ISTEXT(Games!U707), "Side",Games!T707)))</f>
      </c>
      <c r="J707" s="65" t="str">
        <f>IF(ISBLANK(Games!T707), "",IF(Table12[[#This Row],[Bet]]="Spread", Games!X707, ""))</f>
      </c>
      <c r="K707" s="65" t="str">
        <f>IF(ISBLANK(Games!U707), "",IF(ISTEXT(Games!U707), Games!U707, ""))</f>
      </c>
      <c r="L707" s="57" t="str">
        <f>IF(ISBLANK(Games!D707), "", Games!D707)</f>
      </c>
      <c r="M707" s="65"/>
      <c r="N707" s="75" t="str">
        <f>IF(Games!V707="", "",Games!V707)</f>
      </c>
      <c r="O707" s="75" t="str">
        <f>IF(Games!Z707=0, "",Games!Z707)</f>
      </c>
      <c r="P707" s="67"/>
      <c r="Q707" s="67" t="str">
        <f>IF(ISBLANK(Games!W707), "", Games!W707)</f>
      </c>
      <c r="R707" s="67" t="str">
        <f>IF(ISBLANK(Games!AA707), "", Games!AA707)</f>
      </c>
      <c r="S707" s="67"/>
      <c r="T707" s="68" t="str">
        <f t="shared" ref="T707:T770" si="106">IFERROR(N707+IF(Q707&lt;0, (N707/(Q707/-100)), N707*(Q707/100)), "")</f>
      </c>
      <c r="U707" s="68" t="str">
        <f t="shared" ref="U707:U770" si="107">IFERROR(T707-N707, "")</f>
      </c>
      <c r="V707" s="68" t="str">
        <f t="shared" ref="V707:V770" si="108">IFERROR(O707+IF(R707&lt;0, (O707/(R707/-100)), O707*(R707/100)), "")</f>
      </c>
      <c r="W707" s="68" t="str">
        <f t="shared" ref="W707:W770" si="109">IFERROR(V707-O707, "")</f>
      </c>
      <c r="X707" s="68" t="n">
        <f t="shared" si="102"/>
        <v>0</v>
      </c>
      <c r="Y707" s="68" t="n">
        <f t="shared" si="103"/>
        <v>0</v>
      </c>
      <c r="Z707" s="67" t="str">
        <f>IF(OR('Prediction Log'!L708="", Table12[[#This Row],[Bet]]="", Table12[[#This Row],[Bet]]="Spread"), "",IF('Prediction Log'!L708=Table12[[#This Row],[Side]], "W", IF('Prediction Log'!L708&lt;&gt;Table12[[#This Row],[Side]], "L", "")))</f>
      </c>
      <c r="AA707" s="59" t="str">
        <f t="shared" si="104"/>
      </c>
      <c r="AB707" s="67" t="str">
        <f>IF(OR(Table12[[#This Row],[Bet]]="Side",Table12[[#This Row],[Bet]]="", 'Prediction Log'!L708=""), "",IF('Prediction Log'!U708="Y", "W", IF('Prediction Log'!U708="N", "L", "")))</f>
      </c>
      <c r="AC707" s="59" t="str">
        <f t="shared" si="105"/>
      </c>
      <c r="AD707" s="67"/>
      <c r="AE707" s="65" t="str">
        <f t="shared" ref="AE707:AE770" si="110">IF(AD707="W", Y707, IF(AD707="L",-R707, ""))</f>
      </c>
      <c r="AF70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8">
      <c r="A708" s="65" t="str">
        <f>IF(ISBLANK(Games!A708), "", Games!A708)</f>
      </c>
      <c r="B708" s="65" t="str">
        <f>IF('Prediction Log'!B709=0, "",'Prediction Log'!B709)</f>
      </c>
      <c r="C708" s="65" t="str">
        <f>IF('Prediction Log'!C709=0, "",'Prediction Log'!C709)</f>
      </c>
      <c r="D708" s="65" t="str">
        <f>IF('Prediction Log'!D709=0, "",'Prediction Log'!D709)</f>
      </c>
      <c r="E708" s="58" t="str">
        <f>IF('Prediction Log'!E709=0, "",'Prediction Log'!E709)</f>
      </c>
      <c r="F708" s="65" t="str">
        <f>IF('Prediction Log'!H709=0, "",'Prediction Log'!H709)</f>
      </c>
      <c r="G708" s="64" t="str">
        <f>IF(ISBLANK(Games!B708), "",'Prediction Log'!$I709)</f>
      </c>
      <c r="H708" s="66" t="n">
        <f>'Prediction Log'!$J709</f>
        <v>0</v>
      </c>
      <c r="I708" s="65" t="str">
        <f>IF(ISBLANK(Games!T708), "",IF(AND(Games!T708="",Games!U708=""),"",IF(ISTEXT(Games!U708), "Side",Games!T708)))</f>
      </c>
      <c r="J708" s="65" t="str">
        <f>IF(ISBLANK(Games!T708), "",IF(Table12[[#This Row],[Bet]]="Spread", Games!X708, ""))</f>
      </c>
      <c r="K708" s="65" t="str">
        <f>IF(ISBLANK(Games!U708), "",IF(ISTEXT(Games!U708), Games!U708, ""))</f>
      </c>
      <c r="L708" s="57" t="str">
        <f>IF(ISBLANK(Games!D708), "", Games!D708)</f>
      </c>
      <c r="M708" s="65"/>
      <c r="N708" s="75" t="str">
        <f>IF(Games!V708="", "",Games!V708)</f>
      </c>
      <c r="O708" s="75" t="str">
        <f>IF(Games!Z708=0, "",Games!Z708)</f>
      </c>
      <c r="P708" s="67"/>
      <c r="Q708" s="67" t="str">
        <f>IF(ISBLANK(Games!W708), "", Games!W708)</f>
      </c>
      <c r="R708" s="67" t="str">
        <f>IF(ISBLANK(Games!AA708), "", Games!AA708)</f>
      </c>
      <c r="S708" s="67"/>
      <c r="T708" s="68" t="str">
        <f t="shared" si="106"/>
      </c>
      <c r="U708" s="68" t="str">
        <f t="shared" si="107"/>
      </c>
      <c r="V708" s="68" t="str">
        <f t="shared" si="108"/>
      </c>
      <c r="W708" s="68" t="str">
        <f t="shared" si="109"/>
      </c>
      <c r="X708" s="68" t="n">
        <f t="shared" si="102"/>
        <v>0</v>
      </c>
      <c r="Y708" s="68" t="n">
        <f t="shared" si="103"/>
        <v>0</v>
      </c>
      <c r="Z708" s="67" t="str">
        <f>IF(OR('Prediction Log'!L709="", Table12[[#This Row],[Bet]]="", Table12[[#This Row],[Bet]]="Spread"), "",IF('Prediction Log'!L709=Table12[[#This Row],[Side]], "W", IF('Prediction Log'!L709&lt;&gt;Table12[[#This Row],[Side]], "L", "")))</f>
      </c>
      <c r="AA708" s="59" t="str">
        <f t="shared" si="104"/>
      </c>
      <c r="AB708" s="67" t="str">
        <f>IF(OR(Table12[[#This Row],[Bet]]="Side",Table12[[#This Row],[Bet]]="", 'Prediction Log'!L709=""), "",IF('Prediction Log'!U709="Y", "W", IF('Prediction Log'!U709="N", "L", "")))</f>
      </c>
      <c r="AC708" s="59" t="str">
        <f t="shared" si="105"/>
      </c>
      <c r="AD708" s="67"/>
      <c r="AE708" s="65" t="str">
        <f t="shared" si="110"/>
      </c>
      <c r="AF70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9">
      <c r="A709" s="65" t="str">
        <f>IF(ISBLANK(Games!A709), "", Games!A709)</f>
      </c>
      <c r="B709" s="65" t="str">
        <f>IF('Prediction Log'!B710=0, "",'Prediction Log'!B710)</f>
      </c>
      <c r="C709" s="65" t="str">
        <f>IF('Prediction Log'!C710=0, "",'Prediction Log'!C710)</f>
      </c>
      <c r="D709" s="65" t="str">
        <f>IF('Prediction Log'!D710=0, "",'Prediction Log'!D710)</f>
      </c>
      <c r="E709" s="58" t="str">
        <f>IF('Prediction Log'!E710=0, "",'Prediction Log'!E710)</f>
      </c>
      <c r="F709" s="65" t="str">
        <f>IF('Prediction Log'!H710=0, "",'Prediction Log'!H710)</f>
      </c>
      <c r="G709" s="64" t="str">
        <f>IF(ISBLANK(Games!B709), "",'Prediction Log'!$I710)</f>
      </c>
      <c r="H709" s="66" t="n">
        <f>'Prediction Log'!$J710</f>
        <v>0</v>
      </c>
      <c r="I709" s="65" t="str">
        <f>IF(ISBLANK(Games!T709), "",IF(AND(Games!T709="",Games!U709=""),"",IF(ISTEXT(Games!U709), "Side",Games!T709)))</f>
      </c>
      <c r="J709" s="65" t="str">
        <f>IF(ISBLANK(Games!T709), "",IF(Table12[[#This Row],[Bet]]="Spread", Games!X709, ""))</f>
      </c>
      <c r="K709" s="65" t="str">
        <f>IF(ISBLANK(Games!U709), "",IF(ISTEXT(Games!U709), Games!U709, ""))</f>
      </c>
      <c r="L709" s="57" t="str">
        <f>IF(ISBLANK(Games!D709), "", Games!D709)</f>
      </c>
      <c r="M709" s="65"/>
      <c r="N709" s="75" t="str">
        <f>IF(Games!V709="", "",Games!V709)</f>
      </c>
      <c r="O709" s="75" t="str">
        <f>IF(Games!Z709=0, "",Games!Z709)</f>
      </c>
      <c r="P709" s="67"/>
      <c r="Q709" s="67" t="str">
        <f>IF(ISBLANK(Games!W709), "", Games!W709)</f>
      </c>
      <c r="R709" s="67" t="str">
        <f>IF(ISBLANK(Games!AA709), "", Games!AA709)</f>
      </c>
      <c r="S709" s="67"/>
      <c r="T709" s="68" t="str">
        <f t="shared" si="106"/>
      </c>
      <c r="U709" s="68" t="str">
        <f t="shared" si="107"/>
      </c>
      <c r="V709" s="68" t="str">
        <f t="shared" si="108"/>
      </c>
      <c r="W709" s="68" t="str">
        <f t="shared" si="109"/>
      </c>
      <c r="X709" s="68" t="n">
        <f t="shared" si="102"/>
        <v>0</v>
      </c>
      <c r="Y709" s="68" t="n">
        <f t="shared" si="103"/>
        <v>0</v>
      </c>
      <c r="Z709" s="67" t="str">
        <f>IF(OR('Prediction Log'!L710="", Table12[[#This Row],[Bet]]="", Table12[[#This Row],[Bet]]="Spread"), "",IF('Prediction Log'!L710=Table12[[#This Row],[Side]], "W", IF('Prediction Log'!L710&lt;&gt;Table12[[#This Row],[Side]], "L", "")))</f>
      </c>
      <c r="AA709" s="59" t="str">
        <f t="shared" si="104"/>
      </c>
      <c r="AB709" s="67" t="str">
        <f>IF(OR(Table12[[#This Row],[Bet]]="Side",Table12[[#This Row],[Bet]]="", 'Prediction Log'!L710=""), "",IF('Prediction Log'!U710="Y", "W", IF('Prediction Log'!U710="N", "L", "")))</f>
      </c>
      <c r="AC709" s="59" t="str">
        <f t="shared" si="105"/>
      </c>
      <c r="AD709" s="67"/>
      <c r="AE709" s="65" t="str">
        <f t="shared" si="110"/>
      </c>
      <c r="AF70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0">
      <c r="A710" s="65" t="str">
        <f>IF(ISBLANK(Games!A710), "", Games!A710)</f>
      </c>
      <c r="B710" s="65" t="str">
        <f>IF('Prediction Log'!B711=0, "",'Prediction Log'!B711)</f>
      </c>
      <c r="C710" s="65" t="str">
        <f>IF('Prediction Log'!C711=0, "",'Prediction Log'!C711)</f>
      </c>
      <c r="D710" s="65" t="str">
        <f>IF('Prediction Log'!D711=0, "",'Prediction Log'!D711)</f>
      </c>
      <c r="E710" s="58" t="str">
        <f>IF('Prediction Log'!E711=0, "",'Prediction Log'!E711)</f>
      </c>
      <c r="F710" s="65" t="str">
        <f>IF('Prediction Log'!H711=0, "",'Prediction Log'!H711)</f>
      </c>
      <c r="G710" s="64" t="str">
        <f>IF(ISBLANK(Games!B710), "",'Prediction Log'!$I711)</f>
      </c>
      <c r="H710" s="66" t="n">
        <f>'Prediction Log'!$J711</f>
        <v>0</v>
      </c>
      <c r="I710" s="65" t="str">
        <f>IF(ISBLANK(Games!T710), "",IF(AND(Games!T710="",Games!U710=""),"",IF(ISTEXT(Games!U710), "Side",Games!T710)))</f>
      </c>
      <c r="J710" s="65" t="str">
        <f>IF(ISBLANK(Games!T710), "",IF(Table12[[#This Row],[Bet]]="Spread", Games!X710, ""))</f>
      </c>
      <c r="K710" s="65" t="str">
        <f>IF(ISBLANK(Games!U710), "",IF(ISTEXT(Games!U710), Games!U710, ""))</f>
      </c>
      <c r="L710" s="57" t="str">
        <f>IF(ISBLANK(Games!D710), "", Games!D710)</f>
      </c>
      <c r="M710" s="65"/>
      <c r="N710" s="75" t="str">
        <f>IF(Games!V710="", "",Games!V710)</f>
      </c>
      <c r="O710" s="75" t="str">
        <f>IF(Games!Z710=0, "",Games!Z710)</f>
      </c>
      <c r="P710" s="67"/>
      <c r="Q710" s="67" t="str">
        <f>IF(ISBLANK(Games!W710), "", Games!W710)</f>
      </c>
      <c r="R710" s="67" t="str">
        <f>IF(ISBLANK(Games!AA710), "", Games!AA710)</f>
      </c>
      <c r="S710" s="67"/>
      <c r="T710" s="68" t="str">
        <f t="shared" si="106"/>
      </c>
      <c r="U710" s="68" t="str">
        <f t="shared" si="107"/>
      </c>
      <c r="V710" s="68" t="str">
        <f t="shared" si="108"/>
      </c>
      <c r="W710" s="68" t="str">
        <f t="shared" si="109"/>
      </c>
      <c r="X710" s="68" t="n">
        <f t="shared" si="102"/>
        <v>0</v>
      </c>
      <c r="Y710" s="68" t="n">
        <f t="shared" si="103"/>
        <v>0</v>
      </c>
      <c r="Z710" s="67" t="str">
        <f>IF(OR('Prediction Log'!L711="", Table12[[#This Row],[Bet]]="", Table12[[#This Row],[Bet]]="Spread"), "",IF('Prediction Log'!L711=Table12[[#This Row],[Side]], "W", IF('Prediction Log'!L711&lt;&gt;Table12[[#This Row],[Side]], "L", "")))</f>
      </c>
      <c r="AA710" s="59" t="str">
        <f t="shared" si="104"/>
      </c>
      <c r="AB710" s="67" t="str">
        <f>IF(OR(Table12[[#This Row],[Bet]]="Side",Table12[[#This Row],[Bet]]="", 'Prediction Log'!L711=""), "",IF('Prediction Log'!U711="Y", "W", IF('Prediction Log'!U711="N", "L", "")))</f>
      </c>
      <c r="AC710" s="59" t="str">
        <f t="shared" si="105"/>
      </c>
      <c r="AD710" s="67"/>
      <c r="AE710" s="65" t="str">
        <f t="shared" si="110"/>
      </c>
      <c r="AF71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1">
      <c r="A711" s="65" t="str">
        <f>IF(ISBLANK(Games!A711), "", Games!A711)</f>
      </c>
      <c r="B711" s="65" t="str">
        <f>IF('Prediction Log'!B712=0, "",'Prediction Log'!B712)</f>
      </c>
      <c r="C711" s="65" t="str">
        <f>IF('Prediction Log'!C712=0, "",'Prediction Log'!C712)</f>
      </c>
      <c r="D711" s="65" t="str">
        <f>IF('Prediction Log'!D712=0, "",'Prediction Log'!D712)</f>
      </c>
      <c r="E711" s="58" t="str">
        <f>IF('Prediction Log'!E712=0, "",'Prediction Log'!E712)</f>
      </c>
      <c r="F711" s="65" t="str">
        <f>IF('Prediction Log'!H712=0, "",'Prediction Log'!H712)</f>
      </c>
      <c r="G711" s="64" t="str">
        <f>IF(ISBLANK(Games!B711), "",'Prediction Log'!$I712)</f>
      </c>
      <c r="H711" s="66" t="n">
        <f>'Prediction Log'!$J712</f>
        <v>0</v>
      </c>
      <c r="I711" s="65" t="str">
        <f>IF(ISBLANK(Games!T711), "",IF(AND(Games!T711="",Games!U711=""),"",IF(ISTEXT(Games!U711), "Side",Games!T711)))</f>
      </c>
      <c r="J711" s="65" t="str">
        <f>IF(ISBLANK(Games!T711), "",IF(Table12[[#This Row],[Bet]]="Spread", Games!X711, ""))</f>
      </c>
      <c r="K711" s="65" t="str">
        <f>IF(ISBLANK(Games!U711), "",IF(ISTEXT(Games!U711), Games!U711, ""))</f>
      </c>
      <c r="L711" s="57" t="str">
        <f>IF(ISBLANK(Games!D711), "", Games!D711)</f>
      </c>
      <c r="M711" s="65"/>
      <c r="N711" s="75" t="str">
        <f>IF(Games!V711="", "",Games!V711)</f>
      </c>
      <c r="O711" s="75" t="str">
        <f>IF(Games!Z711=0, "",Games!Z711)</f>
      </c>
      <c r="P711" s="67"/>
      <c r="Q711" s="67" t="str">
        <f>IF(ISBLANK(Games!W711), "", Games!W711)</f>
      </c>
      <c r="R711" s="67" t="str">
        <f>IF(ISBLANK(Games!AA711), "", Games!AA711)</f>
      </c>
      <c r="S711" s="67"/>
      <c r="T711" s="68" t="str">
        <f t="shared" si="106"/>
      </c>
      <c r="U711" s="68" t="str">
        <f t="shared" si="107"/>
      </c>
      <c r="V711" s="68" t="str">
        <f t="shared" si="108"/>
      </c>
      <c r="W711" s="68" t="str">
        <f t="shared" si="109"/>
      </c>
      <c r="X711" s="68" t="n">
        <f t="shared" si="102"/>
        <v>0</v>
      </c>
      <c r="Y711" s="68" t="n">
        <f t="shared" si="103"/>
        <v>0</v>
      </c>
      <c r="Z711" s="67" t="str">
        <f>IF(OR('Prediction Log'!L712="", Table12[[#This Row],[Bet]]="", Table12[[#This Row],[Bet]]="Spread"), "",IF('Prediction Log'!L712=Table12[[#This Row],[Side]], "W", IF('Prediction Log'!L712&lt;&gt;Table12[[#This Row],[Side]], "L", "")))</f>
      </c>
      <c r="AA711" s="59" t="str">
        <f t="shared" si="104"/>
      </c>
      <c r="AB711" s="67" t="str">
        <f>IF(OR(Table12[[#This Row],[Bet]]="Side",Table12[[#This Row],[Bet]]="", 'Prediction Log'!L712=""), "",IF('Prediction Log'!U712="Y", "W", IF('Prediction Log'!U712="N", "L", "")))</f>
      </c>
      <c r="AC711" s="59" t="str">
        <f t="shared" si="105"/>
      </c>
      <c r="AD711" s="67"/>
      <c r="AE711" s="65" t="str">
        <f t="shared" si="110"/>
      </c>
      <c r="AF71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2">
      <c r="A712" s="65" t="str">
        <f>IF(ISBLANK(Games!A712), "", Games!A712)</f>
      </c>
      <c r="B712" s="65" t="str">
        <f>IF('Prediction Log'!B713=0, "",'Prediction Log'!B713)</f>
      </c>
      <c r="C712" s="65" t="str">
        <f>IF('Prediction Log'!C713=0, "",'Prediction Log'!C713)</f>
      </c>
      <c r="D712" s="65" t="str">
        <f>IF('Prediction Log'!D713=0, "",'Prediction Log'!D713)</f>
      </c>
      <c r="E712" s="58" t="str">
        <f>IF('Prediction Log'!E713=0, "",'Prediction Log'!E713)</f>
      </c>
      <c r="F712" s="65" t="str">
        <f>IF('Prediction Log'!H713=0, "",'Prediction Log'!H713)</f>
      </c>
      <c r="G712" s="64" t="str">
        <f>IF(ISBLANK(Games!B712), "",'Prediction Log'!$I713)</f>
      </c>
      <c r="H712" s="66" t="n">
        <f>'Prediction Log'!$J713</f>
        <v>0</v>
      </c>
      <c r="I712" s="65" t="str">
        <f>IF(ISBLANK(Games!T712), "",IF(AND(Games!T712="",Games!U712=""),"",IF(ISTEXT(Games!U712), "Side",Games!T712)))</f>
      </c>
      <c r="J712" s="65" t="str">
        <f>IF(ISBLANK(Games!T712), "",IF(Table12[[#This Row],[Bet]]="Spread", Games!X712, ""))</f>
      </c>
      <c r="K712" s="65" t="str">
        <f>IF(ISBLANK(Games!U712), "",IF(ISTEXT(Games!U712), Games!U712, ""))</f>
      </c>
      <c r="L712" s="57" t="str">
        <f>IF(ISBLANK(Games!D712), "", Games!D712)</f>
      </c>
      <c r="M712" s="65"/>
      <c r="N712" s="75" t="str">
        <f>IF(Games!V712="", "",Games!V712)</f>
      </c>
      <c r="O712" s="75" t="str">
        <f>IF(Games!Z712=0, "",Games!Z712)</f>
      </c>
      <c r="P712" s="67"/>
      <c r="Q712" s="67" t="str">
        <f>IF(ISBLANK(Games!W712), "", Games!W712)</f>
      </c>
      <c r="R712" s="67" t="str">
        <f>IF(ISBLANK(Games!AA712), "", Games!AA712)</f>
      </c>
      <c r="S712" s="67"/>
      <c r="T712" s="68" t="str">
        <f t="shared" si="106"/>
      </c>
      <c r="U712" s="68" t="str">
        <f t="shared" si="107"/>
      </c>
      <c r="V712" s="68" t="str">
        <f t="shared" si="108"/>
      </c>
      <c r="W712" s="68" t="str">
        <f t="shared" si="109"/>
      </c>
      <c r="X712" s="68" t="n">
        <f t="shared" si="102"/>
        <v>0</v>
      </c>
      <c r="Y712" s="68" t="n">
        <f t="shared" si="103"/>
        <v>0</v>
      </c>
      <c r="Z712" s="67" t="str">
        <f>IF(OR('Prediction Log'!L713="", Table12[[#This Row],[Bet]]="", Table12[[#This Row],[Bet]]="Spread"), "",IF('Prediction Log'!L713=Table12[[#This Row],[Side]], "W", IF('Prediction Log'!L713&lt;&gt;Table12[[#This Row],[Side]], "L", "")))</f>
      </c>
      <c r="AA712" s="59" t="str">
        <f t="shared" si="104"/>
      </c>
      <c r="AB712" s="67" t="str">
        <f>IF(OR(Table12[[#This Row],[Bet]]="Side",Table12[[#This Row],[Bet]]="", 'Prediction Log'!L713=""), "",IF('Prediction Log'!U713="Y", "W", IF('Prediction Log'!U713="N", "L", "")))</f>
      </c>
      <c r="AC712" s="59" t="str">
        <f t="shared" si="105"/>
      </c>
      <c r="AD712" s="67"/>
      <c r="AE712" s="65" t="str">
        <f t="shared" si="110"/>
      </c>
      <c r="AF71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3">
      <c r="A713" s="65" t="str">
        <f>IF(ISBLANK(Games!A713), "", Games!A713)</f>
      </c>
      <c r="B713" s="65" t="str">
        <f>IF('Prediction Log'!B714=0, "",'Prediction Log'!B714)</f>
      </c>
      <c r="C713" s="65" t="str">
        <f>IF('Prediction Log'!C714=0, "",'Prediction Log'!C714)</f>
      </c>
      <c r="D713" s="65" t="str">
        <f>IF('Prediction Log'!D714=0, "",'Prediction Log'!D714)</f>
      </c>
      <c r="E713" s="58" t="str">
        <f>IF('Prediction Log'!E714=0, "",'Prediction Log'!E714)</f>
      </c>
      <c r="F713" s="65" t="str">
        <f>IF('Prediction Log'!H714=0, "",'Prediction Log'!H714)</f>
      </c>
      <c r="G713" s="64" t="str">
        <f>IF(ISBLANK(Games!B713), "",'Prediction Log'!$I714)</f>
      </c>
      <c r="H713" s="66" t="n">
        <f>'Prediction Log'!$J714</f>
        <v>0</v>
      </c>
      <c r="I713" s="65" t="str">
        <f>IF(ISBLANK(Games!T713), "",IF(AND(Games!T713="",Games!U713=""),"",IF(ISTEXT(Games!U713), "Side",Games!T713)))</f>
      </c>
      <c r="J713" s="65" t="str">
        <f>IF(ISBLANK(Games!T713), "",IF(Table12[[#This Row],[Bet]]="Spread", Games!X713, ""))</f>
      </c>
      <c r="K713" s="65" t="str">
        <f>IF(ISBLANK(Games!U713), "",IF(ISTEXT(Games!U713), Games!U713, ""))</f>
      </c>
      <c r="L713" s="57" t="str">
        <f>IF(ISBLANK(Games!D713), "", Games!D713)</f>
      </c>
      <c r="M713" s="65"/>
      <c r="N713" s="75" t="str">
        <f>IF(Games!V713="", "",Games!V713)</f>
      </c>
      <c r="O713" s="75" t="str">
        <f>IF(Games!Z713=0, "",Games!Z713)</f>
      </c>
      <c r="P713" s="67"/>
      <c r="Q713" s="67" t="str">
        <f>IF(ISBLANK(Games!W713), "", Games!W713)</f>
      </c>
      <c r="R713" s="67" t="str">
        <f>IF(ISBLANK(Games!AA713), "", Games!AA713)</f>
      </c>
      <c r="S713" s="67"/>
      <c r="T713" s="68" t="str">
        <f t="shared" si="106"/>
      </c>
      <c r="U713" s="68" t="str">
        <f t="shared" si="107"/>
      </c>
      <c r="V713" s="68" t="str">
        <f t="shared" si="108"/>
      </c>
      <c r="W713" s="68" t="str">
        <f t="shared" si="109"/>
      </c>
      <c r="X713" s="68" t="n">
        <f t="shared" si="102"/>
        <v>0</v>
      </c>
      <c r="Y713" s="68" t="n">
        <f t="shared" si="103"/>
        <v>0</v>
      </c>
      <c r="Z713" s="67" t="str">
        <f>IF(OR('Prediction Log'!L714="", Table12[[#This Row],[Bet]]="", Table12[[#This Row],[Bet]]="Spread"), "",IF('Prediction Log'!L714=Table12[[#This Row],[Side]], "W", IF('Prediction Log'!L714&lt;&gt;Table12[[#This Row],[Side]], "L", "")))</f>
      </c>
      <c r="AA713" s="59" t="str">
        <f t="shared" si="104"/>
      </c>
      <c r="AB713" s="67" t="str">
        <f>IF(OR(Table12[[#This Row],[Bet]]="Side",Table12[[#This Row],[Bet]]="", 'Prediction Log'!L714=""), "",IF('Prediction Log'!U714="Y", "W", IF('Prediction Log'!U714="N", "L", "")))</f>
      </c>
      <c r="AC713" s="59" t="str">
        <f t="shared" si="105"/>
      </c>
      <c r="AD713" s="67"/>
      <c r="AE713" s="65" t="str">
        <f t="shared" si="110"/>
      </c>
      <c r="AF71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4">
      <c r="A714" s="65" t="str">
        <f>IF(ISBLANK(Games!A714), "", Games!A714)</f>
      </c>
      <c r="B714" s="65" t="str">
        <f>IF('Prediction Log'!B715=0, "",'Prediction Log'!B715)</f>
      </c>
      <c r="C714" s="65" t="str">
        <f>IF('Prediction Log'!C715=0, "",'Prediction Log'!C715)</f>
      </c>
      <c r="D714" s="65" t="str">
        <f>IF('Prediction Log'!D715=0, "",'Prediction Log'!D715)</f>
      </c>
      <c r="E714" s="58" t="str">
        <f>IF('Prediction Log'!E715=0, "",'Prediction Log'!E715)</f>
      </c>
      <c r="F714" s="65" t="str">
        <f>IF('Prediction Log'!H715=0, "",'Prediction Log'!H715)</f>
      </c>
      <c r="G714" s="64" t="str">
        <f>IF(ISBLANK(Games!B714), "",'Prediction Log'!$I715)</f>
      </c>
      <c r="H714" s="66" t="n">
        <f>'Prediction Log'!$J715</f>
        <v>0</v>
      </c>
      <c r="I714" s="65" t="str">
        <f>IF(ISBLANK(Games!T714), "",IF(AND(Games!T714="",Games!U714=""),"",IF(ISTEXT(Games!U714), "Side",Games!T714)))</f>
      </c>
      <c r="J714" s="65" t="str">
        <f>IF(ISBLANK(Games!T714), "",IF(Table12[[#This Row],[Bet]]="Spread", Games!X714, ""))</f>
      </c>
      <c r="K714" s="65" t="str">
        <f>IF(ISBLANK(Games!U714), "",IF(ISTEXT(Games!U714), Games!U714, ""))</f>
      </c>
      <c r="L714" s="57" t="str">
        <f>IF(ISBLANK(Games!D714), "", Games!D714)</f>
      </c>
      <c r="M714" s="65"/>
      <c r="N714" s="75" t="str">
        <f>IF(Games!V714="", "",Games!V714)</f>
      </c>
      <c r="O714" s="75" t="str">
        <f>IF(Games!Z714=0, "",Games!Z714)</f>
      </c>
      <c r="P714" s="67"/>
      <c r="Q714" s="67" t="str">
        <f>IF(ISBLANK(Games!W714), "", Games!W714)</f>
      </c>
      <c r="R714" s="67" t="str">
        <f>IF(ISBLANK(Games!AA714), "", Games!AA714)</f>
      </c>
      <c r="S714" s="67"/>
      <c r="T714" s="68" t="str">
        <f t="shared" si="106"/>
      </c>
      <c r="U714" s="68" t="str">
        <f t="shared" si="107"/>
      </c>
      <c r="V714" s="68" t="str">
        <f t="shared" si="108"/>
      </c>
      <c r="W714" s="68" t="str">
        <f t="shared" si="109"/>
      </c>
      <c r="X714" s="68" t="n">
        <f t="shared" si="102"/>
        <v>0</v>
      </c>
      <c r="Y714" s="68" t="n">
        <f t="shared" si="103"/>
        <v>0</v>
      </c>
      <c r="Z714" s="67" t="str">
        <f>IF(OR('Prediction Log'!L715="", Table12[[#This Row],[Bet]]="", Table12[[#This Row],[Bet]]="Spread"), "",IF('Prediction Log'!L715=Table12[[#This Row],[Side]], "W", IF('Prediction Log'!L715&lt;&gt;Table12[[#This Row],[Side]], "L", "")))</f>
      </c>
      <c r="AA714" s="59" t="str">
        <f t="shared" si="104"/>
      </c>
      <c r="AB714" s="67" t="str">
        <f>IF(OR(Table12[[#This Row],[Bet]]="Side",Table12[[#This Row],[Bet]]="", 'Prediction Log'!L715=""), "",IF('Prediction Log'!U715="Y", "W", IF('Prediction Log'!U715="N", "L", "")))</f>
      </c>
      <c r="AC714" s="59" t="str">
        <f t="shared" si="105"/>
      </c>
      <c r="AD714" s="67"/>
      <c r="AE714" s="65" t="str">
        <f t="shared" si="110"/>
      </c>
      <c r="AF71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5">
      <c r="A715" s="65" t="str">
        <f>IF(ISBLANK(Games!A715), "", Games!A715)</f>
      </c>
      <c r="B715" s="65" t="str">
        <f>IF('Prediction Log'!B716=0, "",'Prediction Log'!B716)</f>
      </c>
      <c r="C715" s="65" t="str">
        <f>IF('Prediction Log'!C716=0, "",'Prediction Log'!C716)</f>
      </c>
      <c r="D715" s="65" t="str">
        <f>IF('Prediction Log'!D716=0, "",'Prediction Log'!D716)</f>
      </c>
      <c r="E715" s="58" t="str">
        <f>IF('Prediction Log'!E716=0, "",'Prediction Log'!E716)</f>
      </c>
      <c r="F715" s="65" t="str">
        <f>IF('Prediction Log'!H716=0, "",'Prediction Log'!H716)</f>
      </c>
      <c r="G715" s="64" t="str">
        <f>IF(ISBLANK(Games!B715), "",'Prediction Log'!$I716)</f>
      </c>
      <c r="H715" s="66" t="n">
        <f>'Prediction Log'!$J716</f>
        <v>0</v>
      </c>
      <c r="I715" s="65" t="str">
        <f>IF(ISBLANK(Games!T715), "",IF(AND(Games!T715="",Games!U715=""),"",IF(ISTEXT(Games!U715), "Side",Games!T715)))</f>
      </c>
      <c r="J715" s="65" t="str">
        <f>IF(ISBLANK(Games!T715), "",IF(Table12[[#This Row],[Bet]]="Spread", Games!X715, ""))</f>
      </c>
      <c r="K715" s="65" t="str">
        <f>IF(ISBLANK(Games!U715), "",IF(ISTEXT(Games!U715), Games!U715, ""))</f>
      </c>
      <c r="L715" s="57" t="str">
        <f>IF(ISBLANK(Games!D715), "", Games!D715)</f>
      </c>
      <c r="M715" s="65"/>
      <c r="N715" s="75" t="str">
        <f>IF(Games!V715="", "",Games!V715)</f>
      </c>
      <c r="O715" s="75" t="str">
        <f>IF(Games!Z715=0, "",Games!Z715)</f>
      </c>
      <c r="P715" s="67"/>
      <c r="Q715" s="67" t="str">
        <f>IF(ISBLANK(Games!W715), "", Games!W715)</f>
      </c>
      <c r="R715" s="67" t="str">
        <f>IF(ISBLANK(Games!AA715), "", Games!AA715)</f>
      </c>
      <c r="S715" s="67"/>
      <c r="T715" s="68" t="str">
        <f t="shared" si="106"/>
      </c>
      <c r="U715" s="68" t="str">
        <f t="shared" si="107"/>
      </c>
      <c r="V715" s="68" t="str">
        <f t="shared" si="108"/>
      </c>
      <c r="W715" s="68" t="str">
        <f t="shared" si="109"/>
      </c>
      <c r="X715" s="68" t="n">
        <f t="shared" si="102"/>
        <v>0</v>
      </c>
      <c r="Y715" s="68" t="n">
        <f t="shared" si="103"/>
        <v>0</v>
      </c>
      <c r="Z715" s="67" t="str">
        <f>IF(OR('Prediction Log'!L716="", Table12[[#This Row],[Bet]]="", Table12[[#This Row],[Bet]]="Spread"), "",IF('Prediction Log'!L716=Table12[[#This Row],[Side]], "W", IF('Prediction Log'!L716&lt;&gt;Table12[[#This Row],[Side]], "L", "")))</f>
      </c>
      <c r="AA715" s="59" t="str">
        <f t="shared" si="104"/>
      </c>
      <c r="AB715" s="67" t="str">
        <f>IF(OR(Table12[[#This Row],[Bet]]="Side",Table12[[#This Row],[Bet]]="", 'Prediction Log'!L716=""), "",IF('Prediction Log'!U716="Y", "W", IF('Prediction Log'!U716="N", "L", "")))</f>
      </c>
      <c r="AC715" s="59" t="str">
        <f t="shared" si="105"/>
      </c>
      <c r="AD715" s="67"/>
      <c r="AE715" s="65" t="str">
        <f t="shared" si="110"/>
      </c>
      <c r="AF71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6">
      <c r="A716" s="65" t="str">
        <f>IF(ISBLANK(Games!A716), "", Games!A716)</f>
      </c>
      <c r="B716" s="65" t="str">
        <f>IF('Prediction Log'!B717=0, "",'Prediction Log'!B717)</f>
      </c>
      <c r="C716" s="65" t="str">
        <f>IF('Prediction Log'!C717=0, "",'Prediction Log'!C717)</f>
      </c>
      <c r="D716" s="65" t="str">
        <f>IF('Prediction Log'!D717=0, "",'Prediction Log'!D717)</f>
      </c>
      <c r="E716" s="58" t="str">
        <f>IF('Prediction Log'!E717=0, "",'Prediction Log'!E717)</f>
      </c>
      <c r="F716" s="65" t="str">
        <f>IF('Prediction Log'!H717=0, "",'Prediction Log'!H717)</f>
      </c>
      <c r="G716" s="64" t="str">
        <f>IF(ISBLANK(Games!B716), "",'Prediction Log'!$I717)</f>
      </c>
      <c r="H716" s="66" t="n">
        <f>'Prediction Log'!$J717</f>
        <v>0</v>
      </c>
      <c r="I716" s="65" t="str">
        <f>IF(ISBLANK(Games!T716), "",IF(AND(Games!T716="",Games!U716=""),"",IF(ISTEXT(Games!U716), "Side",Games!T716)))</f>
      </c>
      <c r="J716" s="65" t="str">
        <f>IF(ISBLANK(Games!T716), "",IF(Table12[[#This Row],[Bet]]="Spread", Games!X716, ""))</f>
      </c>
      <c r="K716" s="65" t="str">
        <f>IF(ISBLANK(Games!U716), "",IF(ISTEXT(Games!U716), Games!U716, ""))</f>
      </c>
      <c r="L716" s="57" t="str">
        <f>IF(ISBLANK(Games!D716), "", Games!D716)</f>
      </c>
      <c r="M716" s="65"/>
      <c r="N716" s="75" t="str">
        <f>IF(Games!V716="", "",Games!V716)</f>
      </c>
      <c r="O716" s="75" t="str">
        <f>IF(Games!Z716=0, "",Games!Z716)</f>
      </c>
      <c r="P716" s="67"/>
      <c r="Q716" s="67" t="str">
        <f>IF(ISBLANK(Games!W716), "", Games!W716)</f>
      </c>
      <c r="R716" s="67" t="str">
        <f>IF(ISBLANK(Games!AA716), "", Games!AA716)</f>
      </c>
      <c r="S716" s="67"/>
      <c r="T716" s="68" t="str">
        <f t="shared" si="106"/>
      </c>
      <c r="U716" s="68" t="str">
        <f t="shared" si="107"/>
      </c>
      <c r="V716" s="68" t="str">
        <f t="shared" si="108"/>
      </c>
      <c r="W716" s="68" t="str">
        <f t="shared" si="109"/>
      </c>
      <c r="X716" s="68" t="n">
        <f t="shared" si="102"/>
        <v>0</v>
      </c>
      <c r="Y716" s="68" t="n">
        <f t="shared" si="103"/>
        <v>0</v>
      </c>
      <c r="Z716" s="67" t="str">
        <f>IF(OR('Prediction Log'!L717="", Table12[[#This Row],[Bet]]="", Table12[[#This Row],[Bet]]="Spread"), "",IF('Prediction Log'!L717=Table12[[#This Row],[Side]], "W", IF('Prediction Log'!L717&lt;&gt;Table12[[#This Row],[Side]], "L", "")))</f>
      </c>
      <c r="AA716" s="59" t="str">
        <f t="shared" si="104"/>
      </c>
      <c r="AB716" s="67" t="str">
        <f>IF(OR(Table12[[#This Row],[Bet]]="Side",Table12[[#This Row],[Bet]]="", 'Prediction Log'!L717=""), "",IF('Prediction Log'!U717="Y", "W", IF('Prediction Log'!U717="N", "L", "")))</f>
      </c>
      <c r="AC716" s="59" t="str">
        <f t="shared" si="105"/>
      </c>
      <c r="AD716" s="67"/>
      <c r="AE716" s="65" t="str">
        <f t="shared" si="110"/>
      </c>
      <c r="AF71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7">
      <c r="A717" s="65" t="str">
        <f>IF(ISBLANK(Games!A717), "", Games!A717)</f>
      </c>
      <c r="B717" s="65" t="str">
        <f>IF('Prediction Log'!B718=0, "",'Prediction Log'!B718)</f>
      </c>
      <c r="C717" s="65" t="str">
        <f>IF('Prediction Log'!C718=0, "",'Prediction Log'!C718)</f>
      </c>
      <c r="D717" s="65" t="str">
        <f>IF('Prediction Log'!D718=0, "",'Prediction Log'!D718)</f>
      </c>
      <c r="E717" s="58" t="str">
        <f>IF('Prediction Log'!E718=0, "",'Prediction Log'!E718)</f>
      </c>
      <c r="F717" s="65" t="str">
        <f>IF('Prediction Log'!H718=0, "",'Prediction Log'!H718)</f>
      </c>
      <c r="G717" s="64" t="str">
        <f>IF(ISBLANK(Games!B717), "",'Prediction Log'!$I718)</f>
      </c>
      <c r="H717" s="66" t="n">
        <f>'Prediction Log'!$J718</f>
        <v>0</v>
      </c>
      <c r="I717" s="65" t="str">
        <f>IF(ISBLANK(Games!T717), "",IF(AND(Games!T717="",Games!U717=""),"",IF(ISTEXT(Games!U717), "Side",Games!T717)))</f>
      </c>
      <c r="J717" s="65" t="str">
        <f>IF(ISBLANK(Games!T717), "",IF(Table12[[#This Row],[Bet]]="Spread", Games!X717, ""))</f>
      </c>
      <c r="K717" s="65" t="str">
        <f>IF(ISBLANK(Games!U717), "",IF(ISTEXT(Games!U717), Games!U717, ""))</f>
      </c>
      <c r="L717" s="57" t="str">
        <f>IF(ISBLANK(Games!D717), "", Games!D717)</f>
      </c>
      <c r="M717" s="65"/>
      <c r="N717" s="75" t="str">
        <f>IF(Games!V717="", "",Games!V717)</f>
      </c>
      <c r="O717" s="75" t="str">
        <f>IF(Games!Z717=0, "",Games!Z717)</f>
      </c>
      <c r="P717" s="67"/>
      <c r="Q717" s="67" t="str">
        <f>IF(ISBLANK(Games!W717), "", Games!W717)</f>
      </c>
      <c r="R717" s="67" t="str">
        <f>IF(ISBLANK(Games!AA717), "", Games!AA717)</f>
      </c>
      <c r="S717" s="67"/>
      <c r="T717" s="68" t="str">
        <f t="shared" si="106"/>
      </c>
      <c r="U717" s="68" t="str">
        <f t="shared" si="107"/>
      </c>
      <c r="V717" s="68" t="str">
        <f t="shared" si="108"/>
      </c>
      <c r="W717" s="68" t="str">
        <f t="shared" si="109"/>
      </c>
      <c r="X717" s="68" t="n">
        <f t="shared" si="102"/>
        <v>0</v>
      </c>
      <c r="Y717" s="68" t="n">
        <f t="shared" si="103"/>
        <v>0</v>
      </c>
      <c r="Z717" s="67" t="str">
        <f>IF(OR('Prediction Log'!L718="", Table12[[#This Row],[Bet]]="", Table12[[#This Row],[Bet]]="Spread"), "",IF('Prediction Log'!L718=Table12[[#This Row],[Side]], "W", IF('Prediction Log'!L718&lt;&gt;Table12[[#This Row],[Side]], "L", "")))</f>
      </c>
      <c r="AA717" s="59" t="str">
        <f t="shared" si="104"/>
      </c>
      <c r="AB717" s="67" t="str">
        <f>IF(OR(Table12[[#This Row],[Bet]]="Side",Table12[[#This Row],[Bet]]="", 'Prediction Log'!L718=""), "",IF('Prediction Log'!U718="Y", "W", IF('Prediction Log'!U718="N", "L", "")))</f>
      </c>
      <c r="AC717" s="59" t="str">
        <f t="shared" si="105"/>
      </c>
      <c r="AD717" s="67"/>
      <c r="AE717" s="65" t="str">
        <f t="shared" si="110"/>
      </c>
      <c r="AF71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8">
      <c r="A718" s="65" t="str">
        <f>IF(ISBLANK(Games!A718), "", Games!A718)</f>
      </c>
      <c r="B718" s="65" t="str">
        <f>IF('Prediction Log'!B719=0, "",'Prediction Log'!B719)</f>
      </c>
      <c r="C718" s="65" t="str">
        <f>IF('Prediction Log'!C719=0, "",'Prediction Log'!C719)</f>
      </c>
      <c r="D718" s="65" t="str">
        <f>IF('Prediction Log'!D719=0, "",'Prediction Log'!D719)</f>
      </c>
      <c r="E718" s="58" t="str">
        <f>IF('Prediction Log'!E719=0, "",'Prediction Log'!E719)</f>
      </c>
      <c r="F718" s="65" t="str">
        <f>IF('Prediction Log'!H719=0, "",'Prediction Log'!H719)</f>
      </c>
      <c r="G718" s="64" t="str">
        <f>IF(ISBLANK(Games!B718), "",'Prediction Log'!$I719)</f>
      </c>
      <c r="H718" s="66" t="n">
        <f>'Prediction Log'!$J719</f>
        <v>0</v>
      </c>
      <c r="I718" s="65" t="str">
        <f>IF(ISBLANK(Games!T718), "",IF(AND(Games!T718="",Games!U718=""),"",IF(ISTEXT(Games!U718), "Side",Games!T718)))</f>
      </c>
      <c r="J718" s="65" t="str">
        <f>IF(ISBLANK(Games!T718), "",IF(Table12[[#This Row],[Bet]]="Spread", Games!X718, ""))</f>
      </c>
      <c r="K718" s="65" t="str">
        <f>IF(ISBLANK(Games!U718), "",IF(ISTEXT(Games!U718), Games!U718, ""))</f>
      </c>
      <c r="L718" s="57" t="str">
        <f>IF(ISBLANK(Games!D718), "", Games!D718)</f>
      </c>
      <c r="M718" s="65"/>
      <c r="N718" s="75" t="str">
        <f>IF(Games!V718="", "",Games!V718)</f>
      </c>
      <c r="O718" s="75" t="str">
        <f>IF(Games!Z718=0, "",Games!Z718)</f>
      </c>
      <c r="P718" s="67"/>
      <c r="Q718" s="67" t="str">
        <f>IF(ISBLANK(Games!W718), "", Games!W718)</f>
      </c>
      <c r="R718" s="67" t="str">
        <f>IF(ISBLANK(Games!AA718), "", Games!AA718)</f>
      </c>
      <c r="S718" s="67"/>
      <c r="T718" s="68" t="str">
        <f t="shared" si="106"/>
      </c>
      <c r="U718" s="68" t="str">
        <f t="shared" si="107"/>
      </c>
      <c r="V718" s="68" t="str">
        <f t="shared" si="108"/>
      </c>
      <c r="W718" s="68" t="str">
        <f t="shared" si="109"/>
      </c>
      <c r="X718" s="68" t="n">
        <f t="shared" si="102"/>
        <v>0</v>
      </c>
      <c r="Y718" s="68" t="n">
        <f t="shared" si="103"/>
        <v>0</v>
      </c>
      <c r="Z718" s="67" t="str">
        <f>IF(OR('Prediction Log'!L719="", Table12[[#This Row],[Bet]]="", Table12[[#This Row],[Bet]]="Spread"), "",IF('Prediction Log'!L719=Table12[[#This Row],[Side]], "W", IF('Prediction Log'!L719&lt;&gt;Table12[[#This Row],[Side]], "L", "")))</f>
      </c>
      <c r="AA718" s="59" t="str">
        <f t="shared" si="104"/>
      </c>
      <c r="AB718" s="67" t="str">
        <f>IF(OR(Table12[[#This Row],[Bet]]="Side",Table12[[#This Row],[Bet]]="", 'Prediction Log'!L719=""), "",IF('Prediction Log'!U719="Y", "W", IF('Prediction Log'!U719="N", "L", "")))</f>
      </c>
      <c r="AC718" s="59" t="str">
        <f t="shared" si="105"/>
      </c>
      <c r="AD718" s="67"/>
      <c r="AE718" s="65" t="str">
        <f t="shared" si="110"/>
      </c>
      <c r="AF71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9">
      <c r="A719" s="65" t="str">
        <f>IF(ISBLANK(Games!A719), "", Games!A719)</f>
      </c>
      <c r="B719" s="65" t="str">
        <f>IF('Prediction Log'!B720=0, "",'Prediction Log'!B720)</f>
      </c>
      <c r="C719" s="65" t="str">
        <f>IF('Prediction Log'!C720=0, "",'Prediction Log'!C720)</f>
      </c>
      <c r="D719" s="65" t="str">
        <f>IF('Prediction Log'!D720=0, "",'Prediction Log'!D720)</f>
      </c>
      <c r="E719" s="58" t="str">
        <f>IF('Prediction Log'!E720=0, "",'Prediction Log'!E720)</f>
      </c>
      <c r="F719" s="65" t="str">
        <f>IF('Prediction Log'!H720=0, "",'Prediction Log'!H720)</f>
      </c>
      <c r="G719" s="64" t="str">
        <f>IF(ISBLANK(Games!B719), "",'Prediction Log'!$I720)</f>
      </c>
      <c r="H719" s="66" t="n">
        <f>'Prediction Log'!$J720</f>
        <v>0</v>
      </c>
      <c r="I719" s="65" t="str">
        <f>IF(ISBLANK(Games!T719), "",IF(AND(Games!T719="",Games!U719=""),"",IF(ISTEXT(Games!U719), "Side",Games!T719)))</f>
      </c>
      <c r="J719" s="65" t="str">
        <f>IF(ISBLANK(Games!T719), "",IF(Table12[[#This Row],[Bet]]="Spread", Games!X719, ""))</f>
      </c>
      <c r="K719" s="65" t="str">
        <f>IF(ISBLANK(Games!U719), "",IF(ISTEXT(Games!U719), Games!U719, ""))</f>
      </c>
      <c r="L719" s="57" t="str">
        <f>IF(ISBLANK(Games!D719), "", Games!D719)</f>
      </c>
      <c r="M719" s="65"/>
      <c r="N719" s="75" t="str">
        <f>IF(Games!V719="", "",Games!V719)</f>
      </c>
      <c r="O719" s="75" t="str">
        <f>IF(Games!Z719=0, "",Games!Z719)</f>
      </c>
      <c r="P719" s="67"/>
      <c r="Q719" s="67" t="str">
        <f>IF(ISBLANK(Games!W719), "", Games!W719)</f>
      </c>
      <c r="R719" s="67" t="str">
        <f>IF(ISBLANK(Games!AA719), "", Games!AA719)</f>
      </c>
      <c r="S719" s="67"/>
      <c r="T719" s="68" t="str">
        <f t="shared" si="106"/>
      </c>
      <c r="U719" s="68" t="str">
        <f t="shared" si="107"/>
      </c>
      <c r="V719" s="68" t="str">
        <f t="shared" si="108"/>
      </c>
      <c r="W719" s="68" t="str">
        <f t="shared" si="109"/>
      </c>
      <c r="X719" s="68" t="n">
        <f t="shared" si="102"/>
        <v>0</v>
      </c>
      <c r="Y719" s="68" t="n">
        <f t="shared" si="103"/>
        <v>0</v>
      </c>
      <c r="Z719" s="67" t="str">
        <f>IF(OR('Prediction Log'!L720="", Table12[[#This Row],[Bet]]="", Table12[[#This Row],[Bet]]="Spread"), "",IF('Prediction Log'!L720=Table12[[#This Row],[Side]], "W", IF('Prediction Log'!L720&lt;&gt;Table12[[#This Row],[Side]], "L", "")))</f>
      </c>
      <c r="AA719" s="59" t="str">
        <f t="shared" si="104"/>
      </c>
      <c r="AB719" s="67" t="str">
        <f>IF(OR(Table12[[#This Row],[Bet]]="Side",Table12[[#This Row],[Bet]]="", 'Prediction Log'!L720=""), "",IF('Prediction Log'!U720="Y", "W", IF('Prediction Log'!U720="N", "L", "")))</f>
      </c>
      <c r="AC719" s="59" t="str">
        <f t="shared" si="105"/>
      </c>
      <c r="AD719" s="67"/>
      <c r="AE719" s="65" t="str">
        <f t="shared" si="110"/>
      </c>
      <c r="AF71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0">
      <c r="A720" s="65" t="str">
        <f>IF(ISBLANK(Games!A720), "", Games!A720)</f>
      </c>
      <c r="B720" s="65" t="str">
        <f>IF('Prediction Log'!B721=0, "",'Prediction Log'!B721)</f>
      </c>
      <c r="C720" s="65" t="str">
        <f>IF('Prediction Log'!C721=0, "",'Prediction Log'!C721)</f>
      </c>
      <c r="D720" s="65" t="str">
        <f>IF('Prediction Log'!D721=0, "",'Prediction Log'!D721)</f>
      </c>
      <c r="E720" s="58" t="str">
        <f>IF('Prediction Log'!E721=0, "",'Prediction Log'!E721)</f>
      </c>
      <c r="F720" s="65" t="str">
        <f>IF('Prediction Log'!H721=0, "",'Prediction Log'!H721)</f>
      </c>
      <c r="G720" s="64" t="str">
        <f>IF(ISBLANK(Games!B720), "",'Prediction Log'!$I721)</f>
      </c>
      <c r="H720" s="66" t="n">
        <f>'Prediction Log'!$J721</f>
        <v>0</v>
      </c>
      <c r="I720" s="65" t="str">
        <f>IF(ISBLANK(Games!T720), "",IF(AND(Games!T720="",Games!U720=""),"",IF(ISTEXT(Games!U720), "Side",Games!T720)))</f>
      </c>
      <c r="J720" s="65" t="str">
        <f>IF(ISBLANK(Games!T720), "",IF(Table12[[#This Row],[Bet]]="Spread", Games!X720, ""))</f>
      </c>
      <c r="K720" s="65" t="str">
        <f>IF(ISBLANK(Games!U720), "",IF(ISTEXT(Games!U720), Games!U720, ""))</f>
      </c>
      <c r="L720" s="57" t="str">
        <f>IF(ISBLANK(Games!D720), "", Games!D720)</f>
      </c>
      <c r="M720" s="65"/>
      <c r="N720" s="75" t="str">
        <f>IF(Games!V720="", "",Games!V720)</f>
      </c>
      <c r="O720" s="75" t="str">
        <f>IF(Games!Z720=0, "",Games!Z720)</f>
      </c>
      <c r="P720" s="67"/>
      <c r="Q720" s="67" t="str">
        <f>IF(ISBLANK(Games!W720), "", Games!W720)</f>
      </c>
      <c r="R720" s="67" t="str">
        <f>IF(ISBLANK(Games!AA720), "", Games!AA720)</f>
      </c>
      <c r="S720" s="67"/>
      <c r="T720" s="68" t="str">
        <f t="shared" si="106"/>
      </c>
      <c r="U720" s="68" t="str">
        <f t="shared" si="107"/>
      </c>
      <c r="V720" s="68" t="str">
        <f t="shared" si="108"/>
      </c>
      <c r="W720" s="68" t="str">
        <f t="shared" si="109"/>
      </c>
      <c r="X720" s="68" t="n">
        <f t="shared" si="102"/>
        <v>0</v>
      </c>
      <c r="Y720" s="68" t="n">
        <f t="shared" si="103"/>
        <v>0</v>
      </c>
      <c r="Z720" s="67" t="str">
        <f>IF(OR('Prediction Log'!L721="", Table12[[#This Row],[Bet]]="", Table12[[#This Row],[Bet]]="Spread"), "",IF('Prediction Log'!L721=Table12[[#This Row],[Side]], "W", IF('Prediction Log'!L721&lt;&gt;Table12[[#This Row],[Side]], "L", "")))</f>
      </c>
      <c r="AA720" s="59" t="str">
        <f t="shared" si="104"/>
      </c>
      <c r="AB720" s="67" t="str">
        <f>IF(OR(Table12[[#This Row],[Bet]]="Side",Table12[[#This Row],[Bet]]="", 'Prediction Log'!L721=""), "",IF('Prediction Log'!U721="Y", "W", IF('Prediction Log'!U721="N", "L", "")))</f>
      </c>
      <c r="AC720" s="59" t="str">
        <f t="shared" si="105"/>
      </c>
      <c r="AD720" s="67"/>
      <c r="AE720" s="65" t="str">
        <f t="shared" si="110"/>
      </c>
      <c r="AF72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1">
      <c r="A721" s="65" t="str">
        <f>IF(ISBLANK(Games!A721), "", Games!A721)</f>
      </c>
      <c r="B721" s="65" t="str">
        <f>IF('Prediction Log'!B722=0, "",'Prediction Log'!B722)</f>
      </c>
      <c r="C721" s="65" t="str">
        <f>IF('Prediction Log'!C722=0, "",'Prediction Log'!C722)</f>
      </c>
      <c r="D721" s="65" t="str">
        <f>IF('Prediction Log'!D722=0, "",'Prediction Log'!D722)</f>
      </c>
      <c r="E721" s="58" t="str">
        <f>IF('Prediction Log'!E722=0, "",'Prediction Log'!E722)</f>
      </c>
      <c r="F721" s="65" t="str">
        <f>IF('Prediction Log'!H722=0, "",'Prediction Log'!H722)</f>
      </c>
      <c r="G721" s="64" t="str">
        <f>IF(ISBLANK(Games!B721), "",'Prediction Log'!$I722)</f>
      </c>
      <c r="H721" s="66" t="n">
        <f>'Prediction Log'!$J722</f>
        <v>0</v>
      </c>
      <c r="I721" s="65" t="str">
        <f>IF(ISBLANK(Games!T721), "",IF(AND(Games!T721="",Games!U721=""),"",IF(ISTEXT(Games!U721), "Side",Games!T721)))</f>
      </c>
      <c r="J721" s="65" t="str">
        <f>IF(ISBLANK(Games!T721), "",IF(Table12[[#This Row],[Bet]]="Spread", Games!X721, ""))</f>
      </c>
      <c r="K721" s="65" t="str">
        <f>IF(ISBLANK(Games!U721), "",IF(ISTEXT(Games!U721), Games!U721, ""))</f>
      </c>
      <c r="L721" s="57" t="str">
        <f>IF(ISBLANK(Games!D721), "", Games!D721)</f>
      </c>
      <c r="M721" s="65"/>
      <c r="N721" s="75" t="str">
        <f>IF(Games!V721="", "",Games!V721)</f>
      </c>
      <c r="O721" s="75" t="str">
        <f>IF(Games!Z721=0, "",Games!Z721)</f>
      </c>
      <c r="P721" s="67"/>
      <c r="Q721" s="67" t="str">
        <f>IF(ISBLANK(Games!W721), "", Games!W721)</f>
      </c>
      <c r="R721" s="67" t="str">
        <f>IF(ISBLANK(Games!AA721), "", Games!AA721)</f>
      </c>
      <c r="S721" s="67"/>
      <c r="T721" s="68" t="str">
        <f t="shared" si="106"/>
      </c>
      <c r="U721" s="68" t="str">
        <f t="shared" si="107"/>
      </c>
      <c r="V721" s="68" t="str">
        <f t="shared" si="108"/>
      </c>
      <c r="W721" s="68" t="str">
        <f t="shared" si="109"/>
      </c>
      <c r="X721" s="68" t="n">
        <f t="shared" si="102"/>
        <v>0</v>
      </c>
      <c r="Y721" s="68" t="n">
        <f t="shared" si="103"/>
        <v>0</v>
      </c>
      <c r="Z721" s="67" t="str">
        <f>IF(OR('Prediction Log'!L722="", Table12[[#This Row],[Bet]]="", Table12[[#This Row],[Bet]]="Spread"), "",IF('Prediction Log'!L722=Table12[[#This Row],[Side]], "W", IF('Prediction Log'!L722&lt;&gt;Table12[[#This Row],[Side]], "L", "")))</f>
      </c>
      <c r="AA721" s="59" t="str">
        <f t="shared" si="104"/>
      </c>
      <c r="AB721" s="67" t="str">
        <f>IF(OR(Table12[[#This Row],[Bet]]="Side",Table12[[#This Row],[Bet]]="", 'Prediction Log'!L722=""), "",IF('Prediction Log'!U722="Y", "W", IF('Prediction Log'!U722="N", "L", "")))</f>
      </c>
      <c r="AC721" s="59" t="str">
        <f t="shared" si="105"/>
      </c>
      <c r="AD721" s="67"/>
      <c r="AE721" s="65" t="str">
        <f t="shared" si="110"/>
      </c>
      <c r="AF72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2">
      <c r="A722" s="65" t="str">
        <f>IF(ISBLANK(Games!A722), "", Games!A722)</f>
      </c>
      <c r="B722" s="65" t="str">
        <f>IF('Prediction Log'!B723=0, "",'Prediction Log'!B723)</f>
      </c>
      <c r="C722" s="65" t="str">
        <f>IF('Prediction Log'!C723=0, "",'Prediction Log'!C723)</f>
      </c>
      <c r="D722" s="65" t="str">
        <f>IF('Prediction Log'!D723=0, "",'Prediction Log'!D723)</f>
      </c>
      <c r="E722" s="58" t="str">
        <f>IF('Prediction Log'!E723=0, "",'Prediction Log'!E723)</f>
      </c>
      <c r="F722" s="65" t="str">
        <f>IF('Prediction Log'!H723=0, "",'Prediction Log'!H723)</f>
      </c>
      <c r="G722" s="64" t="str">
        <f>IF(ISBLANK(Games!B722), "",'Prediction Log'!$I723)</f>
      </c>
      <c r="H722" s="66" t="n">
        <f>'Prediction Log'!$J723</f>
        <v>0</v>
      </c>
      <c r="I722" s="65" t="str">
        <f>IF(ISBLANK(Games!T722), "",IF(AND(Games!T722="",Games!U722=""),"",IF(ISTEXT(Games!U722), "Side",Games!T722)))</f>
      </c>
      <c r="J722" s="65" t="str">
        <f>IF(ISBLANK(Games!T722), "",IF(Table12[[#This Row],[Bet]]="Spread", Games!X722, ""))</f>
      </c>
      <c r="K722" s="65" t="str">
        <f>IF(ISBLANK(Games!U722), "",IF(ISTEXT(Games!U722), Games!U722, ""))</f>
      </c>
      <c r="L722" s="57" t="str">
        <f>IF(ISBLANK(Games!D722), "", Games!D722)</f>
      </c>
      <c r="M722" s="65"/>
      <c r="N722" s="75" t="str">
        <f>IF(Games!V722="", "",Games!V722)</f>
      </c>
      <c r="O722" s="75" t="str">
        <f>IF(Games!Z722=0, "",Games!Z722)</f>
      </c>
      <c r="P722" s="67"/>
      <c r="Q722" s="67" t="str">
        <f>IF(ISBLANK(Games!W722), "", Games!W722)</f>
      </c>
      <c r="R722" s="67" t="str">
        <f>IF(ISBLANK(Games!AA722), "", Games!AA722)</f>
      </c>
      <c r="S722" s="67"/>
      <c r="T722" s="68" t="str">
        <f t="shared" si="106"/>
      </c>
      <c r="U722" s="68" t="str">
        <f t="shared" si="107"/>
      </c>
      <c r="V722" s="68" t="str">
        <f t="shared" si="108"/>
      </c>
      <c r="W722" s="68" t="str">
        <f t="shared" si="109"/>
      </c>
      <c r="X722" s="68" t="n">
        <f t="shared" si="102"/>
        <v>0</v>
      </c>
      <c r="Y722" s="68" t="n">
        <f t="shared" si="103"/>
        <v>0</v>
      </c>
      <c r="Z722" s="67" t="str">
        <f>IF(OR('Prediction Log'!L723="", Table12[[#This Row],[Bet]]="", Table12[[#This Row],[Bet]]="Spread"), "",IF('Prediction Log'!L723=Table12[[#This Row],[Side]], "W", IF('Prediction Log'!L723&lt;&gt;Table12[[#This Row],[Side]], "L", "")))</f>
      </c>
      <c r="AA722" s="59" t="str">
        <f t="shared" si="104"/>
      </c>
      <c r="AB722" s="67" t="str">
        <f>IF(OR(Table12[[#This Row],[Bet]]="Side",Table12[[#This Row],[Bet]]="", 'Prediction Log'!L723=""), "",IF('Prediction Log'!U723="Y", "W", IF('Prediction Log'!U723="N", "L", "")))</f>
      </c>
      <c r="AC722" s="59" t="str">
        <f t="shared" si="105"/>
      </c>
      <c r="AD722" s="67"/>
      <c r="AE722" s="65" t="str">
        <f t="shared" si="110"/>
      </c>
      <c r="AF72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3">
      <c r="A723" s="65" t="str">
        <f>IF(ISBLANK(Games!A723), "", Games!A723)</f>
      </c>
      <c r="B723" s="65" t="str">
        <f>IF('Prediction Log'!B724=0, "",'Prediction Log'!B724)</f>
      </c>
      <c r="C723" s="65" t="str">
        <f>IF('Prediction Log'!C724=0, "",'Prediction Log'!C724)</f>
      </c>
      <c r="D723" s="65" t="str">
        <f>IF('Prediction Log'!D724=0, "",'Prediction Log'!D724)</f>
      </c>
      <c r="E723" s="58" t="str">
        <f>IF('Prediction Log'!E724=0, "",'Prediction Log'!E724)</f>
      </c>
      <c r="F723" s="65" t="str">
        <f>IF('Prediction Log'!H724=0, "",'Prediction Log'!H724)</f>
      </c>
      <c r="G723" s="64" t="str">
        <f>IF(ISBLANK(Games!B723), "",'Prediction Log'!$I724)</f>
      </c>
      <c r="H723" s="66" t="n">
        <f>'Prediction Log'!$J724</f>
        <v>0</v>
      </c>
      <c r="I723" s="65" t="str">
        <f>IF(ISBLANK(Games!T723), "",IF(AND(Games!T723="",Games!U723=""),"",IF(ISTEXT(Games!U723), "Side",Games!T723)))</f>
      </c>
      <c r="J723" s="65" t="str">
        <f>IF(ISBLANK(Games!T723), "",IF(Table12[[#This Row],[Bet]]="Spread", Games!X723, ""))</f>
      </c>
      <c r="K723" s="65" t="str">
        <f>IF(ISBLANK(Games!U723), "",IF(ISTEXT(Games!U723), Games!U723, ""))</f>
      </c>
      <c r="L723" s="57" t="str">
        <f>IF(ISBLANK(Games!D723), "", Games!D723)</f>
      </c>
      <c r="M723" s="65"/>
      <c r="N723" s="75" t="str">
        <f>IF(Games!V723="", "",Games!V723)</f>
      </c>
      <c r="O723" s="75" t="str">
        <f>IF(Games!Z723=0, "",Games!Z723)</f>
      </c>
      <c r="P723" s="67"/>
      <c r="Q723" s="67" t="str">
        <f>IF(ISBLANK(Games!W723), "", Games!W723)</f>
      </c>
      <c r="R723" s="67" t="str">
        <f>IF(ISBLANK(Games!AA723), "", Games!AA723)</f>
      </c>
      <c r="S723" s="67"/>
      <c r="T723" s="68" t="str">
        <f t="shared" si="106"/>
      </c>
      <c r="U723" s="68" t="str">
        <f t="shared" si="107"/>
      </c>
      <c r="V723" s="68" t="str">
        <f t="shared" si="108"/>
      </c>
      <c r="W723" s="68" t="str">
        <f t="shared" si="109"/>
      </c>
      <c r="X723" s="68" t="n">
        <f t="shared" si="102"/>
        <v>0</v>
      </c>
      <c r="Y723" s="68" t="n">
        <f t="shared" si="103"/>
        <v>0</v>
      </c>
      <c r="Z723" s="67" t="str">
        <f>IF(OR('Prediction Log'!L724="", Table12[[#This Row],[Bet]]="", Table12[[#This Row],[Bet]]="Spread"), "",IF('Prediction Log'!L724=Table12[[#This Row],[Side]], "W", IF('Prediction Log'!L724&lt;&gt;Table12[[#This Row],[Side]], "L", "")))</f>
      </c>
      <c r="AA723" s="59" t="str">
        <f t="shared" si="104"/>
      </c>
      <c r="AB723" s="67" t="str">
        <f>IF(OR(Table12[[#This Row],[Bet]]="Side",Table12[[#This Row],[Bet]]="", 'Prediction Log'!L724=""), "",IF('Prediction Log'!U724="Y", "W", IF('Prediction Log'!U724="N", "L", "")))</f>
      </c>
      <c r="AC723" s="59" t="str">
        <f t="shared" si="105"/>
      </c>
      <c r="AD723" s="67"/>
      <c r="AE723" s="65" t="str">
        <f t="shared" si="110"/>
      </c>
      <c r="AF72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4">
      <c r="A724" s="65" t="str">
        <f>IF(ISBLANK(Games!A724), "", Games!A724)</f>
      </c>
      <c r="B724" s="65" t="str">
        <f>IF('Prediction Log'!B725=0, "",'Prediction Log'!B725)</f>
      </c>
      <c r="C724" s="65" t="str">
        <f>IF('Prediction Log'!C725=0, "",'Prediction Log'!C725)</f>
      </c>
      <c r="D724" s="65" t="str">
        <f>IF('Prediction Log'!D725=0, "",'Prediction Log'!D725)</f>
      </c>
      <c r="E724" s="58" t="str">
        <f>IF('Prediction Log'!E725=0, "",'Prediction Log'!E725)</f>
      </c>
      <c r="F724" s="65" t="str">
        <f>IF('Prediction Log'!H725=0, "",'Prediction Log'!H725)</f>
      </c>
      <c r="G724" s="64" t="str">
        <f>IF(ISBLANK(Games!B724), "",'Prediction Log'!$I725)</f>
      </c>
      <c r="H724" s="66" t="n">
        <f>'Prediction Log'!$J725</f>
        <v>0</v>
      </c>
      <c r="I724" s="65" t="str">
        <f>IF(ISBLANK(Games!T724), "",IF(AND(Games!T724="",Games!U724=""),"",IF(ISTEXT(Games!U724), "Side",Games!T724)))</f>
      </c>
      <c r="J724" s="65" t="str">
        <f>IF(ISBLANK(Games!T724), "",IF(Table12[[#This Row],[Bet]]="Spread", Games!X724, ""))</f>
      </c>
      <c r="K724" s="65" t="str">
        <f>IF(ISBLANK(Games!U724), "",IF(ISTEXT(Games!U724), Games!U724, ""))</f>
      </c>
      <c r="L724" s="57" t="str">
        <f>IF(ISBLANK(Games!D724), "", Games!D724)</f>
      </c>
      <c r="M724" s="65"/>
      <c r="N724" s="75" t="str">
        <f>IF(Games!V724="", "",Games!V724)</f>
      </c>
      <c r="O724" s="75" t="str">
        <f>IF(Games!Z724=0, "",Games!Z724)</f>
      </c>
      <c r="P724" s="67"/>
      <c r="Q724" s="67" t="str">
        <f>IF(ISBLANK(Games!W724), "", Games!W724)</f>
      </c>
      <c r="R724" s="67" t="str">
        <f>IF(ISBLANK(Games!AA724), "", Games!AA724)</f>
      </c>
      <c r="S724" s="67"/>
      <c r="T724" s="68" t="str">
        <f t="shared" si="106"/>
      </c>
      <c r="U724" s="68" t="str">
        <f t="shared" si="107"/>
      </c>
      <c r="V724" s="68" t="str">
        <f t="shared" si="108"/>
      </c>
      <c r="W724" s="68" t="str">
        <f t="shared" si="109"/>
      </c>
      <c r="X724" s="68" t="n">
        <f t="shared" si="102"/>
        <v>0</v>
      </c>
      <c r="Y724" s="68" t="n">
        <f t="shared" si="103"/>
        <v>0</v>
      </c>
      <c r="Z724" s="67" t="str">
        <f>IF(OR('Prediction Log'!L725="", Table12[[#This Row],[Bet]]="", Table12[[#This Row],[Bet]]="Spread"), "",IF('Prediction Log'!L725=Table12[[#This Row],[Side]], "W", IF('Prediction Log'!L725&lt;&gt;Table12[[#This Row],[Side]], "L", "")))</f>
      </c>
      <c r="AA724" s="59" t="str">
        <f t="shared" si="104"/>
      </c>
      <c r="AB724" s="67" t="str">
        <f>IF(OR(Table12[[#This Row],[Bet]]="Side",Table12[[#This Row],[Bet]]="", 'Prediction Log'!L725=""), "",IF('Prediction Log'!U725="Y", "W", IF('Prediction Log'!U725="N", "L", "")))</f>
      </c>
      <c r="AC724" s="59" t="str">
        <f t="shared" si="105"/>
      </c>
      <c r="AD724" s="67"/>
      <c r="AE724" s="65" t="str">
        <f t="shared" si="110"/>
      </c>
      <c r="AF72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5">
      <c r="A725" s="65" t="str">
        <f>IF(ISBLANK(Games!A725), "", Games!A725)</f>
      </c>
      <c r="B725" s="65" t="str">
        <f>IF('Prediction Log'!B726=0, "",'Prediction Log'!B726)</f>
      </c>
      <c r="C725" s="65" t="str">
        <f>IF('Prediction Log'!C726=0, "",'Prediction Log'!C726)</f>
      </c>
      <c r="D725" s="65" t="str">
        <f>IF('Prediction Log'!D726=0, "",'Prediction Log'!D726)</f>
      </c>
      <c r="E725" s="58" t="str">
        <f>IF('Prediction Log'!E726=0, "",'Prediction Log'!E726)</f>
      </c>
      <c r="F725" s="65" t="str">
        <f>IF('Prediction Log'!H726=0, "",'Prediction Log'!H726)</f>
      </c>
      <c r="G725" s="64" t="str">
        <f>IF(ISBLANK(Games!B725), "",'Prediction Log'!$I726)</f>
      </c>
      <c r="H725" s="66" t="n">
        <f>'Prediction Log'!$J726</f>
        <v>0</v>
      </c>
      <c r="I725" s="65" t="str">
        <f>IF(ISBLANK(Games!T725), "",IF(AND(Games!T725="",Games!U725=""),"",IF(ISTEXT(Games!U725), "Side",Games!T725)))</f>
      </c>
      <c r="J725" s="65" t="str">
        <f>IF(ISBLANK(Games!T725), "",IF(Table12[[#This Row],[Bet]]="Spread", Games!X725, ""))</f>
      </c>
      <c r="K725" s="65" t="str">
        <f>IF(ISBLANK(Games!U725), "",IF(ISTEXT(Games!U725), Games!U725, ""))</f>
      </c>
      <c r="L725" s="57" t="str">
        <f>IF(ISBLANK(Games!D725), "", Games!D725)</f>
      </c>
      <c r="M725" s="65"/>
      <c r="N725" s="75" t="str">
        <f>IF(Games!V725="", "",Games!V725)</f>
      </c>
      <c r="O725" s="75" t="str">
        <f>IF(Games!Z725=0, "",Games!Z725)</f>
      </c>
      <c r="P725" s="67"/>
      <c r="Q725" s="67" t="str">
        <f>IF(ISBLANK(Games!W725), "", Games!W725)</f>
      </c>
      <c r="R725" s="67" t="str">
        <f>IF(ISBLANK(Games!AA725), "", Games!AA725)</f>
      </c>
      <c r="S725" s="67"/>
      <c r="T725" s="68" t="str">
        <f t="shared" si="106"/>
      </c>
      <c r="U725" s="68" t="str">
        <f t="shared" si="107"/>
      </c>
      <c r="V725" s="68" t="str">
        <f t="shared" si="108"/>
      </c>
      <c r="W725" s="68" t="str">
        <f t="shared" si="109"/>
      </c>
      <c r="X725" s="68" t="n">
        <f t="shared" si="102"/>
        <v>0</v>
      </c>
      <c r="Y725" s="68" t="n">
        <f t="shared" si="103"/>
        <v>0</v>
      </c>
      <c r="Z725" s="67" t="str">
        <f>IF(OR('Prediction Log'!L726="", Table12[[#This Row],[Bet]]="", Table12[[#This Row],[Bet]]="Spread"), "",IF('Prediction Log'!L726=Table12[[#This Row],[Side]], "W", IF('Prediction Log'!L726&lt;&gt;Table12[[#This Row],[Side]], "L", "")))</f>
      </c>
      <c r="AA725" s="59" t="str">
        <f t="shared" si="104"/>
      </c>
      <c r="AB725" s="67" t="str">
        <f>IF(OR(Table12[[#This Row],[Bet]]="Side",Table12[[#This Row],[Bet]]="", 'Prediction Log'!L726=""), "",IF('Prediction Log'!U726="Y", "W", IF('Prediction Log'!U726="N", "L", "")))</f>
      </c>
      <c r="AC725" s="59" t="str">
        <f t="shared" si="105"/>
      </c>
      <c r="AD725" s="67"/>
      <c r="AE725" s="65" t="str">
        <f t="shared" si="110"/>
      </c>
      <c r="AF72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6">
      <c r="A726" s="65" t="str">
        <f>IF(ISBLANK(Games!A726), "", Games!A726)</f>
      </c>
      <c r="B726" s="65" t="str">
        <f>IF('Prediction Log'!B727=0, "",'Prediction Log'!B727)</f>
      </c>
      <c r="C726" s="65" t="str">
        <f>IF('Prediction Log'!C727=0, "",'Prediction Log'!C727)</f>
      </c>
      <c r="D726" s="65" t="str">
        <f>IF('Prediction Log'!D727=0, "",'Prediction Log'!D727)</f>
      </c>
      <c r="E726" s="58" t="str">
        <f>IF('Prediction Log'!E727=0, "",'Prediction Log'!E727)</f>
      </c>
      <c r="F726" s="65" t="str">
        <f>IF('Prediction Log'!H727=0, "",'Prediction Log'!H727)</f>
      </c>
      <c r="G726" s="64" t="str">
        <f>IF(ISBLANK(Games!B726), "",'Prediction Log'!$I727)</f>
      </c>
      <c r="H726" s="66" t="n">
        <f>'Prediction Log'!$J727</f>
        <v>0</v>
      </c>
      <c r="I726" s="65" t="str">
        <f>IF(ISBLANK(Games!T726), "",IF(AND(Games!T726="",Games!U726=""),"",IF(ISTEXT(Games!U726), "Side",Games!T726)))</f>
      </c>
      <c r="J726" s="65" t="str">
        <f>IF(ISBLANK(Games!T726), "",IF(Table12[[#This Row],[Bet]]="Spread", Games!X726, ""))</f>
      </c>
      <c r="K726" s="65" t="str">
        <f>IF(ISBLANK(Games!U726), "",IF(ISTEXT(Games!U726), Games!U726, ""))</f>
      </c>
      <c r="L726" s="57" t="str">
        <f>IF(ISBLANK(Games!D726), "", Games!D726)</f>
      </c>
      <c r="M726" s="65"/>
      <c r="N726" s="75" t="str">
        <f>IF(Games!V726="", "",Games!V726)</f>
      </c>
      <c r="O726" s="75" t="str">
        <f>IF(Games!Z726=0, "",Games!Z726)</f>
      </c>
      <c r="P726" s="67"/>
      <c r="Q726" s="67" t="str">
        <f>IF(ISBLANK(Games!W726), "", Games!W726)</f>
      </c>
      <c r="R726" s="67" t="str">
        <f>IF(ISBLANK(Games!AA726), "", Games!AA726)</f>
      </c>
      <c r="S726" s="67"/>
      <c r="T726" s="68" t="str">
        <f t="shared" si="106"/>
      </c>
      <c r="U726" s="68" t="str">
        <f t="shared" si="107"/>
      </c>
      <c r="V726" s="68" t="str">
        <f t="shared" si="108"/>
      </c>
      <c r="W726" s="68" t="str">
        <f t="shared" si="109"/>
      </c>
      <c r="X726" s="68" t="n">
        <f t="shared" si="102"/>
        <v>0</v>
      </c>
      <c r="Y726" s="68" t="n">
        <f t="shared" si="103"/>
        <v>0</v>
      </c>
      <c r="Z726" s="67" t="str">
        <f>IF(OR('Prediction Log'!L727="", Table12[[#This Row],[Bet]]="", Table12[[#This Row],[Bet]]="Spread"), "",IF('Prediction Log'!L727=Table12[[#This Row],[Side]], "W", IF('Prediction Log'!L727&lt;&gt;Table12[[#This Row],[Side]], "L", "")))</f>
      </c>
      <c r="AA726" s="59" t="str">
        <f t="shared" si="104"/>
      </c>
      <c r="AB726" s="67" t="str">
        <f>IF(OR(Table12[[#This Row],[Bet]]="Side",Table12[[#This Row],[Bet]]="", 'Prediction Log'!L727=""), "",IF('Prediction Log'!U727="Y", "W", IF('Prediction Log'!U727="N", "L", "")))</f>
      </c>
      <c r="AC726" s="59" t="str">
        <f t="shared" si="105"/>
      </c>
      <c r="AD726" s="67"/>
      <c r="AE726" s="65" t="str">
        <f t="shared" si="110"/>
      </c>
      <c r="AF72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7">
      <c r="A727" s="65" t="str">
        <f>IF(ISBLANK(Games!A727), "", Games!A727)</f>
      </c>
      <c r="B727" s="65" t="str">
        <f>IF('Prediction Log'!B728=0, "",'Prediction Log'!B728)</f>
      </c>
      <c r="C727" s="65" t="str">
        <f>IF('Prediction Log'!C728=0, "",'Prediction Log'!C728)</f>
      </c>
      <c r="D727" s="65" t="str">
        <f>IF('Prediction Log'!D728=0, "",'Prediction Log'!D728)</f>
      </c>
      <c r="E727" s="58" t="str">
        <f>IF('Prediction Log'!E728=0, "",'Prediction Log'!E728)</f>
      </c>
      <c r="F727" s="65" t="str">
        <f>IF('Prediction Log'!H728=0, "",'Prediction Log'!H728)</f>
      </c>
      <c r="G727" s="64" t="str">
        <f>IF(ISBLANK(Games!B727), "",'Prediction Log'!$I728)</f>
      </c>
      <c r="H727" s="66" t="n">
        <f>'Prediction Log'!$J728</f>
        <v>0</v>
      </c>
      <c r="I727" s="65" t="str">
        <f>IF(ISBLANK(Games!T727), "",IF(AND(Games!T727="",Games!U727=""),"",IF(ISTEXT(Games!U727), "Side",Games!T727)))</f>
      </c>
      <c r="J727" s="65" t="str">
        <f>IF(ISBLANK(Games!T727), "",IF(Table12[[#This Row],[Bet]]="Spread", Games!X727, ""))</f>
      </c>
      <c r="K727" s="65" t="str">
        <f>IF(ISBLANK(Games!U727), "",IF(ISTEXT(Games!U727), Games!U727, ""))</f>
      </c>
      <c r="L727" s="57" t="str">
        <f>IF(ISBLANK(Games!D727), "", Games!D727)</f>
      </c>
      <c r="M727" s="65"/>
      <c r="N727" s="75" t="str">
        <f>IF(Games!V727="", "",Games!V727)</f>
      </c>
      <c r="O727" s="75" t="str">
        <f>IF(Games!Z727=0, "",Games!Z727)</f>
      </c>
      <c r="P727" s="67"/>
      <c r="Q727" s="67" t="str">
        <f>IF(ISBLANK(Games!W727), "", Games!W727)</f>
      </c>
      <c r="R727" s="67" t="str">
        <f>IF(ISBLANK(Games!AA727), "", Games!AA727)</f>
      </c>
      <c r="S727" s="67"/>
      <c r="T727" s="68" t="str">
        <f t="shared" si="106"/>
      </c>
      <c r="U727" s="68" t="str">
        <f t="shared" si="107"/>
      </c>
      <c r="V727" s="68" t="str">
        <f t="shared" si="108"/>
      </c>
      <c r="W727" s="68" t="str">
        <f t="shared" si="109"/>
      </c>
      <c r="X727" s="68" t="n">
        <f t="shared" si="102"/>
        <v>0</v>
      </c>
      <c r="Y727" s="68" t="n">
        <f t="shared" si="103"/>
        <v>0</v>
      </c>
      <c r="Z727" s="67" t="str">
        <f>IF(OR('Prediction Log'!L728="", Table12[[#This Row],[Bet]]="", Table12[[#This Row],[Bet]]="Spread"), "",IF('Prediction Log'!L728=Table12[[#This Row],[Side]], "W", IF('Prediction Log'!L728&lt;&gt;Table12[[#This Row],[Side]], "L", "")))</f>
      </c>
      <c r="AA727" s="59" t="str">
        <f t="shared" si="104"/>
      </c>
      <c r="AB727" s="67" t="str">
        <f>IF(OR(Table12[[#This Row],[Bet]]="Side",Table12[[#This Row],[Bet]]="", 'Prediction Log'!L728=""), "",IF('Prediction Log'!U728="Y", "W", IF('Prediction Log'!U728="N", "L", "")))</f>
      </c>
      <c r="AC727" s="59" t="str">
        <f t="shared" si="105"/>
      </c>
      <c r="AD727" s="67"/>
      <c r="AE727" s="65" t="str">
        <f t="shared" si="110"/>
      </c>
      <c r="AF72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8">
      <c r="A728" s="65" t="str">
        <f>IF(ISBLANK(Games!A728), "", Games!A728)</f>
      </c>
      <c r="B728" s="65" t="str">
        <f>IF('Prediction Log'!B729=0, "",'Prediction Log'!B729)</f>
      </c>
      <c r="C728" s="65" t="str">
        <f>IF('Prediction Log'!C729=0, "",'Prediction Log'!C729)</f>
      </c>
      <c r="D728" s="65" t="str">
        <f>IF('Prediction Log'!D729=0, "",'Prediction Log'!D729)</f>
      </c>
      <c r="E728" s="58" t="str">
        <f>IF('Prediction Log'!E729=0, "",'Prediction Log'!E729)</f>
      </c>
      <c r="F728" s="65" t="str">
        <f>IF('Prediction Log'!H729=0, "",'Prediction Log'!H729)</f>
      </c>
      <c r="G728" s="64" t="str">
        <f>IF(ISBLANK(Games!B728), "",'Prediction Log'!$I729)</f>
      </c>
      <c r="H728" s="66" t="n">
        <f>'Prediction Log'!$J729</f>
        <v>0</v>
      </c>
      <c r="I728" s="65" t="str">
        <f>IF(ISBLANK(Games!T728), "",IF(AND(Games!T728="",Games!U728=""),"",IF(ISTEXT(Games!U728), "Side",Games!T728)))</f>
      </c>
      <c r="J728" s="65" t="str">
        <f>IF(ISBLANK(Games!T728), "",IF(Table12[[#This Row],[Bet]]="Spread", Games!X728, ""))</f>
      </c>
      <c r="K728" s="65" t="str">
        <f>IF(ISBLANK(Games!U728), "",IF(ISTEXT(Games!U728), Games!U728, ""))</f>
      </c>
      <c r="L728" s="57" t="str">
        <f>IF(ISBLANK(Games!D728), "", Games!D728)</f>
      </c>
      <c r="M728" s="65"/>
      <c r="N728" s="75" t="str">
        <f>IF(Games!V728="", "",Games!V728)</f>
      </c>
      <c r="O728" s="75" t="str">
        <f>IF(Games!Z728=0, "",Games!Z728)</f>
      </c>
      <c r="P728" s="67"/>
      <c r="Q728" s="67" t="str">
        <f>IF(ISBLANK(Games!W728), "", Games!W728)</f>
      </c>
      <c r="R728" s="67" t="str">
        <f>IF(ISBLANK(Games!AA728), "", Games!AA728)</f>
      </c>
      <c r="S728" s="67"/>
      <c r="T728" s="68" t="str">
        <f t="shared" si="106"/>
      </c>
      <c r="U728" s="68" t="str">
        <f t="shared" si="107"/>
      </c>
      <c r="V728" s="68" t="str">
        <f t="shared" si="108"/>
      </c>
      <c r="W728" s="68" t="str">
        <f t="shared" si="109"/>
      </c>
      <c r="X728" s="68" t="n">
        <f t="shared" si="102"/>
        <v>0</v>
      </c>
      <c r="Y728" s="68" t="n">
        <f t="shared" si="103"/>
        <v>0</v>
      </c>
      <c r="Z728" s="67" t="str">
        <f>IF(OR('Prediction Log'!L729="", Table12[[#This Row],[Bet]]="", Table12[[#This Row],[Bet]]="Spread"), "",IF('Prediction Log'!L729=Table12[[#This Row],[Side]], "W", IF('Prediction Log'!L729&lt;&gt;Table12[[#This Row],[Side]], "L", "")))</f>
      </c>
      <c r="AA728" s="59" t="str">
        <f t="shared" si="104"/>
      </c>
      <c r="AB728" s="67" t="str">
        <f>IF(OR(Table12[[#This Row],[Bet]]="Side",Table12[[#This Row],[Bet]]="", 'Prediction Log'!L729=""), "",IF('Prediction Log'!U729="Y", "W", IF('Prediction Log'!U729="N", "L", "")))</f>
      </c>
      <c r="AC728" s="59" t="str">
        <f t="shared" si="105"/>
      </c>
      <c r="AD728" s="67"/>
      <c r="AE728" s="65" t="str">
        <f t="shared" si="110"/>
      </c>
      <c r="AF72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9">
      <c r="A729" s="65" t="str">
        <f>IF(ISBLANK(Games!A729), "", Games!A729)</f>
      </c>
      <c r="B729" s="65" t="str">
        <f>IF('Prediction Log'!B730=0, "",'Prediction Log'!B730)</f>
      </c>
      <c r="C729" s="65" t="str">
        <f>IF('Prediction Log'!C730=0, "",'Prediction Log'!C730)</f>
      </c>
      <c r="D729" s="65" t="str">
        <f>IF('Prediction Log'!D730=0, "",'Prediction Log'!D730)</f>
      </c>
      <c r="E729" s="58" t="str">
        <f>IF('Prediction Log'!E730=0, "",'Prediction Log'!E730)</f>
      </c>
      <c r="F729" s="65" t="str">
        <f>IF('Prediction Log'!H730=0, "",'Prediction Log'!H730)</f>
      </c>
      <c r="G729" s="64" t="str">
        <f>IF(ISBLANK(Games!B729), "",'Prediction Log'!$I730)</f>
      </c>
      <c r="H729" s="66" t="n">
        <f>'Prediction Log'!$J730</f>
        <v>0</v>
      </c>
      <c r="I729" s="65" t="str">
        <f>IF(ISBLANK(Games!T729), "",IF(AND(Games!T729="",Games!U729=""),"",IF(ISTEXT(Games!U729), "Side",Games!T729)))</f>
      </c>
      <c r="J729" s="65" t="str">
        <f>IF(ISBLANK(Games!T729), "",IF(Table12[[#This Row],[Bet]]="Spread", Games!X729, ""))</f>
      </c>
      <c r="K729" s="65" t="str">
        <f>IF(ISBLANK(Games!U729), "",IF(ISTEXT(Games!U729), Games!U729, ""))</f>
      </c>
      <c r="L729" s="57" t="str">
        <f>IF(ISBLANK(Games!D729), "", Games!D729)</f>
      </c>
      <c r="M729" s="65"/>
      <c r="N729" s="75" t="str">
        <f>IF(Games!V729="", "",Games!V729)</f>
      </c>
      <c r="O729" s="75" t="str">
        <f>IF(Games!Z729=0, "",Games!Z729)</f>
      </c>
      <c r="P729" s="67"/>
      <c r="Q729" s="67" t="str">
        <f>IF(ISBLANK(Games!W729), "", Games!W729)</f>
      </c>
      <c r="R729" s="67" t="str">
        <f>IF(ISBLANK(Games!AA729), "", Games!AA729)</f>
      </c>
      <c r="S729" s="67"/>
      <c r="T729" s="68" t="str">
        <f t="shared" si="106"/>
      </c>
      <c r="U729" s="68" t="str">
        <f t="shared" si="107"/>
      </c>
      <c r="V729" s="68" t="str">
        <f t="shared" si="108"/>
      </c>
      <c r="W729" s="68" t="str">
        <f t="shared" si="109"/>
      </c>
      <c r="X729" s="68" t="n">
        <f t="shared" si="102"/>
        <v>0</v>
      </c>
      <c r="Y729" s="68" t="n">
        <f t="shared" si="103"/>
        <v>0</v>
      </c>
      <c r="Z729" s="67" t="str">
        <f>IF(OR('Prediction Log'!L730="", Table12[[#This Row],[Bet]]="", Table12[[#This Row],[Bet]]="Spread"), "",IF('Prediction Log'!L730=Table12[[#This Row],[Side]], "W", IF('Prediction Log'!L730&lt;&gt;Table12[[#This Row],[Side]], "L", "")))</f>
      </c>
      <c r="AA729" s="59" t="str">
        <f t="shared" si="104"/>
      </c>
      <c r="AB729" s="67" t="str">
        <f>IF(OR(Table12[[#This Row],[Bet]]="Side",Table12[[#This Row],[Bet]]="", 'Prediction Log'!L730=""), "",IF('Prediction Log'!U730="Y", "W", IF('Prediction Log'!U730="N", "L", "")))</f>
      </c>
      <c r="AC729" s="59" t="str">
        <f t="shared" si="105"/>
      </c>
      <c r="AD729" s="67"/>
      <c r="AE729" s="65" t="str">
        <f t="shared" si="110"/>
      </c>
      <c r="AF72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0">
      <c r="A730" s="65" t="str">
        <f>IF(ISBLANK(Games!A730), "", Games!A730)</f>
      </c>
      <c r="B730" s="65" t="str">
        <f>IF('Prediction Log'!B731=0, "",'Prediction Log'!B731)</f>
      </c>
      <c r="C730" s="65" t="str">
        <f>IF('Prediction Log'!C731=0, "",'Prediction Log'!C731)</f>
      </c>
      <c r="D730" s="65" t="str">
        <f>IF('Prediction Log'!D731=0, "",'Prediction Log'!D731)</f>
      </c>
      <c r="E730" s="58" t="str">
        <f>IF('Prediction Log'!E731=0, "",'Prediction Log'!E731)</f>
      </c>
      <c r="F730" s="65" t="str">
        <f>IF('Prediction Log'!H731=0, "",'Prediction Log'!H731)</f>
      </c>
      <c r="G730" s="64" t="str">
        <f>IF(ISBLANK(Games!B730), "",'Prediction Log'!$I731)</f>
      </c>
      <c r="H730" s="66" t="n">
        <f>'Prediction Log'!$J731</f>
        <v>0</v>
      </c>
      <c r="I730" s="65" t="str">
        <f>IF(ISBLANK(Games!T730), "",IF(AND(Games!T730="",Games!U730=""),"",IF(ISTEXT(Games!U730), "Side",Games!T730)))</f>
      </c>
      <c r="J730" s="65" t="str">
        <f>IF(ISBLANK(Games!T730), "",IF(Table12[[#This Row],[Bet]]="Spread", Games!X730, ""))</f>
      </c>
      <c r="K730" s="65" t="str">
        <f>IF(ISBLANK(Games!U730), "",IF(ISTEXT(Games!U730), Games!U730, ""))</f>
      </c>
      <c r="L730" s="57" t="str">
        <f>IF(ISBLANK(Games!D730), "", Games!D730)</f>
      </c>
      <c r="M730" s="65"/>
      <c r="N730" s="75" t="str">
        <f>IF(Games!V730="", "",Games!V730)</f>
      </c>
      <c r="O730" s="75" t="str">
        <f>IF(Games!Z730=0, "",Games!Z730)</f>
      </c>
      <c r="P730" s="67"/>
      <c r="Q730" s="67" t="str">
        <f>IF(ISBLANK(Games!W730), "", Games!W730)</f>
      </c>
      <c r="R730" s="67" t="str">
        <f>IF(ISBLANK(Games!AA730), "", Games!AA730)</f>
      </c>
      <c r="S730" s="67"/>
      <c r="T730" s="68" t="str">
        <f t="shared" si="106"/>
      </c>
      <c r="U730" s="68" t="str">
        <f t="shared" si="107"/>
      </c>
      <c r="V730" s="68" t="str">
        <f t="shared" si="108"/>
      </c>
      <c r="W730" s="68" t="str">
        <f t="shared" si="109"/>
      </c>
      <c r="X730" s="68" t="n">
        <f t="shared" si="102"/>
        <v>0</v>
      </c>
      <c r="Y730" s="68" t="n">
        <f t="shared" si="103"/>
        <v>0</v>
      </c>
      <c r="Z730" s="67" t="str">
        <f>IF(OR('Prediction Log'!L731="", Table12[[#This Row],[Bet]]="", Table12[[#This Row],[Bet]]="Spread"), "",IF('Prediction Log'!L731=Table12[[#This Row],[Side]], "W", IF('Prediction Log'!L731&lt;&gt;Table12[[#This Row],[Side]], "L", "")))</f>
      </c>
      <c r="AA730" s="59" t="str">
        <f t="shared" si="104"/>
      </c>
      <c r="AB730" s="67" t="str">
        <f>IF(OR(Table12[[#This Row],[Bet]]="Side",Table12[[#This Row],[Bet]]="", 'Prediction Log'!L731=""), "",IF('Prediction Log'!U731="Y", "W", IF('Prediction Log'!U731="N", "L", "")))</f>
      </c>
      <c r="AC730" s="59" t="str">
        <f t="shared" si="105"/>
      </c>
      <c r="AD730" s="67"/>
      <c r="AE730" s="65" t="str">
        <f t="shared" si="110"/>
      </c>
      <c r="AF73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1">
      <c r="A731" s="65" t="str">
        <f>IF(ISBLANK(Games!A731), "", Games!A731)</f>
      </c>
      <c r="B731" s="65" t="str">
        <f>IF('Prediction Log'!B732=0, "",'Prediction Log'!B732)</f>
      </c>
      <c r="C731" s="65" t="str">
        <f>IF('Prediction Log'!C732=0, "",'Prediction Log'!C732)</f>
      </c>
      <c r="D731" s="65" t="str">
        <f>IF('Prediction Log'!D732=0, "",'Prediction Log'!D732)</f>
      </c>
      <c r="E731" s="58" t="str">
        <f>IF('Prediction Log'!E732=0, "",'Prediction Log'!E732)</f>
      </c>
      <c r="F731" s="65" t="str">
        <f>IF('Prediction Log'!H732=0, "",'Prediction Log'!H732)</f>
      </c>
      <c r="G731" s="64" t="str">
        <f>IF(ISBLANK(Games!B731), "",'Prediction Log'!$I732)</f>
      </c>
      <c r="H731" s="66" t="n">
        <f>'Prediction Log'!$J732</f>
        <v>0</v>
      </c>
      <c r="I731" s="65" t="str">
        <f>IF(ISBLANK(Games!T731), "",IF(AND(Games!T731="",Games!U731=""),"",IF(ISTEXT(Games!U731), "Side",Games!T731)))</f>
      </c>
      <c r="J731" s="65" t="str">
        <f>IF(ISBLANK(Games!T731), "",IF(Table12[[#This Row],[Bet]]="Spread", Games!X731, ""))</f>
      </c>
      <c r="K731" s="65" t="str">
        <f>IF(ISBLANK(Games!U731), "",IF(ISTEXT(Games!U731), Games!U731, ""))</f>
      </c>
      <c r="L731" s="57" t="str">
        <f>IF(ISBLANK(Games!D731), "", Games!D731)</f>
      </c>
      <c r="M731" s="65"/>
      <c r="N731" s="75" t="str">
        <f>IF(Games!V731="", "",Games!V731)</f>
      </c>
      <c r="O731" s="75" t="str">
        <f>IF(Games!Z731=0, "",Games!Z731)</f>
      </c>
      <c r="P731" s="67"/>
      <c r="Q731" s="67" t="str">
        <f>IF(ISBLANK(Games!W731), "", Games!W731)</f>
      </c>
      <c r="R731" s="67" t="str">
        <f>IF(ISBLANK(Games!AA731), "", Games!AA731)</f>
      </c>
      <c r="S731" s="67"/>
      <c r="T731" s="68" t="str">
        <f t="shared" si="106"/>
      </c>
      <c r="U731" s="68" t="str">
        <f t="shared" si="107"/>
      </c>
      <c r="V731" s="68" t="str">
        <f t="shared" si="108"/>
      </c>
      <c r="W731" s="68" t="str">
        <f t="shared" si="109"/>
      </c>
      <c r="X731" s="68" t="n">
        <f t="shared" si="102"/>
        <v>0</v>
      </c>
      <c r="Y731" s="68" t="n">
        <f t="shared" si="103"/>
        <v>0</v>
      </c>
      <c r="Z731" s="67" t="str">
        <f>IF(OR('Prediction Log'!L732="", Table12[[#This Row],[Bet]]="", Table12[[#This Row],[Bet]]="Spread"), "",IF('Prediction Log'!L732=Table12[[#This Row],[Side]], "W", IF('Prediction Log'!L732&lt;&gt;Table12[[#This Row],[Side]], "L", "")))</f>
      </c>
      <c r="AA731" s="59" t="str">
        <f t="shared" si="104"/>
      </c>
      <c r="AB731" s="67" t="str">
        <f>IF(OR(Table12[[#This Row],[Bet]]="Side",Table12[[#This Row],[Bet]]="", 'Prediction Log'!L732=""), "",IF('Prediction Log'!U732="Y", "W", IF('Prediction Log'!U732="N", "L", "")))</f>
      </c>
      <c r="AC731" s="59" t="str">
        <f t="shared" si="105"/>
      </c>
      <c r="AD731" s="67"/>
      <c r="AE731" s="65" t="str">
        <f t="shared" si="110"/>
      </c>
      <c r="AF73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2">
      <c r="A732" s="65" t="str">
        <f>IF(ISBLANK(Games!A732), "", Games!A732)</f>
      </c>
      <c r="B732" s="65" t="str">
        <f>IF('Prediction Log'!B733=0, "",'Prediction Log'!B733)</f>
      </c>
      <c r="C732" s="65" t="str">
        <f>IF('Prediction Log'!C733=0, "",'Prediction Log'!C733)</f>
      </c>
      <c r="D732" s="65" t="str">
        <f>IF('Prediction Log'!D733=0, "",'Prediction Log'!D733)</f>
      </c>
      <c r="E732" s="58" t="str">
        <f>IF('Prediction Log'!E733=0, "",'Prediction Log'!E733)</f>
      </c>
      <c r="F732" s="65" t="str">
        <f>IF('Prediction Log'!H733=0, "",'Prediction Log'!H733)</f>
      </c>
      <c r="G732" s="64" t="str">
        <f>IF(ISBLANK(Games!B732), "",'Prediction Log'!$I733)</f>
      </c>
      <c r="H732" s="66" t="n">
        <f>'Prediction Log'!$J733</f>
        <v>0</v>
      </c>
      <c r="I732" s="65" t="str">
        <f>IF(ISBLANK(Games!T732), "",IF(AND(Games!T732="",Games!U732=""),"",IF(ISTEXT(Games!U732), "Side",Games!T732)))</f>
      </c>
      <c r="J732" s="65" t="str">
        <f>IF(ISBLANK(Games!T732), "",IF(Table12[[#This Row],[Bet]]="Spread", Games!X732, ""))</f>
      </c>
      <c r="K732" s="65" t="str">
        <f>IF(ISBLANK(Games!U732), "",IF(ISTEXT(Games!U732), Games!U732, ""))</f>
      </c>
      <c r="L732" s="57" t="str">
        <f>IF(ISBLANK(Games!D732), "", Games!D732)</f>
      </c>
      <c r="M732" s="65"/>
      <c r="N732" s="75" t="str">
        <f>IF(Games!V732="", "",Games!V732)</f>
      </c>
      <c r="O732" s="75" t="str">
        <f>IF(Games!Z732=0, "",Games!Z732)</f>
      </c>
      <c r="P732" s="67"/>
      <c r="Q732" s="67" t="str">
        <f>IF(ISBLANK(Games!W732), "", Games!W732)</f>
      </c>
      <c r="R732" s="67" t="str">
        <f>IF(ISBLANK(Games!AA732), "", Games!AA732)</f>
      </c>
      <c r="S732" s="67"/>
      <c r="T732" s="68" t="str">
        <f t="shared" si="106"/>
      </c>
      <c r="U732" s="68" t="str">
        <f t="shared" si="107"/>
      </c>
      <c r="V732" s="68" t="str">
        <f t="shared" si="108"/>
      </c>
      <c r="W732" s="68" t="str">
        <f t="shared" si="109"/>
      </c>
      <c r="X732" s="68" t="n">
        <f t="shared" si="102"/>
        <v>0</v>
      </c>
      <c r="Y732" s="68" t="n">
        <f t="shared" si="103"/>
        <v>0</v>
      </c>
      <c r="Z732" s="67" t="str">
        <f>IF(OR('Prediction Log'!L733="", Table12[[#This Row],[Bet]]="", Table12[[#This Row],[Bet]]="Spread"), "",IF('Prediction Log'!L733=Table12[[#This Row],[Side]], "W", IF('Prediction Log'!L733&lt;&gt;Table12[[#This Row],[Side]], "L", "")))</f>
      </c>
      <c r="AA732" s="59" t="str">
        <f t="shared" si="104"/>
      </c>
      <c r="AB732" s="67" t="str">
        <f>IF(OR(Table12[[#This Row],[Bet]]="Side",Table12[[#This Row],[Bet]]="", 'Prediction Log'!L733=""), "",IF('Prediction Log'!U733="Y", "W", IF('Prediction Log'!U733="N", "L", "")))</f>
      </c>
      <c r="AC732" s="59" t="str">
        <f t="shared" si="105"/>
      </c>
      <c r="AD732" s="67"/>
      <c r="AE732" s="65" t="str">
        <f t="shared" si="110"/>
      </c>
      <c r="AF73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3">
      <c r="A733" s="65" t="str">
        <f>IF(ISBLANK(Games!A733), "", Games!A733)</f>
      </c>
      <c r="B733" s="65" t="str">
        <f>IF('Prediction Log'!B734=0, "",'Prediction Log'!B734)</f>
      </c>
      <c r="C733" s="65" t="str">
        <f>IF('Prediction Log'!C734=0, "",'Prediction Log'!C734)</f>
      </c>
      <c r="D733" s="65" t="str">
        <f>IF('Prediction Log'!D734=0, "",'Prediction Log'!D734)</f>
      </c>
      <c r="E733" s="58" t="str">
        <f>IF('Prediction Log'!E734=0, "",'Prediction Log'!E734)</f>
      </c>
      <c r="F733" s="65" t="str">
        <f>IF('Prediction Log'!H734=0, "",'Prediction Log'!H734)</f>
      </c>
      <c r="G733" s="64" t="str">
        <f>IF(ISBLANK(Games!B733), "",'Prediction Log'!$I734)</f>
      </c>
      <c r="H733" s="66" t="n">
        <f>'Prediction Log'!$J734</f>
        <v>0</v>
      </c>
      <c r="I733" s="65" t="str">
        <f>IF(ISBLANK(Games!T733), "",IF(AND(Games!T733="",Games!U733=""),"",IF(ISTEXT(Games!U733), "Side",Games!T733)))</f>
      </c>
      <c r="J733" s="65" t="str">
        <f>IF(ISBLANK(Games!T733), "",IF(Table12[[#This Row],[Bet]]="Spread", Games!X733, ""))</f>
      </c>
      <c r="K733" s="65" t="str">
        <f>IF(ISBLANK(Games!U733), "",IF(ISTEXT(Games!U733), Games!U733, ""))</f>
      </c>
      <c r="L733" s="57" t="str">
        <f>IF(ISBLANK(Games!D733), "", Games!D733)</f>
      </c>
      <c r="M733" s="65"/>
      <c r="N733" s="75" t="str">
        <f>IF(Games!V733="", "",Games!V733)</f>
      </c>
      <c r="O733" s="75" t="str">
        <f>IF(Games!Z733=0, "",Games!Z733)</f>
      </c>
      <c r="P733" s="67"/>
      <c r="Q733" s="67" t="str">
        <f>IF(ISBLANK(Games!W733), "", Games!W733)</f>
      </c>
      <c r="R733" s="67" t="str">
        <f>IF(ISBLANK(Games!AA733), "", Games!AA733)</f>
      </c>
      <c r="S733" s="67"/>
      <c r="T733" s="68" t="str">
        <f t="shared" si="106"/>
      </c>
      <c r="U733" s="68" t="str">
        <f t="shared" si="107"/>
      </c>
      <c r="V733" s="68" t="str">
        <f t="shared" si="108"/>
      </c>
      <c r="W733" s="68" t="str">
        <f t="shared" si="109"/>
      </c>
      <c r="X733" s="68" t="n">
        <f t="shared" si="102"/>
        <v>0</v>
      </c>
      <c r="Y733" s="68" t="n">
        <f t="shared" si="103"/>
        <v>0</v>
      </c>
      <c r="Z733" s="67" t="str">
        <f>IF(OR('Prediction Log'!L734="", Table12[[#This Row],[Bet]]="", Table12[[#This Row],[Bet]]="Spread"), "",IF('Prediction Log'!L734=Table12[[#This Row],[Side]], "W", IF('Prediction Log'!L734&lt;&gt;Table12[[#This Row],[Side]], "L", "")))</f>
      </c>
      <c r="AA733" s="59" t="str">
        <f t="shared" si="104"/>
      </c>
      <c r="AB733" s="67" t="str">
        <f>IF(OR(Table12[[#This Row],[Bet]]="Side",Table12[[#This Row],[Bet]]="", 'Prediction Log'!L734=""), "",IF('Prediction Log'!U734="Y", "W", IF('Prediction Log'!U734="N", "L", "")))</f>
      </c>
      <c r="AC733" s="59" t="str">
        <f t="shared" si="105"/>
      </c>
      <c r="AD733" s="67"/>
      <c r="AE733" s="65" t="str">
        <f t="shared" si="110"/>
      </c>
      <c r="AF73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4">
      <c r="A734" s="65" t="str">
        <f>IF(ISBLANK(Games!A734), "", Games!A734)</f>
      </c>
      <c r="B734" s="65" t="str">
        <f>IF('Prediction Log'!B735=0, "",'Prediction Log'!B735)</f>
      </c>
      <c r="C734" s="65" t="str">
        <f>IF('Prediction Log'!C735=0, "",'Prediction Log'!C735)</f>
      </c>
      <c r="D734" s="65" t="str">
        <f>IF('Prediction Log'!D735=0, "",'Prediction Log'!D735)</f>
      </c>
      <c r="E734" s="58" t="str">
        <f>IF('Prediction Log'!E735=0, "",'Prediction Log'!E735)</f>
      </c>
      <c r="F734" s="65" t="str">
        <f>IF('Prediction Log'!H735=0, "",'Prediction Log'!H735)</f>
      </c>
      <c r="G734" s="64" t="str">
        <f>IF(ISBLANK(Games!B734), "",'Prediction Log'!$I735)</f>
      </c>
      <c r="H734" s="66" t="n">
        <f>'Prediction Log'!$J735</f>
        <v>0</v>
      </c>
      <c r="I734" s="65" t="str">
        <f>IF(ISBLANK(Games!T734), "",IF(AND(Games!T734="",Games!U734=""),"",IF(ISTEXT(Games!U734), "Side",Games!T734)))</f>
      </c>
      <c r="J734" s="65" t="str">
        <f>IF(ISBLANK(Games!T734), "",IF(Table12[[#This Row],[Bet]]="Spread", Games!X734, ""))</f>
      </c>
      <c r="K734" s="65" t="str">
        <f>IF(ISBLANK(Games!U734), "",IF(ISTEXT(Games!U734), Games!U734, ""))</f>
      </c>
      <c r="L734" s="57" t="str">
        <f>IF(ISBLANK(Games!D734), "", Games!D734)</f>
      </c>
      <c r="M734" s="65"/>
      <c r="N734" s="75" t="str">
        <f>IF(Games!V734="", "",Games!V734)</f>
      </c>
      <c r="O734" s="75" t="str">
        <f>IF(Games!Z734=0, "",Games!Z734)</f>
      </c>
      <c r="P734" s="67"/>
      <c r="Q734" s="67" t="str">
        <f>IF(ISBLANK(Games!W734), "", Games!W734)</f>
      </c>
      <c r="R734" s="67" t="str">
        <f>IF(ISBLANK(Games!AA734), "", Games!AA734)</f>
      </c>
      <c r="S734" s="67"/>
      <c r="T734" s="68" t="str">
        <f t="shared" si="106"/>
      </c>
      <c r="U734" s="68" t="str">
        <f t="shared" si="107"/>
      </c>
      <c r="V734" s="68" t="str">
        <f t="shared" si="108"/>
      </c>
      <c r="W734" s="68" t="str">
        <f t="shared" si="109"/>
      </c>
      <c r="X734" s="68" t="n">
        <f t="shared" si="102"/>
        <v>0</v>
      </c>
      <c r="Y734" s="68" t="n">
        <f t="shared" si="103"/>
        <v>0</v>
      </c>
      <c r="Z734" s="67" t="str">
        <f>IF(OR('Prediction Log'!L735="", Table12[[#This Row],[Bet]]="", Table12[[#This Row],[Bet]]="Spread"), "",IF('Prediction Log'!L735=Table12[[#This Row],[Side]], "W", IF('Prediction Log'!L735&lt;&gt;Table12[[#This Row],[Side]], "L", "")))</f>
      </c>
      <c r="AA734" s="59" t="str">
        <f t="shared" si="104"/>
      </c>
      <c r="AB734" s="67" t="str">
        <f>IF(OR(Table12[[#This Row],[Bet]]="Side",Table12[[#This Row],[Bet]]="", 'Prediction Log'!L735=""), "",IF('Prediction Log'!U735="Y", "W", IF('Prediction Log'!U735="N", "L", "")))</f>
      </c>
      <c r="AC734" s="59" t="str">
        <f t="shared" si="105"/>
      </c>
      <c r="AD734" s="67"/>
      <c r="AE734" s="65" t="str">
        <f t="shared" si="110"/>
      </c>
      <c r="AF73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5">
      <c r="A735" s="65" t="str">
        <f>IF(ISBLANK(Games!A735), "", Games!A735)</f>
      </c>
      <c r="B735" s="65" t="str">
        <f>IF('Prediction Log'!B736=0, "",'Prediction Log'!B736)</f>
      </c>
      <c r="C735" s="65" t="str">
        <f>IF('Prediction Log'!C736=0, "",'Prediction Log'!C736)</f>
      </c>
      <c r="D735" s="65" t="str">
        <f>IF('Prediction Log'!D736=0, "",'Prediction Log'!D736)</f>
      </c>
      <c r="E735" s="58" t="str">
        <f>IF('Prediction Log'!E736=0, "",'Prediction Log'!E736)</f>
      </c>
      <c r="F735" s="65" t="str">
        <f>IF('Prediction Log'!H736=0, "",'Prediction Log'!H736)</f>
      </c>
      <c r="G735" s="64" t="str">
        <f>IF(ISBLANK(Games!B735), "",'Prediction Log'!$I736)</f>
      </c>
      <c r="H735" s="66" t="n">
        <f>'Prediction Log'!$J736</f>
        <v>0</v>
      </c>
      <c r="I735" s="65" t="str">
        <f>IF(ISBLANK(Games!T735), "",IF(AND(Games!T735="",Games!U735=""),"",IF(ISTEXT(Games!U735), "Side",Games!T735)))</f>
      </c>
      <c r="J735" s="65" t="str">
        <f>IF(ISBLANK(Games!T735), "",IF(Table12[[#This Row],[Bet]]="Spread", Games!X735, ""))</f>
      </c>
      <c r="K735" s="65" t="str">
        <f>IF(ISBLANK(Games!U735), "",IF(ISTEXT(Games!U735), Games!U735, ""))</f>
      </c>
      <c r="L735" s="57" t="str">
        <f>IF(ISBLANK(Games!D735), "", Games!D735)</f>
      </c>
      <c r="M735" s="65"/>
      <c r="N735" s="75" t="str">
        <f>IF(Games!V735="", "",Games!V735)</f>
      </c>
      <c r="O735" s="75" t="str">
        <f>IF(Games!Z735=0, "",Games!Z735)</f>
      </c>
      <c r="P735" s="67"/>
      <c r="Q735" s="67" t="str">
        <f>IF(ISBLANK(Games!W735), "", Games!W735)</f>
      </c>
      <c r="R735" s="67" t="str">
        <f>IF(ISBLANK(Games!AA735), "", Games!AA735)</f>
      </c>
      <c r="S735" s="67"/>
      <c r="T735" s="68" t="str">
        <f t="shared" si="106"/>
      </c>
      <c r="U735" s="68" t="str">
        <f t="shared" si="107"/>
      </c>
      <c r="V735" s="68" t="str">
        <f t="shared" si="108"/>
      </c>
      <c r="W735" s="68" t="str">
        <f t="shared" si="109"/>
      </c>
      <c r="X735" s="68" t="n">
        <f t="shared" si="102"/>
        <v>0</v>
      </c>
      <c r="Y735" s="68" t="n">
        <f t="shared" si="103"/>
        <v>0</v>
      </c>
      <c r="Z735" s="67" t="str">
        <f>IF(OR('Prediction Log'!L736="", Table12[[#This Row],[Bet]]="", Table12[[#This Row],[Bet]]="Spread"), "",IF('Prediction Log'!L736=Table12[[#This Row],[Side]], "W", IF('Prediction Log'!L736&lt;&gt;Table12[[#This Row],[Side]], "L", "")))</f>
      </c>
      <c r="AA735" s="59" t="str">
        <f t="shared" si="104"/>
      </c>
      <c r="AB735" s="67" t="str">
        <f>IF(OR(Table12[[#This Row],[Bet]]="Side",Table12[[#This Row],[Bet]]="", 'Prediction Log'!L736=""), "",IF('Prediction Log'!U736="Y", "W", IF('Prediction Log'!U736="N", "L", "")))</f>
      </c>
      <c r="AC735" s="59" t="str">
        <f t="shared" si="105"/>
      </c>
      <c r="AD735" s="67"/>
      <c r="AE735" s="65" t="str">
        <f t="shared" si="110"/>
      </c>
      <c r="AF73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6">
      <c r="A736" s="65" t="str">
        <f>IF(ISBLANK(Games!A736), "", Games!A736)</f>
      </c>
      <c r="B736" s="65" t="str">
        <f>IF('Prediction Log'!B737=0, "",'Prediction Log'!B737)</f>
      </c>
      <c r="C736" s="65" t="str">
        <f>IF('Prediction Log'!C737=0, "",'Prediction Log'!C737)</f>
      </c>
      <c r="D736" s="65" t="str">
        <f>IF('Prediction Log'!D737=0, "",'Prediction Log'!D737)</f>
      </c>
      <c r="E736" s="58" t="str">
        <f>IF('Prediction Log'!E737=0, "",'Prediction Log'!E737)</f>
      </c>
      <c r="F736" s="65" t="str">
        <f>IF('Prediction Log'!H737=0, "",'Prediction Log'!H737)</f>
      </c>
      <c r="G736" s="64" t="str">
        <f>IF(ISBLANK(Games!B736), "",'Prediction Log'!$I737)</f>
      </c>
      <c r="H736" s="66" t="n">
        <f>'Prediction Log'!$J737</f>
        <v>0</v>
      </c>
      <c r="I736" s="65" t="str">
        <f>IF(ISBLANK(Games!T736), "",IF(AND(Games!T736="",Games!U736=""),"",IF(ISTEXT(Games!U736), "Side",Games!T736)))</f>
      </c>
      <c r="J736" s="65" t="str">
        <f>IF(ISBLANK(Games!T736), "",IF(Table12[[#This Row],[Bet]]="Spread", Games!X736, ""))</f>
      </c>
      <c r="K736" s="65" t="str">
        <f>IF(ISBLANK(Games!U736), "",IF(ISTEXT(Games!U736), Games!U736, ""))</f>
      </c>
      <c r="L736" s="57" t="str">
        <f>IF(ISBLANK(Games!D736), "", Games!D736)</f>
      </c>
      <c r="M736" s="65"/>
      <c r="N736" s="75" t="str">
        <f>IF(Games!V736="", "",Games!V736)</f>
      </c>
      <c r="O736" s="75" t="str">
        <f>IF(Games!Z736=0, "",Games!Z736)</f>
      </c>
      <c r="P736" s="67"/>
      <c r="Q736" s="67" t="str">
        <f>IF(ISBLANK(Games!W736), "", Games!W736)</f>
      </c>
      <c r="R736" s="67" t="str">
        <f>IF(ISBLANK(Games!AA736), "", Games!AA736)</f>
      </c>
      <c r="S736" s="67"/>
      <c r="T736" s="68" t="str">
        <f t="shared" si="106"/>
      </c>
      <c r="U736" s="68" t="str">
        <f t="shared" si="107"/>
      </c>
      <c r="V736" s="68" t="str">
        <f t="shared" si="108"/>
      </c>
      <c r="W736" s="68" t="str">
        <f t="shared" si="109"/>
      </c>
      <c r="X736" s="68" t="n">
        <f t="shared" si="102"/>
        <v>0</v>
      </c>
      <c r="Y736" s="68" t="n">
        <f t="shared" si="103"/>
        <v>0</v>
      </c>
      <c r="Z736" s="67" t="str">
        <f>IF(OR('Prediction Log'!L737="", Table12[[#This Row],[Bet]]="", Table12[[#This Row],[Bet]]="Spread"), "",IF('Prediction Log'!L737=Table12[[#This Row],[Side]], "W", IF('Prediction Log'!L737&lt;&gt;Table12[[#This Row],[Side]], "L", "")))</f>
      </c>
      <c r="AA736" s="59" t="str">
        <f t="shared" si="104"/>
      </c>
      <c r="AB736" s="67" t="str">
        <f>IF(OR(Table12[[#This Row],[Bet]]="Side",Table12[[#This Row],[Bet]]="", 'Prediction Log'!L737=""), "",IF('Prediction Log'!U737="Y", "W", IF('Prediction Log'!U737="N", "L", "")))</f>
      </c>
      <c r="AC736" s="59" t="str">
        <f t="shared" si="105"/>
      </c>
      <c r="AD736" s="67"/>
      <c r="AE736" s="65" t="str">
        <f t="shared" si="110"/>
      </c>
      <c r="AF73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7">
      <c r="A737" s="65" t="str">
        <f>IF(ISBLANK(Games!A737), "", Games!A737)</f>
      </c>
      <c r="B737" s="65" t="str">
        <f>IF('Prediction Log'!B738=0, "",'Prediction Log'!B738)</f>
      </c>
      <c r="C737" s="65" t="str">
        <f>IF('Prediction Log'!C738=0, "",'Prediction Log'!C738)</f>
      </c>
      <c r="D737" s="65" t="str">
        <f>IF('Prediction Log'!D738=0, "",'Prediction Log'!D738)</f>
      </c>
      <c r="E737" s="58" t="str">
        <f>IF('Prediction Log'!E738=0, "",'Prediction Log'!E738)</f>
      </c>
      <c r="F737" s="65" t="str">
        <f>IF('Prediction Log'!H738=0, "",'Prediction Log'!H738)</f>
      </c>
      <c r="G737" s="64" t="str">
        <f>IF(ISBLANK(Games!B737), "",'Prediction Log'!$I738)</f>
      </c>
      <c r="H737" s="66" t="n">
        <f>'Prediction Log'!$J738</f>
        <v>0</v>
      </c>
      <c r="I737" s="65" t="str">
        <f>IF(ISBLANK(Games!T737), "",IF(AND(Games!T737="",Games!U737=""),"",IF(ISTEXT(Games!U737), "Side",Games!T737)))</f>
      </c>
      <c r="J737" s="65" t="str">
        <f>IF(ISBLANK(Games!T737), "",IF(Table12[[#This Row],[Bet]]="Spread", Games!X737, ""))</f>
      </c>
      <c r="K737" s="65" t="str">
        <f>IF(ISBLANK(Games!U737), "",IF(ISTEXT(Games!U737), Games!U737, ""))</f>
      </c>
      <c r="L737" s="57" t="str">
        <f>IF(ISBLANK(Games!D737), "", Games!D737)</f>
      </c>
      <c r="M737" s="65"/>
      <c r="N737" s="75" t="str">
        <f>IF(Games!V737="", "",Games!V737)</f>
      </c>
      <c r="O737" s="75" t="str">
        <f>IF(Games!Z737=0, "",Games!Z737)</f>
      </c>
      <c r="P737" s="67"/>
      <c r="Q737" s="67" t="str">
        <f>IF(ISBLANK(Games!W737), "", Games!W737)</f>
      </c>
      <c r="R737" s="67" t="str">
        <f>IF(ISBLANK(Games!AA737), "", Games!AA737)</f>
      </c>
      <c r="S737" s="67"/>
      <c r="T737" s="68" t="str">
        <f t="shared" si="106"/>
      </c>
      <c r="U737" s="68" t="str">
        <f t="shared" si="107"/>
      </c>
      <c r="V737" s="68" t="str">
        <f t="shared" si="108"/>
      </c>
      <c r="W737" s="68" t="str">
        <f t="shared" si="109"/>
      </c>
      <c r="X737" s="68" t="n">
        <f t="shared" si="102"/>
        <v>0</v>
      </c>
      <c r="Y737" s="68" t="n">
        <f t="shared" si="103"/>
        <v>0</v>
      </c>
      <c r="Z737" s="67" t="str">
        <f>IF(OR('Prediction Log'!L738="", Table12[[#This Row],[Bet]]="", Table12[[#This Row],[Bet]]="Spread"), "",IF('Prediction Log'!L738=Table12[[#This Row],[Side]], "W", IF('Prediction Log'!L738&lt;&gt;Table12[[#This Row],[Side]], "L", "")))</f>
      </c>
      <c r="AA737" s="59" t="str">
        <f t="shared" si="104"/>
      </c>
      <c r="AB737" s="67" t="str">
        <f>IF(OR(Table12[[#This Row],[Bet]]="Side",Table12[[#This Row],[Bet]]="", 'Prediction Log'!L738=""), "",IF('Prediction Log'!U738="Y", "W", IF('Prediction Log'!U738="N", "L", "")))</f>
      </c>
      <c r="AC737" s="59" t="str">
        <f t="shared" si="105"/>
      </c>
      <c r="AD737" s="67"/>
      <c r="AE737" s="65" t="str">
        <f t="shared" si="110"/>
      </c>
      <c r="AF73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8">
      <c r="A738" s="65" t="str">
        <f>IF(ISBLANK(Games!A738), "", Games!A738)</f>
      </c>
      <c r="B738" s="65" t="str">
        <f>IF('Prediction Log'!B739=0, "",'Prediction Log'!B739)</f>
      </c>
      <c r="C738" s="65" t="str">
        <f>IF('Prediction Log'!C739=0, "",'Prediction Log'!C739)</f>
      </c>
      <c r="D738" s="65" t="str">
        <f>IF('Prediction Log'!D739=0, "",'Prediction Log'!D739)</f>
      </c>
      <c r="E738" s="58" t="str">
        <f>IF('Prediction Log'!E739=0, "",'Prediction Log'!E739)</f>
      </c>
      <c r="F738" s="65" t="str">
        <f>IF('Prediction Log'!H739=0, "",'Prediction Log'!H739)</f>
      </c>
      <c r="G738" s="64" t="str">
        <f>IF(ISBLANK(Games!B738), "",'Prediction Log'!$I739)</f>
      </c>
      <c r="H738" s="66" t="n">
        <f>'Prediction Log'!$J739</f>
        <v>0</v>
      </c>
      <c r="I738" s="65" t="str">
        <f>IF(ISBLANK(Games!T738), "",IF(AND(Games!T738="",Games!U738=""),"",IF(ISTEXT(Games!U738), "Side",Games!T738)))</f>
      </c>
      <c r="J738" s="65" t="str">
        <f>IF(ISBLANK(Games!T738), "",IF(Table12[[#This Row],[Bet]]="Spread", Games!X738, ""))</f>
      </c>
      <c r="K738" s="65" t="str">
        <f>IF(ISBLANK(Games!U738), "",IF(ISTEXT(Games!U738), Games!U738, ""))</f>
      </c>
      <c r="L738" s="57" t="str">
        <f>IF(ISBLANK(Games!D738), "", Games!D738)</f>
      </c>
      <c r="M738" s="65"/>
      <c r="N738" s="75" t="str">
        <f>IF(Games!V738="", "",Games!V738)</f>
      </c>
      <c r="O738" s="75" t="str">
        <f>IF(Games!Z738=0, "",Games!Z738)</f>
      </c>
      <c r="P738" s="67"/>
      <c r="Q738" s="67" t="str">
        <f>IF(ISBLANK(Games!W738), "", Games!W738)</f>
      </c>
      <c r="R738" s="67" t="str">
        <f>IF(ISBLANK(Games!AA738), "", Games!AA738)</f>
      </c>
      <c r="S738" s="67"/>
      <c r="T738" s="68" t="str">
        <f t="shared" si="106"/>
      </c>
      <c r="U738" s="68" t="str">
        <f t="shared" si="107"/>
      </c>
      <c r="V738" s="68" t="str">
        <f t="shared" si="108"/>
      </c>
      <c r="W738" s="68" t="str">
        <f t="shared" si="109"/>
      </c>
      <c r="X738" s="68" t="n">
        <f t="shared" si="102"/>
        <v>0</v>
      </c>
      <c r="Y738" s="68" t="n">
        <f t="shared" si="103"/>
        <v>0</v>
      </c>
      <c r="Z738" s="67" t="str">
        <f>IF(OR('Prediction Log'!L739="", Table12[[#This Row],[Bet]]="", Table12[[#This Row],[Bet]]="Spread"), "",IF('Prediction Log'!L739=Table12[[#This Row],[Side]], "W", IF('Prediction Log'!L739&lt;&gt;Table12[[#This Row],[Side]], "L", "")))</f>
      </c>
      <c r="AA738" s="59" t="str">
        <f t="shared" si="104"/>
      </c>
      <c r="AB738" s="67" t="str">
        <f>IF(OR(Table12[[#This Row],[Bet]]="Side",Table12[[#This Row],[Bet]]="", 'Prediction Log'!L739=""), "",IF('Prediction Log'!U739="Y", "W", IF('Prediction Log'!U739="N", "L", "")))</f>
      </c>
      <c r="AC738" s="59" t="str">
        <f t="shared" si="105"/>
      </c>
      <c r="AD738" s="67"/>
      <c r="AE738" s="65" t="str">
        <f t="shared" si="110"/>
      </c>
      <c r="AF73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9">
      <c r="A739" s="65" t="str">
        <f>IF(ISBLANK(Games!A739), "", Games!A739)</f>
      </c>
      <c r="B739" s="65" t="str">
        <f>IF('Prediction Log'!B740=0, "",'Prediction Log'!B740)</f>
      </c>
      <c r="C739" s="65" t="str">
        <f>IF('Prediction Log'!C740=0, "",'Prediction Log'!C740)</f>
      </c>
      <c r="D739" s="65" t="str">
        <f>IF('Prediction Log'!D740=0, "",'Prediction Log'!D740)</f>
      </c>
      <c r="E739" s="58" t="str">
        <f>IF('Prediction Log'!E740=0, "",'Prediction Log'!E740)</f>
      </c>
      <c r="F739" s="65" t="str">
        <f>IF('Prediction Log'!H740=0, "",'Prediction Log'!H740)</f>
      </c>
      <c r="G739" s="64" t="str">
        <f>IF(ISBLANK(Games!B739), "",'Prediction Log'!$I740)</f>
      </c>
      <c r="H739" s="66" t="n">
        <f>'Prediction Log'!$J740</f>
        <v>0</v>
      </c>
      <c r="I739" s="65" t="str">
        <f>IF(ISBLANK(Games!T739), "",IF(AND(Games!T739="",Games!U739=""),"",IF(ISTEXT(Games!U739), "Side",Games!T739)))</f>
      </c>
      <c r="J739" s="65" t="str">
        <f>IF(ISBLANK(Games!T739), "",IF(Table12[[#This Row],[Bet]]="Spread", Games!X739, ""))</f>
      </c>
      <c r="K739" s="65" t="str">
        <f>IF(ISBLANK(Games!U739), "",IF(ISTEXT(Games!U739), Games!U739, ""))</f>
      </c>
      <c r="L739" s="57" t="str">
        <f>IF(ISBLANK(Games!D739), "", Games!D739)</f>
      </c>
      <c r="M739" s="65"/>
      <c r="N739" s="75" t="str">
        <f>IF(Games!V739="", "",Games!V739)</f>
      </c>
      <c r="O739" s="75" t="str">
        <f>IF(Games!Z739=0, "",Games!Z739)</f>
      </c>
      <c r="P739" s="67"/>
      <c r="Q739" s="67" t="str">
        <f>IF(ISBLANK(Games!W739), "", Games!W739)</f>
      </c>
      <c r="R739" s="67" t="str">
        <f>IF(ISBLANK(Games!AA739), "", Games!AA739)</f>
      </c>
      <c r="S739" s="67"/>
      <c r="T739" s="68" t="str">
        <f t="shared" si="106"/>
      </c>
      <c r="U739" s="68" t="str">
        <f t="shared" si="107"/>
      </c>
      <c r="V739" s="68" t="str">
        <f t="shared" si="108"/>
      </c>
      <c r="W739" s="68" t="str">
        <f t="shared" si="109"/>
      </c>
      <c r="X739" s="68" t="n">
        <f t="shared" si="102"/>
        <v>0</v>
      </c>
      <c r="Y739" s="68" t="n">
        <f t="shared" si="103"/>
        <v>0</v>
      </c>
      <c r="Z739" s="67" t="str">
        <f>IF(OR('Prediction Log'!L740="", Table12[[#This Row],[Bet]]="", Table12[[#This Row],[Bet]]="Spread"), "",IF('Prediction Log'!L740=Table12[[#This Row],[Side]], "W", IF('Prediction Log'!L740&lt;&gt;Table12[[#This Row],[Side]], "L", "")))</f>
      </c>
      <c r="AA739" s="59" t="str">
        <f t="shared" si="104"/>
      </c>
      <c r="AB739" s="67" t="str">
        <f>IF(OR(Table12[[#This Row],[Bet]]="Side",Table12[[#This Row],[Bet]]="", 'Prediction Log'!L740=""), "",IF('Prediction Log'!U740="Y", "W", IF('Prediction Log'!U740="N", "L", "")))</f>
      </c>
      <c r="AC739" s="59" t="str">
        <f t="shared" si="105"/>
      </c>
      <c r="AD739" s="67"/>
      <c r="AE739" s="65" t="str">
        <f t="shared" si="110"/>
      </c>
      <c r="AF73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0">
      <c r="A740" s="65" t="str">
        <f>IF(ISBLANK(Games!A740), "", Games!A740)</f>
      </c>
      <c r="B740" s="65" t="str">
        <f>IF('Prediction Log'!B741=0, "",'Prediction Log'!B741)</f>
      </c>
      <c r="C740" s="65" t="str">
        <f>IF('Prediction Log'!C741=0, "",'Prediction Log'!C741)</f>
      </c>
      <c r="D740" s="65" t="str">
        <f>IF('Prediction Log'!D741=0, "",'Prediction Log'!D741)</f>
      </c>
      <c r="E740" s="58" t="str">
        <f>IF('Prediction Log'!E741=0, "",'Prediction Log'!E741)</f>
      </c>
      <c r="F740" s="65" t="str">
        <f>IF('Prediction Log'!H741=0, "",'Prediction Log'!H741)</f>
      </c>
      <c r="G740" s="64" t="str">
        <f>IF(ISBLANK(Games!B740), "",'Prediction Log'!$I741)</f>
      </c>
      <c r="H740" s="66" t="n">
        <f>'Prediction Log'!$J741</f>
        <v>0</v>
      </c>
      <c r="I740" s="65" t="str">
        <f>IF(ISBLANK(Games!T740), "",IF(AND(Games!T740="",Games!U740=""),"",IF(ISTEXT(Games!U740), "Side",Games!T740)))</f>
      </c>
      <c r="J740" s="65" t="str">
        <f>IF(ISBLANK(Games!T740), "",IF(Table12[[#This Row],[Bet]]="Spread", Games!X740, ""))</f>
      </c>
      <c r="K740" s="65" t="str">
        <f>IF(ISBLANK(Games!U740), "",IF(ISTEXT(Games!U740), Games!U740, ""))</f>
      </c>
      <c r="L740" s="57" t="str">
        <f>IF(ISBLANK(Games!D740), "", Games!D740)</f>
      </c>
      <c r="M740" s="65"/>
      <c r="N740" s="75" t="str">
        <f>IF(Games!V740="", "",Games!V740)</f>
      </c>
      <c r="O740" s="75" t="str">
        <f>IF(Games!Z740=0, "",Games!Z740)</f>
      </c>
      <c r="P740" s="67"/>
      <c r="Q740" s="67" t="str">
        <f>IF(ISBLANK(Games!W740), "", Games!W740)</f>
      </c>
      <c r="R740" s="67" t="str">
        <f>IF(ISBLANK(Games!AA740), "", Games!AA740)</f>
      </c>
      <c r="S740" s="67"/>
      <c r="T740" s="68" t="str">
        <f t="shared" si="106"/>
      </c>
      <c r="U740" s="68" t="str">
        <f t="shared" si="107"/>
      </c>
      <c r="V740" s="68" t="str">
        <f t="shared" si="108"/>
      </c>
      <c r="W740" s="68" t="str">
        <f t="shared" si="109"/>
      </c>
      <c r="X740" s="68" t="n">
        <f t="shared" si="102"/>
        <v>0</v>
      </c>
      <c r="Y740" s="68" t="n">
        <f t="shared" si="103"/>
        <v>0</v>
      </c>
      <c r="Z740" s="67" t="str">
        <f>IF(OR('Prediction Log'!L741="", Table12[[#This Row],[Bet]]="", Table12[[#This Row],[Bet]]="Spread"), "",IF('Prediction Log'!L741=Table12[[#This Row],[Side]], "W", IF('Prediction Log'!L741&lt;&gt;Table12[[#This Row],[Side]], "L", "")))</f>
      </c>
      <c r="AA740" s="59" t="str">
        <f t="shared" si="104"/>
      </c>
      <c r="AB740" s="67" t="str">
        <f>IF(OR(Table12[[#This Row],[Bet]]="Side",Table12[[#This Row],[Bet]]="", 'Prediction Log'!L741=""), "",IF('Prediction Log'!U741="Y", "W", IF('Prediction Log'!U741="N", "L", "")))</f>
      </c>
      <c r="AC740" s="59" t="str">
        <f t="shared" si="105"/>
      </c>
      <c r="AD740" s="67"/>
      <c r="AE740" s="65" t="str">
        <f t="shared" si="110"/>
      </c>
      <c r="AF74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1">
      <c r="A741" s="65" t="str">
        <f>IF(ISBLANK(Games!A741), "", Games!A741)</f>
      </c>
      <c r="B741" s="65" t="str">
        <f>IF('Prediction Log'!B742=0, "",'Prediction Log'!B742)</f>
      </c>
      <c r="C741" s="65" t="str">
        <f>IF('Prediction Log'!C742=0, "",'Prediction Log'!C742)</f>
      </c>
      <c r="D741" s="65" t="str">
        <f>IF('Prediction Log'!D742=0, "",'Prediction Log'!D742)</f>
      </c>
      <c r="E741" s="58" t="str">
        <f>IF('Prediction Log'!E742=0, "",'Prediction Log'!E742)</f>
      </c>
      <c r="F741" s="65" t="str">
        <f>IF('Prediction Log'!H742=0, "",'Prediction Log'!H742)</f>
      </c>
      <c r="G741" s="64" t="str">
        <f>IF(ISBLANK(Games!B741), "",'Prediction Log'!$I742)</f>
      </c>
      <c r="H741" s="66" t="n">
        <f>'Prediction Log'!$J742</f>
        <v>0</v>
      </c>
      <c r="I741" s="65" t="str">
        <f>IF(ISBLANK(Games!T741), "",IF(AND(Games!T741="",Games!U741=""),"",IF(ISTEXT(Games!U741), "Side",Games!T741)))</f>
      </c>
      <c r="J741" s="65" t="str">
        <f>IF(ISBLANK(Games!T741), "",IF(Table12[[#This Row],[Bet]]="Spread", Games!X741, ""))</f>
      </c>
      <c r="K741" s="65" t="str">
        <f>IF(ISBLANK(Games!U741), "",IF(ISTEXT(Games!U741), Games!U741, ""))</f>
      </c>
      <c r="L741" s="57" t="str">
        <f>IF(ISBLANK(Games!D741), "", Games!D741)</f>
      </c>
      <c r="M741" s="65"/>
      <c r="N741" s="75" t="str">
        <f>IF(Games!V741="", "",Games!V741)</f>
      </c>
      <c r="O741" s="75" t="str">
        <f>IF(Games!Z741=0, "",Games!Z741)</f>
      </c>
      <c r="P741" s="67"/>
      <c r="Q741" s="67" t="str">
        <f>IF(ISBLANK(Games!W741), "", Games!W741)</f>
      </c>
      <c r="R741" s="67" t="str">
        <f>IF(ISBLANK(Games!AA741), "", Games!AA741)</f>
      </c>
      <c r="S741" s="67"/>
      <c r="T741" s="68" t="str">
        <f t="shared" si="106"/>
      </c>
      <c r="U741" s="68" t="str">
        <f t="shared" si="107"/>
      </c>
      <c r="V741" s="68" t="str">
        <f t="shared" si="108"/>
      </c>
      <c r="W741" s="68" t="str">
        <f t="shared" si="109"/>
      </c>
      <c r="X741" s="68" t="n">
        <f t="shared" si="102"/>
        <v>0</v>
      </c>
      <c r="Y741" s="68" t="n">
        <f t="shared" si="103"/>
        <v>0</v>
      </c>
      <c r="Z741" s="67" t="str">
        <f>IF(OR('Prediction Log'!L742="", Table12[[#This Row],[Bet]]="", Table12[[#This Row],[Bet]]="Spread"), "",IF('Prediction Log'!L742=Table12[[#This Row],[Side]], "W", IF('Prediction Log'!L742&lt;&gt;Table12[[#This Row],[Side]], "L", "")))</f>
      </c>
      <c r="AA741" s="59" t="str">
        <f t="shared" si="104"/>
      </c>
      <c r="AB741" s="67" t="str">
        <f>IF(OR(Table12[[#This Row],[Bet]]="Side",Table12[[#This Row],[Bet]]="", 'Prediction Log'!L742=""), "",IF('Prediction Log'!U742="Y", "W", IF('Prediction Log'!U742="N", "L", "")))</f>
      </c>
      <c r="AC741" s="59" t="str">
        <f t="shared" si="105"/>
      </c>
      <c r="AD741" s="67"/>
      <c r="AE741" s="65" t="str">
        <f t="shared" si="110"/>
      </c>
      <c r="AF74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2">
      <c r="A742" s="65" t="str">
        <f>IF(ISBLANK(Games!A742), "", Games!A742)</f>
      </c>
      <c r="B742" s="65" t="str">
        <f>IF('Prediction Log'!B743=0, "",'Prediction Log'!B743)</f>
      </c>
      <c r="C742" s="65" t="str">
        <f>IF('Prediction Log'!C743=0, "",'Prediction Log'!C743)</f>
      </c>
      <c r="D742" s="65" t="str">
        <f>IF('Prediction Log'!D743=0, "",'Prediction Log'!D743)</f>
      </c>
      <c r="E742" s="58" t="str">
        <f>IF('Prediction Log'!E743=0, "",'Prediction Log'!E743)</f>
      </c>
      <c r="F742" s="65" t="str">
        <f>IF('Prediction Log'!H743=0, "",'Prediction Log'!H743)</f>
      </c>
      <c r="G742" s="64" t="str">
        <f>IF(ISBLANK(Games!B742), "",'Prediction Log'!$I743)</f>
      </c>
      <c r="H742" s="66" t="n">
        <f>'Prediction Log'!$J743</f>
        <v>0</v>
      </c>
      <c r="I742" s="65" t="str">
        <f>IF(ISBLANK(Games!T742), "",IF(AND(Games!T742="",Games!U742=""),"",IF(ISTEXT(Games!U742), "Side",Games!T742)))</f>
      </c>
      <c r="J742" s="65" t="str">
        <f>IF(ISBLANK(Games!T742), "",IF(Table12[[#This Row],[Bet]]="Spread", Games!X742, ""))</f>
      </c>
      <c r="K742" s="65" t="str">
        <f>IF(ISBLANK(Games!U742), "",IF(ISTEXT(Games!U742), Games!U742, ""))</f>
      </c>
      <c r="L742" s="57" t="str">
        <f>IF(ISBLANK(Games!D742), "", Games!D742)</f>
      </c>
      <c r="M742" s="65"/>
      <c r="N742" s="75" t="str">
        <f>IF(Games!V742="", "",Games!V742)</f>
      </c>
      <c r="O742" s="75" t="str">
        <f>IF(Games!Z742=0, "",Games!Z742)</f>
      </c>
      <c r="P742" s="67"/>
      <c r="Q742" s="67" t="str">
        <f>IF(ISBLANK(Games!W742), "", Games!W742)</f>
      </c>
      <c r="R742" s="67" t="str">
        <f>IF(ISBLANK(Games!AA742), "", Games!AA742)</f>
      </c>
      <c r="S742" s="67"/>
      <c r="T742" s="68" t="str">
        <f t="shared" si="106"/>
      </c>
      <c r="U742" s="68" t="str">
        <f t="shared" si="107"/>
      </c>
      <c r="V742" s="68" t="str">
        <f t="shared" si="108"/>
      </c>
      <c r="W742" s="68" t="str">
        <f t="shared" si="109"/>
      </c>
      <c r="X742" s="68" t="n">
        <f t="shared" ref="X742:X800" si="111">P742+IF(S742&lt;0, (P742/(S742/-100)), P742*(S742/100))</f>
        <v>0</v>
      </c>
      <c r="Y742" s="68" t="n">
        <f t="shared" ref="Y742:Y800" si="112">S742-P742</f>
        <v>0</v>
      </c>
      <c r="Z742" s="67" t="str">
        <f>IF(OR('Prediction Log'!L743="", Table12[[#This Row],[Bet]]="", Table12[[#This Row],[Bet]]="Spread"), "",IF('Prediction Log'!L743=Table12[[#This Row],[Side]], "W", IF('Prediction Log'!L743&lt;&gt;Table12[[#This Row],[Side]], "L", "")))</f>
      </c>
      <c r="AA742" s="59" t="str">
        <f t="shared" ref="AA742:AA800" si="113">IF(Z742="W", U742, IF(Z742="L",-N742, ""))</f>
      </c>
      <c r="AB742" s="67" t="str">
        <f>IF(OR(Table12[[#This Row],[Bet]]="Side",Table12[[#This Row],[Bet]]="", 'Prediction Log'!L743=""), "",IF('Prediction Log'!U743="Y", "W", IF('Prediction Log'!U743="N", "L", "")))</f>
      </c>
      <c r="AC742" s="59" t="str">
        <f t="shared" si="105"/>
      </c>
      <c r="AD742" s="67"/>
      <c r="AE742" s="65" t="str">
        <f t="shared" si="110"/>
      </c>
      <c r="AF74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3">
      <c r="A743" s="65" t="str">
        <f>IF(ISBLANK(Games!A743), "", Games!A743)</f>
      </c>
      <c r="B743" s="65" t="str">
        <f>IF('Prediction Log'!B744=0, "",'Prediction Log'!B744)</f>
      </c>
      <c r="C743" s="65" t="str">
        <f>IF('Prediction Log'!C744=0, "",'Prediction Log'!C744)</f>
      </c>
      <c r="D743" s="65" t="str">
        <f>IF('Prediction Log'!D744=0, "",'Prediction Log'!D744)</f>
      </c>
      <c r="E743" s="58" t="str">
        <f>IF('Prediction Log'!E744=0, "",'Prediction Log'!E744)</f>
      </c>
      <c r="F743" s="65" t="str">
        <f>IF('Prediction Log'!H744=0, "",'Prediction Log'!H744)</f>
      </c>
      <c r="G743" s="64" t="str">
        <f>IF(ISBLANK(Games!B743), "",'Prediction Log'!$I744)</f>
      </c>
      <c r="H743" s="66" t="n">
        <f>'Prediction Log'!$J744</f>
        <v>0</v>
      </c>
      <c r="I743" s="65" t="str">
        <f>IF(ISBLANK(Games!T743), "",IF(AND(Games!T743="",Games!U743=""),"",IF(ISTEXT(Games!U743), "Side",Games!T743)))</f>
      </c>
      <c r="J743" s="65" t="str">
        <f>IF(ISBLANK(Games!T743), "",IF(Table12[[#This Row],[Bet]]="Spread", Games!X743, ""))</f>
      </c>
      <c r="K743" s="65" t="str">
        <f>IF(ISBLANK(Games!U743), "",IF(ISTEXT(Games!U743), Games!U743, ""))</f>
      </c>
      <c r="L743" s="57" t="str">
        <f>IF(ISBLANK(Games!D743), "", Games!D743)</f>
      </c>
      <c r="M743" s="65"/>
      <c r="N743" s="75" t="str">
        <f>IF(Games!V743="", "",Games!V743)</f>
      </c>
      <c r="O743" s="75" t="str">
        <f>IF(Games!Z743=0, "",Games!Z743)</f>
      </c>
      <c r="P743" s="67"/>
      <c r="Q743" s="67" t="str">
        <f>IF(ISBLANK(Games!W743), "", Games!W743)</f>
      </c>
      <c r="R743" s="67" t="str">
        <f>IF(ISBLANK(Games!AA743), "", Games!AA743)</f>
      </c>
      <c r="S743" s="67"/>
      <c r="T743" s="68" t="str">
        <f t="shared" si="106"/>
      </c>
      <c r="U743" s="68" t="str">
        <f t="shared" si="107"/>
      </c>
      <c r="V743" s="68" t="str">
        <f t="shared" si="108"/>
      </c>
      <c r="W743" s="68" t="str">
        <f t="shared" si="109"/>
      </c>
      <c r="X743" s="68" t="n">
        <f t="shared" si="111"/>
        <v>0</v>
      </c>
      <c r="Y743" s="68" t="n">
        <f t="shared" si="112"/>
        <v>0</v>
      </c>
      <c r="Z743" s="67" t="str">
        <f>IF(OR('Prediction Log'!L744="", Table12[[#This Row],[Bet]]="", Table12[[#This Row],[Bet]]="Spread"), "",IF('Prediction Log'!L744=Table12[[#This Row],[Side]], "W", IF('Prediction Log'!L744&lt;&gt;Table12[[#This Row],[Side]], "L", "")))</f>
      </c>
      <c r="AA743" s="59" t="str">
        <f t="shared" si="113"/>
      </c>
      <c r="AB743" s="67" t="str">
        <f>IF(OR(Table12[[#This Row],[Bet]]="Side",Table12[[#This Row],[Bet]]="", 'Prediction Log'!L744=""), "",IF('Prediction Log'!U744="Y", "W", IF('Prediction Log'!U744="N", "L", "")))</f>
      </c>
      <c r="AC743" s="59" t="str">
        <f t="shared" si="105"/>
      </c>
      <c r="AD743" s="67"/>
      <c r="AE743" s="65" t="str">
        <f t="shared" si="110"/>
      </c>
      <c r="AF74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4">
      <c r="A744" s="65" t="str">
        <f>IF(ISBLANK(Games!A744), "", Games!A744)</f>
      </c>
      <c r="B744" s="65" t="str">
        <f>IF('Prediction Log'!B745=0, "",'Prediction Log'!B745)</f>
      </c>
      <c r="C744" s="65" t="str">
        <f>IF('Prediction Log'!C745=0, "",'Prediction Log'!C745)</f>
      </c>
      <c r="D744" s="65" t="str">
        <f>IF('Prediction Log'!D745=0, "",'Prediction Log'!D745)</f>
      </c>
      <c r="E744" s="58" t="str">
        <f>IF('Prediction Log'!E745=0, "",'Prediction Log'!E745)</f>
      </c>
      <c r="F744" s="65" t="str">
        <f>IF('Prediction Log'!H745=0, "",'Prediction Log'!H745)</f>
      </c>
      <c r="G744" s="64" t="str">
        <f>IF(ISBLANK(Games!B744), "",'Prediction Log'!$I745)</f>
      </c>
      <c r="H744" s="66" t="n">
        <f>'Prediction Log'!$J745</f>
        <v>0</v>
      </c>
      <c r="I744" s="65" t="str">
        <f>IF(ISBLANK(Games!T744), "",IF(AND(Games!T744="",Games!U744=""),"",IF(ISTEXT(Games!U744), "Side",Games!T744)))</f>
      </c>
      <c r="J744" s="65" t="str">
        <f>IF(ISBLANK(Games!T744), "",IF(Table12[[#This Row],[Bet]]="Spread", Games!X744, ""))</f>
      </c>
      <c r="K744" s="65" t="str">
        <f>IF(ISBLANK(Games!U744), "",IF(ISTEXT(Games!U744), Games!U744, ""))</f>
      </c>
      <c r="L744" s="57" t="str">
        <f>IF(ISBLANK(Games!D744), "", Games!D744)</f>
      </c>
      <c r="M744" s="65"/>
      <c r="N744" s="75" t="str">
        <f>IF(Games!V744="", "",Games!V744)</f>
      </c>
      <c r="O744" s="75" t="str">
        <f>IF(Games!Z744=0, "",Games!Z744)</f>
      </c>
      <c r="P744" s="67"/>
      <c r="Q744" s="67" t="str">
        <f>IF(ISBLANK(Games!W744), "", Games!W744)</f>
      </c>
      <c r="R744" s="67" t="str">
        <f>IF(ISBLANK(Games!AA744), "", Games!AA744)</f>
      </c>
      <c r="S744" s="67"/>
      <c r="T744" s="68" t="str">
        <f t="shared" si="106"/>
      </c>
      <c r="U744" s="68" t="str">
        <f t="shared" si="107"/>
      </c>
      <c r="V744" s="68" t="str">
        <f t="shared" si="108"/>
      </c>
      <c r="W744" s="68" t="str">
        <f t="shared" si="109"/>
      </c>
      <c r="X744" s="68" t="n">
        <f t="shared" si="111"/>
        <v>0</v>
      </c>
      <c r="Y744" s="68" t="n">
        <f t="shared" si="112"/>
        <v>0</v>
      </c>
      <c r="Z744" s="67" t="str">
        <f>IF(OR('Prediction Log'!L745="", Table12[[#This Row],[Bet]]="", Table12[[#This Row],[Bet]]="Spread"), "",IF('Prediction Log'!L745=Table12[[#This Row],[Side]], "W", IF('Prediction Log'!L745&lt;&gt;Table12[[#This Row],[Side]], "L", "")))</f>
      </c>
      <c r="AA744" s="59" t="str">
        <f t="shared" si="113"/>
      </c>
      <c r="AB744" s="67" t="str">
        <f>IF(OR(Table12[[#This Row],[Bet]]="Side",Table12[[#This Row],[Bet]]="", 'Prediction Log'!L745=""), "",IF('Prediction Log'!U745="Y", "W", IF('Prediction Log'!U745="N", "L", "")))</f>
      </c>
      <c r="AC744" s="59" t="str">
        <f t="shared" si="105"/>
      </c>
      <c r="AD744" s="67"/>
      <c r="AE744" s="65" t="str">
        <f t="shared" si="110"/>
      </c>
      <c r="AF74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5">
      <c r="A745" s="65" t="str">
        <f>IF(ISBLANK(Games!A745), "", Games!A745)</f>
      </c>
      <c r="B745" s="65" t="str">
        <f>IF('Prediction Log'!B746=0, "",'Prediction Log'!B746)</f>
      </c>
      <c r="C745" s="65" t="str">
        <f>IF('Prediction Log'!C746=0, "",'Prediction Log'!C746)</f>
      </c>
      <c r="D745" s="65" t="str">
        <f>IF('Prediction Log'!D746=0, "",'Prediction Log'!D746)</f>
      </c>
      <c r="E745" s="58" t="str">
        <f>IF('Prediction Log'!E746=0, "",'Prediction Log'!E746)</f>
      </c>
      <c r="F745" s="65" t="str">
        <f>IF('Prediction Log'!H746=0, "",'Prediction Log'!H746)</f>
      </c>
      <c r="G745" s="64" t="str">
        <f>IF(ISBLANK(Games!B745), "",'Prediction Log'!$I746)</f>
      </c>
      <c r="H745" s="66" t="n">
        <f>'Prediction Log'!$J746</f>
        <v>0</v>
      </c>
      <c r="I745" s="65" t="str">
        <f>IF(ISBLANK(Games!T745), "",IF(AND(Games!T745="",Games!U745=""),"",IF(ISTEXT(Games!U745), "Side",Games!T745)))</f>
      </c>
      <c r="J745" s="65" t="str">
        <f>IF(ISBLANK(Games!T745), "",IF(Table12[[#This Row],[Bet]]="Spread", Games!X745, ""))</f>
      </c>
      <c r="K745" s="65" t="str">
        <f>IF(ISBLANK(Games!U745), "",IF(ISTEXT(Games!U745), Games!U745, ""))</f>
      </c>
      <c r="L745" s="57" t="str">
        <f>IF(ISBLANK(Games!D745), "", Games!D745)</f>
      </c>
      <c r="M745" s="65"/>
      <c r="N745" s="75" t="str">
        <f>IF(Games!V745="", "",Games!V745)</f>
      </c>
      <c r="O745" s="75" t="str">
        <f>IF(Games!Z745=0, "",Games!Z745)</f>
      </c>
      <c r="P745" s="67"/>
      <c r="Q745" s="67" t="str">
        <f>IF(ISBLANK(Games!W745), "", Games!W745)</f>
      </c>
      <c r="R745" s="67" t="str">
        <f>IF(ISBLANK(Games!AA745), "", Games!AA745)</f>
      </c>
      <c r="S745" s="67"/>
      <c r="T745" s="68" t="str">
        <f t="shared" si="106"/>
      </c>
      <c r="U745" s="68" t="str">
        <f t="shared" si="107"/>
      </c>
      <c r="V745" s="68" t="str">
        <f t="shared" si="108"/>
      </c>
      <c r="W745" s="68" t="str">
        <f t="shared" si="109"/>
      </c>
      <c r="X745" s="68" t="n">
        <f t="shared" si="111"/>
        <v>0</v>
      </c>
      <c r="Y745" s="68" t="n">
        <f t="shared" si="112"/>
        <v>0</v>
      </c>
      <c r="Z745" s="67" t="str">
        <f>IF(OR('Prediction Log'!L746="", Table12[[#This Row],[Bet]]="", Table12[[#This Row],[Bet]]="Spread"), "",IF('Prediction Log'!L746=Table12[[#This Row],[Side]], "W", IF('Prediction Log'!L746&lt;&gt;Table12[[#This Row],[Side]], "L", "")))</f>
      </c>
      <c r="AA745" s="59" t="str">
        <f t="shared" si="113"/>
      </c>
      <c r="AB745" s="67" t="str">
        <f>IF(OR(Table12[[#This Row],[Bet]]="Side",Table12[[#This Row],[Bet]]="", 'Prediction Log'!L746=""), "",IF('Prediction Log'!U746="Y", "W", IF('Prediction Log'!U746="N", "L", "")))</f>
      </c>
      <c r="AC745" s="59" t="str">
        <f t="shared" si="105"/>
      </c>
      <c r="AD745" s="67"/>
      <c r="AE745" s="65" t="str">
        <f t="shared" si="110"/>
      </c>
      <c r="AF74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6">
      <c r="A746" s="65" t="str">
        <f>IF(ISBLANK(Games!A746), "", Games!A746)</f>
      </c>
      <c r="B746" s="65" t="str">
        <f>IF('Prediction Log'!B747=0, "",'Prediction Log'!B747)</f>
      </c>
      <c r="C746" s="65" t="str">
        <f>IF('Prediction Log'!C747=0, "",'Prediction Log'!C747)</f>
      </c>
      <c r="D746" s="65" t="str">
        <f>IF('Prediction Log'!D747=0, "",'Prediction Log'!D747)</f>
      </c>
      <c r="E746" s="58" t="str">
        <f>IF('Prediction Log'!E747=0, "",'Prediction Log'!E747)</f>
      </c>
      <c r="F746" s="65" t="str">
        <f>IF('Prediction Log'!H747=0, "",'Prediction Log'!H747)</f>
      </c>
      <c r="G746" s="64" t="str">
        <f>IF(ISBLANK(Games!B746), "",'Prediction Log'!$I747)</f>
      </c>
      <c r="H746" s="66" t="n">
        <f>'Prediction Log'!$J747</f>
        <v>0</v>
      </c>
      <c r="I746" s="65" t="str">
        <f>IF(ISBLANK(Games!T746), "",IF(AND(Games!T746="",Games!U746=""),"",IF(ISTEXT(Games!U746), "Side",Games!T746)))</f>
      </c>
      <c r="J746" s="65" t="str">
        <f>IF(ISBLANK(Games!T746), "",IF(Table12[[#This Row],[Bet]]="Spread", Games!X746, ""))</f>
      </c>
      <c r="K746" s="65" t="str">
        <f>IF(ISBLANK(Games!U746), "",IF(ISTEXT(Games!U746), Games!U746, ""))</f>
      </c>
      <c r="L746" s="57" t="str">
        <f>IF(ISBLANK(Games!D746), "", Games!D746)</f>
      </c>
      <c r="M746" s="65"/>
      <c r="N746" s="75" t="str">
        <f>IF(Games!V746="", "",Games!V746)</f>
      </c>
      <c r="O746" s="75" t="str">
        <f>IF(Games!Z746=0, "",Games!Z746)</f>
      </c>
      <c r="P746" s="67"/>
      <c r="Q746" s="67" t="str">
        <f>IF(ISBLANK(Games!W746), "", Games!W746)</f>
      </c>
      <c r="R746" s="67" t="str">
        <f>IF(ISBLANK(Games!AA746), "", Games!AA746)</f>
      </c>
      <c r="S746" s="67"/>
      <c r="T746" s="68" t="str">
        <f t="shared" si="106"/>
      </c>
      <c r="U746" s="68" t="str">
        <f t="shared" si="107"/>
      </c>
      <c r="V746" s="68" t="str">
        <f t="shared" si="108"/>
      </c>
      <c r="W746" s="68" t="str">
        <f t="shared" si="109"/>
      </c>
      <c r="X746" s="68" t="n">
        <f t="shared" si="111"/>
        <v>0</v>
      </c>
      <c r="Y746" s="68" t="n">
        <f t="shared" si="112"/>
        <v>0</v>
      </c>
      <c r="Z746" s="67" t="str">
        <f>IF(OR('Prediction Log'!L747="", Table12[[#This Row],[Bet]]="", Table12[[#This Row],[Bet]]="Spread"), "",IF('Prediction Log'!L747=Table12[[#This Row],[Side]], "W", IF('Prediction Log'!L747&lt;&gt;Table12[[#This Row],[Side]], "L", "")))</f>
      </c>
      <c r="AA746" s="59" t="str">
        <f t="shared" si="113"/>
      </c>
      <c r="AB746" s="67" t="str">
        <f>IF(OR(Table12[[#This Row],[Bet]]="Side",Table12[[#This Row],[Bet]]="", 'Prediction Log'!L747=""), "",IF('Prediction Log'!U747="Y", "W", IF('Prediction Log'!U747="N", "L", "")))</f>
      </c>
      <c r="AC746" s="59" t="str">
        <f t="shared" si="105"/>
      </c>
      <c r="AD746" s="67"/>
      <c r="AE746" s="65" t="str">
        <f t="shared" si="110"/>
      </c>
      <c r="AF74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7">
      <c r="A747" s="65" t="str">
        <f>IF(ISBLANK(Games!A747), "", Games!A747)</f>
      </c>
      <c r="B747" s="65" t="str">
        <f>IF('Prediction Log'!B748=0, "",'Prediction Log'!B748)</f>
      </c>
      <c r="C747" s="65" t="str">
        <f>IF('Prediction Log'!C748=0, "",'Prediction Log'!C748)</f>
      </c>
      <c r="D747" s="65" t="str">
        <f>IF('Prediction Log'!D748=0, "",'Prediction Log'!D748)</f>
      </c>
      <c r="E747" s="58" t="str">
        <f>IF('Prediction Log'!E748=0, "",'Prediction Log'!E748)</f>
      </c>
      <c r="F747" s="65" t="str">
        <f>IF('Prediction Log'!H748=0, "",'Prediction Log'!H748)</f>
      </c>
      <c r="G747" s="64" t="str">
        <f>IF(ISBLANK(Games!B747), "",'Prediction Log'!$I748)</f>
      </c>
      <c r="H747" s="66" t="n">
        <f>'Prediction Log'!$J748</f>
        <v>0</v>
      </c>
      <c r="I747" s="65" t="str">
        <f>IF(ISBLANK(Games!T747), "",IF(AND(Games!T747="",Games!U747=""),"",IF(ISTEXT(Games!U747), "Side",Games!T747)))</f>
      </c>
      <c r="J747" s="65" t="str">
        <f>IF(ISBLANK(Games!T747), "",IF(Table12[[#This Row],[Bet]]="Spread", Games!X747, ""))</f>
      </c>
      <c r="K747" s="65" t="str">
        <f>IF(ISBLANK(Games!U747), "",IF(ISTEXT(Games!U747), Games!U747, ""))</f>
      </c>
      <c r="L747" s="57" t="str">
        <f>IF(ISBLANK(Games!D747), "", Games!D747)</f>
      </c>
      <c r="M747" s="65"/>
      <c r="N747" s="75" t="str">
        <f>IF(Games!V747="", "",Games!V747)</f>
      </c>
      <c r="O747" s="75" t="str">
        <f>IF(Games!Z747=0, "",Games!Z747)</f>
      </c>
      <c r="P747" s="67"/>
      <c r="Q747" s="67" t="str">
        <f>IF(ISBLANK(Games!W747), "", Games!W747)</f>
      </c>
      <c r="R747" s="67" t="str">
        <f>IF(ISBLANK(Games!AA747), "", Games!AA747)</f>
      </c>
      <c r="S747" s="67"/>
      <c r="T747" s="68" t="str">
        <f t="shared" si="106"/>
      </c>
      <c r="U747" s="68" t="str">
        <f t="shared" si="107"/>
      </c>
      <c r="V747" s="68" t="str">
        <f t="shared" si="108"/>
      </c>
      <c r="W747" s="68" t="str">
        <f t="shared" si="109"/>
      </c>
      <c r="X747" s="68" t="n">
        <f t="shared" si="111"/>
        <v>0</v>
      </c>
      <c r="Y747" s="68" t="n">
        <f t="shared" si="112"/>
        <v>0</v>
      </c>
      <c r="Z747" s="67" t="str">
        <f>IF(OR('Prediction Log'!L748="", Table12[[#This Row],[Bet]]="", Table12[[#This Row],[Bet]]="Spread"), "",IF('Prediction Log'!L748=Table12[[#This Row],[Side]], "W", IF('Prediction Log'!L748&lt;&gt;Table12[[#This Row],[Side]], "L", "")))</f>
      </c>
      <c r="AA747" s="59" t="str">
        <f t="shared" si="113"/>
      </c>
      <c r="AB747" s="67" t="str">
        <f>IF(OR(Table12[[#This Row],[Bet]]="Side",Table12[[#This Row],[Bet]]="", 'Prediction Log'!L748=""), "",IF('Prediction Log'!U748="Y", "W", IF('Prediction Log'!U748="N", "L", "")))</f>
      </c>
      <c r="AC747" s="59" t="str">
        <f t="shared" si="105"/>
      </c>
      <c r="AD747" s="67"/>
      <c r="AE747" s="65" t="str">
        <f t="shared" si="110"/>
      </c>
      <c r="AF74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8">
      <c r="A748" s="65" t="str">
        <f>IF(ISBLANK(Games!A748), "", Games!A748)</f>
      </c>
      <c r="B748" s="65" t="str">
        <f>IF('Prediction Log'!B749=0, "",'Prediction Log'!B749)</f>
      </c>
      <c r="C748" s="65" t="str">
        <f>IF('Prediction Log'!C749=0, "",'Prediction Log'!C749)</f>
      </c>
      <c r="D748" s="65" t="str">
        <f>IF('Prediction Log'!D749=0, "",'Prediction Log'!D749)</f>
      </c>
      <c r="E748" s="58" t="str">
        <f>IF('Prediction Log'!E749=0, "",'Prediction Log'!E749)</f>
      </c>
      <c r="F748" s="65" t="str">
        <f>IF('Prediction Log'!H749=0, "",'Prediction Log'!H749)</f>
      </c>
      <c r="G748" s="64" t="str">
        <f>IF(ISBLANK(Games!B748), "",'Prediction Log'!$I749)</f>
      </c>
      <c r="H748" s="66" t="n">
        <f>'Prediction Log'!$J749</f>
        <v>0</v>
      </c>
      <c r="I748" s="65" t="str">
        <f>IF(ISBLANK(Games!T748), "",IF(AND(Games!T748="",Games!U748=""),"",IF(ISTEXT(Games!U748), "Side",Games!T748)))</f>
      </c>
      <c r="J748" s="65" t="str">
        <f>IF(ISBLANK(Games!T748), "",IF(Table12[[#This Row],[Bet]]="Spread", Games!X748, ""))</f>
      </c>
      <c r="K748" s="65" t="str">
        <f>IF(ISBLANK(Games!U748), "",IF(ISTEXT(Games!U748), Games!U748, ""))</f>
      </c>
      <c r="L748" s="57" t="str">
        <f>IF(ISBLANK(Games!D748), "", Games!D748)</f>
      </c>
      <c r="M748" s="65"/>
      <c r="N748" s="75" t="str">
        <f>IF(Games!V748="", "",Games!V748)</f>
      </c>
      <c r="O748" s="75" t="str">
        <f>IF(Games!Z748=0, "",Games!Z748)</f>
      </c>
      <c r="P748" s="67"/>
      <c r="Q748" s="67" t="str">
        <f>IF(ISBLANK(Games!W748), "", Games!W748)</f>
      </c>
      <c r="R748" s="67" t="str">
        <f>IF(ISBLANK(Games!AA748), "", Games!AA748)</f>
      </c>
      <c r="S748" s="67"/>
      <c r="T748" s="68" t="str">
        <f t="shared" si="106"/>
      </c>
      <c r="U748" s="68" t="str">
        <f t="shared" si="107"/>
      </c>
      <c r="V748" s="68" t="str">
        <f t="shared" si="108"/>
      </c>
      <c r="W748" s="68" t="str">
        <f t="shared" si="109"/>
      </c>
      <c r="X748" s="68" t="n">
        <f t="shared" si="111"/>
        <v>0</v>
      </c>
      <c r="Y748" s="68" t="n">
        <f t="shared" si="112"/>
        <v>0</v>
      </c>
      <c r="Z748" s="67" t="str">
        <f>IF(OR('Prediction Log'!L749="", Table12[[#This Row],[Bet]]="", Table12[[#This Row],[Bet]]="Spread"), "",IF('Prediction Log'!L749=Table12[[#This Row],[Side]], "W", IF('Prediction Log'!L749&lt;&gt;Table12[[#This Row],[Side]], "L", "")))</f>
      </c>
      <c r="AA748" s="59" t="str">
        <f t="shared" si="113"/>
      </c>
      <c r="AB748" s="67" t="str">
        <f>IF(OR(Table12[[#This Row],[Bet]]="Side",Table12[[#This Row],[Bet]]="", 'Prediction Log'!L749=""), "",IF('Prediction Log'!U749="Y", "W", IF('Prediction Log'!U749="N", "L", "")))</f>
      </c>
      <c r="AC748" s="59" t="str">
        <f t="shared" si="105"/>
      </c>
      <c r="AD748" s="67"/>
      <c r="AE748" s="65" t="str">
        <f t="shared" si="110"/>
      </c>
      <c r="AF74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9">
      <c r="A749" s="65" t="str">
        <f>IF(ISBLANK(Games!A749), "", Games!A749)</f>
      </c>
      <c r="B749" s="65" t="str">
        <f>IF('Prediction Log'!B750=0, "",'Prediction Log'!B750)</f>
      </c>
      <c r="C749" s="65" t="str">
        <f>IF('Prediction Log'!C750=0, "",'Prediction Log'!C750)</f>
      </c>
      <c r="D749" s="65" t="str">
        <f>IF('Prediction Log'!D750=0, "",'Prediction Log'!D750)</f>
      </c>
      <c r="E749" s="58" t="str">
        <f>IF('Prediction Log'!E750=0, "",'Prediction Log'!E750)</f>
      </c>
      <c r="F749" s="65" t="str">
        <f>IF('Prediction Log'!H750=0, "",'Prediction Log'!H750)</f>
      </c>
      <c r="G749" s="64" t="str">
        <f>IF(ISBLANK(Games!B749), "",'Prediction Log'!$I750)</f>
      </c>
      <c r="H749" s="66" t="n">
        <f>'Prediction Log'!$J750</f>
        <v>0</v>
      </c>
      <c r="I749" s="65" t="str">
        <f>IF(ISBLANK(Games!T749), "",IF(AND(Games!T749="",Games!U749=""),"",IF(ISTEXT(Games!U749), "Side",Games!T749)))</f>
      </c>
      <c r="J749" s="65" t="str">
        <f>IF(ISBLANK(Games!T749), "",IF(Table12[[#This Row],[Bet]]="Spread", Games!X749, ""))</f>
      </c>
      <c r="K749" s="65" t="str">
        <f>IF(ISBLANK(Games!U749), "",IF(ISTEXT(Games!U749), Games!U749, ""))</f>
      </c>
      <c r="L749" s="57" t="str">
        <f>IF(ISBLANK(Games!D749), "", Games!D749)</f>
      </c>
      <c r="M749" s="65"/>
      <c r="N749" s="75" t="str">
        <f>IF(Games!V749="", "",Games!V749)</f>
      </c>
      <c r="O749" s="75" t="str">
        <f>IF(Games!Z749=0, "",Games!Z749)</f>
      </c>
      <c r="P749" s="67"/>
      <c r="Q749" s="67" t="str">
        <f>IF(ISBLANK(Games!W749), "", Games!W749)</f>
      </c>
      <c r="R749" s="67" t="str">
        <f>IF(ISBLANK(Games!AA749), "", Games!AA749)</f>
      </c>
      <c r="S749" s="67"/>
      <c r="T749" s="68" t="str">
        <f t="shared" si="106"/>
      </c>
      <c r="U749" s="68" t="str">
        <f t="shared" si="107"/>
      </c>
      <c r="V749" s="68" t="str">
        <f t="shared" si="108"/>
      </c>
      <c r="W749" s="68" t="str">
        <f t="shared" si="109"/>
      </c>
      <c r="X749" s="68" t="n">
        <f t="shared" si="111"/>
        <v>0</v>
      </c>
      <c r="Y749" s="68" t="n">
        <f t="shared" si="112"/>
        <v>0</v>
      </c>
      <c r="Z749" s="67" t="str">
        <f>IF(OR('Prediction Log'!L750="", Table12[[#This Row],[Bet]]="", Table12[[#This Row],[Bet]]="Spread"), "",IF('Prediction Log'!L750=Table12[[#This Row],[Side]], "W", IF('Prediction Log'!L750&lt;&gt;Table12[[#This Row],[Side]], "L", "")))</f>
      </c>
      <c r="AA749" s="59" t="str">
        <f t="shared" si="113"/>
      </c>
      <c r="AB749" s="67" t="str">
        <f>IF(OR(Table12[[#This Row],[Bet]]="Side",Table12[[#This Row],[Bet]]="", 'Prediction Log'!L750=""), "",IF('Prediction Log'!U750="Y", "W", IF('Prediction Log'!U750="N", "L", "")))</f>
      </c>
      <c r="AC749" s="59" t="str">
        <f t="shared" si="105"/>
      </c>
      <c r="AD749" s="67"/>
      <c r="AE749" s="65" t="str">
        <f t="shared" si="110"/>
      </c>
      <c r="AF74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0">
      <c r="A750" s="65" t="str">
        <f>IF(ISBLANK(Games!A750), "", Games!A750)</f>
      </c>
      <c r="B750" s="65" t="str">
        <f>IF('Prediction Log'!B751=0, "",'Prediction Log'!B751)</f>
      </c>
      <c r="C750" s="65" t="str">
        <f>IF('Prediction Log'!C751=0, "",'Prediction Log'!C751)</f>
      </c>
      <c r="D750" s="65" t="str">
        <f>IF('Prediction Log'!D751=0, "",'Prediction Log'!D751)</f>
      </c>
      <c r="E750" s="58" t="str">
        <f>IF('Prediction Log'!E751=0, "",'Prediction Log'!E751)</f>
      </c>
      <c r="F750" s="65" t="str">
        <f>IF('Prediction Log'!H751=0, "",'Prediction Log'!H751)</f>
      </c>
      <c r="G750" s="64" t="str">
        <f>IF(ISBLANK(Games!B750), "",'Prediction Log'!$I751)</f>
      </c>
      <c r="H750" s="66" t="n">
        <f>'Prediction Log'!$J751</f>
        <v>0</v>
      </c>
      <c r="I750" s="65" t="str">
        <f>IF(ISBLANK(Games!T750), "",IF(AND(Games!T750="",Games!U750=""),"",IF(ISTEXT(Games!U750), "Side",Games!T750)))</f>
      </c>
      <c r="J750" s="65" t="str">
        <f>IF(ISBLANK(Games!T750), "",IF(Table12[[#This Row],[Bet]]="Spread", Games!X750, ""))</f>
      </c>
      <c r="K750" s="65" t="str">
        <f>IF(ISBLANK(Games!U750), "",IF(ISTEXT(Games!U750), Games!U750, ""))</f>
      </c>
      <c r="L750" s="57" t="str">
        <f>IF(ISBLANK(Games!D750), "", Games!D750)</f>
      </c>
      <c r="M750" s="65"/>
      <c r="N750" s="75" t="str">
        <f>IF(Games!V750="", "",Games!V750)</f>
      </c>
      <c r="O750" s="75" t="str">
        <f>IF(Games!Z750=0, "",Games!Z750)</f>
      </c>
      <c r="P750" s="67"/>
      <c r="Q750" s="67" t="str">
        <f>IF(ISBLANK(Games!W750), "", Games!W750)</f>
      </c>
      <c r="R750" s="67" t="str">
        <f>IF(ISBLANK(Games!AA750), "", Games!AA750)</f>
      </c>
      <c r="S750" s="67"/>
      <c r="T750" s="68" t="str">
        <f t="shared" si="106"/>
      </c>
      <c r="U750" s="68" t="str">
        <f t="shared" si="107"/>
      </c>
      <c r="V750" s="68" t="str">
        <f t="shared" si="108"/>
      </c>
      <c r="W750" s="68" t="str">
        <f t="shared" si="109"/>
      </c>
      <c r="X750" s="68" t="n">
        <f t="shared" si="111"/>
        <v>0</v>
      </c>
      <c r="Y750" s="68" t="n">
        <f t="shared" si="112"/>
        <v>0</v>
      </c>
      <c r="Z750" s="67" t="str">
        <f>IF(OR('Prediction Log'!L751="", Table12[[#This Row],[Bet]]="", Table12[[#This Row],[Bet]]="Spread"), "",IF('Prediction Log'!L751=Table12[[#This Row],[Side]], "W", IF('Prediction Log'!L751&lt;&gt;Table12[[#This Row],[Side]], "L", "")))</f>
      </c>
      <c r="AA750" s="59" t="str">
        <f t="shared" si="113"/>
      </c>
      <c r="AB750" s="67" t="str">
        <f>IF(OR(Table12[[#This Row],[Bet]]="Side",Table12[[#This Row],[Bet]]="", 'Prediction Log'!L751=""), "",IF('Prediction Log'!U751="Y", "W", IF('Prediction Log'!U751="N", "L", "")))</f>
      </c>
      <c r="AC750" s="59" t="str">
        <f t="shared" si="105"/>
      </c>
      <c r="AD750" s="67"/>
      <c r="AE750" s="65" t="str">
        <f t="shared" si="110"/>
      </c>
      <c r="AF75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1">
      <c r="A751" s="65" t="str">
        <f>IF(ISBLANK(Games!A751), "", Games!A751)</f>
      </c>
      <c r="B751" s="65" t="str">
        <f>IF('Prediction Log'!B752=0, "",'Prediction Log'!B752)</f>
      </c>
      <c r="C751" s="65" t="str">
        <f>IF('Prediction Log'!C752=0, "",'Prediction Log'!C752)</f>
      </c>
      <c r="D751" s="65" t="str">
        <f>IF('Prediction Log'!D752=0, "",'Prediction Log'!D752)</f>
      </c>
      <c r="E751" s="58" t="str">
        <f>IF('Prediction Log'!E752=0, "",'Prediction Log'!E752)</f>
      </c>
      <c r="F751" s="65" t="str">
        <f>IF('Prediction Log'!H752=0, "",'Prediction Log'!H752)</f>
      </c>
      <c r="G751" s="64" t="str">
        <f>IF(ISBLANK(Games!B751), "",'Prediction Log'!$I752)</f>
      </c>
      <c r="H751" s="66" t="n">
        <f>'Prediction Log'!$J752</f>
        <v>0</v>
      </c>
      <c r="I751" s="65" t="str">
        <f>IF(ISBLANK(Games!T751), "",IF(AND(Games!T751="",Games!U751=""),"",IF(ISTEXT(Games!U751), "Side",Games!T751)))</f>
      </c>
      <c r="J751" s="65" t="str">
        <f>IF(ISBLANK(Games!T751), "",IF(Table12[[#This Row],[Bet]]="Spread", Games!X751, ""))</f>
      </c>
      <c r="K751" s="65" t="str">
        <f>IF(ISBLANK(Games!U751), "",IF(ISTEXT(Games!U751), Games!U751, ""))</f>
      </c>
      <c r="L751" s="57" t="str">
        <f>IF(ISBLANK(Games!D751), "", Games!D751)</f>
      </c>
      <c r="M751" s="65"/>
      <c r="N751" s="75" t="str">
        <f>IF(Games!V751="", "",Games!V751)</f>
      </c>
      <c r="O751" s="75" t="str">
        <f>IF(Games!Z751=0, "",Games!Z751)</f>
      </c>
      <c r="P751" s="67"/>
      <c r="Q751" s="67" t="str">
        <f>IF(ISBLANK(Games!W751), "", Games!W751)</f>
      </c>
      <c r="R751" s="67" t="str">
        <f>IF(ISBLANK(Games!AA751), "", Games!AA751)</f>
      </c>
      <c r="S751" s="67"/>
      <c r="T751" s="68" t="str">
        <f t="shared" si="106"/>
      </c>
      <c r="U751" s="68" t="str">
        <f t="shared" si="107"/>
      </c>
      <c r="V751" s="68" t="str">
        <f t="shared" si="108"/>
      </c>
      <c r="W751" s="68" t="str">
        <f t="shared" si="109"/>
      </c>
      <c r="X751" s="68" t="n">
        <f t="shared" si="111"/>
        <v>0</v>
      </c>
      <c r="Y751" s="68" t="n">
        <f t="shared" si="112"/>
        <v>0</v>
      </c>
      <c r="Z751" s="67" t="str">
        <f>IF(OR('Prediction Log'!L752="", Table12[[#This Row],[Bet]]="", Table12[[#This Row],[Bet]]="Spread"), "",IF('Prediction Log'!L752=Table12[[#This Row],[Side]], "W", IF('Prediction Log'!L752&lt;&gt;Table12[[#This Row],[Side]], "L", "")))</f>
      </c>
      <c r="AA751" s="59" t="str">
        <f t="shared" si="113"/>
      </c>
      <c r="AB751" s="67" t="str">
        <f>IF(OR(Table12[[#This Row],[Bet]]="Side",Table12[[#This Row],[Bet]]="", 'Prediction Log'!L752=""), "",IF('Prediction Log'!U752="Y", "W", IF('Prediction Log'!U752="N", "L", "")))</f>
      </c>
      <c r="AC751" s="59" t="str">
        <f t="shared" si="105"/>
      </c>
      <c r="AD751" s="67"/>
      <c r="AE751" s="65" t="str">
        <f t="shared" si="110"/>
      </c>
      <c r="AF75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2">
      <c r="A752" s="65" t="str">
        <f>IF(ISBLANK(Games!A752), "", Games!A752)</f>
      </c>
      <c r="B752" s="65" t="str">
        <f>IF('Prediction Log'!B753=0, "",'Prediction Log'!B753)</f>
      </c>
      <c r="C752" s="65" t="str">
        <f>IF('Prediction Log'!C753=0, "",'Prediction Log'!C753)</f>
      </c>
      <c r="D752" s="65" t="str">
        <f>IF('Prediction Log'!D753=0, "",'Prediction Log'!D753)</f>
      </c>
      <c r="E752" s="58" t="str">
        <f>IF('Prediction Log'!E753=0, "",'Prediction Log'!E753)</f>
      </c>
      <c r="F752" s="65" t="str">
        <f>IF('Prediction Log'!H753=0, "",'Prediction Log'!H753)</f>
      </c>
      <c r="G752" s="64" t="str">
        <f>IF(ISBLANK(Games!B752), "",'Prediction Log'!$I753)</f>
      </c>
      <c r="H752" s="66" t="n">
        <f>'Prediction Log'!$J753</f>
        <v>0</v>
      </c>
      <c r="I752" s="65" t="str">
        <f>IF(ISBLANK(Games!T752), "",IF(AND(Games!T752="",Games!U752=""),"",IF(ISTEXT(Games!U752), "Side",Games!T752)))</f>
      </c>
      <c r="J752" s="65" t="str">
        <f>IF(ISBLANK(Games!T752), "",IF(Table12[[#This Row],[Bet]]="Spread", Games!X752, ""))</f>
      </c>
      <c r="K752" s="65" t="str">
        <f>IF(ISBLANK(Games!U752), "",IF(ISTEXT(Games!U752), Games!U752, ""))</f>
      </c>
      <c r="L752" s="57" t="str">
        <f>IF(ISBLANK(Games!D752), "", Games!D752)</f>
      </c>
      <c r="M752" s="65"/>
      <c r="N752" s="75" t="str">
        <f>IF(Games!V752="", "",Games!V752)</f>
      </c>
      <c r="O752" s="75" t="str">
        <f>IF(Games!Z752=0, "",Games!Z752)</f>
      </c>
      <c r="P752" s="67"/>
      <c r="Q752" s="67" t="str">
        <f>IF(ISBLANK(Games!W752), "", Games!W752)</f>
      </c>
      <c r="R752" s="67" t="str">
        <f>IF(ISBLANK(Games!AA752), "", Games!AA752)</f>
      </c>
      <c r="S752" s="67"/>
      <c r="T752" s="68" t="str">
        <f t="shared" si="106"/>
      </c>
      <c r="U752" s="68" t="str">
        <f t="shared" si="107"/>
      </c>
      <c r="V752" s="68" t="str">
        <f t="shared" si="108"/>
      </c>
      <c r="W752" s="68" t="str">
        <f t="shared" si="109"/>
      </c>
      <c r="X752" s="68" t="n">
        <f t="shared" si="111"/>
        <v>0</v>
      </c>
      <c r="Y752" s="68" t="n">
        <f t="shared" si="112"/>
        <v>0</v>
      </c>
      <c r="Z752" s="67" t="str">
        <f>IF(OR('Prediction Log'!L753="", Table12[[#This Row],[Bet]]="", Table12[[#This Row],[Bet]]="Spread"), "",IF('Prediction Log'!L753=Table12[[#This Row],[Side]], "W", IF('Prediction Log'!L753&lt;&gt;Table12[[#This Row],[Side]], "L", "")))</f>
      </c>
      <c r="AA752" s="59" t="str">
        <f t="shared" si="113"/>
      </c>
      <c r="AB752" s="67" t="str">
        <f>IF(OR(Table12[[#This Row],[Bet]]="Side",Table12[[#This Row],[Bet]]="", 'Prediction Log'!L753=""), "",IF('Prediction Log'!U753="Y", "W", IF('Prediction Log'!U753="N", "L", "")))</f>
      </c>
      <c r="AC752" s="59" t="str">
        <f t="shared" si="105"/>
      </c>
      <c r="AD752" s="67"/>
      <c r="AE752" s="65" t="str">
        <f t="shared" si="110"/>
      </c>
      <c r="AF75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3">
      <c r="A753" s="65" t="str">
        <f>IF(ISBLANK(Games!A753), "", Games!A753)</f>
      </c>
      <c r="B753" s="65" t="str">
        <f>IF('Prediction Log'!B754=0, "",'Prediction Log'!B754)</f>
      </c>
      <c r="C753" s="65" t="str">
        <f>IF('Prediction Log'!C754=0, "",'Prediction Log'!C754)</f>
      </c>
      <c r="D753" s="65" t="str">
        <f>IF('Prediction Log'!D754=0, "",'Prediction Log'!D754)</f>
      </c>
      <c r="E753" s="58" t="str">
        <f>IF('Prediction Log'!E754=0, "",'Prediction Log'!E754)</f>
      </c>
      <c r="F753" s="65" t="str">
        <f>IF('Prediction Log'!H754=0, "",'Prediction Log'!H754)</f>
      </c>
      <c r="G753" s="64" t="str">
        <f>IF(ISBLANK(Games!B753), "",'Prediction Log'!$I754)</f>
      </c>
      <c r="H753" s="66" t="n">
        <f>'Prediction Log'!$J754</f>
        <v>0</v>
      </c>
      <c r="I753" s="65" t="str">
        <f>IF(ISBLANK(Games!T753), "",IF(AND(Games!T753="",Games!U753=""),"",IF(ISTEXT(Games!U753), "Side",Games!T753)))</f>
      </c>
      <c r="J753" s="65" t="str">
        <f>IF(ISBLANK(Games!T753), "",IF(Table12[[#This Row],[Bet]]="Spread", Games!X753, ""))</f>
      </c>
      <c r="K753" s="65" t="str">
        <f>IF(ISBLANK(Games!U753), "",IF(ISTEXT(Games!U753), Games!U753, ""))</f>
      </c>
      <c r="L753" s="57" t="str">
        <f>IF(ISBLANK(Games!D753), "", Games!D753)</f>
      </c>
      <c r="M753" s="65"/>
      <c r="N753" s="75" t="str">
        <f>IF(Games!V753="", "",Games!V753)</f>
      </c>
      <c r="O753" s="75" t="str">
        <f>IF(Games!Z753=0, "",Games!Z753)</f>
      </c>
      <c r="P753" s="67"/>
      <c r="Q753" s="67" t="str">
        <f>IF(ISBLANK(Games!W753), "", Games!W753)</f>
      </c>
      <c r="R753" s="67" t="str">
        <f>IF(ISBLANK(Games!AA753), "", Games!AA753)</f>
      </c>
      <c r="S753" s="67"/>
      <c r="T753" s="68" t="str">
        <f t="shared" si="106"/>
      </c>
      <c r="U753" s="68" t="str">
        <f t="shared" si="107"/>
      </c>
      <c r="V753" s="68" t="str">
        <f t="shared" si="108"/>
      </c>
      <c r="W753" s="68" t="str">
        <f t="shared" si="109"/>
      </c>
      <c r="X753" s="68" t="n">
        <f t="shared" si="111"/>
        <v>0</v>
      </c>
      <c r="Y753" s="68" t="n">
        <f t="shared" si="112"/>
        <v>0</v>
      </c>
      <c r="Z753" s="67" t="str">
        <f>IF(OR('Prediction Log'!L754="", Table12[[#This Row],[Bet]]="", Table12[[#This Row],[Bet]]="Spread"), "",IF('Prediction Log'!L754=Table12[[#This Row],[Side]], "W", IF('Prediction Log'!L754&lt;&gt;Table12[[#This Row],[Side]], "L", "")))</f>
      </c>
      <c r="AA753" s="59" t="str">
        <f t="shared" si="113"/>
      </c>
      <c r="AB753" s="67" t="str">
        <f>IF(OR(Table12[[#This Row],[Bet]]="Side",Table12[[#This Row],[Bet]]="", 'Prediction Log'!L754=""), "",IF('Prediction Log'!U754="Y", "W", IF('Prediction Log'!U754="N", "L", "")))</f>
      </c>
      <c r="AC753" s="59" t="str">
        <f t="shared" si="105"/>
      </c>
      <c r="AD753" s="67"/>
      <c r="AE753" s="65" t="str">
        <f t="shared" si="110"/>
      </c>
      <c r="AF75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4">
      <c r="A754" s="65" t="str">
        <f>IF(ISBLANK(Games!A754), "", Games!A754)</f>
      </c>
      <c r="B754" s="65" t="str">
        <f>IF('Prediction Log'!B755=0, "",'Prediction Log'!B755)</f>
      </c>
      <c r="C754" s="65" t="str">
        <f>IF('Prediction Log'!C755=0, "",'Prediction Log'!C755)</f>
      </c>
      <c r="D754" s="65" t="str">
        <f>IF('Prediction Log'!D755=0, "",'Prediction Log'!D755)</f>
      </c>
      <c r="E754" s="58" t="str">
        <f>IF('Prediction Log'!E755=0, "",'Prediction Log'!E755)</f>
      </c>
      <c r="F754" s="65" t="str">
        <f>IF('Prediction Log'!H755=0, "",'Prediction Log'!H755)</f>
      </c>
      <c r="G754" s="64" t="str">
        <f>IF(ISBLANK(Games!B754), "",'Prediction Log'!$I755)</f>
      </c>
      <c r="H754" s="66" t="n">
        <f>'Prediction Log'!$J755</f>
        <v>0</v>
      </c>
      <c r="I754" s="65" t="str">
        <f>IF(ISBLANK(Games!T754), "",IF(AND(Games!T754="",Games!U754=""),"",IF(ISTEXT(Games!U754), "Side",Games!T754)))</f>
      </c>
      <c r="J754" s="65" t="str">
        <f>IF(ISBLANK(Games!T754), "",IF(Table12[[#This Row],[Bet]]="Spread", Games!X754, ""))</f>
      </c>
      <c r="K754" s="65" t="str">
        <f>IF(ISBLANK(Games!U754), "",IF(ISTEXT(Games!U754), Games!U754, ""))</f>
      </c>
      <c r="L754" s="57" t="str">
        <f>IF(ISBLANK(Games!D754), "", Games!D754)</f>
      </c>
      <c r="M754" s="65"/>
      <c r="N754" s="75" t="str">
        <f>IF(Games!V754="", "",Games!V754)</f>
      </c>
      <c r="O754" s="75" t="str">
        <f>IF(Games!Z754=0, "",Games!Z754)</f>
      </c>
      <c r="P754" s="67"/>
      <c r="Q754" s="67" t="str">
        <f>IF(ISBLANK(Games!W754), "", Games!W754)</f>
      </c>
      <c r="R754" s="67" t="str">
        <f>IF(ISBLANK(Games!AA754), "", Games!AA754)</f>
      </c>
      <c r="S754" s="67"/>
      <c r="T754" s="68" t="str">
        <f t="shared" si="106"/>
      </c>
      <c r="U754" s="68" t="str">
        <f t="shared" si="107"/>
      </c>
      <c r="V754" s="68" t="str">
        <f t="shared" si="108"/>
      </c>
      <c r="W754" s="68" t="str">
        <f t="shared" si="109"/>
      </c>
      <c r="X754" s="68" t="n">
        <f t="shared" si="111"/>
        <v>0</v>
      </c>
      <c r="Y754" s="68" t="n">
        <f t="shared" si="112"/>
        <v>0</v>
      </c>
      <c r="Z754" s="67" t="str">
        <f>IF(OR('Prediction Log'!L755="", Table12[[#This Row],[Bet]]="", Table12[[#This Row],[Bet]]="Spread"), "",IF('Prediction Log'!L755=Table12[[#This Row],[Side]], "W", IF('Prediction Log'!L755&lt;&gt;Table12[[#This Row],[Side]], "L", "")))</f>
      </c>
      <c r="AA754" s="59" t="str">
        <f t="shared" si="113"/>
      </c>
      <c r="AB754" s="67" t="str">
        <f>IF(OR(Table12[[#This Row],[Bet]]="Side",Table12[[#This Row],[Bet]]="", 'Prediction Log'!L755=""), "",IF('Prediction Log'!U755="Y", "W", IF('Prediction Log'!U755="N", "L", "")))</f>
      </c>
      <c r="AC754" s="59" t="str">
        <f t="shared" si="105"/>
      </c>
      <c r="AD754" s="67"/>
      <c r="AE754" s="65" t="str">
        <f t="shared" si="110"/>
      </c>
      <c r="AF75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5">
      <c r="A755" s="65" t="str">
        <f>IF(ISBLANK(Games!A755), "", Games!A755)</f>
      </c>
      <c r="B755" s="65" t="str">
        <f>IF('Prediction Log'!B756=0, "",'Prediction Log'!B756)</f>
      </c>
      <c r="C755" s="65" t="str">
        <f>IF('Prediction Log'!C756=0, "",'Prediction Log'!C756)</f>
      </c>
      <c r="D755" s="65" t="str">
        <f>IF('Prediction Log'!D756=0, "",'Prediction Log'!D756)</f>
      </c>
      <c r="E755" s="58" t="str">
        <f>IF('Prediction Log'!E756=0, "",'Prediction Log'!E756)</f>
      </c>
      <c r="F755" s="65" t="str">
        <f>IF('Prediction Log'!H756=0, "",'Prediction Log'!H756)</f>
      </c>
      <c r="G755" s="64" t="str">
        <f>IF(ISBLANK(Games!B755), "",'Prediction Log'!$I756)</f>
      </c>
      <c r="H755" s="66" t="n">
        <f>'Prediction Log'!$J756</f>
        <v>0</v>
      </c>
      <c r="I755" s="65" t="str">
        <f>IF(ISBLANK(Games!T755), "",IF(AND(Games!T755="",Games!U755=""),"",IF(ISTEXT(Games!U755), "Side",Games!T755)))</f>
      </c>
      <c r="J755" s="65" t="str">
        <f>IF(ISBLANK(Games!T755), "",IF(Table12[[#This Row],[Bet]]="Spread", Games!X755, ""))</f>
      </c>
      <c r="K755" s="65" t="str">
        <f>IF(ISBLANK(Games!U755), "",IF(ISTEXT(Games!U755), Games!U755, ""))</f>
      </c>
      <c r="L755" s="57" t="str">
        <f>IF(ISBLANK(Games!D755), "", Games!D755)</f>
      </c>
      <c r="M755" s="65"/>
      <c r="N755" s="75" t="str">
        <f>IF(Games!V755="", "",Games!V755)</f>
      </c>
      <c r="O755" s="75" t="str">
        <f>IF(Games!Z755=0, "",Games!Z755)</f>
      </c>
      <c r="P755" s="67"/>
      <c r="Q755" s="67" t="str">
        <f>IF(ISBLANK(Games!W755), "", Games!W755)</f>
      </c>
      <c r="R755" s="67" t="str">
        <f>IF(ISBLANK(Games!AA755), "", Games!AA755)</f>
      </c>
      <c r="S755" s="67"/>
      <c r="T755" s="68" t="str">
        <f t="shared" si="106"/>
      </c>
      <c r="U755" s="68" t="str">
        <f t="shared" si="107"/>
      </c>
      <c r="V755" s="68" t="str">
        <f t="shared" si="108"/>
      </c>
      <c r="W755" s="68" t="str">
        <f t="shared" si="109"/>
      </c>
      <c r="X755" s="68" t="n">
        <f t="shared" si="111"/>
        <v>0</v>
      </c>
      <c r="Y755" s="68" t="n">
        <f t="shared" si="112"/>
        <v>0</v>
      </c>
      <c r="Z755" s="67" t="str">
        <f>IF(OR('Prediction Log'!L756="", Table12[[#This Row],[Bet]]="", Table12[[#This Row],[Bet]]="Spread"), "",IF('Prediction Log'!L756=Table12[[#This Row],[Side]], "W", IF('Prediction Log'!L756&lt;&gt;Table12[[#This Row],[Side]], "L", "")))</f>
      </c>
      <c r="AA755" s="59" t="str">
        <f t="shared" si="113"/>
      </c>
      <c r="AB755" s="67" t="str">
        <f>IF(OR(Table12[[#This Row],[Bet]]="Side",Table12[[#This Row],[Bet]]="", 'Prediction Log'!L756=""), "",IF('Prediction Log'!U756="Y", "W", IF('Prediction Log'!U756="N", "L", "")))</f>
      </c>
      <c r="AC755" s="59" t="str">
        <f t="shared" si="105"/>
      </c>
      <c r="AD755" s="67"/>
      <c r="AE755" s="65" t="str">
        <f t="shared" si="110"/>
      </c>
      <c r="AF75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6">
      <c r="A756" s="65" t="str">
        <f>IF(ISBLANK(Games!A756), "", Games!A756)</f>
      </c>
      <c r="B756" s="65" t="str">
        <f>IF('Prediction Log'!B757=0, "",'Prediction Log'!B757)</f>
      </c>
      <c r="C756" s="65" t="str">
        <f>IF('Prediction Log'!C757=0, "",'Prediction Log'!C757)</f>
      </c>
      <c r="D756" s="65" t="str">
        <f>IF('Prediction Log'!D757=0, "",'Prediction Log'!D757)</f>
      </c>
      <c r="E756" s="58" t="str">
        <f>IF('Prediction Log'!E757=0, "",'Prediction Log'!E757)</f>
      </c>
      <c r="F756" s="65" t="str">
        <f>IF('Prediction Log'!H757=0, "",'Prediction Log'!H757)</f>
      </c>
      <c r="G756" s="64" t="str">
        <f>IF(ISBLANK(Games!B756), "",'Prediction Log'!$I757)</f>
      </c>
      <c r="H756" s="66" t="n">
        <f>'Prediction Log'!$J757</f>
        <v>0</v>
      </c>
      <c r="I756" s="65" t="str">
        <f>IF(ISBLANK(Games!T756), "",IF(AND(Games!T756="",Games!U756=""),"",IF(ISTEXT(Games!U756), "Side",Games!T756)))</f>
      </c>
      <c r="J756" s="65" t="str">
        <f>IF(ISBLANK(Games!T756), "",IF(Table12[[#This Row],[Bet]]="Spread", Games!X756, ""))</f>
      </c>
      <c r="K756" s="65" t="str">
        <f>IF(ISBLANK(Games!U756), "",IF(ISTEXT(Games!U756), Games!U756, ""))</f>
      </c>
      <c r="L756" s="57" t="str">
        <f>IF(ISBLANK(Games!D756), "", Games!D756)</f>
      </c>
      <c r="M756" s="65"/>
      <c r="N756" s="75" t="str">
        <f>IF(Games!V756="", "",Games!V756)</f>
      </c>
      <c r="O756" s="75" t="str">
        <f>IF(Games!Z756=0, "",Games!Z756)</f>
      </c>
      <c r="P756" s="67"/>
      <c r="Q756" s="67" t="str">
        <f>IF(ISBLANK(Games!W756), "", Games!W756)</f>
      </c>
      <c r="R756" s="67" t="str">
        <f>IF(ISBLANK(Games!AA756), "", Games!AA756)</f>
      </c>
      <c r="S756" s="67"/>
      <c r="T756" s="68" t="str">
        <f t="shared" si="106"/>
      </c>
      <c r="U756" s="68" t="str">
        <f t="shared" si="107"/>
      </c>
      <c r="V756" s="68" t="str">
        <f t="shared" si="108"/>
      </c>
      <c r="W756" s="68" t="str">
        <f t="shared" si="109"/>
      </c>
      <c r="X756" s="68" t="n">
        <f t="shared" si="111"/>
        <v>0</v>
      </c>
      <c r="Y756" s="68" t="n">
        <f t="shared" si="112"/>
        <v>0</v>
      </c>
      <c r="Z756" s="67" t="str">
        <f>IF(OR('Prediction Log'!L757="", Table12[[#This Row],[Bet]]="", Table12[[#This Row],[Bet]]="Spread"), "",IF('Prediction Log'!L757=Table12[[#This Row],[Side]], "W", IF('Prediction Log'!L757&lt;&gt;Table12[[#This Row],[Side]], "L", "")))</f>
      </c>
      <c r="AA756" s="59" t="str">
        <f t="shared" si="113"/>
      </c>
      <c r="AB756" s="67" t="str">
        <f>IF(OR(Table12[[#This Row],[Bet]]="Side",Table12[[#This Row],[Bet]]="", 'Prediction Log'!L757=""), "",IF('Prediction Log'!U757="Y", "W", IF('Prediction Log'!U757="N", "L", "")))</f>
      </c>
      <c r="AC756" s="59" t="str">
        <f t="shared" si="105"/>
      </c>
      <c r="AD756" s="67"/>
      <c r="AE756" s="65" t="str">
        <f t="shared" si="110"/>
      </c>
      <c r="AF75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7">
      <c r="A757" s="65" t="str">
        <f>IF(ISBLANK(Games!A757), "", Games!A757)</f>
      </c>
      <c r="B757" s="65" t="str">
        <f>IF('Prediction Log'!B758=0, "",'Prediction Log'!B758)</f>
      </c>
      <c r="C757" s="65" t="str">
        <f>IF('Prediction Log'!C758=0, "",'Prediction Log'!C758)</f>
      </c>
      <c r="D757" s="65" t="str">
        <f>IF('Prediction Log'!D758=0, "",'Prediction Log'!D758)</f>
      </c>
      <c r="E757" s="58" t="str">
        <f>IF('Prediction Log'!E758=0, "",'Prediction Log'!E758)</f>
      </c>
      <c r="F757" s="65" t="str">
        <f>IF('Prediction Log'!H758=0, "",'Prediction Log'!H758)</f>
      </c>
      <c r="G757" s="64" t="str">
        <f>IF(ISBLANK(Games!B757), "",'Prediction Log'!$I758)</f>
      </c>
      <c r="H757" s="66" t="n">
        <f>'Prediction Log'!$J758</f>
        <v>0</v>
      </c>
      <c r="I757" s="65" t="str">
        <f>IF(ISBLANK(Games!T757), "",IF(AND(Games!T757="",Games!U757=""),"",IF(ISTEXT(Games!U757), "Side",Games!T757)))</f>
      </c>
      <c r="J757" s="65" t="str">
        <f>IF(ISBLANK(Games!T757), "",IF(Table12[[#This Row],[Bet]]="Spread", Games!X757, ""))</f>
      </c>
      <c r="K757" s="65" t="str">
        <f>IF(ISBLANK(Games!U757), "",IF(ISTEXT(Games!U757), Games!U757, ""))</f>
      </c>
      <c r="L757" s="57" t="str">
        <f>IF(ISBLANK(Games!D757), "", Games!D757)</f>
      </c>
      <c r="M757" s="65"/>
      <c r="N757" s="75" t="str">
        <f>IF(Games!V757="", "",Games!V757)</f>
      </c>
      <c r="O757" s="75" t="str">
        <f>IF(Games!Z757=0, "",Games!Z757)</f>
      </c>
      <c r="P757" s="67"/>
      <c r="Q757" s="67" t="str">
        <f>IF(ISBLANK(Games!W757), "", Games!W757)</f>
      </c>
      <c r="R757" s="67" t="str">
        <f>IF(ISBLANK(Games!AA757), "", Games!AA757)</f>
      </c>
      <c r="S757" s="67"/>
      <c r="T757" s="68" t="str">
        <f t="shared" si="106"/>
      </c>
      <c r="U757" s="68" t="str">
        <f t="shared" si="107"/>
      </c>
      <c r="V757" s="68" t="str">
        <f t="shared" si="108"/>
      </c>
      <c r="W757" s="68" t="str">
        <f t="shared" si="109"/>
      </c>
      <c r="X757" s="68" t="n">
        <f t="shared" si="111"/>
        <v>0</v>
      </c>
      <c r="Y757" s="68" t="n">
        <f t="shared" si="112"/>
        <v>0</v>
      </c>
      <c r="Z757" s="67" t="str">
        <f>IF(OR('Prediction Log'!L758="", Table12[[#This Row],[Bet]]="", Table12[[#This Row],[Bet]]="Spread"), "",IF('Prediction Log'!L758=Table12[[#This Row],[Side]], "W", IF('Prediction Log'!L758&lt;&gt;Table12[[#This Row],[Side]], "L", "")))</f>
      </c>
      <c r="AA757" s="59" t="str">
        <f t="shared" si="113"/>
      </c>
      <c r="AB757" s="67" t="str">
        <f>IF(OR(Table12[[#This Row],[Bet]]="Side",Table12[[#This Row],[Bet]]="", 'Prediction Log'!L758=""), "",IF('Prediction Log'!U758="Y", "W", IF('Prediction Log'!U758="N", "L", "")))</f>
      </c>
      <c r="AC757" s="59" t="str">
        <f t="shared" si="105"/>
      </c>
      <c r="AD757" s="67"/>
      <c r="AE757" s="65" t="str">
        <f t="shared" si="110"/>
      </c>
      <c r="AF75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8">
      <c r="A758" s="65" t="str">
        <f>IF(ISBLANK(Games!A758), "", Games!A758)</f>
      </c>
      <c r="B758" s="65" t="str">
        <f>IF('Prediction Log'!B759=0, "",'Prediction Log'!B759)</f>
      </c>
      <c r="C758" s="65" t="str">
        <f>IF('Prediction Log'!C759=0, "",'Prediction Log'!C759)</f>
      </c>
      <c r="D758" s="65" t="str">
        <f>IF('Prediction Log'!D759=0, "",'Prediction Log'!D759)</f>
      </c>
      <c r="E758" s="58" t="str">
        <f>IF('Prediction Log'!E759=0, "",'Prediction Log'!E759)</f>
      </c>
      <c r="F758" s="65" t="str">
        <f>IF('Prediction Log'!H759=0, "",'Prediction Log'!H759)</f>
      </c>
      <c r="G758" s="64" t="str">
        <f>IF(ISBLANK(Games!B758), "",'Prediction Log'!$I759)</f>
      </c>
      <c r="H758" s="66" t="n">
        <f>'Prediction Log'!$J759</f>
        <v>0</v>
      </c>
      <c r="I758" s="65" t="str">
        <f>IF(ISBLANK(Games!T758), "",IF(AND(Games!T758="",Games!U758=""),"",IF(ISTEXT(Games!U758), "Side",Games!T758)))</f>
      </c>
      <c r="J758" s="65" t="str">
        <f>IF(ISBLANK(Games!T758), "",IF(Table12[[#This Row],[Bet]]="Spread", Games!X758, ""))</f>
      </c>
      <c r="K758" s="65" t="str">
        <f>IF(ISBLANK(Games!U758), "",IF(ISTEXT(Games!U758), Games!U758, ""))</f>
      </c>
      <c r="L758" s="57" t="str">
        <f>IF(ISBLANK(Games!D758), "", Games!D758)</f>
      </c>
      <c r="M758" s="65"/>
      <c r="N758" s="75" t="str">
        <f>IF(Games!V758="", "",Games!V758)</f>
      </c>
      <c r="O758" s="75" t="str">
        <f>IF(Games!Z758=0, "",Games!Z758)</f>
      </c>
      <c r="P758" s="67"/>
      <c r="Q758" s="67" t="str">
        <f>IF(ISBLANK(Games!W758), "", Games!W758)</f>
      </c>
      <c r="R758" s="67" t="str">
        <f>IF(ISBLANK(Games!AA758), "", Games!AA758)</f>
      </c>
      <c r="S758" s="67"/>
      <c r="T758" s="68" t="str">
        <f t="shared" si="106"/>
      </c>
      <c r="U758" s="68" t="str">
        <f t="shared" si="107"/>
      </c>
      <c r="V758" s="68" t="str">
        <f t="shared" si="108"/>
      </c>
      <c r="W758" s="68" t="str">
        <f t="shared" si="109"/>
      </c>
      <c r="X758" s="68" t="n">
        <f t="shared" si="111"/>
        <v>0</v>
      </c>
      <c r="Y758" s="68" t="n">
        <f t="shared" si="112"/>
        <v>0</v>
      </c>
      <c r="Z758" s="67" t="str">
        <f>IF(OR('Prediction Log'!L759="", Table12[[#This Row],[Bet]]="", Table12[[#This Row],[Bet]]="Spread"), "",IF('Prediction Log'!L759=Table12[[#This Row],[Side]], "W", IF('Prediction Log'!L759&lt;&gt;Table12[[#This Row],[Side]], "L", "")))</f>
      </c>
      <c r="AA758" s="59" t="str">
        <f t="shared" si="113"/>
      </c>
      <c r="AB758" s="67" t="str">
        <f>IF(OR(Table12[[#This Row],[Bet]]="Side",Table12[[#This Row],[Bet]]="", 'Prediction Log'!L759=""), "",IF('Prediction Log'!U759="Y", "W", IF('Prediction Log'!U759="N", "L", "")))</f>
      </c>
      <c r="AC758" s="59" t="str">
        <f t="shared" si="105"/>
      </c>
      <c r="AD758" s="67"/>
      <c r="AE758" s="65" t="str">
        <f t="shared" si="110"/>
      </c>
      <c r="AF75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9">
      <c r="A759" s="65" t="str">
        <f>IF(ISBLANK(Games!A759), "", Games!A759)</f>
      </c>
      <c r="B759" s="65" t="str">
        <f>IF('Prediction Log'!B760=0, "",'Prediction Log'!B760)</f>
      </c>
      <c r="C759" s="65" t="str">
        <f>IF('Prediction Log'!C760=0, "",'Prediction Log'!C760)</f>
      </c>
      <c r="D759" s="65" t="str">
        <f>IF('Prediction Log'!D760=0, "",'Prediction Log'!D760)</f>
      </c>
      <c r="E759" s="58" t="str">
        <f>IF('Prediction Log'!E760=0, "",'Prediction Log'!E760)</f>
      </c>
      <c r="F759" s="65" t="str">
        <f>IF('Prediction Log'!H760=0, "",'Prediction Log'!H760)</f>
      </c>
      <c r="G759" s="64" t="str">
        <f>IF(ISBLANK(Games!B759), "",'Prediction Log'!$I760)</f>
      </c>
      <c r="H759" s="66" t="n">
        <f>'Prediction Log'!$J760</f>
        <v>0</v>
      </c>
      <c r="I759" s="65" t="str">
        <f>IF(ISBLANK(Games!T759), "",IF(AND(Games!T759="",Games!U759=""),"",IF(ISTEXT(Games!U759), "Side",Games!T759)))</f>
      </c>
      <c r="J759" s="65" t="str">
        <f>IF(ISBLANK(Games!T759), "",IF(Table12[[#This Row],[Bet]]="Spread", Games!X759, ""))</f>
      </c>
      <c r="K759" s="65" t="str">
        <f>IF(ISBLANK(Games!U759), "",IF(ISTEXT(Games!U759), Games!U759, ""))</f>
      </c>
      <c r="L759" s="57" t="str">
        <f>IF(ISBLANK(Games!D759), "", Games!D759)</f>
      </c>
      <c r="M759" s="65"/>
      <c r="N759" s="75" t="str">
        <f>IF(Games!V759="", "",Games!V759)</f>
      </c>
      <c r="O759" s="75" t="str">
        <f>IF(Games!Z759=0, "",Games!Z759)</f>
      </c>
      <c r="P759" s="67"/>
      <c r="Q759" s="67" t="str">
        <f>IF(ISBLANK(Games!W759), "", Games!W759)</f>
      </c>
      <c r="R759" s="67" t="str">
        <f>IF(ISBLANK(Games!AA759), "", Games!AA759)</f>
      </c>
      <c r="S759" s="67"/>
      <c r="T759" s="68" t="str">
        <f t="shared" si="106"/>
      </c>
      <c r="U759" s="68" t="str">
        <f t="shared" si="107"/>
      </c>
      <c r="V759" s="68" t="str">
        <f t="shared" si="108"/>
      </c>
      <c r="W759" s="68" t="str">
        <f t="shared" si="109"/>
      </c>
      <c r="X759" s="68" t="n">
        <f t="shared" si="111"/>
        <v>0</v>
      </c>
      <c r="Y759" s="68" t="n">
        <f t="shared" si="112"/>
        <v>0</v>
      </c>
      <c r="Z759" s="67" t="str">
        <f>IF(OR('Prediction Log'!L760="", Table12[[#This Row],[Bet]]="", Table12[[#This Row],[Bet]]="Spread"), "",IF('Prediction Log'!L760=Table12[[#This Row],[Side]], "W", IF('Prediction Log'!L760&lt;&gt;Table12[[#This Row],[Side]], "L", "")))</f>
      </c>
      <c r="AA759" s="59" t="str">
        <f t="shared" si="113"/>
      </c>
      <c r="AB759" s="67" t="str">
        <f>IF(OR(Table12[[#This Row],[Bet]]="Side",Table12[[#This Row],[Bet]]="", 'Prediction Log'!L760=""), "",IF('Prediction Log'!U760="Y", "W", IF('Prediction Log'!U760="N", "L", "")))</f>
      </c>
      <c r="AC759" s="59" t="str">
        <f t="shared" si="105"/>
      </c>
      <c r="AD759" s="67"/>
      <c r="AE759" s="65" t="str">
        <f t="shared" si="110"/>
      </c>
      <c r="AF75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0">
      <c r="A760" s="65" t="str">
        <f>IF(ISBLANK(Games!A760), "", Games!A760)</f>
      </c>
      <c r="B760" s="65" t="str">
        <f>IF('Prediction Log'!B761=0, "",'Prediction Log'!B761)</f>
      </c>
      <c r="C760" s="65" t="str">
        <f>IF('Prediction Log'!C761=0, "",'Prediction Log'!C761)</f>
      </c>
      <c r="D760" s="65" t="str">
        <f>IF('Prediction Log'!D761=0, "",'Prediction Log'!D761)</f>
      </c>
      <c r="E760" s="58" t="str">
        <f>IF('Prediction Log'!E761=0, "",'Prediction Log'!E761)</f>
      </c>
      <c r="F760" s="65" t="str">
        <f>IF('Prediction Log'!H761=0, "",'Prediction Log'!H761)</f>
      </c>
      <c r="G760" s="64" t="str">
        <f>IF(ISBLANK(Games!B760), "",'Prediction Log'!$I761)</f>
      </c>
      <c r="H760" s="66" t="n">
        <f>'Prediction Log'!$J761</f>
        <v>0</v>
      </c>
      <c r="I760" s="65" t="str">
        <f>IF(ISBLANK(Games!T760), "",IF(AND(Games!T760="",Games!U760=""),"",IF(ISTEXT(Games!U760), "Side",Games!T760)))</f>
      </c>
      <c r="J760" s="65" t="str">
        <f>IF(ISBLANK(Games!T760), "",IF(Table12[[#This Row],[Bet]]="Spread", Games!X760, ""))</f>
      </c>
      <c r="K760" s="65" t="str">
        <f>IF(ISBLANK(Games!U760), "",IF(ISTEXT(Games!U760), Games!U760, ""))</f>
      </c>
      <c r="L760" s="57" t="str">
        <f>IF(ISBLANK(Games!D760), "", Games!D760)</f>
      </c>
      <c r="M760" s="65"/>
      <c r="N760" s="75" t="str">
        <f>IF(Games!V760="", "",Games!V760)</f>
      </c>
      <c r="O760" s="75" t="str">
        <f>IF(Games!Z760=0, "",Games!Z760)</f>
      </c>
      <c r="P760" s="67"/>
      <c r="Q760" s="67" t="str">
        <f>IF(ISBLANK(Games!W760), "", Games!W760)</f>
      </c>
      <c r="R760" s="67" t="str">
        <f>IF(ISBLANK(Games!AA760), "", Games!AA760)</f>
      </c>
      <c r="S760" s="67"/>
      <c r="T760" s="68" t="str">
        <f t="shared" si="106"/>
      </c>
      <c r="U760" s="68" t="str">
        <f t="shared" si="107"/>
      </c>
      <c r="V760" s="68" t="str">
        <f t="shared" si="108"/>
      </c>
      <c r="W760" s="68" t="str">
        <f t="shared" si="109"/>
      </c>
      <c r="X760" s="68" t="n">
        <f t="shared" si="111"/>
        <v>0</v>
      </c>
      <c r="Y760" s="68" t="n">
        <f t="shared" si="112"/>
        <v>0</v>
      </c>
      <c r="Z760" s="67" t="str">
        <f>IF(OR('Prediction Log'!L761="", Table12[[#This Row],[Bet]]="", Table12[[#This Row],[Bet]]="Spread"), "",IF('Prediction Log'!L761=Table12[[#This Row],[Side]], "W", IF('Prediction Log'!L761&lt;&gt;Table12[[#This Row],[Side]], "L", "")))</f>
      </c>
      <c r="AA760" s="59" t="str">
        <f t="shared" si="113"/>
      </c>
      <c r="AB760" s="67" t="str">
        <f>IF(OR(Table12[[#This Row],[Bet]]="Side",Table12[[#This Row],[Bet]]="", 'Prediction Log'!L761=""), "",IF('Prediction Log'!U761="Y", "W", IF('Prediction Log'!U761="N", "L", "")))</f>
      </c>
      <c r="AC760" s="59" t="str">
        <f t="shared" si="105"/>
      </c>
      <c r="AD760" s="67"/>
      <c r="AE760" s="65" t="str">
        <f t="shared" si="110"/>
      </c>
      <c r="AF76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1">
      <c r="A761" s="65" t="str">
        <f>IF(ISBLANK(Games!A761), "", Games!A761)</f>
      </c>
      <c r="B761" s="65" t="str">
        <f>IF('Prediction Log'!B762=0, "",'Prediction Log'!B762)</f>
      </c>
      <c r="C761" s="65" t="str">
        <f>IF('Prediction Log'!C762=0, "",'Prediction Log'!C762)</f>
      </c>
      <c r="D761" s="65" t="str">
        <f>IF('Prediction Log'!D762=0, "",'Prediction Log'!D762)</f>
      </c>
      <c r="E761" s="58" t="str">
        <f>IF('Prediction Log'!E762=0, "",'Prediction Log'!E762)</f>
      </c>
      <c r="F761" s="65" t="str">
        <f>IF('Prediction Log'!H762=0, "",'Prediction Log'!H762)</f>
      </c>
      <c r="G761" s="64" t="str">
        <f>IF(ISBLANK(Games!B761), "",'Prediction Log'!$I762)</f>
      </c>
      <c r="H761" s="66" t="n">
        <f>'Prediction Log'!$J762</f>
        <v>0</v>
      </c>
      <c r="I761" s="65" t="str">
        <f>IF(ISBLANK(Games!T761), "",IF(AND(Games!T761="",Games!U761=""),"",IF(ISTEXT(Games!U761), "Side",Games!T761)))</f>
      </c>
      <c r="J761" s="65" t="str">
        <f>IF(ISBLANK(Games!T761), "",IF(Table12[[#This Row],[Bet]]="Spread", Games!X761, ""))</f>
      </c>
      <c r="K761" s="65" t="str">
        <f>IF(ISBLANK(Games!U761), "",IF(ISTEXT(Games!U761), Games!U761, ""))</f>
      </c>
      <c r="L761" s="57" t="str">
        <f>IF(ISBLANK(Games!D761), "", Games!D761)</f>
      </c>
      <c r="M761" s="65"/>
      <c r="N761" s="75" t="str">
        <f>IF(Games!V761="", "",Games!V761)</f>
      </c>
      <c r="O761" s="75" t="str">
        <f>IF(Games!Z761=0, "",Games!Z761)</f>
      </c>
      <c r="P761" s="67"/>
      <c r="Q761" s="67" t="str">
        <f>IF(ISBLANK(Games!W761), "", Games!W761)</f>
      </c>
      <c r="R761" s="67" t="str">
        <f>IF(ISBLANK(Games!AA761), "", Games!AA761)</f>
      </c>
      <c r="S761" s="67"/>
      <c r="T761" s="68" t="str">
        <f t="shared" si="106"/>
      </c>
      <c r="U761" s="68" t="str">
        <f t="shared" si="107"/>
      </c>
      <c r="V761" s="68" t="str">
        <f t="shared" si="108"/>
      </c>
      <c r="W761" s="68" t="str">
        <f t="shared" si="109"/>
      </c>
      <c r="X761" s="68" t="n">
        <f t="shared" si="111"/>
        <v>0</v>
      </c>
      <c r="Y761" s="68" t="n">
        <f t="shared" si="112"/>
        <v>0</v>
      </c>
      <c r="Z761" s="67" t="str">
        <f>IF(OR('Prediction Log'!L762="", Table12[[#This Row],[Bet]]="", Table12[[#This Row],[Bet]]="Spread"), "",IF('Prediction Log'!L762=Table12[[#This Row],[Side]], "W", IF('Prediction Log'!L762&lt;&gt;Table12[[#This Row],[Side]], "L", "")))</f>
      </c>
      <c r="AA761" s="59" t="str">
        <f t="shared" si="113"/>
      </c>
      <c r="AB761" s="67" t="str">
        <f>IF(OR(Table12[[#This Row],[Bet]]="Side",Table12[[#This Row],[Bet]]="", 'Prediction Log'!L762=""), "",IF('Prediction Log'!U762="Y", "W", IF('Prediction Log'!U762="N", "L", "")))</f>
      </c>
      <c r="AC761" s="59" t="str">
        <f t="shared" si="105"/>
      </c>
      <c r="AD761" s="67"/>
      <c r="AE761" s="65" t="str">
        <f t="shared" si="110"/>
      </c>
      <c r="AF76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2">
      <c r="A762" s="65" t="str">
        <f>IF(ISBLANK(Games!A762), "", Games!A762)</f>
      </c>
      <c r="B762" s="65" t="str">
        <f>IF('Prediction Log'!B763=0, "",'Prediction Log'!B763)</f>
      </c>
      <c r="C762" s="65" t="str">
        <f>IF('Prediction Log'!C763=0, "",'Prediction Log'!C763)</f>
      </c>
      <c r="D762" s="65" t="str">
        <f>IF('Prediction Log'!D763=0, "",'Prediction Log'!D763)</f>
      </c>
      <c r="E762" s="58" t="str">
        <f>IF('Prediction Log'!E763=0, "",'Prediction Log'!E763)</f>
      </c>
      <c r="F762" s="65" t="str">
        <f>IF('Prediction Log'!H763=0, "",'Prediction Log'!H763)</f>
      </c>
      <c r="G762" s="64" t="str">
        <f>IF(ISBLANK(Games!B762), "",'Prediction Log'!$I763)</f>
      </c>
      <c r="H762" s="66" t="n">
        <f>'Prediction Log'!$J763</f>
        <v>0</v>
      </c>
      <c r="I762" s="65" t="str">
        <f>IF(ISBLANK(Games!T762), "",IF(AND(Games!T762="",Games!U762=""),"",IF(ISTEXT(Games!U762), "Side",Games!T762)))</f>
      </c>
      <c r="J762" s="65" t="str">
        <f>IF(ISBLANK(Games!T762), "",IF(Table12[[#This Row],[Bet]]="Spread", Games!X762, ""))</f>
      </c>
      <c r="K762" s="65" t="str">
        <f>IF(ISBLANK(Games!U762), "",IF(ISTEXT(Games!U762), Games!U762, ""))</f>
      </c>
      <c r="L762" s="57" t="str">
        <f>IF(ISBLANK(Games!D762), "", Games!D762)</f>
      </c>
      <c r="M762" s="65"/>
      <c r="N762" s="75" t="str">
        <f>IF(Games!V762="", "",Games!V762)</f>
      </c>
      <c r="O762" s="75" t="str">
        <f>IF(Games!Z762=0, "",Games!Z762)</f>
      </c>
      <c r="P762" s="67"/>
      <c r="Q762" s="67" t="str">
        <f>IF(ISBLANK(Games!W762), "", Games!W762)</f>
      </c>
      <c r="R762" s="67" t="str">
        <f>IF(ISBLANK(Games!AA762), "", Games!AA762)</f>
      </c>
      <c r="S762" s="67"/>
      <c r="T762" s="68" t="str">
        <f t="shared" si="106"/>
      </c>
      <c r="U762" s="68" t="str">
        <f t="shared" si="107"/>
      </c>
      <c r="V762" s="68" t="str">
        <f t="shared" si="108"/>
      </c>
      <c r="W762" s="68" t="str">
        <f t="shared" si="109"/>
      </c>
      <c r="X762" s="68" t="n">
        <f t="shared" si="111"/>
        <v>0</v>
      </c>
      <c r="Y762" s="68" t="n">
        <f t="shared" si="112"/>
        <v>0</v>
      </c>
      <c r="Z762" s="67" t="str">
        <f>IF(OR('Prediction Log'!L763="", Table12[[#This Row],[Bet]]="", Table12[[#This Row],[Bet]]="Spread"), "",IF('Prediction Log'!L763=Table12[[#This Row],[Side]], "W", IF('Prediction Log'!L763&lt;&gt;Table12[[#This Row],[Side]], "L", "")))</f>
      </c>
      <c r="AA762" s="59" t="str">
        <f t="shared" si="113"/>
      </c>
      <c r="AB762" s="67" t="str">
        <f>IF(OR(Table12[[#This Row],[Bet]]="Side",Table12[[#This Row],[Bet]]="", 'Prediction Log'!L763=""), "",IF('Prediction Log'!U763="Y", "W", IF('Prediction Log'!U763="N", "L", "")))</f>
      </c>
      <c r="AC762" s="59" t="str">
        <f t="shared" si="105"/>
      </c>
      <c r="AD762" s="67"/>
      <c r="AE762" s="65" t="str">
        <f t="shared" si="110"/>
      </c>
      <c r="AF76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3">
      <c r="A763" s="65" t="str">
        <f>IF(ISBLANK(Games!A763), "", Games!A763)</f>
      </c>
      <c r="B763" s="65" t="str">
        <f>IF('Prediction Log'!B764=0, "",'Prediction Log'!B764)</f>
      </c>
      <c r="C763" s="65" t="str">
        <f>IF('Prediction Log'!C764=0, "",'Prediction Log'!C764)</f>
      </c>
      <c r="D763" s="65" t="str">
        <f>IF('Prediction Log'!D764=0, "",'Prediction Log'!D764)</f>
      </c>
      <c r="E763" s="58" t="str">
        <f>IF('Prediction Log'!E764=0, "",'Prediction Log'!E764)</f>
      </c>
      <c r="F763" s="65" t="str">
        <f>IF('Prediction Log'!H764=0, "",'Prediction Log'!H764)</f>
      </c>
      <c r="G763" s="64" t="str">
        <f>IF(ISBLANK(Games!B763), "",'Prediction Log'!$I764)</f>
      </c>
      <c r="H763" s="66" t="n">
        <f>'Prediction Log'!$J764</f>
        <v>0</v>
      </c>
      <c r="I763" s="65" t="str">
        <f>IF(ISBLANK(Games!T763), "",IF(AND(Games!T763="",Games!U763=""),"",IF(ISTEXT(Games!U763), "Side",Games!T763)))</f>
      </c>
      <c r="J763" s="65" t="str">
        <f>IF(ISBLANK(Games!T763), "",IF(Table12[[#This Row],[Bet]]="Spread", Games!X763, ""))</f>
      </c>
      <c r="K763" s="65" t="str">
        <f>IF(ISBLANK(Games!U763), "",IF(ISTEXT(Games!U763), Games!U763, ""))</f>
      </c>
      <c r="L763" s="57" t="str">
        <f>IF(ISBLANK(Games!D763), "", Games!D763)</f>
      </c>
      <c r="M763" s="65"/>
      <c r="N763" s="75" t="str">
        <f>IF(Games!V763="", "",Games!V763)</f>
      </c>
      <c r="O763" s="75" t="str">
        <f>IF(Games!Z763=0, "",Games!Z763)</f>
      </c>
      <c r="P763" s="67"/>
      <c r="Q763" s="67" t="str">
        <f>IF(ISBLANK(Games!W763), "", Games!W763)</f>
      </c>
      <c r="R763" s="67" t="str">
        <f>IF(ISBLANK(Games!AA763), "", Games!AA763)</f>
      </c>
      <c r="S763" s="67"/>
      <c r="T763" s="68" t="str">
        <f t="shared" si="106"/>
      </c>
      <c r="U763" s="68" t="str">
        <f t="shared" si="107"/>
      </c>
      <c r="V763" s="68" t="str">
        <f t="shared" si="108"/>
      </c>
      <c r="W763" s="68" t="str">
        <f t="shared" si="109"/>
      </c>
      <c r="X763" s="68" t="n">
        <f t="shared" si="111"/>
        <v>0</v>
      </c>
      <c r="Y763" s="68" t="n">
        <f t="shared" si="112"/>
        <v>0</v>
      </c>
      <c r="Z763" s="67" t="str">
        <f>IF(OR('Prediction Log'!L764="", Table12[[#This Row],[Bet]]="", Table12[[#This Row],[Bet]]="Spread"), "",IF('Prediction Log'!L764=Table12[[#This Row],[Side]], "W", IF('Prediction Log'!L764&lt;&gt;Table12[[#This Row],[Side]], "L", "")))</f>
      </c>
      <c r="AA763" s="59" t="str">
        <f t="shared" si="113"/>
      </c>
      <c r="AB763" s="67" t="str">
        <f>IF(OR(Table12[[#This Row],[Bet]]="Side",Table12[[#This Row],[Bet]]="", 'Prediction Log'!L764=""), "",IF('Prediction Log'!U764="Y", "W", IF('Prediction Log'!U764="N", "L", "")))</f>
      </c>
      <c r="AC763" s="59" t="str">
        <f t="shared" si="105"/>
      </c>
      <c r="AD763" s="67"/>
      <c r="AE763" s="65" t="str">
        <f t="shared" si="110"/>
      </c>
      <c r="AF76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4">
      <c r="A764" s="65" t="str">
        <f>IF(ISBLANK(Games!A764), "", Games!A764)</f>
      </c>
      <c r="B764" s="65" t="str">
        <f>IF('Prediction Log'!B765=0, "",'Prediction Log'!B765)</f>
      </c>
      <c r="C764" s="65" t="str">
        <f>IF('Prediction Log'!C765=0, "",'Prediction Log'!C765)</f>
      </c>
      <c r="D764" s="65" t="str">
        <f>IF('Prediction Log'!D765=0, "",'Prediction Log'!D765)</f>
      </c>
      <c r="E764" s="58" t="str">
        <f>IF('Prediction Log'!E765=0, "",'Prediction Log'!E765)</f>
      </c>
      <c r="F764" s="65" t="str">
        <f>IF('Prediction Log'!H765=0, "",'Prediction Log'!H765)</f>
      </c>
      <c r="G764" s="64" t="str">
        <f>IF(ISBLANK(Games!B764), "",'Prediction Log'!$I765)</f>
      </c>
      <c r="H764" s="66" t="n">
        <f>'Prediction Log'!$J765</f>
        <v>0</v>
      </c>
      <c r="I764" s="65" t="str">
        <f>IF(ISBLANK(Games!T764), "",IF(AND(Games!T764="",Games!U764=""),"",IF(ISTEXT(Games!U764), "Side",Games!T764)))</f>
      </c>
      <c r="J764" s="65" t="str">
        <f>IF(ISBLANK(Games!T764), "",IF(Table12[[#This Row],[Bet]]="Spread", Games!X764, ""))</f>
      </c>
      <c r="K764" s="65" t="str">
        <f>IF(ISBLANK(Games!U764), "",IF(ISTEXT(Games!U764), Games!U764, ""))</f>
      </c>
      <c r="L764" s="57" t="str">
        <f>IF(ISBLANK(Games!D764), "", Games!D764)</f>
      </c>
      <c r="M764" s="65"/>
      <c r="N764" s="75" t="str">
        <f>IF(Games!V764="", "",Games!V764)</f>
      </c>
      <c r="O764" s="75" t="str">
        <f>IF(Games!Z764=0, "",Games!Z764)</f>
      </c>
      <c r="P764" s="67"/>
      <c r="Q764" s="67" t="str">
        <f>IF(ISBLANK(Games!W764), "", Games!W764)</f>
      </c>
      <c r="R764" s="67" t="str">
        <f>IF(ISBLANK(Games!AA764), "", Games!AA764)</f>
      </c>
      <c r="S764" s="67"/>
      <c r="T764" s="68" t="str">
        <f t="shared" si="106"/>
      </c>
      <c r="U764" s="68" t="str">
        <f t="shared" si="107"/>
      </c>
      <c r="V764" s="68" t="str">
        <f t="shared" si="108"/>
      </c>
      <c r="W764" s="68" t="str">
        <f t="shared" si="109"/>
      </c>
      <c r="X764" s="68" t="n">
        <f t="shared" si="111"/>
        <v>0</v>
      </c>
      <c r="Y764" s="68" t="n">
        <f t="shared" si="112"/>
        <v>0</v>
      </c>
      <c r="Z764" s="67" t="str">
        <f>IF(OR('Prediction Log'!L765="", Table12[[#This Row],[Bet]]="", Table12[[#This Row],[Bet]]="Spread"), "",IF('Prediction Log'!L765=Table12[[#This Row],[Side]], "W", IF('Prediction Log'!L765&lt;&gt;Table12[[#This Row],[Side]], "L", "")))</f>
      </c>
      <c r="AA764" s="59" t="str">
        <f t="shared" si="113"/>
      </c>
      <c r="AB764" s="67" t="str">
        <f>IF(OR(Table12[[#This Row],[Bet]]="Side",Table12[[#This Row],[Bet]]="", 'Prediction Log'!L765=""), "",IF('Prediction Log'!U765="Y", "W", IF('Prediction Log'!U765="N", "L", "")))</f>
      </c>
      <c r="AC764" s="59" t="str">
        <f t="shared" si="105"/>
      </c>
      <c r="AD764" s="67"/>
      <c r="AE764" s="65" t="str">
        <f t="shared" si="110"/>
      </c>
      <c r="AF76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5">
      <c r="A765" s="65" t="str">
        <f>IF(ISBLANK(Games!A765), "", Games!A765)</f>
      </c>
      <c r="B765" s="65" t="str">
        <f>IF('Prediction Log'!B766=0, "",'Prediction Log'!B766)</f>
      </c>
      <c r="C765" s="65" t="str">
        <f>IF('Prediction Log'!C766=0, "",'Prediction Log'!C766)</f>
      </c>
      <c r="D765" s="65" t="str">
        <f>IF('Prediction Log'!D766=0, "",'Prediction Log'!D766)</f>
      </c>
      <c r="E765" s="58" t="str">
        <f>IF('Prediction Log'!E766=0, "",'Prediction Log'!E766)</f>
      </c>
      <c r="F765" s="65" t="str">
        <f>IF('Prediction Log'!H766=0, "",'Prediction Log'!H766)</f>
      </c>
      <c r="G765" s="64" t="str">
        <f>IF(ISBLANK(Games!B765), "",'Prediction Log'!$I766)</f>
      </c>
      <c r="H765" s="66" t="n">
        <f>'Prediction Log'!$J766</f>
        <v>0</v>
      </c>
      <c r="I765" s="65" t="str">
        <f>IF(ISBLANK(Games!T765), "",IF(AND(Games!T765="",Games!U765=""),"",IF(ISTEXT(Games!U765), "Side",Games!T765)))</f>
      </c>
      <c r="J765" s="65" t="str">
        <f>IF(ISBLANK(Games!T765), "",IF(Table12[[#This Row],[Bet]]="Spread", Games!X765, ""))</f>
      </c>
      <c r="K765" s="65" t="str">
        <f>IF(ISBLANK(Games!U765), "",IF(ISTEXT(Games!U765), Games!U765, ""))</f>
      </c>
      <c r="L765" s="57" t="str">
        <f>IF(ISBLANK(Games!D765), "", Games!D765)</f>
      </c>
      <c r="M765" s="65"/>
      <c r="N765" s="75" t="str">
        <f>IF(Games!V765="", "",Games!V765)</f>
      </c>
      <c r="O765" s="75" t="str">
        <f>IF(Games!Z765=0, "",Games!Z765)</f>
      </c>
      <c r="P765" s="67"/>
      <c r="Q765" s="67" t="str">
        <f>IF(ISBLANK(Games!W765), "", Games!W765)</f>
      </c>
      <c r="R765" s="67" t="str">
        <f>IF(ISBLANK(Games!AA765), "", Games!AA765)</f>
      </c>
      <c r="S765" s="67"/>
      <c r="T765" s="68" t="str">
        <f t="shared" si="106"/>
      </c>
      <c r="U765" s="68" t="str">
        <f t="shared" si="107"/>
      </c>
      <c r="V765" s="68" t="str">
        <f t="shared" si="108"/>
      </c>
      <c r="W765" s="68" t="str">
        <f t="shared" si="109"/>
      </c>
      <c r="X765" s="68" t="n">
        <f t="shared" si="111"/>
        <v>0</v>
      </c>
      <c r="Y765" s="68" t="n">
        <f t="shared" si="112"/>
        <v>0</v>
      </c>
      <c r="Z765" s="67" t="str">
        <f>IF(OR('Prediction Log'!L766="", Table12[[#This Row],[Bet]]="", Table12[[#This Row],[Bet]]="Spread"), "",IF('Prediction Log'!L766=Table12[[#This Row],[Side]], "W", IF('Prediction Log'!L766&lt;&gt;Table12[[#This Row],[Side]], "L", "")))</f>
      </c>
      <c r="AA765" s="59" t="str">
        <f t="shared" si="113"/>
      </c>
      <c r="AB765" s="67" t="str">
        <f>IF(OR(Table12[[#This Row],[Bet]]="Side",Table12[[#This Row],[Bet]]="", 'Prediction Log'!L766=""), "",IF('Prediction Log'!U766="Y", "W", IF('Prediction Log'!U766="N", "L", "")))</f>
      </c>
      <c r="AC765" s="59" t="str">
        <f t="shared" si="105"/>
      </c>
      <c r="AD765" s="67"/>
      <c r="AE765" s="65" t="str">
        <f t="shared" si="110"/>
      </c>
      <c r="AF76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6">
      <c r="A766" s="65" t="str">
        <f>IF(ISBLANK(Games!A766), "", Games!A766)</f>
      </c>
      <c r="B766" s="65" t="str">
        <f>IF('Prediction Log'!B767=0, "",'Prediction Log'!B767)</f>
      </c>
      <c r="C766" s="65" t="str">
        <f>IF('Prediction Log'!C767=0, "",'Prediction Log'!C767)</f>
      </c>
      <c r="D766" s="65" t="str">
        <f>IF('Prediction Log'!D767=0, "",'Prediction Log'!D767)</f>
      </c>
      <c r="E766" s="58" t="str">
        <f>IF('Prediction Log'!E767=0, "",'Prediction Log'!E767)</f>
      </c>
      <c r="F766" s="65" t="str">
        <f>IF('Prediction Log'!H767=0, "",'Prediction Log'!H767)</f>
      </c>
      <c r="G766" s="64" t="str">
        <f>IF(ISBLANK(Games!B766), "",'Prediction Log'!$I767)</f>
      </c>
      <c r="H766" s="66" t="n">
        <f>'Prediction Log'!$J767</f>
        <v>0</v>
      </c>
      <c r="I766" s="65" t="str">
        <f>IF(ISBLANK(Games!T766), "",IF(AND(Games!T766="",Games!U766=""),"",IF(ISTEXT(Games!U766), "Side",Games!T766)))</f>
      </c>
      <c r="J766" s="65" t="str">
        <f>IF(ISBLANK(Games!T766), "",IF(Table12[[#This Row],[Bet]]="Spread", Games!X766, ""))</f>
      </c>
      <c r="K766" s="65" t="str">
        <f>IF(ISBLANK(Games!U766), "",IF(ISTEXT(Games!U766), Games!U766, ""))</f>
      </c>
      <c r="L766" s="57" t="str">
        <f>IF(ISBLANK(Games!D766), "", Games!D766)</f>
      </c>
      <c r="M766" s="65"/>
      <c r="N766" s="75" t="str">
        <f>IF(Games!V766="", "",Games!V766)</f>
      </c>
      <c r="O766" s="75" t="str">
        <f>IF(Games!Z766=0, "",Games!Z766)</f>
      </c>
      <c r="P766" s="67"/>
      <c r="Q766" s="67" t="str">
        <f>IF(ISBLANK(Games!W766), "", Games!W766)</f>
      </c>
      <c r="R766" s="67" t="str">
        <f>IF(ISBLANK(Games!AA766), "", Games!AA766)</f>
      </c>
      <c r="S766" s="67"/>
      <c r="T766" s="68" t="str">
        <f t="shared" si="106"/>
      </c>
      <c r="U766" s="68" t="str">
        <f t="shared" si="107"/>
      </c>
      <c r="V766" s="68" t="str">
        <f t="shared" si="108"/>
      </c>
      <c r="W766" s="68" t="str">
        <f t="shared" si="109"/>
      </c>
      <c r="X766" s="68" t="n">
        <f t="shared" si="111"/>
        <v>0</v>
      </c>
      <c r="Y766" s="68" t="n">
        <f t="shared" si="112"/>
        <v>0</v>
      </c>
      <c r="Z766" s="67" t="str">
        <f>IF(OR('Prediction Log'!L767="", Table12[[#This Row],[Bet]]="", Table12[[#This Row],[Bet]]="Spread"), "",IF('Prediction Log'!L767=Table12[[#This Row],[Side]], "W", IF('Prediction Log'!L767&lt;&gt;Table12[[#This Row],[Side]], "L", "")))</f>
      </c>
      <c r="AA766" s="59" t="str">
        <f t="shared" si="113"/>
      </c>
      <c r="AB766" s="67" t="str">
        <f>IF(OR(Table12[[#This Row],[Bet]]="Side",Table12[[#This Row],[Bet]]="", 'Prediction Log'!L767=""), "",IF('Prediction Log'!U767="Y", "W", IF('Prediction Log'!U767="N", "L", "")))</f>
      </c>
      <c r="AC766" s="59" t="str">
        <f t="shared" si="105"/>
      </c>
      <c r="AD766" s="67"/>
      <c r="AE766" s="65" t="str">
        <f t="shared" si="110"/>
      </c>
      <c r="AF76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7">
      <c r="A767" s="65" t="str">
        <f>IF(ISBLANK(Games!A767), "", Games!A767)</f>
      </c>
      <c r="B767" s="65" t="str">
        <f>IF('Prediction Log'!B768=0, "",'Prediction Log'!B768)</f>
      </c>
      <c r="C767" s="65" t="str">
        <f>IF('Prediction Log'!C768=0, "",'Prediction Log'!C768)</f>
      </c>
      <c r="D767" s="65" t="str">
        <f>IF('Prediction Log'!D768=0, "",'Prediction Log'!D768)</f>
      </c>
      <c r="E767" s="58" t="str">
        <f>IF('Prediction Log'!E768=0, "",'Prediction Log'!E768)</f>
      </c>
      <c r="F767" s="65" t="str">
        <f>IF('Prediction Log'!H768=0, "",'Prediction Log'!H768)</f>
      </c>
      <c r="G767" s="64" t="str">
        <f>IF(ISBLANK(Games!B767), "",'Prediction Log'!$I768)</f>
      </c>
      <c r="H767" s="66" t="n">
        <f>'Prediction Log'!$J768</f>
        <v>0</v>
      </c>
      <c r="I767" s="65" t="str">
        <f>IF(ISBLANK(Games!T767), "",IF(AND(Games!T767="",Games!U767=""),"",IF(ISTEXT(Games!U767), "Side",Games!T767)))</f>
      </c>
      <c r="J767" s="65" t="str">
        <f>IF(ISBLANK(Games!T767), "",IF(Table12[[#This Row],[Bet]]="Spread", Games!X767, ""))</f>
      </c>
      <c r="K767" s="65" t="str">
        <f>IF(ISBLANK(Games!U767), "",IF(ISTEXT(Games!U767), Games!U767, ""))</f>
      </c>
      <c r="L767" s="57" t="str">
        <f>IF(ISBLANK(Games!D767), "", Games!D767)</f>
      </c>
      <c r="M767" s="65"/>
      <c r="N767" s="75" t="str">
        <f>IF(Games!V767="", "",Games!V767)</f>
      </c>
      <c r="O767" s="75" t="str">
        <f>IF(Games!Z767=0, "",Games!Z767)</f>
      </c>
      <c r="P767" s="67"/>
      <c r="Q767" s="67" t="str">
        <f>IF(ISBLANK(Games!W767), "", Games!W767)</f>
      </c>
      <c r="R767" s="67" t="str">
        <f>IF(ISBLANK(Games!AA767), "", Games!AA767)</f>
      </c>
      <c r="S767" s="67"/>
      <c r="T767" s="68" t="str">
        <f t="shared" si="106"/>
      </c>
      <c r="U767" s="68" t="str">
        <f t="shared" si="107"/>
      </c>
      <c r="V767" s="68" t="str">
        <f t="shared" si="108"/>
      </c>
      <c r="W767" s="68" t="str">
        <f t="shared" si="109"/>
      </c>
      <c r="X767" s="68" t="n">
        <f t="shared" si="111"/>
        <v>0</v>
      </c>
      <c r="Y767" s="68" t="n">
        <f t="shared" si="112"/>
        <v>0</v>
      </c>
      <c r="Z767" s="67" t="str">
        <f>IF(OR('Prediction Log'!L768="", Table12[[#This Row],[Bet]]="", Table12[[#This Row],[Bet]]="Spread"), "",IF('Prediction Log'!L768=Table12[[#This Row],[Side]], "W", IF('Prediction Log'!L768&lt;&gt;Table12[[#This Row],[Side]], "L", "")))</f>
      </c>
      <c r="AA767" s="59" t="str">
        <f t="shared" si="113"/>
      </c>
      <c r="AB767" s="67" t="str">
        <f>IF(OR(Table12[[#This Row],[Bet]]="Side",Table12[[#This Row],[Bet]]="", 'Prediction Log'!L768=""), "",IF('Prediction Log'!U768="Y", "W", IF('Prediction Log'!U768="N", "L", "")))</f>
      </c>
      <c r="AC767" s="59" t="str">
        <f t="shared" si="105"/>
      </c>
      <c r="AD767" s="67"/>
      <c r="AE767" s="65" t="str">
        <f t="shared" si="110"/>
      </c>
      <c r="AF76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8">
      <c r="A768" s="65" t="str">
        <f>IF(ISBLANK(Games!A768), "", Games!A768)</f>
      </c>
      <c r="B768" s="65" t="str">
        <f>IF('Prediction Log'!B769=0, "",'Prediction Log'!B769)</f>
      </c>
      <c r="C768" s="65" t="str">
        <f>IF('Prediction Log'!C769=0, "",'Prediction Log'!C769)</f>
      </c>
      <c r="D768" s="65" t="str">
        <f>IF('Prediction Log'!D769=0, "",'Prediction Log'!D769)</f>
      </c>
      <c r="E768" s="58" t="str">
        <f>IF('Prediction Log'!E769=0, "",'Prediction Log'!E769)</f>
      </c>
      <c r="F768" s="65" t="str">
        <f>IF('Prediction Log'!H769=0, "",'Prediction Log'!H769)</f>
      </c>
      <c r="G768" s="64" t="str">
        <f>IF(ISBLANK(Games!B768), "",'Prediction Log'!$I769)</f>
      </c>
      <c r="H768" s="66" t="n">
        <f>'Prediction Log'!$J769</f>
        <v>0</v>
      </c>
      <c r="I768" s="65" t="str">
        <f>IF(ISBLANK(Games!T768), "",IF(AND(Games!T768="",Games!U768=""),"",IF(ISTEXT(Games!U768), "Side",Games!T768)))</f>
      </c>
      <c r="J768" s="65" t="str">
        <f>IF(ISBLANK(Games!T768), "",IF(Table12[[#This Row],[Bet]]="Spread", Games!X768, ""))</f>
      </c>
      <c r="K768" s="65" t="str">
        <f>IF(ISBLANK(Games!U768), "",IF(ISTEXT(Games!U768), Games!U768, ""))</f>
      </c>
      <c r="L768" s="57" t="str">
        <f>IF(ISBLANK(Games!D768), "", Games!D768)</f>
      </c>
      <c r="M768" s="65"/>
      <c r="N768" s="75" t="str">
        <f>IF(Games!V768="", "",Games!V768)</f>
      </c>
      <c r="O768" s="75" t="str">
        <f>IF(Games!Z768=0, "",Games!Z768)</f>
      </c>
      <c r="P768" s="67"/>
      <c r="Q768" s="67" t="str">
        <f>IF(ISBLANK(Games!W768), "", Games!W768)</f>
      </c>
      <c r="R768" s="67" t="str">
        <f>IF(ISBLANK(Games!AA768), "", Games!AA768)</f>
      </c>
      <c r="S768" s="67"/>
      <c r="T768" s="68" t="str">
        <f t="shared" si="106"/>
      </c>
      <c r="U768" s="68" t="str">
        <f t="shared" si="107"/>
      </c>
      <c r="V768" s="68" t="str">
        <f t="shared" si="108"/>
      </c>
      <c r="W768" s="68" t="str">
        <f t="shared" si="109"/>
      </c>
      <c r="X768" s="68" t="n">
        <f t="shared" si="111"/>
        <v>0</v>
      </c>
      <c r="Y768" s="68" t="n">
        <f t="shared" si="112"/>
        <v>0</v>
      </c>
      <c r="Z768" s="67" t="str">
        <f>IF(OR('Prediction Log'!L769="", Table12[[#This Row],[Bet]]="", Table12[[#This Row],[Bet]]="Spread"), "",IF('Prediction Log'!L769=Table12[[#This Row],[Side]], "W", IF('Prediction Log'!L769&lt;&gt;Table12[[#This Row],[Side]], "L", "")))</f>
      </c>
      <c r="AA768" s="59" t="str">
        <f t="shared" si="113"/>
      </c>
      <c r="AB768" s="67" t="str">
        <f>IF(OR(Table12[[#This Row],[Bet]]="Side",Table12[[#This Row],[Bet]]="", 'Prediction Log'!L769=""), "",IF('Prediction Log'!U769="Y", "W", IF('Prediction Log'!U769="N", "L", "")))</f>
      </c>
      <c r="AC768" s="59" t="str">
        <f t="shared" si="105"/>
      </c>
      <c r="AD768" s="67"/>
      <c r="AE768" s="65" t="str">
        <f t="shared" si="110"/>
      </c>
      <c r="AF76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9">
      <c r="A769" s="65" t="str">
        <f>IF(ISBLANK(Games!A769), "", Games!A769)</f>
      </c>
      <c r="B769" s="65" t="str">
        <f>IF('Prediction Log'!B770=0, "",'Prediction Log'!B770)</f>
      </c>
      <c r="C769" s="65" t="str">
        <f>IF('Prediction Log'!C770=0, "",'Prediction Log'!C770)</f>
      </c>
      <c r="D769" s="65" t="str">
        <f>IF('Prediction Log'!D770=0, "",'Prediction Log'!D770)</f>
      </c>
      <c r="E769" s="58" t="str">
        <f>IF('Prediction Log'!E770=0, "",'Prediction Log'!E770)</f>
      </c>
      <c r="F769" s="65" t="str">
        <f>IF('Prediction Log'!H770=0, "",'Prediction Log'!H770)</f>
      </c>
      <c r="G769" s="64" t="str">
        <f>IF(ISBLANK(Games!B769), "",'Prediction Log'!$I770)</f>
      </c>
      <c r="H769" s="66" t="n">
        <f>'Prediction Log'!$J770</f>
        <v>0</v>
      </c>
      <c r="I769" s="65" t="str">
        <f>IF(ISBLANK(Games!T769), "",IF(AND(Games!T769="",Games!U769=""),"",IF(ISTEXT(Games!U769), "Side",Games!T769)))</f>
      </c>
      <c r="J769" s="65" t="str">
        <f>IF(ISBLANK(Games!T769), "",IF(Table12[[#This Row],[Bet]]="Spread", Games!X769, ""))</f>
      </c>
      <c r="K769" s="65" t="str">
        <f>IF(ISBLANK(Games!U769), "",IF(ISTEXT(Games!U769), Games!U769, ""))</f>
      </c>
      <c r="L769" s="57" t="str">
        <f>IF(ISBLANK(Games!D769), "", Games!D769)</f>
      </c>
      <c r="M769" s="65"/>
      <c r="N769" s="75" t="str">
        <f>IF(Games!V769="", "",Games!V769)</f>
      </c>
      <c r="O769" s="75" t="str">
        <f>IF(Games!Z769=0, "",Games!Z769)</f>
      </c>
      <c r="P769" s="67"/>
      <c r="Q769" s="67" t="str">
        <f>IF(ISBLANK(Games!W769), "", Games!W769)</f>
      </c>
      <c r="R769" s="67" t="str">
        <f>IF(ISBLANK(Games!AA769), "", Games!AA769)</f>
      </c>
      <c r="S769" s="67"/>
      <c r="T769" s="68" t="str">
        <f t="shared" si="106"/>
      </c>
      <c r="U769" s="68" t="str">
        <f t="shared" si="107"/>
      </c>
      <c r="V769" s="68" t="str">
        <f t="shared" si="108"/>
      </c>
      <c r="W769" s="68" t="str">
        <f t="shared" si="109"/>
      </c>
      <c r="X769" s="68" t="n">
        <f t="shared" si="111"/>
        <v>0</v>
      </c>
      <c r="Y769" s="68" t="n">
        <f t="shared" si="112"/>
        <v>0</v>
      </c>
      <c r="Z769" s="67" t="str">
        <f>IF(OR('Prediction Log'!L770="", Table12[[#This Row],[Bet]]="", Table12[[#This Row],[Bet]]="Spread"), "",IF('Prediction Log'!L770=Table12[[#This Row],[Side]], "W", IF('Prediction Log'!L770&lt;&gt;Table12[[#This Row],[Side]], "L", "")))</f>
      </c>
      <c r="AA769" s="59" t="str">
        <f t="shared" si="113"/>
      </c>
      <c r="AB769" s="67" t="str">
        <f>IF(OR(Table12[[#This Row],[Bet]]="Side",Table12[[#This Row],[Bet]]="", 'Prediction Log'!L770=""), "",IF('Prediction Log'!U770="Y", "W", IF('Prediction Log'!U770="N", "L", "")))</f>
      </c>
      <c r="AC769" s="59" t="str">
        <f t="shared" si="105"/>
      </c>
      <c r="AD769" s="67"/>
      <c r="AE769" s="65" t="str">
        <f t="shared" si="110"/>
      </c>
      <c r="AF76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0">
      <c r="A770" s="65" t="str">
        <f>IF(ISBLANK(Games!A770), "", Games!A770)</f>
      </c>
      <c r="B770" s="65" t="str">
        <f>IF('Prediction Log'!B771=0, "",'Prediction Log'!B771)</f>
      </c>
      <c r="C770" s="65" t="str">
        <f>IF('Prediction Log'!C771=0, "",'Prediction Log'!C771)</f>
      </c>
      <c r="D770" s="65" t="str">
        <f>IF('Prediction Log'!D771=0, "",'Prediction Log'!D771)</f>
      </c>
      <c r="E770" s="58" t="str">
        <f>IF('Prediction Log'!E771=0, "",'Prediction Log'!E771)</f>
      </c>
      <c r="F770" s="65" t="str">
        <f>IF('Prediction Log'!H771=0, "",'Prediction Log'!H771)</f>
      </c>
      <c r="G770" s="64" t="str">
        <f>IF(ISBLANK(Games!B770), "",'Prediction Log'!$I771)</f>
      </c>
      <c r="H770" s="66" t="n">
        <f>'Prediction Log'!$J771</f>
        <v>0</v>
      </c>
      <c r="I770" s="65" t="str">
        <f>IF(ISBLANK(Games!T770), "",IF(AND(Games!T770="",Games!U770=""),"",IF(ISTEXT(Games!U770), "Side",Games!T770)))</f>
      </c>
      <c r="J770" s="65" t="str">
        <f>IF(ISBLANK(Games!T770), "",IF(Table12[[#This Row],[Bet]]="Spread", Games!X770, ""))</f>
      </c>
      <c r="K770" s="65" t="str">
        <f>IF(ISBLANK(Games!U770), "",IF(ISTEXT(Games!U770), Games!U770, ""))</f>
      </c>
      <c r="L770" s="57" t="str">
        <f>IF(ISBLANK(Games!D770), "", Games!D770)</f>
      </c>
      <c r="M770" s="65"/>
      <c r="N770" s="75" t="str">
        <f>IF(Games!V770="", "",Games!V770)</f>
      </c>
      <c r="O770" s="75" t="str">
        <f>IF(Games!Z770=0, "",Games!Z770)</f>
      </c>
      <c r="P770" s="67"/>
      <c r="Q770" s="67" t="str">
        <f>IF(ISBLANK(Games!W770), "", Games!W770)</f>
      </c>
      <c r="R770" s="67" t="str">
        <f>IF(ISBLANK(Games!AA770), "", Games!AA770)</f>
      </c>
      <c r="S770" s="67"/>
      <c r="T770" s="68" t="str">
        <f t="shared" si="106"/>
      </c>
      <c r="U770" s="68" t="str">
        <f t="shared" si="107"/>
      </c>
      <c r="V770" s="68" t="str">
        <f t="shared" si="108"/>
      </c>
      <c r="W770" s="68" t="str">
        <f t="shared" si="109"/>
      </c>
      <c r="X770" s="68" t="n">
        <f t="shared" si="111"/>
        <v>0</v>
      </c>
      <c r="Y770" s="68" t="n">
        <f t="shared" si="112"/>
        <v>0</v>
      </c>
      <c r="Z770" s="67" t="str">
        <f>IF(OR('Prediction Log'!L771="", Table12[[#This Row],[Bet]]="", Table12[[#This Row],[Bet]]="Spread"), "",IF('Prediction Log'!L771=Table12[[#This Row],[Side]], "W", IF('Prediction Log'!L771&lt;&gt;Table12[[#This Row],[Side]], "L", "")))</f>
      </c>
      <c r="AA770" s="59" t="str">
        <f t="shared" si="113"/>
      </c>
      <c r="AB770" s="67" t="str">
        <f>IF(OR(Table12[[#This Row],[Bet]]="Side",Table12[[#This Row],[Bet]]="", 'Prediction Log'!L771=""), "",IF('Prediction Log'!U771="Y", "W", IF('Prediction Log'!U771="N", "L", "")))</f>
      </c>
      <c r="AC770" s="59" t="str">
        <f t="shared" ref="AC770:AC800" si="114">IF(AB770="W", W770, IF(AB770="L",-O770, ""))</f>
      </c>
      <c r="AD770" s="67"/>
      <c r="AE770" s="65" t="str">
        <f t="shared" si="110"/>
      </c>
      <c r="AF77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1">
      <c r="A771" s="65" t="str">
        <f>IF(ISBLANK(Games!A771), "", Games!A771)</f>
      </c>
      <c r="B771" s="65" t="str">
        <f>IF('Prediction Log'!B772=0, "",'Prediction Log'!B772)</f>
      </c>
      <c r="C771" s="65" t="str">
        <f>IF('Prediction Log'!C772=0, "",'Prediction Log'!C772)</f>
      </c>
      <c r="D771" s="65" t="str">
        <f>IF('Prediction Log'!D772=0, "",'Prediction Log'!D772)</f>
      </c>
      <c r="E771" s="58" t="str">
        <f>IF('Prediction Log'!E772=0, "",'Prediction Log'!E772)</f>
      </c>
      <c r="F771" s="65" t="str">
        <f>IF('Prediction Log'!H772=0, "",'Prediction Log'!H772)</f>
      </c>
      <c r="G771" s="64" t="str">
        <f>IF(ISBLANK(Games!B771), "",'Prediction Log'!$I772)</f>
      </c>
      <c r="H771" s="66" t="n">
        <f>'Prediction Log'!$J772</f>
        <v>0</v>
      </c>
      <c r="I771" s="65" t="str">
        <f>IF(ISBLANK(Games!T771), "",IF(AND(Games!T771="",Games!U771=""),"",IF(ISTEXT(Games!U771), "Side",Games!T771)))</f>
      </c>
      <c r="J771" s="65" t="str">
        <f>IF(ISBLANK(Games!T771), "",IF(Table12[[#This Row],[Bet]]="Spread", Games!X771, ""))</f>
      </c>
      <c r="K771" s="65" t="str">
        <f>IF(ISBLANK(Games!U771), "",IF(ISTEXT(Games!U771), Games!U771, ""))</f>
      </c>
      <c r="L771" s="57" t="str">
        <f>IF(ISBLANK(Games!D771), "", Games!D771)</f>
      </c>
      <c r="M771" s="65"/>
      <c r="N771" s="75" t="str">
        <f>IF(Games!V771="", "",Games!V771)</f>
      </c>
      <c r="O771" s="75" t="str">
        <f>IF(Games!Z771=0, "",Games!Z771)</f>
      </c>
      <c r="P771" s="67"/>
      <c r="Q771" s="67" t="str">
        <f>IF(ISBLANK(Games!W771), "", Games!W771)</f>
      </c>
      <c r="R771" s="67" t="str">
        <f>IF(ISBLANK(Games!AA771), "", Games!AA771)</f>
      </c>
      <c r="S771" s="67"/>
      <c r="T771" s="68" t="str">
        <f t="shared" ref="T771:T800" si="115">IFERROR(N771+IF(Q771&lt;0, (N771/(Q771/-100)), N771*(Q771/100)), "")</f>
      </c>
      <c r="U771" s="68" t="str">
        <f t="shared" ref="U771:U800" si="116">IFERROR(T771-N771, "")</f>
      </c>
      <c r="V771" s="68" t="str">
        <f t="shared" ref="V771:V800" si="117">IFERROR(O771+IF(R771&lt;0, (O771/(R771/-100)), O771*(R771/100)), "")</f>
      </c>
      <c r="W771" s="68" t="str">
        <f t="shared" ref="W771:W800" si="118">IFERROR(V771-O771, "")</f>
      </c>
      <c r="X771" s="68" t="n">
        <f t="shared" si="111"/>
        <v>0</v>
      </c>
      <c r="Y771" s="68" t="n">
        <f t="shared" si="112"/>
        <v>0</v>
      </c>
      <c r="Z771" s="67" t="str">
        <f>IF(OR('Prediction Log'!L772="", Table12[[#This Row],[Bet]]="", Table12[[#This Row],[Bet]]="Spread"), "",IF('Prediction Log'!L772=Table12[[#This Row],[Side]], "W", IF('Prediction Log'!L772&lt;&gt;Table12[[#This Row],[Side]], "L", "")))</f>
      </c>
      <c r="AA771" s="59" t="str">
        <f t="shared" si="113"/>
      </c>
      <c r="AB771" s="67" t="str">
        <f>IF(OR(Table12[[#This Row],[Bet]]="Side",Table12[[#This Row],[Bet]]="", 'Prediction Log'!L772=""), "",IF('Prediction Log'!U772="Y", "W", IF('Prediction Log'!U772="N", "L", "")))</f>
      </c>
      <c r="AC771" s="59" t="str">
        <f t="shared" si="114"/>
      </c>
      <c r="AD771" s="67"/>
      <c r="AE771" s="65" t="str">
        <f t="shared" ref="AE771:AE800" si="119">IF(AD771="W", Y771, IF(AD771="L",-R771, ""))</f>
      </c>
      <c r="AF77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2">
      <c r="A772" s="65" t="str">
        <f>IF(ISBLANK(Games!A772), "", Games!A772)</f>
      </c>
      <c r="B772" s="65" t="str">
        <f>IF('Prediction Log'!B773=0, "",'Prediction Log'!B773)</f>
      </c>
      <c r="C772" s="65" t="str">
        <f>IF('Prediction Log'!C773=0, "",'Prediction Log'!C773)</f>
      </c>
      <c r="D772" s="65" t="str">
        <f>IF('Prediction Log'!D773=0, "",'Prediction Log'!D773)</f>
      </c>
      <c r="E772" s="58" t="str">
        <f>IF('Prediction Log'!E773=0, "",'Prediction Log'!E773)</f>
      </c>
      <c r="F772" s="65" t="str">
        <f>IF('Prediction Log'!H773=0, "",'Prediction Log'!H773)</f>
      </c>
      <c r="G772" s="64" t="str">
        <f>IF(ISBLANK(Games!B772), "",'Prediction Log'!$I773)</f>
      </c>
      <c r="H772" s="66" t="n">
        <f>'Prediction Log'!$J773</f>
        <v>0</v>
      </c>
      <c r="I772" s="65" t="str">
        <f>IF(ISBLANK(Games!T772), "",IF(AND(Games!T772="",Games!U772=""),"",IF(ISTEXT(Games!U772), "Side",Games!T772)))</f>
      </c>
      <c r="J772" s="65" t="str">
        <f>IF(ISBLANK(Games!T772), "",IF(Table12[[#This Row],[Bet]]="Spread", Games!X772, ""))</f>
      </c>
      <c r="K772" s="65" t="str">
        <f>IF(ISBLANK(Games!U772), "",IF(ISTEXT(Games!U772), Games!U772, ""))</f>
      </c>
      <c r="L772" s="57" t="str">
        <f>IF(ISBLANK(Games!D772), "", Games!D772)</f>
      </c>
      <c r="M772" s="65"/>
      <c r="N772" s="75" t="str">
        <f>IF(Games!V772="", "",Games!V772)</f>
      </c>
      <c r="O772" s="75" t="str">
        <f>IF(Games!Z772=0, "",Games!Z772)</f>
      </c>
      <c r="P772" s="67"/>
      <c r="Q772" s="67" t="str">
        <f>IF(ISBLANK(Games!W772), "", Games!W772)</f>
      </c>
      <c r="R772" s="67" t="str">
        <f>IF(ISBLANK(Games!AA772), "", Games!AA772)</f>
      </c>
      <c r="S772" s="67"/>
      <c r="T772" s="68" t="str">
        <f t="shared" si="115"/>
      </c>
      <c r="U772" s="68" t="str">
        <f t="shared" si="116"/>
      </c>
      <c r="V772" s="68" t="str">
        <f t="shared" si="117"/>
      </c>
      <c r="W772" s="68" t="str">
        <f t="shared" si="118"/>
      </c>
      <c r="X772" s="68" t="n">
        <f t="shared" si="111"/>
        <v>0</v>
      </c>
      <c r="Y772" s="68" t="n">
        <f t="shared" si="112"/>
        <v>0</v>
      </c>
      <c r="Z772" s="67" t="str">
        <f>IF(OR('Prediction Log'!L773="", Table12[[#This Row],[Bet]]="", Table12[[#This Row],[Bet]]="Spread"), "",IF('Prediction Log'!L773=Table12[[#This Row],[Side]], "W", IF('Prediction Log'!L773&lt;&gt;Table12[[#This Row],[Side]], "L", "")))</f>
      </c>
      <c r="AA772" s="59" t="str">
        <f t="shared" si="113"/>
      </c>
      <c r="AB772" s="67" t="str">
        <f>IF(OR(Table12[[#This Row],[Bet]]="Side",Table12[[#This Row],[Bet]]="", 'Prediction Log'!L773=""), "",IF('Prediction Log'!U773="Y", "W", IF('Prediction Log'!U773="N", "L", "")))</f>
      </c>
      <c r="AC772" s="59" t="str">
        <f t="shared" si="114"/>
      </c>
      <c r="AD772" s="67"/>
      <c r="AE772" s="65" t="str">
        <f t="shared" si="119"/>
      </c>
      <c r="AF77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3">
      <c r="A773" s="65" t="str">
        <f>IF(ISBLANK(Games!A773), "", Games!A773)</f>
      </c>
      <c r="B773" s="65" t="str">
        <f>IF('Prediction Log'!B774=0, "",'Prediction Log'!B774)</f>
      </c>
      <c r="C773" s="65" t="str">
        <f>IF('Prediction Log'!C774=0, "",'Prediction Log'!C774)</f>
      </c>
      <c r="D773" s="65" t="str">
        <f>IF('Prediction Log'!D774=0, "",'Prediction Log'!D774)</f>
      </c>
      <c r="E773" s="58" t="str">
        <f>IF('Prediction Log'!E774=0, "",'Prediction Log'!E774)</f>
      </c>
      <c r="F773" s="65" t="str">
        <f>IF('Prediction Log'!H774=0, "",'Prediction Log'!H774)</f>
      </c>
      <c r="G773" s="64" t="str">
        <f>IF(ISBLANK(Games!B773), "",'Prediction Log'!$I774)</f>
      </c>
      <c r="H773" s="66" t="n">
        <f>'Prediction Log'!$J774</f>
        <v>0</v>
      </c>
      <c r="I773" s="65" t="str">
        <f>IF(ISBLANK(Games!T773), "",IF(AND(Games!T773="",Games!U773=""),"",IF(ISTEXT(Games!U773), "Side",Games!T773)))</f>
      </c>
      <c r="J773" s="65" t="str">
        <f>IF(ISBLANK(Games!T773), "",IF(Table12[[#This Row],[Bet]]="Spread", Games!X773, ""))</f>
      </c>
      <c r="K773" s="65" t="str">
        <f>IF(ISBLANK(Games!U773), "",IF(ISTEXT(Games!U773), Games!U773, ""))</f>
      </c>
      <c r="L773" s="57" t="str">
        <f>IF(ISBLANK(Games!D773), "", Games!D773)</f>
      </c>
      <c r="M773" s="65"/>
      <c r="N773" s="75" t="str">
        <f>IF(Games!V773="", "",Games!V773)</f>
      </c>
      <c r="O773" s="75" t="str">
        <f>IF(Games!Z773=0, "",Games!Z773)</f>
      </c>
      <c r="P773" s="67"/>
      <c r="Q773" s="67" t="str">
        <f>IF(ISBLANK(Games!W773), "", Games!W773)</f>
      </c>
      <c r="R773" s="67" t="str">
        <f>IF(ISBLANK(Games!AA773), "", Games!AA773)</f>
      </c>
      <c r="S773" s="67"/>
      <c r="T773" s="68" t="str">
        <f t="shared" si="115"/>
      </c>
      <c r="U773" s="68" t="str">
        <f t="shared" si="116"/>
      </c>
      <c r="V773" s="68" t="str">
        <f t="shared" si="117"/>
      </c>
      <c r="W773" s="68" t="str">
        <f t="shared" si="118"/>
      </c>
      <c r="X773" s="68" t="n">
        <f t="shared" si="111"/>
        <v>0</v>
      </c>
      <c r="Y773" s="68" t="n">
        <f t="shared" si="112"/>
        <v>0</v>
      </c>
      <c r="Z773" s="67" t="str">
        <f>IF(OR('Prediction Log'!L774="", Table12[[#This Row],[Bet]]="", Table12[[#This Row],[Bet]]="Spread"), "",IF('Prediction Log'!L774=Table12[[#This Row],[Side]], "W", IF('Prediction Log'!L774&lt;&gt;Table12[[#This Row],[Side]], "L", "")))</f>
      </c>
      <c r="AA773" s="59" t="str">
        <f t="shared" si="113"/>
      </c>
      <c r="AB773" s="67" t="str">
        <f>IF(OR(Table12[[#This Row],[Bet]]="Side",Table12[[#This Row],[Bet]]="", 'Prediction Log'!L774=""), "",IF('Prediction Log'!U774="Y", "W", IF('Prediction Log'!U774="N", "L", "")))</f>
      </c>
      <c r="AC773" s="59" t="str">
        <f t="shared" si="114"/>
      </c>
      <c r="AD773" s="67"/>
      <c r="AE773" s="65" t="str">
        <f t="shared" si="119"/>
      </c>
      <c r="AF77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4">
      <c r="A774" s="65" t="str">
        <f>IF(ISBLANK(Games!A774), "", Games!A774)</f>
      </c>
      <c r="B774" s="65" t="str">
        <f>IF('Prediction Log'!B775=0, "",'Prediction Log'!B775)</f>
      </c>
      <c r="C774" s="65" t="str">
        <f>IF('Prediction Log'!C775=0, "",'Prediction Log'!C775)</f>
      </c>
      <c r="D774" s="65" t="str">
        <f>IF('Prediction Log'!D775=0, "",'Prediction Log'!D775)</f>
      </c>
      <c r="E774" s="58" t="str">
        <f>IF('Prediction Log'!E775=0, "",'Prediction Log'!E775)</f>
      </c>
      <c r="F774" s="65" t="str">
        <f>IF('Prediction Log'!H775=0, "",'Prediction Log'!H775)</f>
      </c>
      <c r="G774" s="64" t="str">
        <f>IF(ISBLANK(Games!B774), "",'Prediction Log'!$I775)</f>
      </c>
      <c r="H774" s="66" t="n">
        <f>'Prediction Log'!$J775</f>
        <v>0</v>
      </c>
      <c r="I774" s="65" t="str">
        <f>IF(ISBLANK(Games!T774), "",IF(AND(Games!T774="",Games!U774=""),"",IF(ISTEXT(Games!U774), "Side",Games!T774)))</f>
      </c>
      <c r="J774" s="65" t="str">
        <f>IF(ISBLANK(Games!T774), "",IF(Table12[[#This Row],[Bet]]="Spread", Games!X774, ""))</f>
      </c>
      <c r="K774" s="65" t="str">
        <f>IF(ISBLANK(Games!U774), "",IF(ISTEXT(Games!U774), Games!U774, ""))</f>
      </c>
      <c r="L774" s="57" t="str">
        <f>IF(ISBLANK(Games!D774), "", Games!D774)</f>
      </c>
      <c r="M774" s="65"/>
      <c r="N774" s="75" t="str">
        <f>IF(Games!V774="", "",Games!V774)</f>
      </c>
      <c r="O774" s="75" t="str">
        <f>IF(Games!Z774=0, "",Games!Z774)</f>
      </c>
      <c r="P774" s="67"/>
      <c r="Q774" s="67" t="str">
        <f>IF(ISBLANK(Games!W774), "", Games!W774)</f>
      </c>
      <c r="R774" s="67" t="str">
        <f>IF(ISBLANK(Games!AA774), "", Games!AA774)</f>
      </c>
      <c r="S774" s="67"/>
      <c r="T774" s="68" t="str">
        <f t="shared" si="115"/>
      </c>
      <c r="U774" s="68" t="str">
        <f t="shared" si="116"/>
      </c>
      <c r="V774" s="68" t="str">
        <f t="shared" si="117"/>
      </c>
      <c r="W774" s="68" t="str">
        <f t="shared" si="118"/>
      </c>
      <c r="X774" s="68" t="n">
        <f t="shared" si="111"/>
        <v>0</v>
      </c>
      <c r="Y774" s="68" t="n">
        <f t="shared" si="112"/>
        <v>0</v>
      </c>
      <c r="Z774" s="67" t="str">
        <f>IF(OR('Prediction Log'!L775="", Table12[[#This Row],[Bet]]="", Table12[[#This Row],[Bet]]="Spread"), "",IF('Prediction Log'!L775=Table12[[#This Row],[Side]], "W", IF('Prediction Log'!L775&lt;&gt;Table12[[#This Row],[Side]], "L", "")))</f>
      </c>
      <c r="AA774" s="59" t="str">
        <f t="shared" si="113"/>
      </c>
      <c r="AB774" s="67" t="str">
        <f>IF(OR(Table12[[#This Row],[Bet]]="Side",Table12[[#This Row],[Bet]]="", 'Prediction Log'!L775=""), "",IF('Prediction Log'!U775="Y", "W", IF('Prediction Log'!U775="N", "L", "")))</f>
      </c>
      <c r="AC774" s="59" t="str">
        <f t="shared" si="114"/>
      </c>
      <c r="AD774" s="67"/>
      <c r="AE774" s="65" t="str">
        <f t="shared" si="119"/>
      </c>
      <c r="AF77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5">
      <c r="A775" s="65" t="str">
        <f>IF(ISBLANK(Games!A775), "", Games!A775)</f>
      </c>
      <c r="B775" s="65" t="str">
        <f>IF('Prediction Log'!B776=0, "",'Prediction Log'!B776)</f>
      </c>
      <c r="C775" s="65" t="str">
        <f>IF('Prediction Log'!C776=0, "",'Prediction Log'!C776)</f>
      </c>
      <c r="D775" s="65" t="str">
        <f>IF('Prediction Log'!D776=0, "",'Prediction Log'!D776)</f>
      </c>
      <c r="E775" s="58" t="str">
        <f>IF('Prediction Log'!E776=0, "",'Prediction Log'!E776)</f>
      </c>
      <c r="F775" s="65" t="str">
        <f>IF('Prediction Log'!H776=0, "",'Prediction Log'!H776)</f>
      </c>
      <c r="G775" s="64" t="str">
        <f>IF(ISBLANK(Games!B775), "",'Prediction Log'!$I776)</f>
      </c>
      <c r="H775" s="66" t="n">
        <f>'Prediction Log'!$J776</f>
        <v>0</v>
      </c>
      <c r="I775" s="65" t="str">
        <f>IF(ISBLANK(Games!T775), "",IF(AND(Games!T775="",Games!U775=""),"",IF(ISTEXT(Games!U775), "Side",Games!T775)))</f>
      </c>
      <c r="J775" s="65" t="str">
        <f>IF(ISBLANK(Games!T775), "",IF(Table12[[#This Row],[Bet]]="Spread", Games!X775, ""))</f>
      </c>
      <c r="K775" s="65" t="str">
        <f>IF(ISBLANK(Games!U775), "",IF(ISTEXT(Games!U775), Games!U775, ""))</f>
      </c>
      <c r="L775" s="57" t="str">
        <f>IF(ISBLANK(Games!D775), "", Games!D775)</f>
      </c>
      <c r="M775" s="65"/>
      <c r="N775" s="75" t="str">
        <f>IF(Games!V775="", "",Games!V775)</f>
      </c>
      <c r="O775" s="75" t="str">
        <f>IF(Games!Z775=0, "",Games!Z775)</f>
      </c>
      <c r="P775" s="67"/>
      <c r="Q775" s="67" t="str">
        <f>IF(ISBLANK(Games!W775), "", Games!W775)</f>
      </c>
      <c r="R775" s="67" t="str">
        <f>IF(ISBLANK(Games!AA775), "", Games!AA775)</f>
      </c>
      <c r="S775" s="67"/>
      <c r="T775" s="68" t="str">
        <f t="shared" si="115"/>
      </c>
      <c r="U775" s="68" t="str">
        <f t="shared" si="116"/>
      </c>
      <c r="V775" s="68" t="str">
        <f t="shared" si="117"/>
      </c>
      <c r="W775" s="68" t="str">
        <f t="shared" si="118"/>
      </c>
      <c r="X775" s="68" t="n">
        <f t="shared" si="111"/>
        <v>0</v>
      </c>
      <c r="Y775" s="68" t="n">
        <f t="shared" si="112"/>
        <v>0</v>
      </c>
      <c r="Z775" s="67" t="str">
        <f>IF(OR('Prediction Log'!L776="", Table12[[#This Row],[Bet]]="", Table12[[#This Row],[Bet]]="Spread"), "",IF('Prediction Log'!L776=Table12[[#This Row],[Side]], "W", IF('Prediction Log'!L776&lt;&gt;Table12[[#This Row],[Side]], "L", "")))</f>
      </c>
      <c r="AA775" s="59" t="str">
        <f t="shared" si="113"/>
      </c>
      <c r="AB775" s="67" t="str">
        <f>IF(OR(Table12[[#This Row],[Bet]]="Side",Table12[[#This Row],[Bet]]="", 'Prediction Log'!L776=""), "",IF('Prediction Log'!U776="Y", "W", IF('Prediction Log'!U776="N", "L", "")))</f>
      </c>
      <c r="AC775" s="59" t="str">
        <f t="shared" si="114"/>
      </c>
      <c r="AD775" s="67"/>
      <c r="AE775" s="65" t="str">
        <f t="shared" si="119"/>
      </c>
      <c r="AF77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6">
      <c r="A776" s="65" t="str">
        <f>IF(ISBLANK(Games!A776), "", Games!A776)</f>
      </c>
      <c r="B776" s="65" t="str">
        <f>IF('Prediction Log'!B777=0, "",'Prediction Log'!B777)</f>
      </c>
      <c r="C776" s="65" t="str">
        <f>IF('Prediction Log'!C777=0, "",'Prediction Log'!C777)</f>
      </c>
      <c r="D776" s="65" t="str">
        <f>IF('Prediction Log'!D777=0, "",'Prediction Log'!D777)</f>
      </c>
      <c r="E776" s="58" t="str">
        <f>IF('Prediction Log'!E777=0, "",'Prediction Log'!E777)</f>
      </c>
      <c r="F776" s="65" t="str">
        <f>IF('Prediction Log'!H777=0, "",'Prediction Log'!H777)</f>
      </c>
      <c r="G776" s="64" t="str">
        <f>IF(ISBLANK(Games!B776), "",'Prediction Log'!$I777)</f>
      </c>
      <c r="H776" s="66" t="n">
        <f>'Prediction Log'!$J777</f>
        <v>0</v>
      </c>
      <c r="I776" s="65" t="str">
        <f>IF(ISBLANK(Games!T776), "",IF(AND(Games!T776="",Games!U776=""),"",IF(ISTEXT(Games!U776), "Side",Games!T776)))</f>
      </c>
      <c r="J776" s="65" t="str">
        <f>IF(ISBLANK(Games!T776), "",IF(Table12[[#This Row],[Bet]]="Spread", Games!X776, ""))</f>
      </c>
      <c r="K776" s="65" t="str">
        <f>IF(ISBLANK(Games!U776), "",IF(ISTEXT(Games!U776), Games!U776, ""))</f>
      </c>
      <c r="L776" s="57" t="str">
        <f>IF(ISBLANK(Games!D776), "", Games!D776)</f>
      </c>
      <c r="M776" s="65"/>
      <c r="N776" s="75" t="str">
        <f>IF(Games!V776="", "",Games!V776)</f>
      </c>
      <c r="O776" s="75" t="str">
        <f>IF(Games!Z776=0, "",Games!Z776)</f>
      </c>
      <c r="P776" s="67"/>
      <c r="Q776" s="67" t="str">
        <f>IF(ISBLANK(Games!W776), "", Games!W776)</f>
      </c>
      <c r="R776" s="67" t="str">
        <f>IF(ISBLANK(Games!AA776), "", Games!AA776)</f>
      </c>
      <c r="S776" s="67"/>
      <c r="T776" s="68" t="str">
        <f t="shared" si="115"/>
      </c>
      <c r="U776" s="68" t="str">
        <f t="shared" si="116"/>
      </c>
      <c r="V776" s="68" t="str">
        <f t="shared" si="117"/>
      </c>
      <c r="W776" s="68" t="str">
        <f t="shared" si="118"/>
      </c>
      <c r="X776" s="68" t="n">
        <f t="shared" si="111"/>
        <v>0</v>
      </c>
      <c r="Y776" s="68" t="n">
        <f t="shared" si="112"/>
        <v>0</v>
      </c>
      <c r="Z776" s="67" t="str">
        <f>IF(OR('Prediction Log'!L777="", Table12[[#This Row],[Bet]]="", Table12[[#This Row],[Bet]]="Spread"), "",IF('Prediction Log'!L777=Table12[[#This Row],[Side]], "W", IF('Prediction Log'!L777&lt;&gt;Table12[[#This Row],[Side]], "L", "")))</f>
      </c>
      <c r="AA776" s="59" t="str">
        <f t="shared" si="113"/>
      </c>
      <c r="AB776" s="67" t="str">
        <f>IF(OR(Table12[[#This Row],[Bet]]="Side",Table12[[#This Row],[Bet]]="", 'Prediction Log'!L777=""), "",IF('Prediction Log'!U777="Y", "W", IF('Prediction Log'!U777="N", "L", "")))</f>
      </c>
      <c r="AC776" s="59" t="str">
        <f t="shared" si="114"/>
      </c>
      <c r="AD776" s="67"/>
      <c r="AE776" s="65" t="str">
        <f t="shared" si="119"/>
      </c>
      <c r="AF77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7">
      <c r="A777" s="65" t="str">
        <f>IF(ISBLANK(Games!A777), "", Games!A777)</f>
      </c>
      <c r="B777" s="65" t="str">
        <f>IF('Prediction Log'!B778=0, "",'Prediction Log'!B778)</f>
      </c>
      <c r="C777" s="65" t="str">
        <f>IF('Prediction Log'!C778=0, "",'Prediction Log'!C778)</f>
      </c>
      <c r="D777" s="65" t="str">
        <f>IF('Prediction Log'!D778=0, "",'Prediction Log'!D778)</f>
      </c>
      <c r="E777" s="58" t="str">
        <f>IF('Prediction Log'!E778=0, "",'Prediction Log'!E778)</f>
      </c>
      <c r="F777" s="65" t="str">
        <f>IF('Prediction Log'!H778=0, "",'Prediction Log'!H778)</f>
      </c>
      <c r="G777" s="64" t="str">
        <f>IF(ISBLANK(Games!B777), "",'Prediction Log'!$I778)</f>
      </c>
      <c r="H777" s="66" t="n">
        <f>'Prediction Log'!$J778</f>
        <v>0</v>
      </c>
      <c r="I777" s="65" t="str">
        <f>IF(ISBLANK(Games!T777), "",IF(AND(Games!T777="",Games!U777=""),"",IF(ISTEXT(Games!U777), "Side",Games!T777)))</f>
      </c>
      <c r="J777" s="65" t="str">
        <f>IF(ISBLANK(Games!T777), "",IF(Table12[[#This Row],[Bet]]="Spread", Games!X777, ""))</f>
      </c>
      <c r="K777" s="65" t="str">
        <f>IF(ISBLANK(Games!U777), "",IF(ISTEXT(Games!U777), Games!U777, ""))</f>
      </c>
      <c r="L777" s="57" t="str">
        <f>IF(ISBLANK(Games!D777), "", Games!D777)</f>
      </c>
      <c r="M777" s="65"/>
      <c r="N777" s="75" t="str">
        <f>IF(Games!V777="", "",Games!V777)</f>
      </c>
      <c r="O777" s="75" t="str">
        <f>IF(Games!Z777=0, "",Games!Z777)</f>
      </c>
      <c r="P777" s="67"/>
      <c r="Q777" s="67" t="str">
        <f>IF(ISBLANK(Games!W777), "", Games!W777)</f>
      </c>
      <c r="R777" s="67" t="str">
        <f>IF(ISBLANK(Games!AA777), "", Games!AA777)</f>
      </c>
      <c r="S777" s="67"/>
      <c r="T777" s="68" t="str">
        <f t="shared" si="115"/>
      </c>
      <c r="U777" s="68" t="str">
        <f t="shared" si="116"/>
      </c>
      <c r="V777" s="68" t="str">
        <f t="shared" si="117"/>
      </c>
      <c r="W777" s="68" t="str">
        <f t="shared" si="118"/>
      </c>
      <c r="X777" s="68" t="n">
        <f t="shared" si="111"/>
        <v>0</v>
      </c>
      <c r="Y777" s="68" t="n">
        <f t="shared" si="112"/>
        <v>0</v>
      </c>
      <c r="Z777" s="67" t="str">
        <f>IF(OR('Prediction Log'!L778="", Table12[[#This Row],[Bet]]="", Table12[[#This Row],[Bet]]="Spread"), "",IF('Prediction Log'!L778=Table12[[#This Row],[Side]], "W", IF('Prediction Log'!L778&lt;&gt;Table12[[#This Row],[Side]], "L", "")))</f>
      </c>
      <c r="AA777" s="59" t="str">
        <f t="shared" si="113"/>
      </c>
      <c r="AB777" s="67" t="str">
        <f>IF(OR(Table12[[#This Row],[Bet]]="Side",Table12[[#This Row],[Bet]]="", 'Prediction Log'!L778=""), "",IF('Prediction Log'!U778="Y", "W", IF('Prediction Log'!U778="N", "L", "")))</f>
      </c>
      <c r="AC777" s="59" t="str">
        <f t="shared" si="114"/>
      </c>
      <c r="AD777" s="67"/>
      <c r="AE777" s="65" t="str">
        <f t="shared" si="119"/>
      </c>
      <c r="AF77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8">
      <c r="A778" s="65" t="str">
        <f>IF(ISBLANK(Games!A778), "", Games!A778)</f>
      </c>
      <c r="B778" s="65" t="str">
        <f>IF('Prediction Log'!B779=0, "",'Prediction Log'!B779)</f>
      </c>
      <c r="C778" s="65" t="str">
        <f>IF('Prediction Log'!C779=0, "",'Prediction Log'!C779)</f>
      </c>
      <c r="D778" s="65" t="str">
        <f>IF('Prediction Log'!D779=0, "",'Prediction Log'!D779)</f>
      </c>
      <c r="E778" s="58" t="str">
        <f>IF('Prediction Log'!E779=0, "",'Prediction Log'!E779)</f>
      </c>
      <c r="F778" s="65" t="str">
        <f>IF('Prediction Log'!H779=0, "",'Prediction Log'!H779)</f>
      </c>
      <c r="G778" s="64" t="str">
        <f>IF(ISBLANK(Games!B778), "",'Prediction Log'!$I779)</f>
      </c>
      <c r="H778" s="66" t="n">
        <f>'Prediction Log'!$J779</f>
        <v>0</v>
      </c>
      <c r="I778" s="65" t="str">
        <f>IF(ISBLANK(Games!T778), "",IF(AND(Games!T778="",Games!U778=""),"",IF(ISTEXT(Games!U778), "Side",Games!T778)))</f>
      </c>
      <c r="J778" s="65" t="str">
        <f>IF(ISBLANK(Games!T778), "",IF(Table12[[#This Row],[Bet]]="Spread", Games!X778, ""))</f>
      </c>
      <c r="K778" s="65" t="str">
        <f>IF(ISBLANK(Games!U778), "",IF(ISTEXT(Games!U778), Games!U778, ""))</f>
      </c>
      <c r="L778" s="57" t="str">
        <f>IF(ISBLANK(Games!D778), "", Games!D778)</f>
      </c>
      <c r="M778" s="65"/>
      <c r="N778" s="75" t="str">
        <f>IF(Games!V778="", "",Games!V778)</f>
      </c>
      <c r="O778" s="75" t="str">
        <f>IF(Games!Z778=0, "",Games!Z778)</f>
      </c>
      <c r="P778" s="67"/>
      <c r="Q778" s="67" t="str">
        <f>IF(ISBLANK(Games!W778), "", Games!W778)</f>
      </c>
      <c r="R778" s="67" t="str">
        <f>IF(ISBLANK(Games!AA778), "", Games!AA778)</f>
      </c>
      <c r="S778" s="67"/>
      <c r="T778" s="68" t="str">
        <f t="shared" si="115"/>
      </c>
      <c r="U778" s="68" t="str">
        <f t="shared" si="116"/>
      </c>
      <c r="V778" s="68" t="str">
        <f t="shared" si="117"/>
      </c>
      <c r="W778" s="68" t="str">
        <f t="shared" si="118"/>
      </c>
      <c r="X778" s="68" t="n">
        <f t="shared" si="111"/>
        <v>0</v>
      </c>
      <c r="Y778" s="68" t="n">
        <f t="shared" si="112"/>
        <v>0</v>
      </c>
      <c r="Z778" s="67" t="str">
        <f>IF(OR('Prediction Log'!L779="", Table12[[#This Row],[Bet]]="", Table12[[#This Row],[Bet]]="Spread"), "",IF('Prediction Log'!L779=Table12[[#This Row],[Side]], "W", IF('Prediction Log'!L779&lt;&gt;Table12[[#This Row],[Side]], "L", "")))</f>
      </c>
      <c r="AA778" s="59" t="str">
        <f t="shared" si="113"/>
      </c>
      <c r="AB778" s="67" t="str">
        <f>IF(OR(Table12[[#This Row],[Bet]]="Side",Table12[[#This Row],[Bet]]="", 'Prediction Log'!L779=""), "",IF('Prediction Log'!U779="Y", "W", IF('Prediction Log'!U779="N", "L", "")))</f>
      </c>
      <c r="AC778" s="59" t="str">
        <f t="shared" si="114"/>
      </c>
      <c r="AD778" s="67"/>
      <c r="AE778" s="65" t="str">
        <f t="shared" si="119"/>
      </c>
      <c r="AF77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9">
      <c r="A779" s="65" t="str">
        <f>IF(ISBLANK(Games!A779), "", Games!A779)</f>
      </c>
      <c r="B779" s="65" t="str">
        <f>IF('Prediction Log'!B780=0, "",'Prediction Log'!B780)</f>
      </c>
      <c r="C779" s="65" t="str">
        <f>IF('Prediction Log'!C780=0, "",'Prediction Log'!C780)</f>
      </c>
      <c r="D779" s="65" t="str">
        <f>IF('Prediction Log'!D780=0, "",'Prediction Log'!D780)</f>
      </c>
      <c r="E779" s="58" t="str">
        <f>IF('Prediction Log'!E780=0, "",'Prediction Log'!E780)</f>
      </c>
      <c r="F779" s="65" t="str">
        <f>IF('Prediction Log'!H780=0, "",'Prediction Log'!H780)</f>
      </c>
      <c r="G779" s="64" t="str">
        <f>IF(ISBLANK(Games!B779), "",'Prediction Log'!$I780)</f>
      </c>
      <c r="H779" s="66" t="n">
        <f>'Prediction Log'!$J780</f>
        <v>0</v>
      </c>
      <c r="I779" s="65" t="str">
        <f>IF(ISBLANK(Games!T779), "",IF(AND(Games!T779="",Games!U779=""),"",IF(ISTEXT(Games!U779), "Side",Games!T779)))</f>
      </c>
      <c r="J779" s="65" t="str">
        <f>IF(ISBLANK(Games!T779), "",IF(Table12[[#This Row],[Bet]]="Spread", Games!X779, ""))</f>
      </c>
      <c r="K779" s="65" t="str">
        <f>IF(ISBLANK(Games!U779), "",IF(ISTEXT(Games!U779), Games!U779, ""))</f>
      </c>
      <c r="L779" s="57" t="str">
        <f>IF(ISBLANK(Games!D779), "", Games!D779)</f>
      </c>
      <c r="M779" s="65"/>
      <c r="N779" s="75" t="str">
        <f>IF(Games!V779="", "",Games!V779)</f>
      </c>
      <c r="O779" s="75" t="str">
        <f>IF(Games!Z779=0, "",Games!Z779)</f>
      </c>
      <c r="P779" s="67"/>
      <c r="Q779" s="67" t="str">
        <f>IF(ISBLANK(Games!W779), "", Games!W779)</f>
      </c>
      <c r="R779" s="67" t="str">
        <f>IF(ISBLANK(Games!AA779), "", Games!AA779)</f>
      </c>
      <c r="S779" s="67"/>
      <c r="T779" s="68" t="str">
        <f t="shared" si="115"/>
      </c>
      <c r="U779" s="68" t="str">
        <f t="shared" si="116"/>
      </c>
      <c r="V779" s="68" t="str">
        <f t="shared" si="117"/>
      </c>
      <c r="W779" s="68" t="str">
        <f t="shared" si="118"/>
      </c>
      <c r="X779" s="68" t="n">
        <f t="shared" si="111"/>
        <v>0</v>
      </c>
      <c r="Y779" s="68" t="n">
        <f t="shared" si="112"/>
        <v>0</v>
      </c>
      <c r="Z779" s="67" t="str">
        <f>IF(OR('Prediction Log'!L780="", Table12[[#This Row],[Bet]]="", Table12[[#This Row],[Bet]]="Spread"), "",IF('Prediction Log'!L780=Table12[[#This Row],[Side]], "W", IF('Prediction Log'!L780&lt;&gt;Table12[[#This Row],[Side]], "L", "")))</f>
      </c>
      <c r="AA779" s="59" t="str">
        <f t="shared" si="113"/>
      </c>
      <c r="AB779" s="67" t="str">
        <f>IF(OR(Table12[[#This Row],[Bet]]="Side",Table12[[#This Row],[Bet]]="", 'Prediction Log'!L780=""), "",IF('Prediction Log'!U780="Y", "W", IF('Prediction Log'!U780="N", "L", "")))</f>
      </c>
      <c r="AC779" s="59" t="str">
        <f t="shared" si="114"/>
      </c>
      <c r="AD779" s="67"/>
      <c r="AE779" s="65" t="str">
        <f t="shared" si="119"/>
      </c>
      <c r="AF77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0">
      <c r="A780" s="65" t="str">
        <f>IF(ISBLANK(Games!A780), "", Games!A780)</f>
      </c>
      <c r="B780" s="65" t="str">
        <f>IF('Prediction Log'!B781=0, "",'Prediction Log'!B781)</f>
      </c>
      <c r="C780" s="65" t="str">
        <f>IF('Prediction Log'!C781=0, "",'Prediction Log'!C781)</f>
      </c>
      <c r="D780" s="65" t="str">
        <f>IF('Prediction Log'!D781=0, "",'Prediction Log'!D781)</f>
      </c>
      <c r="E780" s="58" t="str">
        <f>IF('Prediction Log'!E781=0, "",'Prediction Log'!E781)</f>
      </c>
      <c r="F780" s="65" t="str">
        <f>IF('Prediction Log'!H781=0, "",'Prediction Log'!H781)</f>
      </c>
      <c r="G780" s="64" t="str">
        <f>IF(ISBLANK(Games!B780), "",'Prediction Log'!$I781)</f>
      </c>
      <c r="H780" s="66" t="n">
        <f>'Prediction Log'!$J781</f>
        <v>0</v>
      </c>
      <c r="I780" s="65" t="str">
        <f>IF(ISBLANK(Games!T780), "",IF(AND(Games!T780="",Games!U780=""),"",IF(ISTEXT(Games!U780), "Side",Games!T780)))</f>
      </c>
      <c r="J780" s="65" t="str">
        <f>IF(ISBLANK(Games!T780), "",IF(Table12[[#This Row],[Bet]]="Spread", Games!X780, ""))</f>
      </c>
      <c r="K780" s="65" t="str">
        <f>IF(ISBLANK(Games!U780), "",IF(ISTEXT(Games!U780), Games!U780, ""))</f>
      </c>
      <c r="L780" s="57" t="str">
        <f>IF(ISBLANK(Games!D780), "", Games!D780)</f>
      </c>
      <c r="M780" s="65"/>
      <c r="N780" s="75" t="str">
        <f>IF(Games!V780="", "",Games!V780)</f>
      </c>
      <c r="O780" s="75" t="str">
        <f>IF(Games!Z780=0, "",Games!Z780)</f>
      </c>
      <c r="P780" s="67"/>
      <c r="Q780" s="67" t="str">
        <f>IF(ISBLANK(Games!W780), "", Games!W780)</f>
      </c>
      <c r="R780" s="67" t="str">
        <f>IF(ISBLANK(Games!AA780), "", Games!AA780)</f>
      </c>
      <c r="S780" s="67"/>
      <c r="T780" s="68" t="str">
        <f t="shared" si="115"/>
      </c>
      <c r="U780" s="68" t="str">
        <f t="shared" si="116"/>
      </c>
      <c r="V780" s="68" t="str">
        <f t="shared" si="117"/>
      </c>
      <c r="W780" s="68" t="str">
        <f t="shared" si="118"/>
      </c>
      <c r="X780" s="68" t="n">
        <f t="shared" si="111"/>
        <v>0</v>
      </c>
      <c r="Y780" s="68" t="n">
        <f t="shared" si="112"/>
        <v>0</v>
      </c>
      <c r="Z780" s="67" t="str">
        <f>IF(OR('Prediction Log'!L781="", Table12[[#This Row],[Bet]]="", Table12[[#This Row],[Bet]]="Spread"), "",IF('Prediction Log'!L781=Table12[[#This Row],[Side]], "W", IF('Prediction Log'!L781&lt;&gt;Table12[[#This Row],[Side]], "L", "")))</f>
      </c>
      <c r="AA780" s="59" t="str">
        <f t="shared" si="113"/>
      </c>
      <c r="AB780" s="67" t="str">
        <f>IF(OR(Table12[[#This Row],[Bet]]="Side",Table12[[#This Row],[Bet]]="", 'Prediction Log'!L781=""), "",IF('Prediction Log'!U781="Y", "W", IF('Prediction Log'!U781="N", "L", "")))</f>
      </c>
      <c r="AC780" s="59" t="str">
        <f t="shared" si="114"/>
      </c>
      <c r="AD780" s="67"/>
      <c r="AE780" s="65" t="str">
        <f t="shared" si="119"/>
      </c>
      <c r="AF78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1">
      <c r="A781" s="65" t="str">
        <f>IF(ISBLANK(Games!A781), "", Games!A781)</f>
      </c>
      <c r="B781" s="65" t="str">
        <f>IF('Prediction Log'!B782=0, "",'Prediction Log'!B782)</f>
      </c>
      <c r="C781" s="65" t="str">
        <f>IF('Prediction Log'!C782=0, "",'Prediction Log'!C782)</f>
      </c>
      <c r="D781" s="65" t="str">
        <f>IF('Prediction Log'!D782=0, "",'Prediction Log'!D782)</f>
      </c>
      <c r="E781" s="58" t="str">
        <f>IF('Prediction Log'!E782=0, "",'Prediction Log'!E782)</f>
      </c>
      <c r="F781" s="65" t="str">
        <f>IF('Prediction Log'!H782=0, "",'Prediction Log'!H782)</f>
      </c>
      <c r="G781" s="64" t="str">
        <f>IF(ISBLANK(Games!B781), "",'Prediction Log'!$I782)</f>
      </c>
      <c r="H781" s="66" t="n">
        <f>'Prediction Log'!$J782</f>
        <v>0</v>
      </c>
      <c r="I781" s="65" t="str">
        <f>IF(ISBLANK(Games!T781), "",IF(AND(Games!T781="",Games!U781=""),"",IF(ISTEXT(Games!U781), "Side",Games!T781)))</f>
      </c>
      <c r="J781" s="65" t="str">
        <f>IF(ISBLANK(Games!T781), "",IF(Table12[[#This Row],[Bet]]="Spread", Games!X781, ""))</f>
      </c>
      <c r="K781" s="65" t="str">
        <f>IF(ISBLANK(Games!U781), "",IF(ISTEXT(Games!U781), Games!U781, ""))</f>
      </c>
      <c r="L781" s="57" t="str">
        <f>IF(ISBLANK(Games!D781), "", Games!D781)</f>
      </c>
      <c r="M781" s="65"/>
      <c r="N781" s="75" t="str">
        <f>IF(Games!V781="", "",Games!V781)</f>
      </c>
      <c r="O781" s="75" t="str">
        <f>IF(Games!Z781=0, "",Games!Z781)</f>
      </c>
      <c r="P781" s="67"/>
      <c r="Q781" s="67" t="str">
        <f>IF(ISBLANK(Games!W781), "", Games!W781)</f>
      </c>
      <c r="R781" s="67" t="str">
        <f>IF(ISBLANK(Games!AA781), "", Games!AA781)</f>
      </c>
      <c r="S781" s="67"/>
      <c r="T781" s="68" t="str">
        <f t="shared" si="115"/>
      </c>
      <c r="U781" s="68" t="str">
        <f t="shared" si="116"/>
      </c>
      <c r="V781" s="68" t="str">
        <f t="shared" si="117"/>
      </c>
      <c r="W781" s="68" t="str">
        <f t="shared" si="118"/>
      </c>
      <c r="X781" s="68" t="n">
        <f t="shared" si="111"/>
        <v>0</v>
      </c>
      <c r="Y781" s="68" t="n">
        <f t="shared" si="112"/>
        <v>0</v>
      </c>
      <c r="Z781" s="67" t="str">
        <f>IF(OR('Prediction Log'!L782="", Table12[[#This Row],[Bet]]="", Table12[[#This Row],[Bet]]="Spread"), "",IF('Prediction Log'!L782=Table12[[#This Row],[Side]], "W", IF('Prediction Log'!L782&lt;&gt;Table12[[#This Row],[Side]], "L", "")))</f>
      </c>
      <c r="AA781" s="59" t="str">
        <f t="shared" si="113"/>
      </c>
      <c r="AB781" s="67" t="str">
        <f>IF(OR(Table12[[#This Row],[Bet]]="Side",Table12[[#This Row],[Bet]]="", 'Prediction Log'!L782=""), "",IF('Prediction Log'!U782="Y", "W", IF('Prediction Log'!U782="N", "L", "")))</f>
      </c>
      <c r="AC781" s="59" t="str">
        <f t="shared" si="114"/>
      </c>
      <c r="AD781" s="67"/>
      <c r="AE781" s="65" t="str">
        <f t="shared" si="119"/>
      </c>
      <c r="AF78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2">
      <c r="A782" s="65" t="str">
        <f>IF(ISBLANK(Games!A782), "", Games!A782)</f>
      </c>
      <c r="B782" s="65" t="str">
        <f>IF('Prediction Log'!B783=0, "",'Prediction Log'!B783)</f>
      </c>
      <c r="C782" s="65" t="str">
        <f>IF('Prediction Log'!C783=0, "",'Prediction Log'!C783)</f>
      </c>
      <c r="D782" s="65" t="str">
        <f>IF('Prediction Log'!D783=0, "",'Prediction Log'!D783)</f>
      </c>
      <c r="E782" s="58" t="str">
        <f>IF('Prediction Log'!E783=0, "",'Prediction Log'!E783)</f>
      </c>
      <c r="F782" s="65" t="str">
        <f>IF('Prediction Log'!H783=0, "",'Prediction Log'!H783)</f>
      </c>
      <c r="G782" s="64" t="str">
        <f>IF(ISBLANK(Games!B782), "",'Prediction Log'!$I783)</f>
      </c>
      <c r="H782" s="66" t="n">
        <f>'Prediction Log'!$J783</f>
        <v>0</v>
      </c>
      <c r="I782" s="65" t="str">
        <f>IF(ISBLANK(Games!T782), "",IF(AND(Games!T782="",Games!U782=""),"",IF(ISTEXT(Games!U782), "Side",Games!T782)))</f>
      </c>
      <c r="J782" s="65" t="str">
        <f>IF(ISBLANK(Games!T782), "",IF(Table12[[#This Row],[Bet]]="Spread", Games!X782, ""))</f>
      </c>
      <c r="K782" s="65" t="str">
        <f>IF(ISBLANK(Games!U782), "",IF(ISTEXT(Games!U782), Games!U782, ""))</f>
      </c>
      <c r="L782" s="57" t="str">
        <f>IF(ISBLANK(Games!D782), "", Games!D782)</f>
      </c>
      <c r="M782" s="65"/>
      <c r="N782" s="75" t="str">
        <f>IF(Games!V782="", "",Games!V782)</f>
      </c>
      <c r="O782" s="75" t="str">
        <f>IF(Games!Z782=0, "",Games!Z782)</f>
      </c>
      <c r="P782" s="67"/>
      <c r="Q782" s="67" t="str">
        <f>IF(ISBLANK(Games!W782), "", Games!W782)</f>
      </c>
      <c r="R782" s="67" t="str">
        <f>IF(ISBLANK(Games!AA782), "", Games!AA782)</f>
      </c>
      <c r="S782" s="67"/>
      <c r="T782" s="68" t="str">
        <f t="shared" si="115"/>
      </c>
      <c r="U782" s="68" t="str">
        <f t="shared" si="116"/>
      </c>
      <c r="V782" s="68" t="str">
        <f t="shared" si="117"/>
      </c>
      <c r="W782" s="68" t="str">
        <f t="shared" si="118"/>
      </c>
      <c r="X782" s="68" t="n">
        <f t="shared" si="111"/>
        <v>0</v>
      </c>
      <c r="Y782" s="68" t="n">
        <f t="shared" si="112"/>
        <v>0</v>
      </c>
      <c r="Z782" s="67" t="str">
        <f>IF(OR('Prediction Log'!L783="", Table12[[#This Row],[Bet]]="", Table12[[#This Row],[Bet]]="Spread"), "",IF('Prediction Log'!L783=Table12[[#This Row],[Side]], "W", IF('Prediction Log'!L783&lt;&gt;Table12[[#This Row],[Side]], "L", "")))</f>
      </c>
      <c r="AA782" s="59" t="str">
        <f t="shared" si="113"/>
      </c>
      <c r="AB782" s="67" t="str">
        <f>IF(OR(Table12[[#This Row],[Bet]]="Side",Table12[[#This Row],[Bet]]="", 'Prediction Log'!L783=""), "",IF('Prediction Log'!U783="Y", "W", IF('Prediction Log'!U783="N", "L", "")))</f>
      </c>
      <c r="AC782" s="59" t="str">
        <f t="shared" si="114"/>
      </c>
      <c r="AD782" s="67"/>
      <c r="AE782" s="65" t="str">
        <f t="shared" si="119"/>
      </c>
      <c r="AF78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3">
      <c r="A783" s="65" t="str">
        <f>IF(ISBLANK(Games!A783), "", Games!A783)</f>
      </c>
      <c r="B783" s="65" t="str">
        <f>IF('Prediction Log'!B784=0, "",'Prediction Log'!B784)</f>
      </c>
      <c r="C783" s="65" t="str">
        <f>IF('Prediction Log'!C784=0, "",'Prediction Log'!C784)</f>
      </c>
      <c r="D783" s="65" t="str">
        <f>IF('Prediction Log'!D784=0, "",'Prediction Log'!D784)</f>
      </c>
      <c r="E783" s="58" t="str">
        <f>IF('Prediction Log'!E784=0, "",'Prediction Log'!E784)</f>
      </c>
      <c r="F783" s="65" t="str">
        <f>IF('Prediction Log'!H784=0, "",'Prediction Log'!H784)</f>
      </c>
      <c r="G783" s="64" t="str">
        <f>IF(ISBLANK(Games!B783), "",'Prediction Log'!$I784)</f>
      </c>
      <c r="H783" s="66" t="n">
        <f>'Prediction Log'!$J784</f>
        <v>0</v>
      </c>
      <c r="I783" s="65" t="str">
        <f>IF(ISBLANK(Games!T783), "",IF(AND(Games!T783="",Games!U783=""),"",IF(ISTEXT(Games!U783), "Side",Games!T783)))</f>
      </c>
      <c r="J783" s="65" t="str">
        <f>IF(ISBLANK(Games!T783), "",IF(Table12[[#This Row],[Bet]]="Spread", Games!X783, ""))</f>
      </c>
      <c r="K783" s="65" t="str">
        <f>IF(ISBLANK(Games!U783), "",IF(ISTEXT(Games!U783), Games!U783, ""))</f>
      </c>
      <c r="L783" s="57" t="str">
        <f>IF(ISBLANK(Games!D783), "", Games!D783)</f>
      </c>
      <c r="M783" s="65"/>
      <c r="N783" s="75" t="str">
        <f>IF(Games!V783="", "",Games!V783)</f>
      </c>
      <c r="O783" s="75" t="str">
        <f>IF(Games!Z783=0, "",Games!Z783)</f>
      </c>
      <c r="P783" s="67"/>
      <c r="Q783" s="67" t="str">
        <f>IF(ISBLANK(Games!W783), "", Games!W783)</f>
      </c>
      <c r="R783" s="67" t="str">
        <f>IF(ISBLANK(Games!AA783), "", Games!AA783)</f>
      </c>
      <c r="S783" s="67"/>
      <c r="T783" s="68" t="str">
        <f t="shared" si="115"/>
      </c>
      <c r="U783" s="68" t="str">
        <f t="shared" si="116"/>
      </c>
      <c r="V783" s="68" t="str">
        <f t="shared" si="117"/>
      </c>
      <c r="W783" s="68" t="str">
        <f t="shared" si="118"/>
      </c>
      <c r="X783" s="68" t="n">
        <f t="shared" si="111"/>
        <v>0</v>
      </c>
      <c r="Y783" s="68" t="n">
        <f t="shared" si="112"/>
        <v>0</v>
      </c>
      <c r="Z783" s="67" t="str">
        <f>IF(OR('Prediction Log'!L784="", Table12[[#This Row],[Bet]]="", Table12[[#This Row],[Bet]]="Spread"), "",IF('Prediction Log'!L784=Table12[[#This Row],[Side]], "W", IF('Prediction Log'!L784&lt;&gt;Table12[[#This Row],[Side]], "L", "")))</f>
      </c>
      <c r="AA783" s="59" t="str">
        <f t="shared" si="113"/>
      </c>
      <c r="AB783" s="67" t="str">
        <f>IF(OR(Table12[[#This Row],[Bet]]="Side",Table12[[#This Row],[Bet]]="", 'Prediction Log'!L784=""), "",IF('Prediction Log'!U784="Y", "W", IF('Prediction Log'!U784="N", "L", "")))</f>
      </c>
      <c r="AC783" s="59" t="str">
        <f t="shared" si="114"/>
      </c>
      <c r="AD783" s="67"/>
      <c r="AE783" s="65" t="str">
        <f t="shared" si="119"/>
      </c>
      <c r="AF78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4">
      <c r="A784" s="65" t="str">
        <f>IF(ISBLANK(Games!A784), "", Games!A784)</f>
      </c>
      <c r="B784" s="65" t="str">
        <f>IF('Prediction Log'!B785=0, "",'Prediction Log'!B785)</f>
      </c>
      <c r="C784" s="65" t="str">
        <f>IF('Prediction Log'!C785=0, "",'Prediction Log'!C785)</f>
      </c>
      <c r="D784" s="65" t="str">
        <f>IF('Prediction Log'!D785=0, "",'Prediction Log'!D785)</f>
      </c>
      <c r="E784" s="58" t="str">
        <f>IF('Prediction Log'!E785=0, "",'Prediction Log'!E785)</f>
      </c>
      <c r="F784" s="65" t="str">
        <f>IF('Prediction Log'!H785=0, "",'Prediction Log'!H785)</f>
      </c>
      <c r="G784" s="64" t="str">
        <f>IF(ISBLANK(Games!B784), "",'Prediction Log'!$I785)</f>
      </c>
      <c r="H784" s="66" t="n">
        <f>'Prediction Log'!$J785</f>
        <v>0</v>
      </c>
      <c r="I784" s="65" t="str">
        <f>IF(ISBLANK(Games!T784), "",IF(AND(Games!T784="",Games!U784=""),"",IF(ISTEXT(Games!U784), "Side",Games!T784)))</f>
      </c>
      <c r="J784" s="65" t="str">
        <f>IF(ISBLANK(Games!T784), "",IF(Table12[[#This Row],[Bet]]="Spread", Games!X784, ""))</f>
      </c>
      <c r="K784" s="65" t="str">
        <f>IF(ISBLANK(Games!U784), "",IF(ISTEXT(Games!U784), Games!U784, ""))</f>
      </c>
      <c r="L784" s="57" t="str">
        <f>IF(ISBLANK(Games!D784), "", Games!D784)</f>
      </c>
      <c r="M784" s="65"/>
      <c r="N784" s="75" t="str">
        <f>IF(Games!V784="", "",Games!V784)</f>
      </c>
      <c r="O784" s="75" t="str">
        <f>IF(Games!Z784=0, "",Games!Z784)</f>
      </c>
      <c r="P784" s="67"/>
      <c r="Q784" s="67" t="str">
        <f>IF(ISBLANK(Games!W784), "", Games!W784)</f>
      </c>
      <c r="R784" s="67" t="str">
        <f>IF(ISBLANK(Games!AA784), "", Games!AA784)</f>
      </c>
      <c r="S784" s="67"/>
      <c r="T784" s="68" t="str">
        <f t="shared" si="115"/>
      </c>
      <c r="U784" s="68" t="str">
        <f t="shared" si="116"/>
      </c>
      <c r="V784" s="68" t="str">
        <f t="shared" si="117"/>
      </c>
      <c r="W784" s="68" t="str">
        <f t="shared" si="118"/>
      </c>
      <c r="X784" s="68" t="n">
        <f t="shared" si="111"/>
        <v>0</v>
      </c>
      <c r="Y784" s="68" t="n">
        <f t="shared" si="112"/>
        <v>0</v>
      </c>
      <c r="Z784" s="67" t="str">
        <f>IF(OR('Prediction Log'!L785="", Table12[[#This Row],[Bet]]="", Table12[[#This Row],[Bet]]="Spread"), "",IF('Prediction Log'!L785=Table12[[#This Row],[Side]], "W", IF('Prediction Log'!L785&lt;&gt;Table12[[#This Row],[Side]], "L", "")))</f>
      </c>
      <c r="AA784" s="59" t="str">
        <f t="shared" si="113"/>
      </c>
      <c r="AB784" s="67" t="str">
        <f>IF(OR(Table12[[#This Row],[Bet]]="Side",Table12[[#This Row],[Bet]]="", 'Prediction Log'!L785=""), "",IF('Prediction Log'!U785="Y", "W", IF('Prediction Log'!U785="N", "L", "")))</f>
      </c>
      <c r="AC784" s="59" t="str">
        <f t="shared" si="114"/>
      </c>
      <c r="AD784" s="67"/>
      <c r="AE784" s="65" t="str">
        <f t="shared" si="119"/>
      </c>
      <c r="AF78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5">
      <c r="A785" s="65" t="str">
        <f>IF(ISBLANK(Games!A785), "", Games!A785)</f>
      </c>
      <c r="B785" s="65" t="str">
        <f>IF('Prediction Log'!B786=0, "",'Prediction Log'!B786)</f>
      </c>
      <c r="C785" s="65" t="str">
        <f>IF('Prediction Log'!C786=0, "",'Prediction Log'!C786)</f>
      </c>
      <c r="D785" s="65" t="str">
        <f>IF('Prediction Log'!D786=0, "",'Prediction Log'!D786)</f>
      </c>
      <c r="E785" s="58" t="str">
        <f>IF('Prediction Log'!E786=0, "",'Prediction Log'!E786)</f>
      </c>
      <c r="F785" s="65" t="str">
        <f>IF('Prediction Log'!H786=0, "",'Prediction Log'!H786)</f>
      </c>
      <c r="G785" s="64" t="str">
        <f>IF(ISBLANK(Games!B785), "",'Prediction Log'!$I786)</f>
      </c>
      <c r="H785" s="66" t="n">
        <f>'Prediction Log'!$J786</f>
        <v>0</v>
      </c>
      <c r="I785" s="65" t="str">
        <f>IF(ISBLANK(Games!T785), "",IF(AND(Games!T785="",Games!U785=""),"",IF(ISTEXT(Games!U785), "Side",Games!T785)))</f>
      </c>
      <c r="J785" s="65" t="str">
        <f>IF(ISBLANK(Games!T785), "",IF(Table12[[#This Row],[Bet]]="Spread", Games!X785, ""))</f>
      </c>
      <c r="K785" s="65" t="str">
        <f>IF(ISBLANK(Games!U785), "",IF(ISTEXT(Games!U785), Games!U785, ""))</f>
      </c>
      <c r="L785" s="57" t="str">
        <f>IF(ISBLANK(Games!D785), "", Games!D785)</f>
      </c>
      <c r="M785" s="65"/>
      <c r="N785" s="75" t="str">
        <f>IF(Games!V785="", "",Games!V785)</f>
      </c>
      <c r="O785" s="75" t="str">
        <f>IF(Games!Z785=0, "",Games!Z785)</f>
      </c>
      <c r="P785" s="67"/>
      <c r="Q785" s="67" t="str">
        <f>IF(ISBLANK(Games!W785), "", Games!W785)</f>
      </c>
      <c r="R785" s="67" t="str">
        <f>IF(ISBLANK(Games!AA785), "", Games!AA785)</f>
      </c>
      <c r="S785" s="67"/>
      <c r="T785" s="68" t="str">
        <f t="shared" si="115"/>
      </c>
      <c r="U785" s="68" t="str">
        <f t="shared" si="116"/>
      </c>
      <c r="V785" s="68" t="str">
        <f t="shared" si="117"/>
      </c>
      <c r="W785" s="68" t="str">
        <f t="shared" si="118"/>
      </c>
      <c r="X785" s="68" t="n">
        <f t="shared" si="111"/>
        <v>0</v>
      </c>
      <c r="Y785" s="68" t="n">
        <f t="shared" si="112"/>
        <v>0</v>
      </c>
      <c r="Z785" s="67" t="str">
        <f>IF(OR('Prediction Log'!L786="", Table12[[#This Row],[Bet]]="", Table12[[#This Row],[Bet]]="Spread"), "",IF('Prediction Log'!L786=Table12[[#This Row],[Side]], "W", IF('Prediction Log'!L786&lt;&gt;Table12[[#This Row],[Side]], "L", "")))</f>
      </c>
      <c r="AA785" s="59" t="str">
        <f t="shared" si="113"/>
      </c>
      <c r="AB785" s="67" t="str">
        <f>IF(OR(Table12[[#This Row],[Bet]]="Side",Table12[[#This Row],[Bet]]="", 'Prediction Log'!L786=""), "",IF('Prediction Log'!U786="Y", "W", IF('Prediction Log'!U786="N", "L", "")))</f>
      </c>
      <c r="AC785" s="59" t="str">
        <f t="shared" si="114"/>
      </c>
      <c r="AD785" s="67"/>
      <c r="AE785" s="65" t="str">
        <f t="shared" si="119"/>
      </c>
      <c r="AF78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6">
      <c r="A786" s="65" t="str">
        <f>IF(ISBLANK(Games!A786), "", Games!A786)</f>
      </c>
      <c r="B786" s="65" t="str">
        <f>IF('Prediction Log'!B787=0, "",'Prediction Log'!B787)</f>
      </c>
      <c r="C786" s="65" t="str">
        <f>IF('Prediction Log'!C787=0, "",'Prediction Log'!C787)</f>
      </c>
      <c r="D786" s="65" t="str">
        <f>IF('Prediction Log'!D787=0, "",'Prediction Log'!D787)</f>
      </c>
      <c r="E786" s="58" t="str">
        <f>IF('Prediction Log'!E787=0, "",'Prediction Log'!E787)</f>
      </c>
      <c r="F786" s="65" t="str">
        <f>IF('Prediction Log'!H787=0, "",'Prediction Log'!H787)</f>
      </c>
      <c r="G786" s="64" t="str">
        <f>IF(ISBLANK(Games!B786), "",'Prediction Log'!$I787)</f>
      </c>
      <c r="H786" s="66" t="n">
        <f>'Prediction Log'!$J787</f>
        <v>0</v>
      </c>
      <c r="I786" s="65" t="str">
        <f>IF(ISBLANK(Games!T786), "",IF(AND(Games!T786="",Games!U786=""),"",IF(ISTEXT(Games!U786), "Side",Games!T786)))</f>
      </c>
      <c r="J786" s="65" t="str">
        <f>IF(ISBLANK(Games!T786), "",IF(Table12[[#This Row],[Bet]]="Spread", Games!X786, ""))</f>
      </c>
      <c r="K786" s="65" t="str">
        <f>IF(ISBLANK(Games!U786), "",IF(ISTEXT(Games!U786), Games!U786, ""))</f>
      </c>
      <c r="L786" s="57" t="str">
        <f>IF(ISBLANK(Games!D786), "", Games!D786)</f>
      </c>
      <c r="M786" s="65"/>
      <c r="N786" s="75" t="str">
        <f>IF(Games!V786="", "",Games!V786)</f>
      </c>
      <c r="O786" s="75" t="str">
        <f>IF(Games!Z786=0, "",Games!Z786)</f>
      </c>
      <c r="P786" s="67"/>
      <c r="Q786" s="67" t="str">
        <f>IF(ISBLANK(Games!W786), "", Games!W786)</f>
      </c>
      <c r="R786" s="67" t="str">
        <f>IF(ISBLANK(Games!AA786), "", Games!AA786)</f>
      </c>
      <c r="S786" s="67"/>
      <c r="T786" s="68" t="str">
        <f t="shared" si="115"/>
      </c>
      <c r="U786" s="68" t="str">
        <f t="shared" si="116"/>
      </c>
      <c r="V786" s="68" t="str">
        <f t="shared" si="117"/>
      </c>
      <c r="W786" s="68" t="str">
        <f t="shared" si="118"/>
      </c>
      <c r="X786" s="68" t="n">
        <f t="shared" si="111"/>
        <v>0</v>
      </c>
      <c r="Y786" s="68" t="n">
        <f t="shared" si="112"/>
        <v>0</v>
      </c>
      <c r="Z786" s="67" t="str">
        <f>IF(OR('Prediction Log'!L787="", Table12[[#This Row],[Bet]]="", Table12[[#This Row],[Bet]]="Spread"), "",IF('Prediction Log'!L787=Table12[[#This Row],[Side]], "W", IF('Prediction Log'!L787&lt;&gt;Table12[[#This Row],[Side]], "L", "")))</f>
      </c>
      <c r="AA786" s="59" t="str">
        <f t="shared" si="113"/>
      </c>
      <c r="AB786" s="67" t="str">
        <f>IF(OR(Table12[[#This Row],[Bet]]="Side",Table12[[#This Row],[Bet]]="", 'Prediction Log'!L787=""), "",IF('Prediction Log'!U787="Y", "W", IF('Prediction Log'!U787="N", "L", "")))</f>
      </c>
      <c r="AC786" s="59" t="str">
        <f t="shared" si="114"/>
      </c>
      <c r="AD786" s="67"/>
      <c r="AE786" s="65" t="str">
        <f t="shared" si="119"/>
      </c>
      <c r="AF78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7">
      <c r="A787" s="65" t="str">
        <f>IF(ISBLANK(Games!A787), "", Games!A787)</f>
      </c>
      <c r="B787" s="65" t="str">
        <f>IF('Prediction Log'!B788=0, "",'Prediction Log'!B788)</f>
      </c>
      <c r="C787" s="65" t="str">
        <f>IF('Prediction Log'!C788=0, "",'Prediction Log'!C788)</f>
      </c>
      <c r="D787" s="65" t="str">
        <f>IF('Prediction Log'!D788=0, "",'Prediction Log'!D788)</f>
      </c>
      <c r="E787" s="58" t="str">
        <f>IF('Prediction Log'!E788=0, "",'Prediction Log'!E788)</f>
      </c>
      <c r="F787" s="65" t="str">
        <f>IF('Prediction Log'!H788=0, "",'Prediction Log'!H788)</f>
      </c>
      <c r="G787" s="64" t="str">
        <f>IF(ISBLANK(Games!B787), "",'Prediction Log'!$I788)</f>
      </c>
      <c r="H787" s="66" t="n">
        <f>'Prediction Log'!$J788</f>
        <v>0</v>
      </c>
      <c r="I787" s="65" t="str">
        <f>IF(ISBLANK(Games!T787), "",IF(AND(Games!T787="",Games!U787=""),"",IF(ISTEXT(Games!U787), "Side",Games!T787)))</f>
      </c>
      <c r="J787" s="65" t="str">
        <f>IF(ISBLANK(Games!T787), "",IF(Table12[[#This Row],[Bet]]="Spread", Games!X787, ""))</f>
      </c>
      <c r="K787" s="65" t="str">
        <f>IF(ISBLANK(Games!U787), "",IF(ISTEXT(Games!U787), Games!U787, ""))</f>
      </c>
      <c r="L787" s="57" t="str">
        <f>IF(ISBLANK(Games!D787), "", Games!D787)</f>
      </c>
      <c r="M787" s="65"/>
      <c r="N787" s="75" t="str">
        <f>IF(Games!V787="", "",Games!V787)</f>
      </c>
      <c r="O787" s="75" t="str">
        <f>IF(Games!Z787=0, "",Games!Z787)</f>
      </c>
      <c r="P787" s="67"/>
      <c r="Q787" s="67" t="str">
        <f>IF(ISBLANK(Games!W787), "", Games!W787)</f>
      </c>
      <c r="R787" s="67" t="str">
        <f>IF(ISBLANK(Games!AA787), "", Games!AA787)</f>
      </c>
      <c r="S787" s="67"/>
      <c r="T787" s="68" t="str">
        <f t="shared" si="115"/>
      </c>
      <c r="U787" s="68" t="str">
        <f t="shared" si="116"/>
      </c>
      <c r="V787" s="68" t="str">
        <f t="shared" si="117"/>
      </c>
      <c r="W787" s="68" t="str">
        <f t="shared" si="118"/>
      </c>
      <c r="X787" s="68" t="n">
        <f t="shared" si="111"/>
        <v>0</v>
      </c>
      <c r="Y787" s="68" t="n">
        <f t="shared" si="112"/>
        <v>0</v>
      </c>
      <c r="Z787" s="67" t="str">
        <f>IF(OR('Prediction Log'!L788="", Table12[[#This Row],[Bet]]="", Table12[[#This Row],[Bet]]="Spread"), "",IF('Prediction Log'!L788=Table12[[#This Row],[Side]], "W", IF('Prediction Log'!L788&lt;&gt;Table12[[#This Row],[Side]], "L", "")))</f>
      </c>
      <c r="AA787" s="59" t="str">
        <f t="shared" si="113"/>
      </c>
      <c r="AB787" s="67" t="str">
        <f>IF(OR(Table12[[#This Row],[Bet]]="Side",Table12[[#This Row],[Bet]]="", 'Prediction Log'!L788=""), "",IF('Prediction Log'!U788="Y", "W", IF('Prediction Log'!U788="N", "L", "")))</f>
      </c>
      <c r="AC787" s="59" t="str">
        <f t="shared" si="114"/>
      </c>
      <c r="AD787" s="67"/>
      <c r="AE787" s="65" t="str">
        <f t="shared" si="119"/>
      </c>
      <c r="AF78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8">
      <c r="A788" s="65" t="str">
        <f>IF(ISBLANK(Games!A788), "", Games!A788)</f>
      </c>
      <c r="B788" s="65" t="str">
        <f>IF('Prediction Log'!B789=0, "",'Prediction Log'!B789)</f>
      </c>
      <c r="C788" s="65" t="str">
        <f>IF('Prediction Log'!C789=0, "",'Prediction Log'!C789)</f>
      </c>
      <c r="D788" s="65" t="str">
        <f>IF('Prediction Log'!D789=0, "",'Prediction Log'!D789)</f>
      </c>
      <c r="E788" s="58" t="str">
        <f>IF('Prediction Log'!E789=0, "",'Prediction Log'!E789)</f>
      </c>
      <c r="F788" s="65" t="str">
        <f>IF('Prediction Log'!H789=0, "",'Prediction Log'!H789)</f>
      </c>
      <c r="G788" s="64" t="str">
        <f>IF(ISBLANK(Games!B788), "",'Prediction Log'!$I789)</f>
      </c>
      <c r="H788" s="66" t="n">
        <f>'Prediction Log'!$J789</f>
        <v>0</v>
      </c>
      <c r="I788" s="65" t="str">
        <f>IF(ISBLANK(Games!T788), "",IF(AND(Games!T788="",Games!U788=""),"",IF(ISTEXT(Games!U788), "Side",Games!T788)))</f>
      </c>
      <c r="J788" s="65" t="str">
        <f>IF(ISBLANK(Games!T788), "",IF(Table12[[#This Row],[Bet]]="Spread", Games!X788, ""))</f>
      </c>
      <c r="K788" s="65" t="str">
        <f>IF(ISBLANK(Games!U788), "",IF(ISTEXT(Games!U788), Games!U788, ""))</f>
      </c>
      <c r="L788" s="57" t="str">
        <f>IF(ISBLANK(Games!D788), "", Games!D788)</f>
      </c>
      <c r="M788" s="65"/>
      <c r="N788" s="75" t="str">
        <f>IF(Games!V788="", "",Games!V788)</f>
      </c>
      <c r="O788" s="75" t="str">
        <f>IF(Games!Z788=0, "",Games!Z788)</f>
      </c>
      <c r="P788" s="67"/>
      <c r="Q788" s="67" t="str">
        <f>IF(ISBLANK(Games!W788), "", Games!W788)</f>
      </c>
      <c r="R788" s="67" t="str">
        <f>IF(ISBLANK(Games!AA788), "", Games!AA788)</f>
      </c>
      <c r="S788" s="67"/>
      <c r="T788" s="68" t="str">
        <f t="shared" si="115"/>
      </c>
      <c r="U788" s="68" t="str">
        <f t="shared" si="116"/>
      </c>
      <c r="V788" s="68" t="str">
        <f t="shared" si="117"/>
      </c>
      <c r="W788" s="68" t="str">
        <f t="shared" si="118"/>
      </c>
      <c r="X788" s="68" t="n">
        <f t="shared" si="111"/>
        <v>0</v>
      </c>
      <c r="Y788" s="68" t="n">
        <f t="shared" si="112"/>
        <v>0</v>
      </c>
      <c r="Z788" s="67" t="str">
        <f>IF(OR('Prediction Log'!L789="", Table12[[#This Row],[Bet]]="", Table12[[#This Row],[Bet]]="Spread"), "",IF('Prediction Log'!L789=Table12[[#This Row],[Side]], "W", IF('Prediction Log'!L789&lt;&gt;Table12[[#This Row],[Side]], "L", "")))</f>
      </c>
      <c r="AA788" s="59" t="str">
        <f t="shared" si="113"/>
      </c>
      <c r="AB788" s="67" t="str">
        <f>IF(OR(Table12[[#This Row],[Bet]]="Side",Table12[[#This Row],[Bet]]="", 'Prediction Log'!L789=""), "",IF('Prediction Log'!U789="Y", "W", IF('Prediction Log'!U789="N", "L", "")))</f>
      </c>
      <c r="AC788" s="59" t="str">
        <f t="shared" si="114"/>
      </c>
      <c r="AD788" s="67"/>
      <c r="AE788" s="65" t="str">
        <f t="shared" si="119"/>
      </c>
      <c r="AF78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9">
      <c r="A789" s="65" t="str">
        <f>IF(ISBLANK(Games!A789), "", Games!A789)</f>
      </c>
      <c r="B789" s="65" t="str">
        <f>IF('Prediction Log'!B790=0, "",'Prediction Log'!B790)</f>
      </c>
      <c r="C789" s="65" t="str">
        <f>IF('Prediction Log'!C790=0, "",'Prediction Log'!C790)</f>
      </c>
      <c r="D789" s="65" t="str">
        <f>IF('Prediction Log'!D790=0, "",'Prediction Log'!D790)</f>
      </c>
      <c r="E789" s="58" t="str">
        <f>IF('Prediction Log'!E790=0, "",'Prediction Log'!E790)</f>
      </c>
      <c r="F789" s="65" t="str">
        <f>IF('Prediction Log'!H790=0, "",'Prediction Log'!H790)</f>
      </c>
      <c r="G789" s="64" t="str">
        <f>IF(ISBLANK(Games!B789), "",'Prediction Log'!$I790)</f>
      </c>
      <c r="H789" s="66" t="n">
        <f>'Prediction Log'!$J790</f>
        <v>0</v>
      </c>
      <c r="I789" s="65" t="str">
        <f>IF(ISBLANK(Games!T789), "",IF(AND(Games!T789="",Games!U789=""),"",IF(ISTEXT(Games!U789), "Side",Games!T789)))</f>
      </c>
      <c r="J789" s="65" t="str">
        <f>IF(ISBLANK(Games!T789), "",IF(Table12[[#This Row],[Bet]]="Spread", Games!X789, ""))</f>
      </c>
      <c r="K789" s="65" t="str">
        <f>IF(ISBLANK(Games!U789), "",IF(ISTEXT(Games!U789), Games!U789, ""))</f>
      </c>
      <c r="L789" s="57" t="str">
        <f>IF(ISBLANK(Games!D789), "", Games!D789)</f>
      </c>
      <c r="M789" s="65"/>
      <c r="N789" s="75" t="str">
        <f>IF(Games!V789="", "",Games!V789)</f>
      </c>
      <c r="O789" s="75" t="str">
        <f>IF(Games!Z789=0, "",Games!Z789)</f>
      </c>
      <c r="P789" s="67"/>
      <c r="Q789" s="67" t="str">
        <f>IF(ISBLANK(Games!W789), "", Games!W789)</f>
      </c>
      <c r="R789" s="67" t="str">
        <f>IF(ISBLANK(Games!AA789), "", Games!AA789)</f>
      </c>
      <c r="S789" s="67"/>
      <c r="T789" s="68" t="str">
        <f t="shared" si="115"/>
      </c>
      <c r="U789" s="68" t="str">
        <f t="shared" si="116"/>
      </c>
      <c r="V789" s="68" t="str">
        <f t="shared" si="117"/>
      </c>
      <c r="W789" s="68" t="str">
        <f t="shared" si="118"/>
      </c>
      <c r="X789" s="68" t="n">
        <f t="shared" si="111"/>
        <v>0</v>
      </c>
      <c r="Y789" s="68" t="n">
        <f t="shared" si="112"/>
        <v>0</v>
      </c>
      <c r="Z789" s="67" t="str">
        <f>IF(OR('Prediction Log'!L790="", Table12[[#This Row],[Bet]]="", Table12[[#This Row],[Bet]]="Spread"), "",IF('Prediction Log'!L790=Table12[[#This Row],[Side]], "W", IF('Prediction Log'!L790&lt;&gt;Table12[[#This Row],[Side]], "L", "")))</f>
      </c>
      <c r="AA789" s="59" t="str">
        <f t="shared" si="113"/>
      </c>
      <c r="AB789" s="67" t="str">
        <f>IF(OR(Table12[[#This Row],[Bet]]="Side",Table12[[#This Row],[Bet]]="", 'Prediction Log'!L790=""), "",IF('Prediction Log'!U790="Y", "W", IF('Prediction Log'!U790="N", "L", "")))</f>
      </c>
      <c r="AC789" s="59" t="str">
        <f t="shared" si="114"/>
      </c>
      <c r="AD789" s="67"/>
      <c r="AE789" s="65" t="str">
        <f t="shared" si="119"/>
      </c>
      <c r="AF78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0">
      <c r="A790" s="65" t="str">
        <f>IF(ISBLANK(Games!A790), "", Games!A790)</f>
      </c>
      <c r="B790" s="65" t="str">
        <f>IF('Prediction Log'!B791=0, "",'Prediction Log'!B791)</f>
      </c>
      <c r="C790" s="65" t="str">
        <f>IF('Prediction Log'!C791=0, "",'Prediction Log'!C791)</f>
      </c>
      <c r="D790" s="65" t="str">
        <f>IF('Prediction Log'!D791=0, "",'Prediction Log'!D791)</f>
      </c>
      <c r="E790" s="58" t="str">
        <f>IF('Prediction Log'!E791=0, "",'Prediction Log'!E791)</f>
      </c>
      <c r="F790" s="65" t="str">
        <f>IF('Prediction Log'!H791=0, "",'Prediction Log'!H791)</f>
      </c>
      <c r="G790" s="64" t="str">
        <f>IF(ISBLANK(Games!B790), "",'Prediction Log'!$I791)</f>
      </c>
      <c r="H790" s="66" t="n">
        <f>'Prediction Log'!$J791</f>
        <v>0</v>
      </c>
      <c r="I790" s="65" t="str">
        <f>IF(ISBLANK(Games!T790), "",IF(AND(Games!T790="",Games!U790=""),"",IF(ISTEXT(Games!U790), "Side",Games!T790)))</f>
      </c>
      <c r="J790" s="65" t="str">
        <f>IF(ISBLANK(Games!T790), "",IF(Table12[[#This Row],[Bet]]="Spread", Games!X790, ""))</f>
      </c>
      <c r="K790" s="65" t="str">
        <f>IF(ISBLANK(Games!U790), "",IF(ISTEXT(Games!U790), Games!U790, ""))</f>
      </c>
      <c r="L790" s="57" t="str">
        <f>IF(ISBLANK(Games!D790), "", Games!D790)</f>
      </c>
      <c r="M790" s="65"/>
      <c r="N790" s="75" t="str">
        <f>IF(Games!V790="", "",Games!V790)</f>
      </c>
      <c r="O790" s="75" t="str">
        <f>IF(Games!Z790=0, "",Games!Z790)</f>
      </c>
      <c r="P790" s="67"/>
      <c r="Q790" s="67" t="str">
        <f>IF(ISBLANK(Games!W790), "", Games!W790)</f>
      </c>
      <c r="R790" s="67" t="str">
        <f>IF(ISBLANK(Games!AA790), "", Games!AA790)</f>
      </c>
      <c r="S790" s="67"/>
      <c r="T790" s="68" t="str">
        <f t="shared" si="115"/>
      </c>
      <c r="U790" s="68" t="str">
        <f t="shared" si="116"/>
      </c>
      <c r="V790" s="68" t="str">
        <f t="shared" si="117"/>
      </c>
      <c r="W790" s="68" t="str">
        <f t="shared" si="118"/>
      </c>
      <c r="X790" s="68" t="n">
        <f t="shared" si="111"/>
        <v>0</v>
      </c>
      <c r="Y790" s="68" t="n">
        <f t="shared" si="112"/>
        <v>0</v>
      </c>
      <c r="Z790" s="67" t="str">
        <f>IF(OR('Prediction Log'!L791="", Table12[[#This Row],[Bet]]="", Table12[[#This Row],[Bet]]="Spread"), "",IF('Prediction Log'!L791=Table12[[#This Row],[Side]], "W", IF('Prediction Log'!L791&lt;&gt;Table12[[#This Row],[Side]], "L", "")))</f>
      </c>
      <c r="AA790" s="59" t="str">
        <f t="shared" si="113"/>
      </c>
      <c r="AB790" s="67" t="str">
        <f>IF(OR(Table12[[#This Row],[Bet]]="Side",Table12[[#This Row],[Bet]]="", 'Prediction Log'!L791=""), "",IF('Prediction Log'!U791="Y", "W", IF('Prediction Log'!U791="N", "L", "")))</f>
      </c>
      <c r="AC790" s="59" t="str">
        <f t="shared" si="114"/>
      </c>
      <c r="AD790" s="67"/>
      <c r="AE790" s="65" t="str">
        <f t="shared" si="119"/>
      </c>
      <c r="AF79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1">
      <c r="A791" s="65" t="str">
        <f>IF(ISBLANK(Games!A791), "", Games!A791)</f>
      </c>
      <c r="B791" s="65" t="str">
        <f>IF('Prediction Log'!B792=0, "",'Prediction Log'!B792)</f>
      </c>
      <c r="C791" s="65" t="str">
        <f>IF('Prediction Log'!C792=0, "",'Prediction Log'!C792)</f>
      </c>
      <c r="D791" s="65" t="str">
        <f>IF('Prediction Log'!D792=0, "",'Prediction Log'!D792)</f>
      </c>
      <c r="E791" s="58" t="str">
        <f>IF('Prediction Log'!E792=0, "",'Prediction Log'!E792)</f>
      </c>
      <c r="F791" s="65" t="str">
        <f>IF('Prediction Log'!H792=0, "",'Prediction Log'!H792)</f>
      </c>
      <c r="G791" s="64" t="str">
        <f>IF(ISBLANK(Games!B791), "",'Prediction Log'!$I792)</f>
      </c>
      <c r="H791" s="66" t="n">
        <f>'Prediction Log'!$J792</f>
        <v>0</v>
      </c>
      <c r="I791" s="65" t="str">
        <f>IF(ISBLANK(Games!T791), "",IF(AND(Games!T791="",Games!U791=""),"",IF(ISTEXT(Games!U791), "Side",Games!T791)))</f>
      </c>
      <c r="J791" s="65" t="str">
        <f>IF(ISBLANK(Games!T791), "",IF(Table12[[#This Row],[Bet]]="Spread", Games!X791, ""))</f>
      </c>
      <c r="K791" s="65" t="str">
        <f>IF(ISBLANK(Games!U791), "",IF(ISTEXT(Games!U791), Games!U791, ""))</f>
      </c>
      <c r="L791" s="57" t="str">
        <f>IF(ISBLANK(Games!D791), "", Games!D791)</f>
      </c>
      <c r="M791" s="65"/>
      <c r="N791" s="75" t="str">
        <f>IF(Games!V791="", "",Games!V791)</f>
      </c>
      <c r="O791" s="75" t="str">
        <f>IF(Games!Z791=0, "",Games!Z791)</f>
      </c>
      <c r="P791" s="67"/>
      <c r="Q791" s="67" t="str">
        <f>IF(ISBLANK(Games!W791), "", Games!W791)</f>
      </c>
      <c r="R791" s="67" t="str">
        <f>IF(ISBLANK(Games!AA791), "", Games!AA791)</f>
      </c>
      <c r="S791" s="67"/>
      <c r="T791" s="68" t="str">
        <f t="shared" si="115"/>
      </c>
      <c r="U791" s="68" t="str">
        <f t="shared" si="116"/>
      </c>
      <c r="V791" s="68" t="str">
        <f t="shared" si="117"/>
      </c>
      <c r="W791" s="68" t="str">
        <f t="shared" si="118"/>
      </c>
      <c r="X791" s="68" t="n">
        <f t="shared" si="111"/>
        <v>0</v>
      </c>
      <c r="Y791" s="68" t="n">
        <f t="shared" si="112"/>
        <v>0</v>
      </c>
      <c r="Z791" s="67" t="str">
        <f>IF(OR('Prediction Log'!L792="", Table12[[#This Row],[Bet]]="", Table12[[#This Row],[Bet]]="Spread"), "",IF('Prediction Log'!L792=Table12[[#This Row],[Side]], "W", IF('Prediction Log'!L792&lt;&gt;Table12[[#This Row],[Side]], "L", "")))</f>
      </c>
      <c r="AA791" s="59" t="str">
        <f t="shared" si="113"/>
      </c>
      <c r="AB791" s="67" t="str">
        <f>IF(OR(Table12[[#This Row],[Bet]]="Side",Table12[[#This Row],[Bet]]="", 'Prediction Log'!L792=""), "",IF('Prediction Log'!U792="Y", "W", IF('Prediction Log'!U792="N", "L", "")))</f>
      </c>
      <c r="AC791" s="59" t="str">
        <f t="shared" si="114"/>
      </c>
      <c r="AD791" s="67"/>
      <c r="AE791" s="65" t="str">
        <f t="shared" si="119"/>
      </c>
      <c r="AF791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2">
      <c r="A792" s="65" t="str">
        <f>IF(ISBLANK(Games!A792), "", Games!A792)</f>
      </c>
      <c r="B792" s="65" t="str">
        <f>IF('Prediction Log'!B793=0, "",'Prediction Log'!B793)</f>
      </c>
      <c r="C792" s="65" t="str">
        <f>IF('Prediction Log'!C793=0, "",'Prediction Log'!C793)</f>
      </c>
      <c r="D792" s="65" t="str">
        <f>IF('Prediction Log'!D793=0, "",'Prediction Log'!D793)</f>
      </c>
      <c r="E792" s="58" t="str">
        <f>IF('Prediction Log'!E793=0, "",'Prediction Log'!E793)</f>
      </c>
      <c r="F792" s="65" t="str">
        <f>IF('Prediction Log'!H793=0, "",'Prediction Log'!H793)</f>
      </c>
      <c r="G792" s="64" t="str">
        <f>IF(ISBLANK(Games!B792), "",'Prediction Log'!$I793)</f>
      </c>
      <c r="H792" s="66" t="n">
        <f>'Prediction Log'!$J793</f>
        <v>0</v>
      </c>
      <c r="I792" s="65" t="str">
        <f>IF(ISBLANK(Games!T792), "",IF(AND(Games!T792="",Games!U792=""),"",IF(ISTEXT(Games!U792), "Side",Games!T792)))</f>
      </c>
      <c r="J792" s="65" t="str">
        <f>IF(ISBLANK(Games!T792), "",IF(Table12[[#This Row],[Bet]]="Spread", Games!X792, ""))</f>
      </c>
      <c r="K792" s="65" t="str">
        <f>IF(ISBLANK(Games!U792), "",IF(ISTEXT(Games!U792), Games!U792, ""))</f>
      </c>
      <c r="L792" s="57" t="str">
        <f>IF(ISBLANK(Games!D792), "", Games!D792)</f>
      </c>
      <c r="M792" s="65"/>
      <c r="N792" s="75" t="str">
        <f>IF(Games!V792="", "",Games!V792)</f>
      </c>
      <c r="O792" s="75" t="str">
        <f>IF(Games!Z792=0, "",Games!Z792)</f>
      </c>
      <c r="P792" s="67"/>
      <c r="Q792" s="67" t="str">
        <f>IF(ISBLANK(Games!W792), "", Games!W792)</f>
      </c>
      <c r="R792" s="67" t="str">
        <f>IF(ISBLANK(Games!AA792), "", Games!AA792)</f>
      </c>
      <c r="S792" s="67"/>
      <c r="T792" s="68" t="str">
        <f t="shared" si="115"/>
      </c>
      <c r="U792" s="68" t="str">
        <f t="shared" si="116"/>
      </c>
      <c r="V792" s="68" t="str">
        <f t="shared" si="117"/>
      </c>
      <c r="W792" s="68" t="str">
        <f t="shared" si="118"/>
      </c>
      <c r="X792" s="68" t="n">
        <f t="shared" si="111"/>
        <v>0</v>
      </c>
      <c r="Y792" s="68" t="n">
        <f t="shared" si="112"/>
        <v>0</v>
      </c>
      <c r="Z792" s="67" t="str">
        <f>IF(OR('Prediction Log'!L793="", Table12[[#This Row],[Bet]]="", Table12[[#This Row],[Bet]]="Spread"), "",IF('Prediction Log'!L793=Table12[[#This Row],[Side]], "W", IF('Prediction Log'!L793&lt;&gt;Table12[[#This Row],[Side]], "L", "")))</f>
      </c>
      <c r="AA792" s="59" t="str">
        <f t="shared" si="113"/>
      </c>
      <c r="AB792" s="67" t="str">
        <f>IF(OR(Table12[[#This Row],[Bet]]="Side",Table12[[#This Row],[Bet]]="", 'Prediction Log'!L793=""), "",IF('Prediction Log'!U793="Y", "W", IF('Prediction Log'!U793="N", "L", "")))</f>
      </c>
      <c r="AC792" s="59" t="str">
        <f t="shared" si="114"/>
      </c>
      <c r="AD792" s="67"/>
      <c r="AE792" s="65" t="str">
        <f t="shared" si="119"/>
      </c>
      <c r="AF792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3">
      <c r="A793" s="65" t="str">
        <f>IF(ISBLANK(Games!A793), "", Games!A793)</f>
      </c>
      <c r="B793" s="65" t="str">
        <f>IF('Prediction Log'!B794=0, "",'Prediction Log'!B794)</f>
      </c>
      <c r="C793" s="65" t="str">
        <f>IF('Prediction Log'!C794=0, "",'Prediction Log'!C794)</f>
      </c>
      <c r="D793" s="65" t="str">
        <f>IF('Prediction Log'!D794=0, "",'Prediction Log'!D794)</f>
      </c>
      <c r="E793" s="58" t="str">
        <f>IF('Prediction Log'!E794=0, "",'Prediction Log'!E794)</f>
      </c>
      <c r="F793" s="65" t="str">
        <f>IF('Prediction Log'!H794=0, "",'Prediction Log'!H794)</f>
      </c>
      <c r="G793" s="64" t="str">
        <f>IF(ISBLANK(Games!B793), "",'Prediction Log'!$I794)</f>
      </c>
      <c r="H793" s="66" t="n">
        <f>'Prediction Log'!$J794</f>
        <v>0</v>
      </c>
      <c r="I793" s="65" t="str">
        <f>IF(ISBLANK(Games!T793), "",IF(AND(Games!T793="",Games!U793=""),"",IF(ISTEXT(Games!U793), "Side",Games!T793)))</f>
      </c>
      <c r="J793" s="65" t="str">
        <f>IF(ISBLANK(Games!T793), "",IF(Table12[[#This Row],[Bet]]="Spread", Games!X793, ""))</f>
      </c>
      <c r="K793" s="65" t="str">
        <f>IF(ISBLANK(Games!U793), "",IF(ISTEXT(Games!U793), Games!U793, ""))</f>
      </c>
      <c r="L793" s="57" t="str">
        <f>IF(ISBLANK(Games!D793), "", Games!D793)</f>
      </c>
      <c r="M793" s="65"/>
      <c r="N793" s="75" t="str">
        <f>IF(Games!V793="", "",Games!V793)</f>
      </c>
      <c r="O793" s="75" t="str">
        <f>IF(Games!Z793=0, "",Games!Z793)</f>
      </c>
      <c r="P793" s="67"/>
      <c r="Q793" s="67" t="str">
        <f>IF(ISBLANK(Games!W793), "", Games!W793)</f>
      </c>
      <c r="R793" s="67" t="str">
        <f>IF(ISBLANK(Games!AA793), "", Games!AA793)</f>
      </c>
      <c r="S793" s="67"/>
      <c r="T793" s="68" t="str">
        <f t="shared" si="115"/>
      </c>
      <c r="U793" s="68" t="str">
        <f t="shared" si="116"/>
      </c>
      <c r="V793" s="68" t="str">
        <f t="shared" si="117"/>
      </c>
      <c r="W793" s="68" t="str">
        <f t="shared" si="118"/>
      </c>
      <c r="X793" s="68" t="n">
        <f t="shared" si="111"/>
        <v>0</v>
      </c>
      <c r="Y793" s="68" t="n">
        <f t="shared" si="112"/>
        <v>0</v>
      </c>
      <c r="Z793" s="67" t="str">
        <f>IF(OR('Prediction Log'!L794="", Table12[[#This Row],[Bet]]="", Table12[[#This Row],[Bet]]="Spread"), "",IF('Prediction Log'!L794=Table12[[#This Row],[Side]], "W", IF('Prediction Log'!L794&lt;&gt;Table12[[#This Row],[Side]], "L", "")))</f>
      </c>
      <c r="AA793" s="59" t="str">
        <f t="shared" si="113"/>
      </c>
      <c r="AB793" s="67" t="str">
        <f>IF(OR(Table12[[#This Row],[Bet]]="Side",Table12[[#This Row],[Bet]]="", 'Prediction Log'!L794=""), "",IF('Prediction Log'!U794="Y", "W", IF('Prediction Log'!U794="N", "L", "")))</f>
      </c>
      <c r="AC793" s="59" t="str">
        <f t="shared" si="114"/>
      </c>
      <c r="AD793" s="67"/>
      <c r="AE793" s="65" t="str">
        <f t="shared" si="119"/>
      </c>
      <c r="AF793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4">
      <c r="A794" s="65" t="str">
        <f>IF(ISBLANK(Games!A794), "", Games!A794)</f>
      </c>
      <c r="B794" s="65" t="str">
        <f>IF('Prediction Log'!B795=0, "",'Prediction Log'!B795)</f>
      </c>
      <c r="C794" s="65" t="str">
        <f>IF('Prediction Log'!C795=0, "",'Prediction Log'!C795)</f>
      </c>
      <c r="D794" s="65" t="str">
        <f>IF('Prediction Log'!D795=0, "",'Prediction Log'!D795)</f>
      </c>
      <c r="E794" s="58" t="str">
        <f>IF('Prediction Log'!E795=0, "",'Prediction Log'!E795)</f>
      </c>
      <c r="F794" s="65" t="str">
        <f>IF('Prediction Log'!H795=0, "",'Prediction Log'!H795)</f>
      </c>
      <c r="G794" s="64" t="str">
        <f>IF(ISBLANK(Games!B794), "",'Prediction Log'!$I795)</f>
      </c>
      <c r="H794" s="66" t="n">
        <f>'Prediction Log'!$J795</f>
        <v>0</v>
      </c>
      <c r="I794" s="65" t="str">
        <f>IF(ISBLANK(Games!T794), "",IF(AND(Games!T794="",Games!U794=""),"",IF(ISTEXT(Games!U794), "Side",Games!T794)))</f>
      </c>
      <c r="J794" s="65" t="str">
        <f>IF(ISBLANK(Games!T794), "",IF(Table12[[#This Row],[Bet]]="Spread", Games!X794, ""))</f>
      </c>
      <c r="K794" s="65" t="str">
        <f>IF(ISBLANK(Games!U794), "",IF(ISTEXT(Games!U794), Games!U794, ""))</f>
      </c>
      <c r="L794" s="57" t="str">
        <f>IF(ISBLANK(Games!D794), "", Games!D794)</f>
      </c>
      <c r="M794" s="65"/>
      <c r="N794" s="75" t="str">
        <f>IF(Games!V794="", "",Games!V794)</f>
      </c>
      <c r="O794" s="75" t="str">
        <f>IF(Games!Z794=0, "",Games!Z794)</f>
      </c>
      <c r="P794" s="67"/>
      <c r="Q794" s="67" t="str">
        <f>IF(ISBLANK(Games!W794), "", Games!W794)</f>
      </c>
      <c r="R794" s="67" t="str">
        <f>IF(ISBLANK(Games!AA794), "", Games!AA794)</f>
      </c>
      <c r="S794" s="67"/>
      <c r="T794" s="68" t="str">
        <f t="shared" si="115"/>
      </c>
      <c r="U794" s="68" t="str">
        <f t="shared" si="116"/>
      </c>
      <c r="V794" s="68" t="str">
        <f t="shared" si="117"/>
      </c>
      <c r="W794" s="68" t="str">
        <f t="shared" si="118"/>
      </c>
      <c r="X794" s="68" t="n">
        <f t="shared" si="111"/>
        <v>0</v>
      </c>
      <c r="Y794" s="68" t="n">
        <f t="shared" si="112"/>
        <v>0</v>
      </c>
      <c r="Z794" s="67" t="str">
        <f>IF(OR('Prediction Log'!L795="", Table12[[#This Row],[Bet]]="", Table12[[#This Row],[Bet]]="Spread"), "",IF('Prediction Log'!L795=Table12[[#This Row],[Side]], "W", IF('Prediction Log'!L795&lt;&gt;Table12[[#This Row],[Side]], "L", "")))</f>
      </c>
      <c r="AA794" s="59" t="str">
        <f t="shared" si="113"/>
      </c>
      <c r="AB794" s="67" t="str">
        <f>IF(OR(Table12[[#This Row],[Bet]]="Side",Table12[[#This Row],[Bet]]="", 'Prediction Log'!L795=""), "",IF('Prediction Log'!U795="Y", "W", IF('Prediction Log'!U795="N", "L", "")))</f>
      </c>
      <c r="AC794" s="59" t="str">
        <f t="shared" si="114"/>
      </c>
      <c r="AD794" s="67"/>
      <c r="AE794" s="65" t="str">
        <f t="shared" si="119"/>
      </c>
      <c r="AF794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5">
      <c r="A795" s="65" t="str">
        <f>IF(ISBLANK(Games!A795), "", Games!A795)</f>
      </c>
      <c r="B795" s="65" t="str">
        <f>IF('Prediction Log'!B796=0, "",'Prediction Log'!B796)</f>
      </c>
      <c r="C795" s="65" t="str">
        <f>IF('Prediction Log'!C796=0, "",'Prediction Log'!C796)</f>
      </c>
      <c r="D795" s="65" t="str">
        <f>IF('Prediction Log'!D796=0, "",'Prediction Log'!D796)</f>
      </c>
      <c r="E795" s="58" t="str">
        <f>IF('Prediction Log'!E796=0, "",'Prediction Log'!E796)</f>
      </c>
      <c r="F795" s="65" t="str">
        <f>IF('Prediction Log'!H796=0, "",'Prediction Log'!H796)</f>
      </c>
      <c r="G795" s="64" t="str">
        <f>IF(ISBLANK(Games!B795), "",'Prediction Log'!$I796)</f>
      </c>
      <c r="H795" s="66" t="n">
        <f>'Prediction Log'!$J796</f>
        <v>0</v>
      </c>
      <c r="I795" s="65" t="str">
        <f>IF(ISBLANK(Games!T795), "",IF(AND(Games!T795="",Games!U795=""),"",IF(ISTEXT(Games!U795), "Side",Games!T795)))</f>
      </c>
      <c r="J795" s="65" t="str">
        <f>IF(ISBLANK(Games!T795), "",IF(Table12[[#This Row],[Bet]]="Spread", Games!X795, ""))</f>
      </c>
      <c r="K795" s="65" t="str">
        <f>IF(ISBLANK(Games!U795), "",IF(ISTEXT(Games!U795), Games!U795, ""))</f>
      </c>
      <c r="L795" s="57" t="str">
        <f>IF(ISBLANK(Games!D795), "", Games!D795)</f>
      </c>
      <c r="M795" s="65"/>
      <c r="N795" s="75" t="str">
        <f>IF(Games!V795="", "",Games!V795)</f>
      </c>
      <c r="O795" s="75" t="str">
        <f>IF(Games!Z795=0, "",Games!Z795)</f>
      </c>
      <c r="P795" s="67"/>
      <c r="Q795" s="67" t="str">
        <f>IF(ISBLANK(Games!W795), "", Games!W795)</f>
      </c>
      <c r="R795" s="67" t="str">
        <f>IF(ISBLANK(Games!AA795), "", Games!AA795)</f>
      </c>
      <c r="S795" s="67"/>
      <c r="T795" s="68" t="str">
        <f t="shared" si="115"/>
      </c>
      <c r="U795" s="68" t="str">
        <f t="shared" si="116"/>
      </c>
      <c r="V795" s="68" t="str">
        <f t="shared" si="117"/>
      </c>
      <c r="W795" s="68" t="str">
        <f t="shared" si="118"/>
      </c>
      <c r="X795" s="68" t="n">
        <f t="shared" si="111"/>
        <v>0</v>
      </c>
      <c r="Y795" s="68" t="n">
        <f t="shared" si="112"/>
        <v>0</v>
      </c>
      <c r="Z795" s="67" t="str">
        <f>IF(OR('Prediction Log'!L796="", Table12[[#This Row],[Bet]]="", Table12[[#This Row],[Bet]]="Spread"), "",IF('Prediction Log'!L796=Table12[[#This Row],[Side]], "W", IF('Prediction Log'!L796&lt;&gt;Table12[[#This Row],[Side]], "L", "")))</f>
      </c>
      <c r="AA795" s="59" t="str">
        <f t="shared" si="113"/>
      </c>
      <c r="AB795" s="67" t="str">
        <f>IF(OR(Table12[[#This Row],[Bet]]="Side",Table12[[#This Row],[Bet]]="", 'Prediction Log'!L796=""), "",IF('Prediction Log'!U796="Y", "W", IF('Prediction Log'!U796="N", "L", "")))</f>
      </c>
      <c r="AC795" s="59" t="str">
        <f t="shared" si="114"/>
      </c>
      <c r="AD795" s="67"/>
      <c r="AE795" s="65" t="str">
        <f t="shared" si="119"/>
      </c>
      <c r="AF795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6">
      <c r="A796" s="65" t="str">
        <f>IF(ISBLANK(Games!A796), "", Games!A796)</f>
      </c>
      <c r="B796" s="65" t="str">
        <f>IF('Prediction Log'!B797=0, "",'Prediction Log'!B797)</f>
      </c>
      <c r="C796" s="65" t="str">
        <f>IF('Prediction Log'!C797=0, "",'Prediction Log'!C797)</f>
      </c>
      <c r="D796" s="65" t="str">
        <f>IF('Prediction Log'!D797=0, "",'Prediction Log'!D797)</f>
      </c>
      <c r="E796" s="58" t="str">
        <f>IF('Prediction Log'!E797=0, "",'Prediction Log'!E797)</f>
      </c>
      <c r="F796" s="65" t="str">
        <f>IF('Prediction Log'!H797=0, "",'Prediction Log'!H797)</f>
      </c>
      <c r="G796" s="64" t="str">
        <f>IF(ISBLANK(Games!B796), "",'Prediction Log'!$I797)</f>
      </c>
      <c r="H796" s="66" t="n">
        <f>'Prediction Log'!$J797</f>
        <v>0</v>
      </c>
      <c r="I796" s="65" t="str">
        <f>IF(ISBLANK(Games!T796), "",IF(AND(Games!T796="",Games!U796=""),"",IF(ISTEXT(Games!U796), "Side",Games!T796)))</f>
      </c>
      <c r="J796" s="65" t="str">
        <f>IF(ISBLANK(Games!T796), "",IF(Table12[[#This Row],[Bet]]="Spread", Games!X796, ""))</f>
      </c>
      <c r="K796" s="65" t="str">
        <f>IF(ISBLANK(Games!U796), "",IF(ISTEXT(Games!U796), Games!U796, ""))</f>
      </c>
      <c r="L796" s="57" t="str">
        <f>IF(ISBLANK(Games!D796), "", Games!D796)</f>
      </c>
      <c r="M796" s="65"/>
      <c r="N796" s="75" t="str">
        <f>IF(Games!V796="", "",Games!V796)</f>
      </c>
      <c r="O796" s="75" t="str">
        <f>IF(Games!Z796=0, "",Games!Z796)</f>
      </c>
      <c r="P796" s="67"/>
      <c r="Q796" s="67" t="str">
        <f>IF(ISBLANK(Games!W796), "", Games!W796)</f>
      </c>
      <c r="R796" s="67" t="str">
        <f>IF(ISBLANK(Games!AA796), "", Games!AA796)</f>
      </c>
      <c r="S796" s="67"/>
      <c r="T796" s="68" t="str">
        <f t="shared" si="115"/>
      </c>
      <c r="U796" s="68" t="str">
        <f t="shared" si="116"/>
      </c>
      <c r="V796" s="68" t="str">
        <f t="shared" si="117"/>
      </c>
      <c r="W796" s="68" t="str">
        <f t="shared" si="118"/>
      </c>
      <c r="X796" s="68" t="n">
        <f t="shared" si="111"/>
        <v>0</v>
      </c>
      <c r="Y796" s="68" t="n">
        <f t="shared" si="112"/>
        <v>0</v>
      </c>
      <c r="Z796" s="67" t="str">
        <f>IF(OR('Prediction Log'!L797="", Table12[[#This Row],[Bet]]="", Table12[[#This Row],[Bet]]="Spread"), "",IF('Prediction Log'!L797=Table12[[#This Row],[Side]], "W", IF('Prediction Log'!L797&lt;&gt;Table12[[#This Row],[Side]], "L", "")))</f>
      </c>
      <c r="AA796" s="59" t="str">
        <f t="shared" si="113"/>
      </c>
      <c r="AB796" s="67" t="str">
        <f>IF(OR(Table12[[#This Row],[Bet]]="Side",Table12[[#This Row],[Bet]]="", 'Prediction Log'!L797=""), "",IF('Prediction Log'!U797="Y", "W", IF('Prediction Log'!U797="N", "L", "")))</f>
      </c>
      <c r="AC796" s="59" t="str">
        <f t="shared" si="114"/>
      </c>
      <c r="AD796" s="67"/>
      <c r="AE796" s="65" t="str">
        <f t="shared" si="119"/>
      </c>
      <c r="AF796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7">
      <c r="A797" s="65" t="str">
        <f>IF(ISBLANK(Games!A797), "", Games!A797)</f>
      </c>
      <c r="B797" s="65" t="str">
        <f>IF('Prediction Log'!B798=0, "",'Prediction Log'!B798)</f>
      </c>
      <c r="C797" s="65" t="str">
        <f>IF('Prediction Log'!C798=0, "",'Prediction Log'!C798)</f>
      </c>
      <c r="D797" s="65" t="str">
        <f>IF('Prediction Log'!D798=0, "",'Prediction Log'!D798)</f>
      </c>
      <c r="E797" s="58" t="str">
        <f>IF('Prediction Log'!E798=0, "",'Prediction Log'!E798)</f>
      </c>
      <c r="F797" s="65" t="str">
        <f>IF('Prediction Log'!H798=0, "",'Prediction Log'!H798)</f>
      </c>
      <c r="G797" s="64" t="str">
        <f>IF(ISBLANK(Games!B797), "",'Prediction Log'!$I798)</f>
      </c>
      <c r="H797" s="66" t="n">
        <f>'Prediction Log'!$J798</f>
        <v>0</v>
      </c>
      <c r="I797" s="65" t="str">
        <f>IF(ISBLANK(Games!T797), "",IF(AND(Games!T797="",Games!U797=""),"",IF(ISTEXT(Games!U797), "Side",Games!T797)))</f>
      </c>
      <c r="J797" s="65" t="str">
        <f>IF(ISBLANK(Games!T797), "",IF(Table12[[#This Row],[Bet]]="Spread", Games!X797, ""))</f>
      </c>
      <c r="K797" s="65" t="str">
        <f>IF(ISBLANK(Games!U797), "",IF(ISTEXT(Games!U797), Games!U797, ""))</f>
      </c>
      <c r="L797" s="57" t="str">
        <f>IF(ISBLANK(Games!D797), "", Games!D797)</f>
      </c>
      <c r="M797" s="65"/>
      <c r="N797" s="75" t="str">
        <f>IF(Games!V797="", "",Games!V797)</f>
      </c>
      <c r="O797" s="75" t="str">
        <f>IF(Games!Z797=0, "",Games!Z797)</f>
      </c>
      <c r="P797" s="67"/>
      <c r="Q797" s="67" t="str">
        <f>IF(ISBLANK(Games!W797), "", Games!W797)</f>
      </c>
      <c r="R797" s="67" t="str">
        <f>IF(ISBLANK(Games!AA797), "", Games!AA797)</f>
      </c>
      <c r="S797" s="67"/>
      <c r="T797" s="68" t="str">
        <f t="shared" si="115"/>
      </c>
      <c r="U797" s="68" t="str">
        <f t="shared" si="116"/>
      </c>
      <c r="V797" s="68" t="str">
        <f t="shared" si="117"/>
      </c>
      <c r="W797" s="68" t="str">
        <f t="shared" si="118"/>
      </c>
      <c r="X797" s="68" t="n">
        <f t="shared" si="111"/>
        <v>0</v>
      </c>
      <c r="Y797" s="68" t="n">
        <f t="shared" si="112"/>
        <v>0</v>
      </c>
      <c r="Z797" s="67" t="str">
        <f>IF(OR('Prediction Log'!L798="", Table12[[#This Row],[Bet]]="", Table12[[#This Row],[Bet]]="Spread"), "",IF('Prediction Log'!L798=Table12[[#This Row],[Side]], "W", IF('Prediction Log'!L798&lt;&gt;Table12[[#This Row],[Side]], "L", "")))</f>
      </c>
      <c r="AA797" s="59" t="str">
        <f t="shared" si="113"/>
      </c>
      <c r="AB797" s="67" t="str">
        <f>IF(OR(Table12[[#This Row],[Bet]]="Side",Table12[[#This Row],[Bet]]="", 'Prediction Log'!L798=""), "",IF('Prediction Log'!U798="Y", "W", IF('Prediction Log'!U798="N", "L", "")))</f>
      </c>
      <c r="AC797" s="59" t="str">
        <f t="shared" si="114"/>
      </c>
      <c r="AD797" s="67"/>
      <c r="AE797" s="65" t="str">
        <f t="shared" si="119"/>
      </c>
      <c r="AF797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8">
      <c r="A798" s="65" t="str">
        <f>IF(ISBLANK(Games!A798), "", Games!A798)</f>
      </c>
      <c r="B798" s="65" t="str">
        <f>IF('Prediction Log'!B799=0, "",'Prediction Log'!B799)</f>
      </c>
      <c r="C798" s="65" t="str">
        <f>IF('Prediction Log'!C799=0, "",'Prediction Log'!C799)</f>
      </c>
      <c r="D798" s="65" t="str">
        <f>IF('Prediction Log'!D799=0, "",'Prediction Log'!D799)</f>
      </c>
      <c r="E798" s="58" t="str">
        <f>IF('Prediction Log'!E799=0, "",'Prediction Log'!E799)</f>
      </c>
      <c r="F798" s="65" t="str">
        <f>IF('Prediction Log'!H799=0, "",'Prediction Log'!H799)</f>
      </c>
      <c r="G798" s="64" t="str">
        <f>IF(ISBLANK(Games!B798), "",'Prediction Log'!$I799)</f>
      </c>
      <c r="H798" s="66" t="n">
        <f>'Prediction Log'!$J799</f>
        <v>0</v>
      </c>
      <c r="I798" s="65" t="str">
        <f>IF(ISBLANK(Games!T798), "",IF(AND(Games!T798="",Games!U798=""),"",IF(ISTEXT(Games!U798), "Side",Games!T798)))</f>
      </c>
      <c r="J798" s="65" t="str">
        <f>IF(ISBLANK(Games!T798), "",IF(Table12[[#This Row],[Bet]]="Spread", Games!X798, ""))</f>
      </c>
      <c r="K798" s="65" t="str">
        <f>IF(ISBLANK(Games!U798), "",IF(ISTEXT(Games!U798), Games!U798, ""))</f>
      </c>
      <c r="L798" s="57" t="str">
        <f>IF(ISBLANK(Games!D798), "", Games!D798)</f>
      </c>
      <c r="M798" s="65"/>
      <c r="N798" s="75" t="str">
        <f>IF(Games!V798="", "",Games!V798)</f>
      </c>
      <c r="O798" s="75" t="str">
        <f>IF(Games!Z798=0, "",Games!Z798)</f>
      </c>
      <c r="P798" s="67"/>
      <c r="Q798" s="67" t="str">
        <f>IF(ISBLANK(Games!W798), "", Games!W798)</f>
      </c>
      <c r="R798" s="67" t="str">
        <f>IF(ISBLANK(Games!AA798), "", Games!AA798)</f>
      </c>
      <c r="S798" s="67"/>
      <c r="T798" s="68" t="str">
        <f t="shared" si="115"/>
      </c>
      <c r="U798" s="68" t="str">
        <f t="shared" si="116"/>
      </c>
      <c r="V798" s="68" t="str">
        <f t="shared" si="117"/>
      </c>
      <c r="W798" s="68" t="str">
        <f t="shared" si="118"/>
      </c>
      <c r="X798" s="68" t="n">
        <f t="shared" si="111"/>
        <v>0</v>
      </c>
      <c r="Y798" s="68" t="n">
        <f t="shared" si="112"/>
        <v>0</v>
      </c>
      <c r="Z798" s="67" t="str">
        <f>IF(OR('Prediction Log'!L799="", Table12[[#This Row],[Bet]]="", Table12[[#This Row],[Bet]]="Spread"), "",IF('Prediction Log'!L799=Table12[[#This Row],[Side]], "W", IF('Prediction Log'!L799&lt;&gt;Table12[[#This Row],[Side]], "L", "")))</f>
      </c>
      <c r="AA798" s="59" t="str">
        <f t="shared" si="113"/>
      </c>
      <c r="AB798" s="67" t="str">
        <f>IF(OR(Table12[[#This Row],[Bet]]="Side",Table12[[#This Row],[Bet]]="", 'Prediction Log'!L799=""), "",IF('Prediction Log'!U799="Y", "W", IF('Prediction Log'!U799="N", "L", "")))</f>
      </c>
      <c r="AC798" s="59" t="str">
        <f t="shared" si="114"/>
      </c>
      <c r="AD798" s="67"/>
      <c r="AE798" s="65" t="str">
        <f t="shared" si="119"/>
      </c>
      <c r="AF798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9">
      <c r="A799" s="65" t="str">
        <f>IF(ISBLANK(Games!A799), "", Games!A799)</f>
      </c>
      <c r="B799" s="65" t="str">
        <f>IF('Prediction Log'!B800=0, "",'Prediction Log'!B800)</f>
      </c>
      <c r="C799" s="65" t="str">
        <f>IF('Prediction Log'!C800=0, "",'Prediction Log'!C800)</f>
      </c>
      <c r="D799" s="65" t="str">
        <f>IF('Prediction Log'!D800=0, "",'Prediction Log'!D800)</f>
      </c>
      <c r="E799" s="58" t="str">
        <f>IF('Prediction Log'!E800=0, "",'Prediction Log'!E800)</f>
      </c>
      <c r="F799" s="65" t="str">
        <f>IF('Prediction Log'!H800=0, "",'Prediction Log'!H800)</f>
      </c>
      <c r="G799" s="64" t="str">
        <f>IF(ISBLANK(Games!B799), "",'Prediction Log'!$I800)</f>
      </c>
      <c r="H799" s="66" t="n">
        <f>'Prediction Log'!$J800</f>
        <v>0</v>
      </c>
      <c r="I799" s="65" t="str">
        <f>IF(ISBLANK(Games!T799), "",IF(AND(Games!T799="",Games!U799=""),"",IF(ISTEXT(Games!U799), "Side",Games!T799)))</f>
      </c>
      <c r="J799" s="65" t="str">
        <f>IF(ISBLANK(Games!T799), "",IF(Table12[[#This Row],[Bet]]="Spread", Games!X799, ""))</f>
      </c>
      <c r="K799" s="65" t="str">
        <f>IF(ISBLANK(Games!U799), "",IF(ISTEXT(Games!U799), Games!U799, ""))</f>
      </c>
      <c r="L799" s="57" t="str">
        <f>IF(ISBLANK(Games!D799), "", Games!D799)</f>
      </c>
      <c r="M799" s="65"/>
      <c r="N799" s="75" t="str">
        <f>IF(Games!V799="", "",Games!V799)</f>
      </c>
      <c r="O799" s="75" t="str">
        <f>IF(Games!Z799=0, "",Games!Z799)</f>
      </c>
      <c r="P799" s="67"/>
      <c r="Q799" s="67" t="str">
        <f>IF(ISBLANK(Games!W799), "", Games!W799)</f>
      </c>
      <c r="R799" s="67" t="str">
        <f>IF(ISBLANK(Games!AA799), "", Games!AA799)</f>
      </c>
      <c r="S799" s="67"/>
      <c r="T799" s="68" t="str">
        <f t="shared" si="115"/>
      </c>
      <c r="U799" s="68" t="str">
        <f t="shared" si="116"/>
      </c>
      <c r="V799" s="68" t="str">
        <f t="shared" si="117"/>
      </c>
      <c r="W799" s="68" t="str">
        <f t="shared" si="118"/>
      </c>
      <c r="X799" s="68" t="n">
        <f t="shared" si="111"/>
        <v>0</v>
      </c>
      <c r="Y799" s="68" t="n">
        <f t="shared" si="112"/>
        <v>0</v>
      </c>
      <c r="Z799" s="67" t="str">
        <f>IF(OR('Prediction Log'!L800="", Table12[[#This Row],[Bet]]="", Table12[[#This Row],[Bet]]="Spread"), "",IF('Prediction Log'!L800=Table12[[#This Row],[Side]], "W", IF('Prediction Log'!L800&lt;&gt;Table12[[#This Row],[Side]], "L", "")))</f>
      </c>
      <c r="AA799" s="59" t="str">
        <f t="shared" si="113"/>
      </c>
      <c r="AB799" s="67" t="str">
        <f>IF(OR(Table12[[#This Row],[Bet]]="Side",Table12[[#This Row],[Bet]]="", 'Prediction Log'!L800=""), "",IF('Prediction Log'!U800="Y", "W", IF('Prediction Log'!U800="N", "L", "")))</f>
      </c>
      <c r="AC799" s="59" t="str">
        <f t="shared" si="114"/>
      </c>
      <c r="AD799" s="67"/>
      <c r="AE799" s="65" t="str">
        <f t="shared" si="119"/>
      </c>
      <c r="AF799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0">
      <c r="A800" s="65" t="str">
        <f>IF(ISBLANK(Games!A800), "", Games!A800)</f>
      </c>
      <c r="B800" s="65" t="str">
        <f>IF('Prediction Log'!B801=0, "",'Prediction Log'!B801)</f>
      </c>
      <c r="C800" s="65" t="str">
        <f>IF('Prediction Log'!C801=0, "",'Prediction Log'!C801)</f>
      </c>
      <c r="D800" s="65" t="str">
        <f>IF('Prediction Log'!D801=0, "",'Prediction Log'!D801)</f>
      </c>
      <c r="E800" s="58" t="str">
        <f>IF('Prediction Log'!E801=0, "",'Prediction Log'!E801)</f>
      </c>
      <c r="F800" s="65" t="str">
        <f>IF('Prediction Log'!H801=0, "",'Prediction Log'!H801)</f>
      </c>
      <c r="G800" s="64" t="str">
        <f>IF(ISBLANK(Games!B800), "",'Prediction Log'!$I801)</f>
      </c>
      <c r="H800" s="66" t="n">
        <f>'Prediction Log'!$J801</f>
        <v>0</v>
      </c>
      <c r="I800" s="65" t="str">
        <f>IF(ISBLANK(Games!T800), "",IF(AND(Games!T800="",Games!U800=""),"",IF(ISTEXT(Games!U800), "Side",Games!T800)))</f>
      </c>
      <c r="J800" s="65" t="str">
        <f>IF(ISBLANK(Games!T800), "",IF(Table12[[#This Row],[Bet]]="Spread", Games!X800, ""))</f>
      </c>
      <c r="K800" s="65" t="str">
        <f>IF(ISBLANK(Games!U800), "",IF(ISTEXT(Games!U800), Games!U800, ""))</f>
      </c>
      <c r="L800" s="57" t="str">
        <f>IF(ISBLANK(Games!D800), "", Games!D800)</f>
      </c>
      <c r="M800" s="65"/>
      <c r="N800" s="75" t="str">
        <f>IF(Games!V800="", "",Games!V800)</f>
      </c>
      <c r="O800" s="75" t="str">
        <f>IF(Games!Z800=0, "",Games!Z800)</f>
      </c>
      <c r="P800" s="67"/>
      <c r="Q800" s="67" t="str">
        <f>IF(ISBLANK(Games!W800), "", Games!W800)</f>
      </c>
      <c r="R800" s="67" t="str">
        <f>IF(ISBLANK(Games!AA800), "", Games!AA800)</f>
      </c>
      <c r="S800" s="67"/>
      <c r="T800" s="68" t="str">
        <f t="shared" si="115"/>
      </c>
      <c r="U800" s="68" t="str">
        <f t="shared" si="116"/>
      </c>
      <c r="V800" s="68" t="str">
        <f t="shared" si="117"/>
      </c>
      <c r="W800" s="68" t="str">
        <f t="shared" si="118"/>
      </c>
      <c r="X800" s="68" t="n">
        <f t="shared" si="111"/>
        <v>0</v>
      </c>
      <c r="Y800" s="68" t="n">
        <f t="shared" si="112"/>
        <v>0</v>
      </c>
      <c r="Z800" s="67" t="str">
        <f>IF(OR('Prediction Log'!L801="", Table12[[#This Row],[Bet]]="", Table12[[#This Row],[Bet]]="Spread"), "",IF('Prediction Log'!L801=Table12[[#This Row],[Side]], "W", IF('Prediction Log'!L801&lt;&gt;Table12[[#This Row],[Side]], "L", "")))</f>
      </c>
      <c r="AA800" s="59" t="str">
        <f t="shared" si="113"/>
      </c>
      <c r="AB800" s="67" t="str">
        <f>IF(OR(Table12[[#This Row],[Bet]]="Side",Table12[[#This Row],[Bet]]="", 'Prediction Log'!L801=""), "",IF('Prediction Log'!U801="Y", "W", IF('Prediction Log'!U801="N", "L", "")))</f>
      </c>
      <c r="AC800" s="59" t="str">
        <f t="shared" si="114"/>
      </c>
      <c r="AD800" s="67"/>
      <c r="AE800" s="65" t="str">
        <f t="shared" si="119"/>
      </c>
      <c r="AF800" s="69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</sheetData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/>
  </sheetPr>
  <dimension ref="A1"/>
  <sheetViews>
    <sheetView tabSelected="true" workbookViewId="0">
      <selection activeCell="F19" sqref="F19"/>
    </sheetView>
  </sheetViews>
  <sheetFormatPr defaultRowHeight="15.0" baseColWidth="10"/>
  <cols>
    <col min="1" max="1" width="18.46484375" hidden="0" customWidth="1"/>
    <col min="2" max="2" width="18.46484375" hidden="0" customWidth="1"/>
    <col min="3" max="3" width="18.46484375" hidden="0" customWidth="1"/>
    <col min="4" max="4" width="18.46484375" hidden="0" customWidth="1"/>
    <col min="5" max="5" width="18.46484375" hidden="0" customWidth="1"/>
    <col min="6" max="6" width="2.796875" hidden="0" customWidth="1"/>
  </cols>
  <sheetData>
    <row r="1" ht="14.25" customHeight="1">
      <c r="A1" s="101" t="s">
        <v>931</v>
      </c>
      <c r="B1" s="102"/>
      <c r="C1" s="103"/>
      <c r="D1" s="118" t="s">
        <v>101</v>
      </c>
      <c r="E1" s="107"/>
      <c r="H1" s="112" t="s">
        <v>60</v>
      </c>
      <c r="I1" s="113"/>
      <c r="J1" s="113"/>
      <c r="K1" s="113"/>
      <c r="L1" s="113"/>
    </row>
    <row r="2">
      <c r="A2" s="108" t="s">
        <v>6</v>
      </c>
      <c r="B2" s="109" t="s">
        <v>7</v>
      </c>
      <c r="C2" s="110" t="s">
        <v>8</v>
      </c>
      <c r="D2" s="119" t="s">
        <v>930</v>
      </c>
      <c r="E2" s="83"/>
      <c r="H2" s="122" t="s">
        <v>6</v>
      </c>
      <c r="I2" s="122" t="s">
        <v>7</v>
      </c>
      <c r="J2" s="124" t="s">
        <v>8</v>
      </c>
      <c r="K2" s="124" t="s">
        <v>9</v>
      </c>
      <c r="L2" s="124" t="s">
        <v>937</v>
      </c>
    </row>
    <row r="3">
      <c r="A3" s="39" t="n">
        <f>COUNTIF('Prediction Log'!$T$3:$T$1048576, "Y")</f>
        <v>90</v>
      </c>
      <c r="B3" s="1" t="n">
        <f>COUNTIF('Prediction Log'!$T$3:$T$1048576, "N")</f>
        <v>8</v>
      </c>
      <c r="C3" s="129" t="n">
        <f>A3/SUM(A3:B3)</f>
        <v>0.91836734693877553</v>
      </c>
      <c r="D3" s="99" t="n">
        <f>C3-C6</f>
        <v>8.0529509100937702E-2</v>
      </c>
      <c r="E3" s="100"/>
      <c r="H3" s="1" t="n">
        <f>COUNTIF('Bet Log'!$Z$2:$Z$1048576, "W")</f>
        <v>1</v>
      </c>
      <c r="I3" s="1" t="n">
        <f>COUNTIF('Bet Log'!$Z$2:$Z$1048576, "L")</f>
        <v>0</v>
      </c>
      <c r="J3" s="134" t="n">
        <f>H3/SUM(H3:I3)</f>
        <v>1</v>
      </c>
      <c r="K3" s="135" t="n">
        <f>SUM('Bet Log'!AA2:AA1048576)</f>
        <v>2.75</v>
      </c>
      <c r="L3" s="111" t="n">
        <f>(K3/SUM('Bet Log'!$N$2:$N$1048576))</f>
        <v>1.1000000000000001</v>
      </c>
    </row>
    <row r="4">
      <c r="A4" s="104" t="s">
        <v>932</v>
      </c>
      <c r="B4" s="105"/>
      <c r="C4" s="106"/>
      <c r="D4" s="119" t="s">
        <v>267</v>
      </c>
      <c r="E4" s="83"/>
      <c r="H4" s="114" t="s">
        <v>61</v>
      </c>
      <c r="I4" s="115"/>
      <c r="J4" s="115"/>
      <c r="K4" s="115"/>
      <c r="L4" s="115"/>
    </row>
    <row r="5" ht="14.65" customHeight="1">
      <c r="A5" s="108" t="s">
        <v>6</v>
      </c>
      <c r="B5" s="109" t="s">
        <v>7</v>
      </c>
      <c r="C5" s="110" t="s">
        <v>8</v>
      </c>
      <c r="D5" s="120" t="n">
        <f>C9-C6</f>
        <v>3.9713182570325412E-2</v>
      </c>
      <c r="E5" s="121"/>
      <c r="H5" s="123" t="s">
        <v>6</v>
      </c>
      <c r="I5" s="123" t="s">
        <v>7</v>
      </c>
      <c r="J5" s="1" t="s">
        <v>8</v>
      </c>
      <c r="K5" s="1" t="s">
        <v>9</v>
      </c>
      <c r="L5" s="1" t="s">
        <v>937</v>
      </c>
    </row>
    <row r="6" ht="14.65" customHeight="1">
      <c r="A6" s="39" t="n">
        <f>COUNTIF('Prediction Log'!$Q$3:$Q$102, "Y")</f>
        <v>62</v>
      </c>
      <c r="B6" s="1" t="n">
        <f>COUNTIF('Prediction Log'!$Q$3:$Q$102, "N")</f>
        <v>12</v>
      </c>
      <c r="C6" s="129" t="n">
        <f>A6/SUM(A6:B6)</f>
        <v>0.83783783783783783</v>
      </c>
      <c r="H6" s="1" t="n">
        <f>COUNTIF('Bet Log'!$AB$2:$AB$1048576, "W")</f>
        <v>4</v>
      </c>
      <c r="I6" s="1" t="n">
        <f>COUNTIF('Bet Log'!$AB$2:$AB$1048576, "L")</f>
        <v>3</v>
      </c>
      <c r="J6" s="134" t="n">
        <f>H6/SUM(H6:I6)</f>
        <v>0.5714285714285714</v>
      </c>
      <c r="K6" s="135" t="n">
        <f>SUM(Table12[Winnings (Spread)])</f>
        <v>4.9702970297029694</v>
      </c>
      <c r="L6" s="111" t="n">
        <f>(K6/SUM('Bet Log'!$O$2:$O$1048576))</f>
        <v>0.18408507517418404</v>
      </c>
    </row>
    <row r="7">
      <c r="A7" s="92" t="s">
        <v>933</v>
      </c>
      <c r="B7" s="93"/>
      <c r="C7" s="94"/>
      <c r="H7" s="116" t="s">
        <v>62</v>
      </c>
      <c r="I7" s="117"/>
      <c r="J7" s="117"/>
      <c r="K7" s="117"/>
      <c r="L7" s="117"/>
    </row>
    <row r="8">
      <c r="A8" s="108" t="s">
        <v>6</v>
      </c>
      <c r="B8" s="109" t="s">
        <v>7</v>
      </c>
      <c r="C8" s="110" t="s">
        <v>8</v>
      </c>
      <c r="H8" s="122" t="s">
        <v>6</v>
      </c>
      <c r="I8" s="122" t="s">
        <v>7</v>
      </c>
      <c r="J8" s="124" t="s">
        <v>8</v>
      </c>
      <c r="K8" s="124" t="s">
        <v>9</v>
      </c>
      <c r="L8" s="124" t="s">
        <v>937</v>
      </c>
    </row>
    <row r="9" ht="14.65" customHeight="1">
      <c r="A9" s="39" t="n">
        <f>COUNTIF('Prediction Log'!$V$3:$V$1048576, "Y")</f>
        <v>86</v>
      </c>
      <c r="B9" s="1" t="n">
        <f>COUNTIF('Prediction Log'!$V$3:$V$1048576, "N")</f>
        <v>12</v>
      </c>
      <c r="C9" s="129" t="n">
        <f>A9/SUM(A9:B9)</f>
        <v>0.87755102040816324</v>
      </c>
      <c r="H9" s="1" t="n">
        <f>H6+H3</f>
        <v>5</v>
      </c>
      <c r="I9" s="1" t="n">
        <f>I6+I3</f>
        <v>3</v>
      </c>
      <c r="J9" s="134" t="n">
        <f>H9/SUM(H9:I9)</f>
        <v>0.625</v>
      </c>
      <c r="K9" s="135" t="n">
        <f>K6+K3</f>
        <v>7.7202970297029694</v>
      </c>
      <c r="L9" s="111" t="n">
        <f>(K9/SUM('Bet Log'!$N$2:$O$1048576))</f>
        <v>0.2617049840577278</v>
      </c>
    </row>
    <row r="10" ht="14.65" customHeight="1">
      <c r="A10" s="76" t="s">
        <v>929</v>
      </c>
      <c r="B10" s="77"/>
      <c r="C10" s="78"/>
      <c r="D10" s="118" t="s">
        <v>101</v>
      </c>
      <c r="E10" s="107"/>
    </row>
    <row r="11">
      <c r="A11" s="125" t="s">
        <v>79</v>
      </c>
      <c r="B11" s="128" t="s">
        <v>78</v>
      </c>
      <c r="C11" s="126" t="s">
        <v>8</v>
      </c>
      <c r="D11" s="119" t="s">
        <v>936</v>
      </c>
      <c r="E11" s="83"/>
    </row>
    <row r="12" ht="14.65" customHeight="1">
      <c r="A12" s="39" t="n">
        <f>COUNTIF('Prediction Log'!$U$3:$U$1048576, "Y")</f>
        <v>29</v>
      </c>
      <c r="B12" s="1" t="n">
        <f>COUNTIF('Prediction Log'!$U$3:$U$1048576, "N")</f>
        <v>45</v>
      </c>
      <c r="C12" s="129" t="n">
        <f>A12/SUM(A12:B12)</f>
        <v>0.39189189189189189</v>
      </c>
      <c r="D12" s="132" t="n">
        <f>A12-A18</f>
        <v>-6</v>
      </c>
      <c r="E12" s="133" t="n">
        <f>D12/SUM(A12:B12)</f>
        <v>-8.1081081081081086E-2</v>
      </c>
    </row>
    <row r="13">
      <c r="A13" s="89" t="s">
        <v>934</v>
      </c>
      <c r="B13" s="90"/>
      <c r="C13" s="91"/>
    </row>
    <row r="14">
      <c r="A14" s="130" t="s">
        <v>10</v>
      </c>
      <c r="B14" s="127" t="s">
        <v>11</v>
      </c>
      <c r="C14" s="131" t="s">
        <v>12</v>
      </c>
    </row>
    <row r="15">
      <c r="A15" s="39" t="n">
        <f>COUNTIF('Prediction Log'!$X$3:$X$1048576, "Y")</f>
        <v>26</v>
      </c>
      <c r="B15" s="1" t="n">
        <f>COUNTIF('Prediction Log'!$X$3:$X$1048576, "N")</f>
        <v>48</v>
      </c>
      <c r="C15" s="129" t="n">
        <f>A15/SUM(A15:B15)</f>
        <v>0.35135135135135137</v>
      </c>
    </row>
    <row r="16">
      <c r="A16" s="86" t="s">
        <v>99</v>
      </c>
      <c r="B16" s="87"/>
      <c r="C16" s="88"/>
    </row>
    <row r="17">
      <c r="A17" s="130" t="s">
        <v>79</v>
      </c>
      <c r="B17" s="127" t="s">
        <v>78</v>
      </c>
      <c r="C17" s="131" t="s">
        <v>8</v>
      </c>
    </row>
    <row r="18">
      <c r="A18" s="39" t="n">
        <f>COUNTIF('Prediction Log'!$R$3:$R$102, "Y")</f>
        <v>35</v>
      </c>
      <c r="B18" s="1" t="n">
        <f>COUNTIF('Prediction Log'!$R$3:$R$102, "N")</f>
        <v>39</v>
      </c>
      <c r="C18" s="129" t="n">
        <f>A18/SUM(A18:B18)</f>
        <v>0.47297297297297297</v>
      </c>
    </row>
    <row r="19">
      <c r="A19" s="86" t="s">
        <v>100</v>
      </c>
      <c r="B19" s="87"/>
      <c r="C19" s="88"/>
    </row>
    <row r="20">
      <c r="A20" s="130" t="s">
        <v>79</v>
      </c>
      <c r="B20" s="127" t="s">
        <v>78</v>
      </c>
      <c r="C20" s="131" t="s">
        <v>12</v>
      </c>
    </row>
    <row r="21" ht="14.65" customHeight="1">
      <c r="A21" s="132" t="n">
        <f>COUNTIF('Prediction Log'!$S$3:$S$102, "Y")</f>
        <v>32</v>
      </c>
      <c r="B21" s="54" t="n">
        <f>COUNTIF('Prediction Log'!$S$3:$S$102, "N")</f>
        <v>42</v>
      </c>
      <c r="C21" s="133" t="n">
        <f>A21/SUM(A21:B21)</f>
        <v>0.43243243243243246</v>
      </c>
    </row>
    <row r="22">
      <c r="A22" s="79" t="s">
        <v>102</v>
      </c>
      <c r="B22" s="80"/>
    </row>
    <row r="23">
      <c r="A23" s="81" t="e">
        <f>AVERAGEIF('Prediction Log'!#REF!, "&gt;-1",'Prediction Log'!$AA$3:$AA$47)</f>
        <v>#REF!</v>
      </c>
      <c r="B23" s="82"/>
    </row>
    <row r="24">
      <c r="A24" s="95" t="s">
        <v>103</v>
      </c>
      <c r="B24" s="96"/>
    </row>
    <row r="25">
      <c r="A25" s="81" t="n">
        <f>AVERAGE('Prediction Log'!$Y$3:$Y$47)</f>
        <v>-1.8518518518518517E-2</v>
      </c>
      <c r="B25" s="82"/>
    </row>
    <row r="26">
      <c r="A26" s="97" t="s">
        <v>104</v>
      </c>
      <c r="B26" s="98"/>
    </row>
    <row r="27">
      <c r="A27" s="81" t="e">
        <f>AVERAGEIF('Prediction Log'!#REF!, "&gt;-1",'Prediction Log'!$AB$3:$AB$47)</f>
        <v>#REF!</v>
      </c>
      <c r="B27" s="82"/>
    </row>
    <row r="28">
      <c r="A28" s="95" t="s">
        <v>105</v>
      </c>
      <c r="B28" s="96"/>
    </row>
    <row r="29" ht="14.65" customHeight="1">
      <c r="A29" s="84" t="n">
        <f>AVERAGE('Prediction Log'!$Z$3:$Z$47)</f>
        <v>13.722222222222221</v>
      </c>
      <c r="B29" s="85"/>
    </row>
  </sheetData>
  <mergeCells count="25">
    <mergeCell ref="H1:L1"/>
    <mergeCell ref="H4:L4"/>
    <mergeCell ref="H7:L7"/>
    <mergeCell ref="A1:C1"/>
    <mergeCell ref="A4:C4"/>
    <mergeCell ref="D1:E1"/>
    <mergeCell ref="D2:E2"/>
    <mergeCell ref="D10:E10"/>
    <mergeCell ref="D3:E3"/>
    <mergeCell ref="A10:C10"/>
    <mergeCell ref="A22:B22"/>
    <mergeCell ref="A23:B23"/>
    <mergeCell ref="D4:E4"/>
    <mergeCell ref="A29:B29"/>
    <mergeCell ref="A16:C16"/>
    <mergeCell ref="A13:C13"/>
    <mergeCell ref="A7:C7"/>
    <mergeCell ref="A25:B25"/>
    <mergeCell ref="A28:B28"/>
    <mergeCell ref="A26:B26"/>
    <mergeCell ref="A27:B27"/>
    <mergeCell ref="A19:C19"/>
    <mergeCell ref="A24:B24"/>
    <mergeCell ref="D11:E11"/>
    <mergeCell ref="D5:E5"/>
  </mergeCells>
  <conditionalFormatting sqref="C3:D3 C6 C15 C18 C21 C9 C12:E12">
    <cfRule type="cellIs" dxfId="29" priority="3" operator="lessThan">
      <formula>0</formula>
    </cfRule>
    <cfRule type="cellIs" dxfId="28" priority="4" operator="greaterThan">
      <formula>0</formula>
    </cfRule>
  </conditionalFormatting>
  <conditionalFormatting sqref="D3 D5">
    <cfRule type="cellIs" dxfId="27" priority="8" operator="equal">
      <formula>0</formula>
    </cfRule>
  </conditionalFormatting>
  <conditionalFormatting sqref="D5">
    <cfRule type="cellIs" dxfId="26" priority="9" operator="lessThan">
      <formula>0</formula>
    </cfRule>
    <cfRule type="cellIs" dxfId="25" priority="10" operator="greaterThan">
      <formula>0</formula>
    </cfRule>
  </conditionalFormatting>
  <conditionalFormatting sqref="D12">
    <cfRule type="cellIs" dxfId="24" priority="5" operator="equal">
      <formula>0</formula>
    </cfRule>
  </conditionalFormatting>
  <conditionalFormatting sqref="L3 L6 L9">
    <cfRule type="cellIs" dxfId="23" priority="1" operator="less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C000"/>
  </sheetPr>
  <dimension ref="A1"/>
  <sheetViews>
    <sheetView workbookViewId="0">
      <selection activeCell="V10" sqref="V10"/>
    </sheetView>
  </sheetViews>
  <sheetFormatPr defaultRowHeight="15.0" baseColWidth="10"/>
  <cols>
    <col min="1" max="1" width="17.46484375" hidden="0" customWidth="1"/>
    <col min="3" max="3" width="0" hidden="1" customWidth="1"/>
    <col min="4" max="4" width="0" hidden="1" customWidth="1"/>
    <col min="5" max="5" width="0" hidden="1" customWidth="1"/>
    <col min="6" max="6" width="0" hidden="1" customWidth="1"/>
    <col min="7" max="7" width="11.86328125" hidden="1" customWidth="1"/>
    <col min="8" max="8" width="10.265625" hidden="1" customWidth="1"/>
    <col min="9" max="9" width="11.86328125" hidden="0" customWidth="1"/>
    <col min="10" max="10" width="11.73046875" hidden="0" customWidth="1"/>
    <col min="11" max="11" width="10.265625" hidden="0" customWidth="1"/>
  </cols>
  <sheetData>
    <row r="1" ht="28.5" customHeight="1">
      <c r="A1" s="136" t="s">
        <v>106</v>
      </c>
      <c r="B1" s="136" t="s">
        <v>107</v>
      </c>
      <c r="C1" s="136" t="s">
        <v>254</v>
      </c>
      <c r="D1" s="136" t="s">
        <v>255</v>
      </c>
      <c r="E1" s="136" t="s">
        <v>348</v>
      </c>
      <c r="F1" s="136" t="s">
        <v>349</v>
      </c>
      <c r="G1" s="136" t="s">
        <v>274</v>
      </c>
      <c r="H1" s="136" t="s">
        <v>262</v>
      </c>
      <c r="I1" s="136" t="s">
        <v>275</v>
      </c>
      <c r="J1" s="136" t="s">
        <v>347</v>
      </c>
      <c r="K1" s="136" t="s">
        <v>262</v>
      </c>
      <c r="L1" s="136" t="s">
        <v>923</v>
      </c>
      <c r="M1" s="136" t="s">
        <v>347</v>
      </c>
      <c r="N1" s="136" t="s">
        <v>262</v>
      </c>
      <c r="O1" s="136" t="s">
        <v>924</v>
      </c>
      <c r="P1" s="136" t="s">
        <v>347</v>
      </c>
      <c r="Q1" s="136" t="s">
        <v>262</v>
      </c>
      <c r="R1" s="136" t="s">
        <v>925</v>
      </c>
      <c r="S1" s="136" t="s">
        <v>347</v>
      </c>
      <c r="T1" s="136" t="s">
        <v>262</v>
      </c>
      <c r="U1" s="136" t="s">
        <v>926</v>
      </c>
      <c r="V1" s="136" t="s">
        <v>347</v>
      </c>
      <c r="W1" s="136" t="s">
        <v>262</v>
      </c>
    </row>
    <row r="2">
      <c r="A2" s="1" t="s">
        <v>108</v>
      </c>
      <c r="B2" s="1" t="s">
        <v>109</v>
      </c>
      <c r="C2" s="137" t="n">
        <f>VLOOKUP(A2, $A$2:$BQ$1048576, MATCH(_xlfn.CONCAT("Week ",Games!$A$7), Elo!$A$1:$BQ$1, 0), FALSE)</f>
        <v>2158.2725114569398</v>
      </c>
      <c r="D2" s="137" t="n">
        <f t="shared" ref="D2:D33" si="0">F2</f>
        <v>1</v>
      </c>
      <c r="E2" s="137" t="n">
        <v>2158.2725114569398</v>
      </c>
      <c r="F2" s="123" t="n">
        <v>1</v>
      </c>
      <c r="G2" s="137" t="n">
        <v>2158.2725114569398</v>
      </c>
      <c r="H2" s="123" t="n">
        <v>1</v>
      </c>
      <c r="I2" s="137" t="n">
        <v>2158.2725114569398</v>
      </c>
      <c r="J2" s="137" t="n">
        <f>I2-G2</f>
        <v>0</v>
      </c>
      <c r="K2" s="123" t="n">
        <f t="shared" ref="K2:K33" si="1">_xlfn.RANK.EQ(I2, I$2:I$134, 0)</f>
        <v>1</v>
      </c>
      <c r="L2" s="137" t="n">
        <f>IF(AND(COUNTIF(Games!$B$2:$B$101, Elo!$A2)=0,COUNTIF(Games!$C$2:$C$101, Elo!$A2)=0), I2, IF(COUNTIF(Games!$B$2:$B$101, Elo!$A2)&gt;0, VLOOKUP(Elo!$A2, Games!$B$2:$AN$101, MATCH("New Home Elo", Games!$B$1:$AN$1, 0), FALSE), IF(COUNTIF(Games!$C$2:$C$101, Elo!$A2)&gt;0, VLOOKUP(Elo!$A2, Games!$C$2:$AO$101, MATCH("New Away Elo", Games!$C$1:$AO$1, 0), FALSE), I2)))</f>
        <v>2177.0900770527282</v>
      </c>
      <c r="M2" s="137" t="n">
        <f>L2-I2</f>
        <v>18.817565595788437</v>
      </c>
      <c r="N2" s="123" t="n">
        <f t="shared" ref="N2:N33" si="2">_xlfn.RANK.EQ(L2, L$2:L$134, 0)</f>
        <v>1</v>
      </c>
      <c r="O2" s="137" t="n">
        <f>IF(AND(COUNTIF(Games!$B$2:$B$101, Elo!$A2)=0,COUNTIF(Games!$C$2:$C$101, Elo!$A2)=0), L2, IF(COUNTIF(Games!$B$2:$B$101, Elo!$A2)&gt;0, VLOOKUP(Elo!$A2, Games!$B$2:$AN$101, MATCH("New Home Elo", Games!$B$1:$AN$1, 0), FALSE), IF(COUNTIF(Games!$C$2:$C$101, Elo!$A2)&gt;0, VLOOKUP(Elo!$A2, Games!$C$2:$AO$101, MATCH("New Away Elo", Games!$C$1:$AO$1, 0), FALSE), L2)))</f>
        <v>2177.0900770527282</v>
      </c>
      <c r="P2" s="137" t="n">
        <f>O2-L2</f>
        <v>0</v>
      </c>
      <c r="Q2" s="123" t="n">
        <f t="shared" ref="Q2:Q65" si="3">_xlfn.RANK.EQ(O2, O$2:O$134, 0)</f>
        <v>1</v>
      </c>
      <c r="R2" s="137" t="n">
        <f>IF(AND(COUNTIF(Games!$B$2:$B$101, Elo!$A2)=0,COUNTIF(Games!$C$2:$C$101, Elo!$A2)=0), O2, IF(COUNTIF(Games!$B$2:$B$101, Elo!$A2)&gt;0, VLOOKUP(Elo!$A2, Games!$B$2:$AN$101, MATCH("New Home Elo", Games!$B$1:$AN$1, 0), FALSE), IF(COUNTIF(Games!$C$2:$C$101, Elo!$A2)&gt;0, VLOOKUP(Elo!$A2, Games!$C$2:$AO$101, MATCH("New Away Elo", Games!$C$1:$AO$1, 0), FALSE), O2)))</f>
        <v>2177.0900770527282</v>
      </c>
      <c r="S2" s="137" t="n">
        <f>R2-O2</f>
        <v>0</v>
      </c>
      <c r="T2" s="123" t="n">
        <f t="shared" ref="T2:T65" si="4">_xlfn.RANK.EQ(R2, R$2:R$134, 0)</f>
        <v>1</v>
      </c>
      <c r="U2" s="137" t="n">
        <f>IF(AND(COUNTIF(Games!$B$2:$B$101, Elo!$A2)=0,COUNTIF(Games!$C$2:$C$101, Elo!$A2)=0), R2, IF(COUNTIF(Games!$B$2:$B$101, Elo!$A2)&gt;0, VLOOKUP(Elo!$A2, Games!$B$2:$AN$101, MATCH("New Home Elo", Games!$B$1:$AN$1, 0), FALSE), IF(COUNTIF(Games!$C$2:$C$101, Elo!$A2)&gt;0, VLOOKUP(Elo!$A2, Games!$C$2:$AO$101, MATCH("New Away Elo", Games!$C$1:$AO$1, 0), FALSE), R2)))</f>
        <v>2177.0900770527282</v>
      </c>
      <c r="V2" s="137" t="n">
        <f>U2-R2</f>
        <v>0</v>
      </c>
      <c r="W2" s="123" t="n">
        <f t="shared" ref="W2:W65" si="5">_xlfn.RANK.EQ(U2, U$2:U$134, 0)</f>
        <v>1</v>
      </c>
    </row>
    <row r="3">
      <c r="A3" s="1" t="s">
        <v>110</v>
      </c>
      <c r="B3" s="1" t="s">
        <v>111</v>
      </c>
      <c r="C3" s="137" t="n">
        <f>VLOOKUP(A3, $A$2:$BQ$1048576, MATCH(_xlfn.CONCAT("Week ",Games!$A$7), Elo!$A$1:$BQ$1, 0), FALSE)</f>
        <v>2003.0247602574</v>
      </c>
      <c r="D3" s="137" t="n">
        <f t="shared" si="0"/>
        <v>2</v>
      </c>
      <c r="E3" s="137" t="n">
        <v>2003.0247602574</v>
      </c>
      <c r="F3" s="123" t="n">
        <v>2</v>
      </c>
      <c r="G3" s="137" t="n">
        <v>2003.0247602574</v>
      </c>
      <c r="H3" s="123" t="n">
        <v>2</v>
      </c>
      <c r="I3" s="137" t="n">
        <v>2003.0247602574</v>
      </c>
      <c r="J3" s="137" t="n">
        <f t="shared" ref="J3:J66" si="6">I3-G3</f>
        <v>0</v>
      </c>
      <c r="K3" s="123" t="n">
        <f t="shared" si="1"/>
        <v>2</v>
      </c>
      <c r="L3" s="137" t="n">
        <f>IF(AND(COUNTIF(Games!$B$2:$B$101, Elo!$A3)=0,COUNTIF(Games!$C$2:$C$101, Elo!$A3)=0), I3, IF(COUNTIF(Games!$B$2:$B$101, Elo!$A3)&gt;0, VLOOKUP(Elo!$A3, Games!$B$2:$AN$101, MATCH("New Home Elo", Games!$B$1:$AN$1, 0), FALSE), IF(COUNTIF(Games!$C$2:$C$101, Elo!$A3)&gt;0, VLOOKUP(Elo!$A3, Games!$C$2:$AO$101, MATCH("New Away Elo", Games!$C$1:$AO$1, 0), FALSE), I3)))</f>
        <v>2003.4421543263784</v>
      </c>
      <c r="M3" s="137" t="n">
        <f t="shared" ref="M3:M66" si="7">L3-I3</f>
        <v>0.41739406897841036</v>
      </c>
      <c r="N3" s="123" t="n">
        <f t="shared" si="2"/>
        <v>3</v>
      </c>
      <c r="O3" s="137" t="n">
        <f>IF(AND(COUNTIF(Games!$B$2:$B$101, Elo!$A3)=0,COUNTIF(Games!$C$2:$C$101, Elo!$A3)=0), L3, IF(COUNTIF(Games!$B$2:$B$101, Elo!$A3)&gt;0, VLOOKUP(Elo!$A3, Games!$B$2:$AN$101, MATCH("New Home Elo", Games!$B$1:$AN$1, 0), FALSE), IF(COUNTIF(Games!$C$2:$C$101, Elo!$A3)&gt;0, VLOOKUP(Elo!$A3, Games!$C$2:$AO$101, MATCH("New Away Elo", Games!$C$1:$AO$1, 0), FALSE), L3)))</f>
        <v>2003.4421543263784</v>
      </c>
      <c r="P3" s="137" t="n">
        <f t="shared" ref="P3:P9" si="8">O3-L3</f>
        <v>0</v>
      </c>
      <c r="Q3" s="123" t="n">
        <f t="shared" si="3"/>
        <v>3</v>
      </c>
      <c r="R3" s="137" t="n">
        <f>IF(AND(COUNTIF(Games!$B$2:$B$101, Elo!$A3)=0,COUNTIF(Games!$C$2:$C$101, Elo!$A3)=0), O3, IF(COUNTIF(Games!$B$2:$B$101, Elo!$A3)&gt;0, VLOOKUP(Elo!$A3, Games!$B$2:$AN$101, MATCH("New Home Elo", Games!$B$1:$AN$1, 0), FALSE), IF(COUNTIF(Games!$C$2:$C$101, Elo!$A3)&gt;0, VLOOKUP(Elo!$A3, Games!$C$2:$AO$101, MATCH("New Away Elo", Games!$C$1:$AO$1, 0), FALSE), O3)))</f>
        <v>2003.4421543263784</v>
      </c>
      <c r="S3" s="137" t="n">
        <f t="shared" ref="S3:S9" si="9">R3-O3</f>
        <v>0</v>
      </c>
      <c r="T3" s="123" t="n">
        <f t="shared" si="4"/>
        <v>3</v>
      </c>
      <c r="U3" s="137" t="n">
        <f>IF(AND(COUNTIF(Games!$B$2:$B$101, Elo!$A3)=0,COUNTIF(Games!$C$2:$C$101, Elo!$A3)=0), R3, IF(COUNTIF(Games!$B$2:$B$101, Elo!$A3)&gt;0, VLOOKUP(Elo!$A3, Games!$B$2:$AN$101, MATCH("New Home Elo", Games!$B$1:$AN$1, 0), FALSE), IF(COUNTIF(Games!$C$2:$C$101, Elo!$A3)&gt;0, VLOOKUP(Elo!$A3, Games!$C$2:$AO$101, MATCH("New Away Elo", Games!$C$1:$AO$1, 0), FALSE), R3)))</f>
        <v>2003.4421543263784</v>
      </c>
      <c r="V3" s="137" t="n">
        <f t="shared" ref="V3:V9" si="10">U3-R3</f>
        <v>0</v>
      </c>
      <c r="W3" s="123" t="n">
        <f t="shared" si="5"/>
        <v>3</v>
      </c>
    </row>
    <row r="4">
      <c r="A4" s="1" t="s">
        <v>112</v>
      </c>
      <c r="B4" s="1" t="s">
        <v>111</v>
      </c>
      <c r="C4" s="137" t="n">
        <f>VLOOKUP(A4, $A$2:$BQ$1048576, MATCH(_xlfn.CONCAT("Week ",Games!$A$7), Elo!$A$1:$BQ$1, 0), FALSE)</f>
        <v>1981.7734188787001</v>
      </c>
      <c r="D4" s="137" t="n">
        <f t="shared" si="0"/>
        <v>3</v>
      </c>
      <c r="E4" s="137" t="n">
        <v>1981.7734188787001</v>
      </c>
      <c r="F4" s="123" t="n">
        <v>3</v>
      </c>
      <c r="G4" s="137" t="n">
        <v>1981.7734188787001</v>
      </c>
      <c r="H4" s="123" t="n">
        <v>3</v>
      </c>
      <c r="I4" s="137" t="n">
        <v>1981.7734188787001</v>
      </c>
      <c r="J4" s="137" t="n">
        <f t="shared" si="6"/>
        <v>0</v>
      </c>
      <c r="K4" s="123" t="n">
        <f t="shared" si="1"/>
        <v>3</v>
      </c>
      <c r="L4" s="137" t="n">
        <f>IF(AND(COUNTIF(Games!$B$2:$B$101, Elo!$A4)=0,COUNTIF(Games!$C$2:$C$101, Elo!$A4)=0), I4, IF(COUNTIF(Games!$B$2:$B$101, Elo!$A4)&gt;0, VLOOKUP(Elo!$A4, Games!$B$2:$AN$101, MATCH("New Home Elo", Games!$B$1:$AN$1, 0), FALSE), IF(COUNTIF(Games!$C$2:$C$101, Elo!$A4)&gt;0, VLOOKUP(Elo!$A4, Games!$C$2:$AO$101, MATCH("New Away Elo", Games!$C$1:$AO$1, 0), FALSE), I4)))</f>
        <v>2002.5495071568901</v>
      </c>
      <c r="M4" s="137" t="n">
        <f t="shared" si="7"/>
        <v>20.776088278189945</v>
      </c>
      <c r="N4" s="123" t="n">
        <f t="shared" si="2"/>
        <v>4</v>
      </c>
      <c r="O4" s="137" t="n">
        <f>IF(AND(COUNTIF(Games!$B$2:$B$101, Elo!$A4)=0,COUNTIF(Games!$C$2:$C$101, Elo!$A4)=0), L4, IF(COUNTIF(Games!$B$2:$B$101, Elo!$A4)&gt;0, VLOOKUP(Elo!$A4, Games!$B$2:$AN$101, MATCH("New Home Elo", Games!$B$1:$AN$1, 0), FALSE), IF(COUNTIF(Games!$C$2:$C$101, Elo!$A4)&gt;0, VLOOKUP(Elo!$A4, Games!$C$2:$AO$101, MATCH("New Away Elo", Games!$C$1:$AO$1, 0), FALSE), L4)))</f>
        <v>2002.5495071568901</v>
      </c>
      <c r="P4" s="137" t="n">
        <f t="shared" si="8"/>
        <v>0</v>
      </c>
      <c r="Q4" s="123" t="n">
        <f t="shared" si="3"/>
        <v>4</v>
      </c>
      <c r="R4" s="137" t="n">
        <f>IF(AND(COUNTIF(Games!$B$2:$B$101, Elo!$A4)=0,COUNTIF(Games!$C$2:$C$101, Elo!$A4)=0), O4, IF(COUNTIF(Games!$B$2:$B$101, Elo!$A4)&gt;0, VLOOKUP(Elo!$A4, Games!$B$2:$AN$101, MATCH("New Home Elo", Games!$B$1:$AN$1, 0), FALSE), IF(COUNTIF(Games!$C$2:$C$101, Elo!$A4)&gt;0, VLOOKUP(Elo!$A4, Games!$C$2:$AO$101, MATCH("New Away Elo", Games!$C$1:$AO$1, 0), FALSE), O4)))</f>
        <v>2002.5495071568901</v>
      </c>
      <c r="S4" s="137" t="n">
        <f t="shared" si="9"/>
        <v>0</v>
      </c>
      <c r="T4" s="123" t="n">
        <f t="shared" si="4"/>
        <v>4</v>
      </c>
      <c r="U4" s="137" t="n">
        <f>IF(AND(COUNTIF(Games!$B$2:$B$101, Elo!$A4)=0,COUNTIF(Games!$C$2:$C$101, Elo!$A4)=0), R4, IF(COUNTIF(Games!$B$2:$B$101, Elo!$A4)&gt;0, VLOOKUP(Elo!$A4, Games!$B$2:$AN$101, MATCH("New Home Elo", Games!$B$1:$AN$1, 0), FALSE), IF(COUNTIF(Games!$C$2:$C$101, Elo!$A4)&gt;0, VLOOKUP(Elo!$A4, Games!$C$2:$AO$101, MATCH("New Away Elo", Games!$C$1:$AO$1, 0), FALSE), R4)))</f>
        <v>2002.5495071568901</v>
      </c>
      <c r="V4" s="137" t="n">
        <f t="shared" si="10"/>
        <v>0</v>
      </c>
      <c r="W4" s="123" t="n">
        <f t="shared" si="5"/>
        <v>4</v>
      </c>
    </row>
    <row r="5">
      <c r="A5" s="1" t="s">
        <v>113</v>
      </c>
      <c r="B5" s="1" t="s">
        <v>109</v>
      </c>
      <c r="C5" s="137" t="n">
        <f>VLOOKUP(A5, $A$2:$BQ$1048576, MATCH(_xlfn.CONCAT("Week ",Games!$A$7), Elo!$A$1:$BQ$1, 0), FALSE)</f>
        <v>1972.8701292461001</v>
      </c>
      <c r="D5" s="137" t="n">
        <f t="shared" si="0"/>
        <v>4</v>
      </c>
      <c r="E5" s="137" t="n">
        <v>1972.8701292461001</v>
      </c>
      <c r="F5" s="123" t="n">
        <v>4</v>
      </c>
      <c r="G5" s="137" t="n">
        <v>1972.8701292461001</v>
      </c>
      <c r="H5" s="123" t="n">
        <v>4</v>
      </c>
      <c r="I5" s="137" t="n">
        <v>1972.8701292461001</v>
      </c>
      <c r="J5" s="137" t="n">
        <f t="shared" si="6"/>
        <v>0</v>
      </c>
      <c r="K5" s="123" t="n">
        <f t="shared" si="1"/>
        <v>4</v>
      </c>
      <c r="L5" s="137" t="n">
        <f>IF(AND(COUNTIF(Games!$B$2:$B$101, Elo!$A5)=0,COUNTIF(Games!$C$2:$C$101, Elo!$A5)=0), I5, IF(COUNTIF(Games!$B$2:$B$101, Elo!$A5)&gt;0, VLOOKUP(Elo!$A5, Games!$B$2:$AN$101, MATCH("New Home Elo", Games!$B$1:$AN$1, 0), FALSE), IF(COUNTIF(Games!$C$2:$C$101, Elo!$A5)&gt;0, VLOOKUP(Elo!$A5, Games!$C$2:$AO$101, MATCH("New Away Elo", Games!$C$1:$AO$1, 0), FALSE), I5)))</f>
        <v>1984.6016140387012</v>
      </c>
      <c r="M5" s="137" t="n">
        <f t="shared" si="7"/>
        <v>11.731484792601123</v>
      </c>
      <c r="N5" s="123" t="n">
        <f t="shared" si="2"/>
        <v>6</v>
      </c>
      <c r="O5" s="137" t="n">
        <f>IF(AND(COUNTIF(Games!$B$2:$B$101, Elo!$A5)=0,COUNTIF(Games!$C$2:$C$101, Elo!$A5)=0), L5, IF(COUNTIF(Games!$B$2:$B$101, Elo!$A5)&gt;0, VLOOKUP(Elo!$A5, Games!$B$2:$AN$101, MATCH("New Home Elo", Games!$B$1:$AN$1, 0), FALSE), IF(COUNTIF(Games!$C$2:$C$101, Elo!$A5)&gt;0, VLOOKUP(Elo!$A5, Games!$C$2:$AO$101, MATCH("New Away Elo", Games!$C$1:$AO$1, 0), FALSE), L5)))</f>
        <v>1984.6016140387012</v>
      </c>
      <c r="P5" s="137" t="n">
        <f t="shared" si="8"/>
        <v>0</v>
      </c>
      <c r="Q5" s="123" t="n">
        <f t="shared" si="3"/>
        <v>6</v>
      </c>
      <c r="R5" s="137" t="n">
        <f>IF(AND(COUNTIF(Games!$B$2:$B$101, Elo!$A5)=0,COUNTIF(Games!$C$2:$C$101, Elo!$A5)=0), O5, IF(COUNTIF(Games!$B$2:$B$101, Elo!$A5)&gt;0, VLOOKUP(Elo!$A5, Games!$B$2:$AN$101, MATCH("New Home Elo", Games!$B$1:$AN$1, 0), FALSE), IF(COUNTIF(Games!$C$2:$C$101, Elo!$A5)&gt;0, VLOOKUP(Elo!$A5, Games!$C$2:$AO$101, MATCH("New Away Elo", Games!$C$1:$AO$1, 0), FALSE), O5)))</f>
        <v>1984.6016140387012</v>
      </c>
      <c r="S5" s="137" t="n">
        <f t="shared" si="9"/>
        <v>0</v>
      </c>
      <c r="T5" s="123" t="n">
        <f t="shared" si="4"/>
        <v>6</v>
      </c>
      <c r="U5" s="137" t="n">
        <f>IF(AND(COUNTIF(Games!$B$2:$B$101, Elo!$A5)=0,COUNTIF(Games!$C$2:$C$101, Elo!$A5)=0), R5, IF(COUNTIF(Games!$B$2:$B$101, Elo!$A5)&gt;0, VLOOKUP(Elo!$A5, Games!$B$2:$AN$101, MATCH("New Home Elo", Games!$B$1:$AN$1, 0), FALSE), IF(COUNTIF(Games!$C$2:$C$101, Elo!$A5)&gt;0, VLOOKUP(Elo!$A5, Games!$C$2:$AO$101, MATCH("New Away Elo", Games!$C$1:$AO$1, 0), FALSE), R5)))</f>
        <v>1984.6016140387012</v>
      </c>
      <c r="V5" s="137" t="n">
        <f t="shared" si="10"/>
        <v>0</v>
      </c>
      <c r="W5" s="123" t="n">
        <f t="shared" si="5"/>
        <v>6</v>
      </c>
    </row>
    <row r="6">
      <c r="A6" s="1" t="s">
        <v>114</v>
      </c>
      <c r="B6" s="1" t="s">
        <v>111</v>
      </c>
      <c r="C6" s="137" t="n">
        <f>VLOOKUP(A6, $A$2:$BQ$1048576, MATCH(_xlfn.CONCAT("Week ",Games!$A$7), Elo!$A$1:$BQ$1, 0), FALSE)</f>
        <v>1946.3140758110801</v>
      </c>
      <c r="D6" s="137" t="n">
        <f t="shared" si="0"/>
        <v>5</v>
      </c>
      <c r="E6" s="137" t="n">
        <v>1946.3140758110801</v>
      </c>
      <c r="F6" s="123" t="n">
        <v>5</v>
      </c>
      <c r="G6" s="137" t="n">
        <v>1946.3140758110801</v>
      </c>
      <c r="H6" s="123" t="n">
        <v>5</v>
      </c>
      <c r="I6" s="137" t="n">
        <v>1946.3140758110801</v>
      </c>
      <c r="J6" s="137" t="n">
        <f t="shared" si="6"/>
        <v>0</v>
      </c>
      <c r="K6" s="123" t="n">
        <f t="shared" si="1"/>
        <v>5</v>
      </c>
      <c r="L6" s="137" t="n">
        <f>IF(AND(COUNTIF(Games!$B$2:$B$101, Elo!$A6)=0,COUNTIF(Games!$C$2:$C$101, Elo!$A6)=0), I6, IF(COUNTIF(Games!$B$2:$B$101, Elo!$A6)&gt;0, VLOOKUP(Elo!$A6, Games!$B$2:$AN$101, MATCH("New Home Elo", Games!$B$1:$AN$1, 0), FALSE), IF(COUNTIF(Games!$C$2:$C$101, Elo!$A6)&gt;0, VLOOKUP(Elo!$A6, Games!$C$2:$AO$101, MATCH("New Away Elo", Games!$C$1:$AO$1, 0), FALSE), I6)))</f>
        <v>1987.6263451065108</v>
      </c>
      <c r="M6" s="137" t="n">
        <f t="shared" si="7"/>
        <v>41.312269295430724</v>
      </c>
      <c r="N6" s="123" t="n">
        <f t="shared" si="2"/>
        <v>5</v>
      </c>
      <c r="O6" s="137" t="n">
        <f>IF(AND(COUNTIF(Games!$B$2:$B$101, Elo!$A6)=0,COUNTIF(Games!$C$2:$C$101, Elo!$A6)=0), L6, IF(COUNTIF(Games!$B$2:$B$101, Elo!$A6)&gt;0, VLOOKUP(Elo!$A6, Games!$B$2:$AN$101, MATCH("New Home Elo", Games!$B$1:$AN$1, 0), FALSE), IF(COUNTIF(Games!$C$2:$C$101, Elo!$A6)&gt;0, VLOOKUP(Elo!$A6, Games!$C$2:$AO$101, MATCH("New Away Elo", Games!$C$1:$AO$1, 0), FALSE), L6)))</f>
        <v>1987.6263451065108</v>
      </c>
      <c r="P6" s="137" t="n">
        <f t="shared" si="8"/>
        <v>0</v>
      </c>
      <c r="Q6" s="123" t="n">
        <f t="shared" si="3"/>
        <v>5</v>
      </c>
      <c r="R6" s="137" t="n">
        <f>IF(AND(COUNTIF(Games!$B$2:$B$101, Elo!$A6)=0,COUNTIF(Games!$C$2:$C$101, Elo!$A6)=0), O6, IF(COUNTIF(Games!$B$2:$B$101, Elo!$A6)&gt;0, VLOOKUP(Elo!$A6, Games!$B$2:$AN$101, MATCH("New Home Elo", Games!$B$1:$AN$1, 0), FALSE), IF(COUNTIF(Games!$C$2:$C$101, Elo!$A6)&gt;0, VLOOKUP(Elo!$A6, Games!$C$2:$AO$101, MATCH("New Away Elo", Games!$C$1:$AO$1, 0), FALSE), O6)))</f>
        <v>1987.6263451065108</v>
      </c>
      <c r="S6" s="137" t="n">
        <f t="shared" si="9"/>
        <v>0</v>
      </c>
      <c r="T6" s="123" t="n">
        <f t="shared" si="4"/>
        <v>5</v>
      </c>
      <c r="U6" s="137" t="n">
        <f>IF(AND(COUNTIF(Games!$B$2:$B$101, Elo!$A6)=0,COUNTIF(Games!$C$2:$C$101, Elo!$A6)=0), R6, IF(COUNTIF(Games!$B$2:$B$101, Elo!$A6)&gt;0, VLOOKUP(Elo!$A6, Games!$B$2:$AN$101, MATCH("New Home Elo", Games!$B$1:$AN$1, 0), FALSE), IF(COUNTIF(Games!$C$2:$C$101, Elo!$A6)&gt;0, VLOOKUP(Elo!$A6, Games!$C$2:$AO$101, MATCH("New Away Elo", Games!$C$1:$AO$1, 0), FALSE), R6)))</f>
        <v>1987.6263451065108</v>
      </c>
      <c r="V6" s="137" t="n">
        <f t="shared" si="10"/>
        <v>0</v>
      </c>
      <c r="W6" s="123" t="n">
        <f t="shared" si="5"/>
        <v>5</v>
      </c>
    </row>
    <row r="7">
      <c r="A7" s="1" t="s">
        <v>115</v>
      </c>
      <c r="B7" s="1" t="s">
        <v>109</v>
      </c>
      <c r="C7" s="137" t="n">
        <f>VLOOKUP(A7, $A$2:$BQ$1048576, MATCH(_xlfn.CONCAT("Week ",Games!$A$7), Elo!$A$1:$BQ$1, 0), FALSE)</f>
        <v>1929.8903193317799</v>
      </c>
      <c r="D7" s="137" t="n">
        <f t="shared" si="0"/>
        <v>6</v>
      </c>
      <c r="E7" s="137" t="n">
        <v>1929.8903193317799</v>
      </c>
      <c r="F7" s="123" t="n">
        <v>6</v>
      </c>
      <c r="G7" s="137" t="n">
        <v>1929.8903193317799</v>
      </c>
      <c r="H7" s="123" t="n">
        <v>6</v>
      </c>
      <c r="I7" s="137" t="n">
        <v>1929.8903193317799</v>
      </c>
      <c r="J7" s="137" t="n">
        <f t="shared" si="6"/>
        <v>0</v>
      </c>
      <c r="K7" s="123" t="n">
        <f t="shared" si="1"/>
        <v>6</v>
      </c>
      <c r="L7" s="137" t="n">
        <f>IF(AND(COUNTIF(Games!$B$2:$B$101, Elo!$A7)=0,COUNTIF(Games!$C$2:$C$101, Elo!$A7)=0), I7, IF(COUNTIF(Games!$B$2:$B$101, Elo!$A7)&gt;0, VLOOKUP(Elo!$A7, Games!$B$2:$AN$101, MATCH("New Home Elo", Games!$B$1:$AN$1, 0), FALSE), IF(COUNTIF(Games!$C$2:$C$101, Elo!$A7)&gt;0, VLOOKUP(Elo!$A7, Games!$C$2:$AO$101, MATCH("New Away Elo", Games!$C$1:$AO$1, 0), FALSE), I7)))</f>
        <v>1938.4802054339377</v>
      </c>
      <c r="M7" s="137" t="n">
        <f t="shared" si="7"/>
        <v>8.5898861021578341</v>
      </c>
      <c r="N7" s="123" t="n">
        <f t="shared" si="2"/>
        <v>7</v>
      </c>
      <c r="O7" s="137" t="n">
        <f>IF(AND(COUNTIF(Games!$B$2:$B$101, Elo!$A7)=0,COUNTIF(Games!$C$2:$C$101, Elo!$A7)=0), L7, IF(COUNTIF(Games!$B$2:$B$101, Elo!$A7)&gt;0, VLOOKUP(Elo!$A7, Games!$B$2:$AN$101, MATCH("New Home Elo", Games!$B$1:$AN$1, 0), FALSE), IF(COUNTIF(Games!$C$2:$C$101, Elo!$A7)&gt;0, VLOOKUP(Elo!$A7, Games!$C$2:$AO$101, MATCH("New Away Elo", Games!$C$1:$AO$1, 0), FALSE), L7)))</f>
        <v>1938.4802054339377</v>
      </c>
      <c r="P7" s="137" t="n">
        <f t="shared" si="8"/>
        <v>0</v>
      </c>
      <c r="Q7" s="123" t="n">
        <f t="shared" si="3"/>
        <v>7</v>
      </c>
      <c r="R7" s="137" t="n">
        <f>IF(AND(COUNTIF(Games!$B$2:$B$101, Elo!$A7)=0,COUNTIF(Games!$C$2:$C$101, Elo!$A7)=0), O7, IF(COUNTIF(Games!$B$2:$B$101, Elo!$A7)&gt;0, VLOOKUP(Elo!$A7, Games!$B$2:$AN$101, MATCH("New Home Elo", Games!$B$1:$AN$1, 0), FALSE), IF(COUNTIF(Games!$C$2:$C$101, Elo!$A7)&gt;0, VLOOKUP(Elo!$A7, Games!$C$2:$AO$101, MATCH("New Away Elo", Games!$C$1:$AO$1, 0), FALSE), O7)))</f>
        <v>1938.4802054339377</v>
      </c>
      <c r="S7" s="137" t="n">
        <f t="shared" si="9"/>
        <v>0</v>
      </c>
      <c r="T7" s="123" t="n">
        <f t="shared" si="4"/>
        <v>7</v>
      </c>
      <c r="U7" s="137" t="n">
        <f>IF(AND(COUNTIF(Games!$B$2:$B$101, Elo!$A7)=0,COUNTIF(Games!$C$2:$C$101, Elo!$A7)=0), R7, IF(COUNTIF(Games!$B$2:$B$101, Elo!$A7)&gt;0, VLOOKUP(Elo!$A7, Games!$B$2:$AN$101, MATCH("New Home Elo", Games!$B$1:$AN$1, 0), FALSE), IF(COUNTIF(Games!$C$2:$C$101, Elo!$A7)&gt;0, VLOOKUP(Elo!$A7, Games!$C$2:$AO$101, MATCH("New Away Elo", Games!$C$1:$AO$1, 0), FALSE), R7)))</f>
        <v>1938.4802054339377</v>
      </c>
      <c r="V7" s="137" t="n">
        <f t="shared" si="10"/>
        <v>0</v>
      </c>
      <c r="W7" s="123" t="n">
        <f t="shared" si="5"/>
        <v>7</v>
      </c>
    </row>
    <row r="8">
      <c r="A8" s="1" t="s">
        <v>116</v>
      </c>
      <c r="B8" s="1" t="s">
        <v>117</v>
      </c>
      <c r="C8" s="137" t="n">
        <f>VLOOKUP(A8, $A$2:$BQ$1048576, MATCH(_xlfn.CONCAT("Week ",Games!$A$7), Elo!$A$1:$BQ$1, 0), FALSE)</f>
        <v>1926.89583775185</v>
      </c>
      <c r="D8" s="137" t="n">
        <f t="shared" si="0"/>
        <v>7</v>
      </c>
      <c r="E8" s="137" t="n">
        <v>1926.89583775185</v>
      </c>
      <c r="F8" s="123" t="n">
        <v>7</v>
      </c>
      <c r="G8" s="137" t="n">
        <v>1926.89583775185</v>
      </c>
      <c r="H8" s="123" t="n">
        <v>7</v>
      </c>
      <c r="I8" s="137" t="n">
        <v>1926.89583775185</v>
      </c>
      <c r="J8" s="137" t="n">
        <f t="shared" si="6"/>
        <v>0</v>
      </c>
      <c r="K8" s="123" t="n">
        <f t="shared" si="1"/>
        <v>7</v>
      </c>
      <c r="L8" s="137" t="n">
        <f>IF(AND(COUNTIF(Games!$B$2:$B$101, Elo!$A8)=0,COUNTIF(Games!$C$2:$C$101, Elo!$A8)=0), I8, IF(COUNTIF(Games!$B$2:$B$101, Elo!$A8)&gt;0, VLOOKUP(Elo!$A8, Games!$B$2:$AN$101, MATCH("New Home Elo", Games!$B$1:$AN$1, 0), FALSE), IF(COUNTIF(Games!$C$2:$C$101, Elo!$A8)&gt;0, VLOOKUP(Elo!$A8, Games!$C$2:$AO$101, MATCH("New Away Elo", Games!$C$1:$AO$1, 0), FALSE), I8)))</f>
        <v>2015.3788485453738</v>
      </c>
      <c r="M8" s="137" t="n">
        <f t="shared" si="7"/>
        <v>88.483010793523817</v>
      </c>
      <c r="N8" s="123" t="n">
        <f t="shared" si="2"/>
        <v>2</v>
      </c>
      <c r="O8" s="137" t="n">
        <f>IF(AND(COUNTIF(Games!$B$2:$B$101, Elo!$A8)=0,COUNTIF(Games!$C$2:$C$101, Elo!$A8)=0), L8, IF(COUNTIF(Games!$B$2:$B$101, Elo!$A8)&gt;0, VLOOKUP(Elo!$A8, Games!$B$2:$AN$101, MATCH("New Home Elo", Games!$B$1:$AN$1, 0), FALSE), IF(COUNTIF(Games!$C$2:$C$101, Elo!$A8)&gt;0, VLOOKUP(Elo!$A8, Games!$C$2:$AO$101, MATCH("New Away Elo", Games!$C$1:$AO$1, 0), FALSE), L8)))</f>
        <v>2015.3788485453738</v>
      </c>
      <c r="P8" s="137" t="n">
        <f t="shared" si="8"/>
        <v>0</v>
      </c>
      <c r="Q8" s="123" t="n">
        <f t="shared" si="3"/>
        <v>2</v>
      </c>
      <c r="R8" s="137" t="n">
        <f>IF(AND(COUNTIF(Games!$B$2:$B$101, Elo!$A8)=0,COUNTIF(Games!$C$2:$C$101, Elo!$A8)=0), O8, IF(COUNTIF(Games!$B$2:$B$101, Elo!$A8)&gt;0, VLOOKUP(Elo!$A8, Games!$B$2:$AN$101, MATCH("New Home Elo", Games!$B$1:$AN$1, 0), FALSE), IF(COUNTIF(Games!$C$2:$C$101, Elo!$A8)&gt;0, VLOOKUP(Elo!$A8, Games!$C$2:$AO$101, MATCH("New Away Elo", Games!$C$1:$AO$1, 0), FALSE), O8)))</f>
        <v>2015.3788485453738</v>
      </c>
      <c r="S8" s="137" t="n">
        <f t="shared" si="9"/>
        <v>0</v>
      </c>
      <c r="T8" s="123" t="n">
        <f t="shared" si="4"/>
        <v>2</v>
      </c>
      <c r="U8" s="137" t="n">
        <f>IF(AND(COUNTIF(Games!$B$2:$B$101, Elo!$A8)=0,COUNTIF(Games!$C$2:$C$101, Elo!$A8)=0), R8, IF(COUNTIF(Games!$B$2:$B$101, Elo!$A8)&gt;0, VLOOKUP(Elo!$A8, Games!$B$2:$AN$101, MATCH("New Home Elo", Games!$B$1:$AN$1, 0), FALSE), IF(COUNTIF(Games!$C$2:$C$101, Elo!$A8)&gt;0, VLOOKUP(Elo!$A8, Games!$C$2:$AO$101, MATCH("New Away Elo", Games!$C$1:$AO$1, 0), FALSE), R8)))</f>
        <v>2015.3788485453738</v>
      </c>
      <c r="V8" s="137" t="n">
        <f t="shared" si="10"/>
        <v>0</v>
      </c>
      <c r="W8" s="123" t="n">
        <f t="shared" si="5"/>
        <v>2</v>
      </c>
    </row>
    <row r="9">
      <c r="A9" s="1" t="s">
        <v>118</v>
      </c>
      <c r="B9" s="1" t="s">
        <v>111</v>
      </c>
      <c r="C9" s="137" t="n">
        <f>VLOOKUP(A9, $A$2:$BQ$1048576, MATCH(_xlfn.CONCAT("Week ",Games!$A$7), Elo!$A$1:$BQ$1, 0), FALSE)</f>
        <v>1904.8904941309299</v>
      </c>
      <c r="D9" s="137" t="n">
        <f t="shared" si="0"/>
        <v>8</v>
      </c>
      <c r="E9" s="137" t="n">
        <v>1904.8904941309299</v>
      </c>
      <c r="F9" s="123" t="n">
        <v>8</v>
      </c>
      <c r="G9" s="137" t="n">
        <v>1904.8904941309299</v>
      </c>
      <c r="H9" s="123" t="n">
        <v>8</v>
      </c>
      <c r="I9" s="137" t="n">
        <v>1904.8904941309299</v>
      </c>
      <c r="J9" s="137" t="n">
        <f t="shared" si="6"/>
        <v>0</v>
      </c>
      <c r="K9" s="123" t="n">
        <f t="shared" si="1"/>
        <v>8</v>
      </c>
      <c r="L9" s="137" t="n">
        <f>IF(AND(COUNTIF(Games!$B$2:$B$101, Elo!$A9)=0,COUNTIF(Games!$C$2:$C$101, Elo!$A9)=0), I9, IF(COUNTIF(Games!$B$2:$B$101, Elo!$A9)&gt;0, VLOOKUP(Elo!$A9, Games!$B$2:$AN$101, MATCH("New Home Elo", Games!$B$1:$AN$1, 0), FALSE), IF(COUNTIF(Games!$C$2:$C$101, Elo!$A9)&gt;0, VLOOKUP(Elo!$A9, Games!$C$2:$AO$101, MATCH("New Away Elo", Games!$C$1:$AO$1, 0), FALSE), I9)))</f>
        <v>1907.6661276762895</v>
      </c>
      <c r="M9" s="137" t="n">
        <f t="shared" si="7"/>
        <v>2.7756335453595966</v>
      </c>
      <c r="N9" s="123" t="n">
        <f t="shared" si="2"/>
        <v>8</v>
      </c>
      <c r="O9" s="137" t="n">
        <f>IF(AND(COUNTIF(Games!$B$2:$B$101, Elo!$A9)=0,COUNTIF(Games!$C$2:$C$101, Elo!$A9)=0), L9, IF(COUNTIF(Games!$B$2:$B$101, Elo!$A9)&gt;0, VLOOKUP(Elo!$A9, Games!$B$2:$AN$101, MATCH("New Home Elo", Games!$B$1:$AN$1, 0), FALSE), IF(COUNTIF(Games!$C$2:$C$101, Elo!$A9)&gt;0, VLOOKUP(Elo!$A9, Games!$C$2:$AO$101, MATCH("New Away Elo", Games!$C$1:$AO$1, 0), FALSE), L9)))</f>
        <v>1907.6661276762895</v>
      </c>
      <c r="P9" s="137" t="n">
        <f t="shared" si="8"/>
        <v>0</v>
      </c>
      <c r="Q9" s="123" t="n">
        <f t="shared" si="3"/>
        <v>8</v>
      </c>
      <c r="R9" s="137" t="n">
        <f>IF(AND(COUNTIF(Games!$B$2:$B$101, Elo!$A9)=0,COUNTIF(Games!$C$2:$C$101, Elo!$A9)=0), O9, IF(COUNTIF(Games!$B$2:$B$101, Elo!$A9)&gt;0, VLOOKUP(Elo!$A9, Games!$B$2:$AN$101, MATCH("New Home Elo", Games!$B$1:$AN$1, 0), FALSE), IF(COUNTIF(Games!$C$2:$C$101, Elo!$A9)&gt;0, VLOOKUP(Elo!$A9, Games!$C$2:$AO$101, MATCH("New Away Elo", Games!$C$1:$AO$1, 0), FALSE), O9)))</f>
        <v>1907.6661276762895</v>
      </c>
      <c r="S9" s="137" t="n">
        <f t="shared" si="9"/>
        <v>0</v>
      </c>
      <c r="T9" s="123" t="n">
        <f t="shared" si="4"/>
        <v>8</v>
      </c>
      <c r="U9" s="137" t="n">
        <f>IF(AND(COUNTIF(Games!$B$2:$B$101, Elo!$A9)=0,COUNTIF(Games!$C$2:$C$101, Elo!$A9)=0), R9, IF(COUNTIF(Games!$B$2:$B$101, Elo!$A9)&gt;0, VLOOKUP(Elo!$A9, Games!$B$2:$AN$101, MATCH("New Home Elo", Games!$B$1:$AN$1, 0), FALSE), IF(COUNTIF(Games!$C$2:$C$101, Elo!$A9)&gt;0, VLOOKUP(Elo!$A9, Games!$C$2:$AO$101, MATCH("New Away Elo", Games!$C$1:$AO$1, 0), FALSE), R9)))</f>
        <v>1907.6661276762895</v>
      </c>
      <c r="V9" s="137" t="n">
        <f t="shared" si="10"/>
        <v>0</v>
      </c>
      <c r="W9" s="123" t="n">
        <f t="shared" si="5"/>
        <v>8</v>
      </c>
    </row>
    <row r="10">
      <c r="A10" s="1" t="s">
        <v>119</v>
      </c>
      <c r="B10" s="1" t="s">
        <v>109</v>
      </c>
      <c r="C10" s="137" t="n">
        <f>VLOOKUP(A10, $A$2:$BQ$1048576, MATCH(_xlfn.CONCAT("Week ",Games!$A$7), Elo!$A$1:$BQ$1, 0), FALSE)</f>
        <v>1901.54040519861</v>
      </c>
      <c r="D10" s="137" t="n">
        <f t="shared" si="0"/>
        <v>9</v>
      </c>
      <c r="E10" s="137" t="n">
        <v>1901.54040519861</v>
      </c>
      <c r="F10" s="123" t="n">
        <v>9</v>
      </c>
      <c r="G10" s="137" t="n">
        <v>1901.54040519861</v>
      </c>
      <c r="H10" s="123" t="n">
        <v>9</v>
      </c>
      <c r="I10" s="137" t="n">
        <v>1901.54040519861</v>
      </c>
      <c r="J10" s="137" t="n">
        <f t="shared" si="6"/>
        <v>0</v>
      </c>
      <c r="K10" s="123" t="n">
        <f t="shared" si="1"/>
        <v>9</v>
      </c>
      <c r="L10" s="137" t="n">
        <f>IF(AND(COUNTIF(Games!$B$2:$B$101, Elo!$A10)=0,COUNTIF(Games!$C$2:$C$101, Elo!$A10)=0), I10, IF(COUNTIF(Games!$B$2:$B$101, Elo!$A10)&gt;0, VLOOKUP(Elo!$A10, Games!$B$2:$AN$101, MATCH("New Home Elo", Games!$B$1:$AN$1, 0), FALSE), IF(COUNTIF(Games!$C$2:$C$101, Elo!$A10)&gt;0, VLOOKUP(Elo!$A10, Games!$C$2:$AO$101, MATCH("New Away Elo", Games!$C$1:$AO$1, 0), FALSE), I10)))</f>
        <v>1902.1003662580799</v>
      </c>
      <c r="M10" s="137" t="n">
        <f>L10-I10</f>
        <v>0.55996105946996977</v>
      </c>
      <c r="N10" s="123" t="n">
        <f t="shared" si="2"/>
        <v>9</v>
      </c>
      <c r="O10" s="137" t="n">
        <f>IF(AND(COUNTIF(Games!$B$2:$B$101, Elo!$A10)=0,COUNTIF(Games!$C$2:$C$101, Elo!$A10)=0), L10, IF(COUNTIF(Games!$B$2:$B$101, Elo!$A10)&gt;0, VLOOKUP(Elo!$A10, Games!$B$2:$AN$101, MATCH("New Home Elo", Games!$B$1:$AN$1, 0), FALSE), IF(COUNTIF(Games!$C$2:$C$101, Elo!$A10)&gt;0, VLOOKUP(Elo!$A10, Games!$C$2:$AO$101, MATCH("New Away Elo", Games!$C$1:$AO$1, 0), FALSE), L10)))</f>
        <v>1902.1003662580799</v>
      </c>
      <c r="P10" s="137" t="n">
        <f>O10-L10</f>
        <v>0</v>
      </c>
      <c r="Q10" s="123" t="n">
        <f t="shared" si="3"/>
        <v>9</v>
      </c>
      <c r="R10" s="137" t="n">
        <f>IF(AND(COUNTIF(Games!$B$2:$B$101, Elo!$A10)=0,COUNTIF(Games!$C$2:$C$101, Elo!$A10)=0), O10, IF(COUNTIF(Games!$B$2:$B$101, Elo!$A10)&gt;0, VLOOKUP(Elo!$A10, Games!$B$2:$AN$101, MATCH("New Home Elo", Games!$B$1:$AN$1, 0), FALSE), IF(COUNTIF(Games!$C$2:$C$101, Elo!$A10)&gt;0, VLOOKUP(Elo!$A10, Games!$C$2:$AO$101, MATCH("New Away Elo", Games!$C$1:$AO$1, 0), FALSE), O10)))</f>
        <v>1902.1003662580799</v>
      </c>
      <c r="S10" s="137" t="n">
        <f>R10-O10</f>
        <v>0</v>
      </c>
      <c r="T10" s="123" t="n">
        <f t="shared" si="4"/>
        <v>9</v>
      </c>
      <c r="U10" s="137" t="n">
        <f>IF(AND(COUNTIF(Games!$B$2:$B$101, Elo!$A10)=0,COUNTIF(Games!$C$2:$C$101, Elo!$A10)=0), R10, IF(COUNTIF(Games!$B$2:$B$101, Elo!$A10)&gt;0, VLOOKUP(Elo!$A10, Games!$B$2:$AN$101, MATCH("New Home Elo", Games!$B$1:$AN$1, 0), FALSE), IF(COUNTIF(Games!$C$2:$C$101, Elo!$A10)&gt;0, VLOOKUP(Elo!$A10, Games!$C$2:$AO$101, MATCH("New Away Elo", Games!$C$1:$AO$1, 0), FALSE), R10)))</f>
        <v>1902.1003662580799</v>
      </c>
      <c r="V10" s="137" t="n">
        <f>U10-R10</f>
        <v>0</v>
      </c>
      <c r="W10" s="123" t="n">
        <f t="shared" si="5"/>
        <v>9</v>
      </c>
    </row>
    <row r="11">
      <c r="A11" s="1" t="s">
        <v>120</v>
      </c>
      <c r="B11" s="1" t="s">
        <v>109</v>
      </c>
      <c r="C11" s="137" t="n">
        <f>VLOOKUP(A11, $A$2:$BQ$1048576, MATCH(_xlfn.CONCAT("Week ",Games!$A$7), Elo!$A$1:$BQ$1, 0), FALSE)</f>
        <v>1881.6808464527301</v>
      </c>
      <c r="D11" s="137" t="n">
        <f t="shared" si="0"/>
        <v>10</v>
      </c>
      <c r="E11" s="137" t="n">
        <v>1881.6808464527301</v>
      </c>
      <c r="F11" s="123" t="n">
        <v>10</v>
      </c>
      <c r="G11" s="137" t="n">
        <v>1881.6808464527301</v>
      </c>
      <c r="H11" s="123" t="n">
        <v>10</v>
      </c>
      <c r="I11" s="137" t="n">
        <v>1881.6808464527301</v>
      </c>
      <c r="J11" s="137" t="n">
        <f t="shared" si="6"/>
        <v>0</v>
      </c>
      <c r="K11" s="123" t="n">
        <f t="shared" si="1"/>
        <v>10</v>
      </c>
      <c r="L11" s="137" t="n">
        <f>IF(AND(COUNTIF(Games!$B$2:$B$101, Elo!$A11)=0,COUNTIF(Games!$C$2:$C$101, Elo!$A11)=0), I11, IF(COUNTIF(Games!$B$2:$B$101, Elo!$A11)&gt;0, VLOOKUP(Elo!$A11, Games!$B$2:$AN$101, MATCH("New Home Elo", Games!$B$1:$AN$1, 0), FALSE), IF(COUNTIF(Games!$C$2:$C$101, Elo!$A11)&gt;0, VLOOKUP(Elo!$A11, Games!$C$2:$AO$101, MATCH("New Away Elo", Games!$C$1:$AO$1, 0), FALSE), I11)))</f>
        <v>1883.2928512620981</v>
      </c>
      <c r="M11" s="137" t="n">
        <f>L11-I11</f>
        <v>1.6120048093680452</v>
      </c>
      <c r="N11" s="123" t="n">
        <f t="shared" si="2"/>
        <v>10</v>
      </c>
      <c r="O11" s="137" t="n">
        <f>IF(AND(COUNTIF(Games!$B$2:$B$101, Elo!$A11)=0,COUNTIF(Games!$C$2:$C$101, Elo!$A11)=0), L11, IF(COUNTIF(Games!$B$2:$B$101, Elo!$A11)&gt;0, VLOOKUP(Elo!$A11, Games!$B$2:$AN$101, MATCH("New Home Elo", Games!$B$1:$AN$1, 0), FALSE), IF(COUNTIF(Games!$C$2:$C$101, Elo!$A11)&gt;0, VLOOKUP(Elo!$A11, Games!$C$2:$AO$101, MATCH("New Away Elo", Games!$C$1:$AO$1, 0), FALSE), L11)))</f>
        <v>1883.2928512620981</v>
      </c>
      <c r="P11" s="137" t="n">
        <f>O11-L11</f>
        <v>0</v>
      </c>
      <c r="Q11" s="123" t="n">
        <f t="shared" si="3"/>
        <v>10</v>
      </c>
      <c r="R11" s="137" t="n">
        <f>IF(AND(COUNTIF(Games!$B$2:$B$101, Elo!$A11)=0,COUNTIF(Games!$C$2:$C$101, Elo!$A11)=0), O11, IF(COUNTIF(Games!$B$2:$B$101, Elo!$A11)&gt;0, VLOOKUP(Elo!$A11, Games!$B$2:$AN$101, MATCH("New Home Elo", Games!$B$1:$AN$1, 0), FALSE), IF(COUNTIF(Games!$C$2:$C$101, Elo!$A11)&gt;0, VLOOKUP(Elo!$A11, Games!$C$2:$AO$101, MATCH("New Away Elo", Games!$C$1:$AO$1, 0), FALSE), O11)))</f>
        <v>1883.2928512620981</v>
      </c>
      <c r="S11" s="137" t="n">
        <f>R11-O11</f>
        <v>0</v>
      </c>
      <c r="T11" s="123" t="n">
        <f t="shared" si="4"/>
        <v>10</v>
      </c>
      <c r="U11" s="137" t="n">
        <f>IF(AND(COUNTIF(Games!$B$2:$B$101, Elo!$A11)=0,COUNTIF(Games!$C$2:$C$101, Elo!$A11)=0), R11, IF(COUNTIF(Games!$B$2:$B$101, Elo!$A11)&gt;0, VLOOKUP(Elo!$A11, Games!$B$2:$AN$101, MATCH("New Home Elo", Games!$B$1:$AN$1, 0), FALSE), IF(COUNTIF(Games!$C$2:$C$101, Elo!$A11)&gt;0, VLOOKUP(Elo!$A11, Games!$C$2:$AO$101, MATCH("New Away Elo", Games!$C$1:$AO$1, 0), FALSE), R11)))</f>
        <v>1883.2928512620981</v>
      </c>
      <c r="V11" s="137" t="n">
        <f>U11-R11</f>
        <v>0</v>
      </c>
      <c r="W11" s="123" t="n">
        <f t="shared" si="5"/>
        <v>10</v>
      </c>
    </row>
    <row r="12">
      <c r="A12" s="1" t="s">
        <v>121</v>
      </c>
      <c r="B12" s="1" t="s">
        <v>122</v>
      </c>
      <c r="C12" s="137" t="n">
        <f>VLOOKUP(A12, $A$2:$BQ$1048576, MATCH(_xlfn.CONCAT("Week ",Games!$A$7), Elo!$A$1:$BQ$1, 0), FALSE)</f>
        <v>1854.1926415027201</v>
      </c>
      <c r="D12" s="137" t="n">
        <f t="shared" si="0"/>
        <v>11</v>
      </c>
      <c r="E12" s="137" t="n">
        <v>1854.1926415027201</v>
      </c>
      <c r="F12" s="123" t="n">
        <v>11</v>
      </c>
      <c r="G12" s="137" t="n">
        <v>1854.1926415027201</v>
      </c>
      <c r="H12" s="123" t="n">
        <v>11</v>
      </c>
      <c r="I12" s="137" t="n">
        <v>1854.1926415027201</v>
      </c>
      <c r="J12" s="137" t="n">
        <f t="shared" si="6"/>
        <v>0</v>
      </c>
      <c r="K12" s="123" t="n">
        <f t="shared" si="1"/>
        <v>11</v>
      </c>
      <c r="L12" s="137" t="n">
        <f>IF(AND(COUNTIF(Games!$B$2:$B$101, Elo!$A12)=0,COUNTIF(Games!$C$2:$C$101, Elo!$A12)=0), I12, IF(COUNTIF(Games!$B$2:$B$101, Elo!$A12)&gt;0, VLOOKUP(Elo!$A12, Games!$B$2:$AN$101, MATCH("New Home Elo", Games!$B$1:$AN$1, 0), FALSE), IF(COUNTIF(Games!$C$2:$C$101, Elo!$A12)&gt;0, VLOOKUP(Elo!$A12, Games!$C$2:$AO$101, MATCH("New Away Elo", Games!$C$1:$AO$1, 0), FALSE), I12)))</f>
        <v>1856.0349893699124</v>
      </c>
      <c r="M12" s="137" t="n">
        <f t="shared" si="7"/>
        <v>1.8423478671923021</v>
      </c>
      <c r="N12" s="123" t="n">
        <f t="shared" si="2"/>
        <v>11</v>
      </c>
      <c r="O12" s="137" t="n">
        <f>IF(AND(COUNTIF(Games!$B$2:$B$101, Elo!$A12)=0,COUNTIF(Games!$C$2:$C$101, Elo!$A12)=0), L12, IF(COUNTIF(Games!$B$2:$B$101, Elo!$A12)&gt;0, VLOOKUP(Elo!$A12, Games!$B$2:$AN$101, MATCH("New Home Elo", Games!$B$1:$AN$1, 0), FALSE), IF(COUNTIF(Games!$C$2:$C$101, Elo!$A12)&gt;0, VLOOKUP(Elo!$A12, Games!$C$2:$AO$101, MATCH("New Away Elo", Games!$C$1:$AO$1, 0), FALSE), L12)))</f>
        <v>1856.0349893699124</v>
      </c>
      <c r="P12" s="137" t="n">
        <f t="shared" ref="P12:P30" si="11">O12-L12</f>
        <v>0</v>
      </c>
      <c r="Q12" s="123" t="n">
        <f t="shared" si="3"/>
        <v>11</v>
      </c>
      <c r="R12" s="137" t="n">
        <f>IF(AND(COUNTIF(Games!$B$2:$B$101, Elo!$A12)=0,COUNTIF(Games!$C$2:$C$101, Elo!$A12)=0), O12, IF(COUNTIF(Games!$B$2:$B$101, Elo!$A12)&gt;0, VLOOKUP(Elo!$A12, Games!$B$2:$AN$101, MATCH("New Home Elo", Games!$B$1:$AN$1, 0), FALSE), IF(COUNTIF(Games!$C$2:$C$101, Elo!$A12)&gt;0, VLOOKUP(Elo!$A12, Games!$C$2:$AO$101, MATCH("New Away Elo", Games!$C$1:$AO$1, 0), FALSE), O12)))</f>
        <v>1856.0349893699124</v>
      </c>
      <c r="S12" s="137" t="n">
        <f t="shared" ref="S12:S30" si="12">R12-O12</f>
        <v>0</v>
      </c>
      <c r="T12" s="123" t="n">
        <f t="shared" si="4"/>
        <v>11</v>
      </c>
      <c r="U12" s="137" t="n">
        <f>IF(AND(COUNTIF(Games!$B$2:$B$101, Elo!$A12)=0,COUNTIF(Games!$C$2:$C$101, Elo!$A12)=0), R12, IF(COUNTIF(Games!$B$2:$B$101, Elo!$A12)&gt;0, VLOOKUP(Elo!$A12, Games!$B$2:$AN$101, MATCH("New Home Elo", Games!$B$1:$AN$1, 0), FALSE), IF(COUNTIF(Games!$C$2:$C$101, Elo!$A12)&gt;0, VLOOKUP(Elo!$A12, Games!$C$2:$AO$101, MATCH("New Away Elo", Games!$C$1:$AO$1, 0), FALSE), R12)))</f>
        <v>1856.0349893699124</v>
      </c>
      <c r="V12" s="137" t="n">
        <f t="shared" ref="V12:V30" si="13">U12-R12</f>
        <v>0</v>
      </c>
      <c r="W12" s="123" t="n">
        <f t="shared" si="5"/>
        <v>11</v>
      </c>
    </row>
    <row r="13">
      <c r="A13" s="1" t="s">
        <v>123</v>
      </c>
      <c r="B13" s="1" t="s">
        <v>109</v>
      </c>
      <c r="C13" s="137" t="n">
        <f>VLOOKUP(A13, $A$2:$BQ$1048576, MATCH(_xlfn.CONCAT("Week ",Games!$A$7), Elo!$A$1:$BQ$1, 0), FALSE)</f>
        <v>1845.5886357039001</v>
      </c>
      <c r="D13" s="137" t="n">
        <f t="shared" si="0"/>
        <v>12</v>
      </c>
      <c r="E13" s="137" t="n">
        <v>1845.5886357039001</v>
      </c>
      <c r="F13" s="123" t="n">
        <v>12</v>
      </c>
      <c r="G13" s="137" t="n">
        <v>1845.5886357039001</v>
      </c>
      <c r="H13" s="123" t="n">
        <v>12</v>
      </c>
      <c r="I13" s="137" t="n">
        <v>1845.5886357039001</v>
      </c>
      <c r="J13" s="137" t="n">
        <f t="shared" si="6"/>
        <v>0</v>
      </c>
      <c r="K13" s="123" t="n">
        <f t="shared" si="1"/>
        <v>12</v>
      </c>
      <c r="L13" s="137" t="n">
        <f>IF(AND(COUNTIF(Games!$B$2:$B$101, Elo!$A13)=0,COUNTIF(Games!$C$2:$C$101, Elo!$A13)=0), I13, IF(COUNTIF(Games!$B$2:$B$101, Elo!$A13)&gt;0, VLOOKUP(Elo!$A13, Games!$B$2:$AN$101, MATCH("New Home Elo", Games!$B$1:$AN$1, 0), FALSE), IF(COUNTIF(Games!$C$2:$C$101, Elo!$A13)&gt;0, VLOOKUP(Elo!$A13, Games!$C$2:$AO$101, MATCH("New Away Elo", Games!$C$1:$AO$1, 0), FALSE), I13)))</f>
        <v>1845.5886357039001</v>
      </c>
      <c r="M13" s="137" t="n">
        <f t="shared" si="7"/>
        <v>0</v>
      </c>
      <c r="N13" s="123" t="n">
        <f t="shared" si="2"/>
        <v>12</v>
      </c>
      <c r="O13" s="137" t="n">
        <f>IF(AND(COUNTIF(Games!$B$2:$B$101, Elo!$A13)=0,COUNTIF(Games!$C$2:$C$101, Elo!$A13)=0), L13, IF(COUNTIF(Games!$B$2:$B$101, Elo!$A13)&gt;0, VLOOKUP(Elo!$A13, Games!$B$2:$AN$101, MATCH("New Home Elo", Games!$B$1:$AN$1, 0), FALSE), IF(COUNTIF(Games!$C$2:$C$101, Elo!$A13)&gt;0, VLOOKUP(Elo!$A13, Games!$C$2:$AO$101, MATCH("New Away Elo", Games!$C$1:$AO$1, 0), FALSE), L13)))</f>
        <v>1845.5886357039001</v>
      </c>
      <c r="P13" s="137" t="n">
        <f t="shared" si="11"/>
        <v>0</v>
      </c>
      <c r="Q13" s="123" t="n">
        <f t="shared" si="3"/>
        <v>12</v>
      </c>
      <c r="R13" s="137" t="n">
        <f>IF(AND(COUNTIF(Games!$B$2:$B$101, Elo!$A13)=0,COUNTIF(Games!$C$2:$C$101, Elo!$A13)=0), O13, IF(COUNTIF(Games!$B$2:$B$101, Elo!$A13)&gt;0, VLOOKUP(Elo!$A13, Games!$B$2:$AN$101, MATCH("New Home Elo", Games!$B$1:$AN$1, 0), FALSE), IF(COUNTIF(Games!$C$2:$C$101, Elo!$A13)&gt;0, VLOOKUP(Elo!$A13, Games!$C$2:$AO$101, MATCH("New Away Elo", Games!$C$1:$AO$1, 0), FALSE), O13)))</f>
        <v>1845.5886357039001</v>
      </c>
      <c r="S13" s="137" t="n">
        <f t="shared" si="12"/>
        <v>0</v>
      </c>
      <c r="T13" s="123" t="n">
        <f t="shared" si="4"/>
        <v>12</v>
      </c>
      <c r="U13" s="137" t="n">
        <f>IF(AND(COUNTIF(Games!$B$2:$B$101, Elo!$A13)=0,COUNTIF(Games!$C$2:$C$101, Elo!$A13)=0), R13, IF(COUNTIF(Games!$B$2:$B$101, Elo!$A13)&gt;0, VLOOKUP(Elo!$A13, Games!$B$2:$AN$101, MATCH("New Home Elo", Games!$B$1:$AN$1, 0), FALSE), IF(COUNTIF(Games!$C$2:$C$101, Elo!$A13)&gt;0, VLOOKUP(Elo!$A13, Games!$C$2:$AO$101, MATCH("New Away Elo", Games!$C$1:$AO$1, 0), FALSE), R13)))</f>
        <v>1845.5886357039001</v>
      </c>
      <c r="V13" s="137" t="n">
        <f t="shared" si="13"/>
        <v>0</v>
      </c>
      <c r="W13" s="123" t="n">
        <f t="shared" si="5"/>
        <v>12</v>
      </c>
    </row>
    <row r="14">
      <c r="A14" s="1" t="s">
        <v>124</v>
      </c>
      <c r="B14" s="1" t="s">
        <v>109</v>
      </c>
      <c r="C14" s="137" t="n">
        <f>VLOOKUP(A14, $A$2:$BQ$1048576, MATCH(_xlfn.CONCAT("Week ",Games!$A$7), Elo!$A$1:$BQ$1, 0), FALSE)</f>
        <v>1828.56000355839</v>
      </c>
      <c r="D14" s="137" t="n">
        <f t="shared" si="0"/>
        <v>13</v>
      </c>
      <c r="E14" s="137" t="n">
        <v>1828.56000355839</v>
      </c>
      <c r="F14" s="123" t="n">
        <v>13</v>
      </c>
      <c r="G14" s="137" t="n">
        <v>1828.56000355839</v>
      </c>
      <c r="H14" s="123" t="n">
        <v>13</v>
      </c>
      <c r="I14" s="137" t="n">
        <v>1828.56000355839</v>
      </c>
      <c r="J14" s="137" t="n">
        <f t="shared" si="6"/>
        <v>0</v>
      </c>
      <c r="K14" s="123" t="n">
        <f t="shared" si="1"/>
        <v>13</v>
      </c>
      <c r="L14" s="137" t="n">
        <f>IF(AND(COUNTIF(Games!$B$2:$B$101, Elo!$A14)=0,COUNTIF(Games!$C$2:$C$101, Elo!$A14)=0), I14, IF(COUNTIF(Games!$B$2:$B$101, Elo!$A14)&gt;0, VLOOKUP(Elo!$A14, Games!$B$2:$AN$101, MATCH("New Home Elo", Games!$B$1:$AN$1, 0), FALSE), IF(COUNTIF(Games!$C$2:$C$101, Elo!$A14)&gt;0, VLOOKUP(Elo!$A14, Games!$C$2:$AO$101, MATCH("New Away Elo", Games!$C$1:$AO$1, 0), FALSE), I14)))</f>
        <v>1830.5348702157257</v>
      </c>
      <c r="M14" s="137" t="n">
        <f t="shared" si="7"/>
        <v>1.9748666573357241</v>
      </c>
      <c r="N14" s="123" t="n">
        <f t="shared" si="2"/>
        <v>13</v>
      </c>
      <c r="O14" s="137" t="n">
        <f>IF(AND(COUNTIF(Games!$B$2:$B$101, Elo!$A14)=0,COUNTIF(Games!$C$2:$C$101, Elo!$A14)=0), L14, IF(COUNTIF(Games!$B$2:$B$101, Elo!$A14)&gt;0, VLOOKUP(Elo!$A14, Games!$B$2:$AN$101, MATCH("New Home Elo", Games!$B$1:$AN$1, 0), FALSE), IF(COUNTIF(Games!$C$2:$C$101, Elo!$A14)&gt;0, VLOOKUP(Elo!$A14, Games!$C$2:$AO$101, MATCH("New Away Elo", Games!$C$1:$AO$1, 0), FALSE), L14)))</f>
        <v>1830.5348702157257</v>
      </c>
      <c r="P14" s="137" t="n">
        <f t="shared" si="11"/>
        <v>0</v>
      </c>
      <c r="Q14" s="123" t="n">
        <f t="shared" si="3"/>
        <v>13</v>
      </c>
      <c r="R14" s="137" t="n">
        <f>IF(AND(COUNTIF(Games!$B$2:$B$101, Elo!$A14)=0,COUNTIF(Games!$C$2:$C$101, Elo!$A14)=0), O14, IF(COUNTIF(Games!$B$2:$B$101, Elo!$A14)&gt;0, VLOOKUP(Elo!$A14, Games!$B$2:$AN$101, MATCH("New Home Elo", Games!$B$1:$AN$1, 0), FALSE), IF(COUNTIF(Games!$C$2:$C$101, Elo!$A14)&gt;0, VLOOKUP(Elo!$A14, Games!$C$2:$AO$101, MATCH("New Away Elo", Games!$C$1:$AO$1, 0), FALSE), O14)))</f>
        <v>1830.5348702157257</v>
      </c>
      <c r="S14" s="137" t="n">
        <f t="shared" si="12"/>
        <v>0</v>
      </c>
      <c r="T14" s="123" t="n">
        <f t="shared" si="4"/>
        <v>13</v>
      </c>
      <c r="U14" s="137" t="n">
        <f>IF(AND(COUNTIF(Games!$B$2:$B$101, Elo!$A14)=0,COUNTIF(Games!$C$2:$C$101, Elo!$A14)=0), R14, IF(COUNTIF(Games!$B$2:$B$101, Elo!$A14)&gt;0, VLOOKUP(Elo!$A14, Games!$B$2:$AN$101, MATCH("New Home Elo", Games!$B$1:$AN$1, 0), FALSE), IF(COUNTIF(Games!$C$2:$C$101, Elo!$A14)&gt;0, VLOOKUP(Elo!$A14, Games!$C$2:$AO$101, MATCH("New Away Elo", Games!$C$1:$AO$1, 0), FALSE), R14)))</f>
        <v>1830.5348702157257</v>
      </c>
      <c r="V14" s="137" t="n">
        <f t="shared" si="13"/>
        <v>0</v>
      </c>
      <c r="W14" s="123" t="n">
        <f t="shared" si="5"/>
        <v>13</v>
      </c>
    </row>
    <row r="15">
      <c r="A15" s="1" t="s">
        <v>125</v>
      </c>
      <c r="B15" s="1" t="s">
        <v>126</v>
      </c>
      <c r="C15" s="137" t="n">
        <f>VLOOKUP(A15, $A$2:$BQ$1048576, MATCH(_xlfn.CONCAT("Week ",Games!$A$7), Elo!$A$1:$BQ$1, 0), FALSE)</f>
        <v>1807.96104279825</v>
      </c>
      <c r="D15" s="137" t="n">
        <f t="shared" si="0"/>
        <v>14</v>
      </c>
      <c r="E15" s="137" t="n">
        <v>1807.96104279825</v>
      </c>
      <c r="F15" s="123" t="n">
        <v>14</v>
      </c>
      <c r="G15" s="137" t="n">
        <v>1807.96104279825</v>
      </c>
      <c r="H15" s="123" t="n">
        <v>14</v>
      </c>
      <c r="I15" s="137" t="n">
        <v>1807.96104279825</v>
      </c>
      <c r="J15" s="137" t="n">
        <f t="shared" si="6"/>
        <v>0</v>
      </c>
      <c r="K15" s="123" t="n">
        <f t="shared" si="1"/>
        <v>14</v>
      </c>
      <c r="L15" s="137" t="n">
        <f>IF(AND(COUNTIF(Games!$B$2:$B$101, Elo!$A15)=0,COUNTIF(Games!$C$2:$C$101, Elo!$A15)=0), I15, IF(COUNTIF(Games!$B$2:$B$101, Elo!$A15)&gt;0, VLOOKUP(Elo!$A15, Games!$B$2:$AN$101, MATCH("New Home Elo", Games!$B$1:$AN$1, 0), FALSE), IF(COUNTIF(Games!$C$2:$C$101, Elo!$A15)&gt;0, VLOOKUP(Elo!$A15, Games!$C$2:$AO$101, MATCH("New Away Elo", Games!$C$1:$AO$1, 0), FALSE), I15)))</f>
        <v>1809.9555773685199</v>
      </c>
      <c r="M15" s="137" t="n">
        <f t="shared" si="7"/>
        <v>1.9945345702699342</v>
      </c>
      <c r="N15" s="123" t="n">
        <f t="shared" si="2"/>
        <v>15</v>
      </c>
      <c r="O15" s="137" t="n">
        <f>IF(AND(COUNTIF(Games!$B$2:$B$101, Elo!$A15)=0,COUNTIF(Games!$C$2:$C$101, Elo!$A15)=0), L15, IF(COUNTIF(Games!$B$2:$B$101, Elo!$A15)&gt;0, VLOOKUP(Elo!$A15, Games!$B$2:$AN$101, MATCH("New Home Elo", Games!$B$1:$AN$1, 0), FALSE), IF(COUNTIF(Games!$C$2:$C$101, Elo!$A15)&gt;0, VLOOKUP(Elo!$A15, Games!$C$2:$AO$101, MATCH("New Away Elo", Games!$C$1:$AO$1, 0), FALSE), L15)))</f>
        <v>1809.9555773685199</v>
      </c>
      <c r="P15" s="137" t="n">
        <f t="shared" si="11"/>
        <v>0</v>
      </c>
      <c r="Q15" s="123" t="n">
        <f t="shared" si="3"/>
        <v>15</v>
      </c>
      <c r="R15" s="137" t="n">
        <f>IF(AND(COUNTIF(Games!$B$2:$B$101, Elo!$A15)=0,COUNTIF(Games!$C$2:$C$101, Elo!$A15)=0), O15, IF(COUNTIF(Games!$B$2:$B$101, Elo!$A15)&gt;0, VLOOKUP(Elo!$A15, Games!$B$2:$AN$101, MATCH("New Home Elo", Games!$B$1:$AN$1, 0), FALSE), IF(COUNTIF(Games!$C$2:$C$101, Elo!$A15)&gt;0, VLOOKUP(Elo!$A15, Games!$C$2:$AO$101, MATCH("New Away Elo", Games!$C$1:$AO$1, 0), FALSE), O15)))</f>
        <v>1809.9555773685199</v>
      </c>
      <c r="S15" s="137" t="n">
        <f t="shared" si="12"/>
        <v>0</v>
      </c>
      <c r="T15" s="123" t="n">
        <f t="shared" si="4"/>
        <v>15</v>
      </c>
      <c r="U15" s="137" t="n">
        <f>IF(AND(COUNTIF(Games!$B$2:$B$101, Elo!$A15)=0,COUNTIF(Games!$C$2:$C$101, Elo!$A15)=0), R15, IF(COUNTIF(Games!$B$2:$B$101, Elo!$A15)&gt;0, VLOOKUP(Elo!$A15, Games!$B$2:$AN$101, MATCH("New Home Elo", Games!$B$1:$AN$1, 0), FALSE), IF(COUNTIF(Games!$C$2:$C$101, Elo!$A15)&gt;0, VLOOKUP(Elo!$A15, Games!$C$2:$AO$101, MATCH("New Away Elo", Games!$C$1:$AO$1, 0), FALSE), R15)))</f>
        <v>1809.9555773685199</v>
      </c>
      <c r="V15" s="137" t="n">
        <f t="shared" si="13"/>
        <v>0</v>
      </c>
      <c r="W15" s="123" t="n">
        <f t="shared" si="5"/>
        <v>15</v>
      </c>
    </row>
    <row r="16">
      <c r="A16" s="1" t="s">
        <v>127</v>
      </c>
      <c r="B16" s="1" t="s">
        <v>109</v>
      </c>
      <c r="C16" s="137" t="n">
        <f>VLOOKUP(A16, $A$2:$BQ$1048576, MATCH(_xlfn.CONCAT("Week ",Games!$A$7), Elo!$A$1:$BQ$1, 0), FALSE)</f>
        <v>1772.1982376352801</v>
      </c>
      <c r="D16" s="137" t="n">
        <f t="shared" si="0"/>
        <v>15</v>
      </c>
      <c r="E16" s="137" t="n">
        <v>1772.1982376352801</v>
      </c>
      <c r="F16" s="123" t="n">
        <v>15</v>
      </c>
      <c r="G16" s="137" t="n">
        <v>1772.1982376352801</v>
      </c>
      <c r="H16" s="123" t="n">
        <v>15</v>
      </c>
      <c r="I16" s="137" t="n">
        <v>1772.1982376352801</v>
      </c>
      <c r="J16" s="137" t="n">
        <f t="shared" si="6"/>
        <v>0</v>
      </c>
      <c r="K16" s="123" t="n">
        <f t="shared" si="1"/>
        <v>15</v>
      </c>
      <c r="L16" s="137" t="n">
        <f>IF(AND(COUNTIF(Games!$B$2:$B$101, Elo!$A16)=0,COUNTIF(Games!$C$2:$C$101, Elo!$A16)=0), I16, IF(COUNTIF(Games!$B$2:$B$101, Elo!$A16)&gt;0, VLOOKUP(Elo!$A16, Games!$B$2:$AN$101, MATCH("New Home Elo", Games!$B$1:$AN$1, 0), FALSE), IF(COUNTIF(Games!$C$2:$C$101, Elo!$A16)&gt;0, VLOOKUP(Elo!$A16, Games!$C$2:$AO$101, MATCH("New Away Elo", Games!$C$1:$AO$1, 0), FALSE), I16)))</f>
        <v>1774.1259252298414</v>
      </c>
      <c r="M16" s="137" t="n">
        <f t="shared" si="7"/>
        <v>1.9276875945613483</v>
      </c>
      <c r="N16" s="123" t="n">
        <f t="shared" si="2"/>
        <v>16</v>
      </c>
      <c r="O16" s="137" t="n">
        <f>IF(AND(COUNTIF(Games!$B$2:$B$101, Elo!$A16)=0,COUNTIF(Games!$C$2:$C$101, Elo!$A16)=0), L16, IF(COUNTIF(Games!$B$2:$B$101, Elo!$A16)&gt;0, VLOOKUP(Elo!$A16, Games!$B$2:$AN$101, MATCH("New Home Elo", Games!$B$1:$AN$1, 0), FALSE), IF(COUNTIF(Games!$C$2:$C$101, Elo!$A16)&gt;0, VLOOKUP(Elo!$A16, Games!$C$2:$AO$101, MATCH("New Away Elo", Games!$C$1:$AO$1, 0), FALSE), L16)))</f>
        <v>1774.1259252298414</v>
      </c>
      <c r="P16" s="137" t="n">
        <f t="shared" si="11"/>
        <v>0</v>
      </c>
      <c r="Q16" s="123" t="n">
        <f t="shared" si="3"/>
        <v>16</v>
      </c>
      <c r="R16" s="137" t="n">
        <f>IF(AND(COUNTIF(Games!$B$2:$B$101, Elo!$A16)=0,COUNTIF(Games!$C$2:$C$101, Elo!$A16)=0), O16, IF(COUNTIF(Games!$B$2:$B$101, Elo!$A16)&gt;0, VLOOKUP(Elo!$A16, Games!$B$2:$AN$101, MATCH("New Home Elo", Games!$B$1:$AN$1, 0), FALSE), IF(COUNTIF(Games!$C$2:$C$101, Elo!$A16)&gt;0, VLOOKUP(Elo!$A16, Games!$C$2:$AO$101, MATCH("New Away Elo", Games!$C$1:$AO$1, 0), FALSE), O16)))</f>
        <v>1774.1259252298414</v>
      </c>
      <c r="S16" s="137" t="n">
        <f t="shared" si="12"/>
        <v>0</v>
      </c>
      <c r="T16" s="123" t="n">
        <f t="shared" si="4"/>
        <v>16</v>
      </c>
      <c r="U16" s="137" t="n">
        <f>IF(AND(COUNTIF(Games!$B$2:$B$101, Elo!$A16)=0,COUNTIF(Games!$C$2:$C$101, Elo!$A16)=0), R16, IF(COUNTIF(Games!$B$2:$B$101, Elo!$A16)&gt;0, VLOOKUP(Elo!$A16, Games!$B$2:$AN$101, MATCH("New Home Elo", Games!$B$1:$AN$1, 0), FALSE), IF(COUNTIF(Games!$C$2:$C$101, Elo!$A16)&gt;0, VLOOKUP(Elo!$A16, Games!$C$2:$AO$101, MATCH("New Away Elo", Games!$C$1:$AO$1, 0), FALSE), R16)))</f>
        <v>1774.1259252298414</v>
      </c>
      <c r="V16" s="137" t="n">
        <f t="shared" si="13"/>
        <v>0</v>
      </c>
      <c r="W16" s="123" t="n">
        <f t="shared" si="5"/>
        <v>16</v>
      </c>
    </row>
    <row r="17">
      <c r="A17" s="1" t="s">
        <v>128</v>
      </c>
      <c r="B17" s="1" t="s">
        <v>122</v>
      </c>
      <c r="C17" s="137" t="n">
        <f>VLOOKUP(A17, $A$2:$BQ$1048576, MATCH(_xlfn.CONCAT("Week ",Games!$A$7), Elo!$A$1:$BQ$1, 0), FALSE)</f>
        <v>1767.5709170121299</v>
      </c>
      <c r="D17" s="137" t="n">
        <f t="shared" si="0"/>
        <v>16</v>
      </c>
      <c r="E17" s="137" t="n">
        <v>1767.5709170121299</v>
      </c>
      <c r="F17" s="123" t="n">
        <v>16</v>
      </c>
      <c r="G17" s="137" t="n">
        <v>1767.5709170121299</v>
      </c>
      <c r="H17" s="123" t="n">
        <v>16</v>
      </c>
      <c r="I17" s="137" t="n">
        <v>1767.5709170121299</v>
      </c>
      <c r="J17" s="137" t="n">
        <f t="shared" si="6"/>
        <v>0</v>
      </c>
      <c r="K17" s="123" t="n">
        <f t="shared" si="1"/>
        <v>16</v>
      </c>
      <c r="L17" s="137" t="n">
        <f>IF(AND(COUNTIF(Games!$B$2:$B$101, Elo!$A17)=0,COUNTIF(Games!$C$2:$C$101, Elo!$A17)=0), I17, IF(COUNTIF(Games!$B$2:$B$101, Elo!$A17)&gt;0, VLOOKUP(Elo!$A17, Games!$B$2:$AN$101, MATCH("New Home Elo", Games!$B$1:$AN$1, 0), FALSE), IF(COUNTIF(Games!$C$2:$C$101, Elo!$A17)&gt;0, VLOOKUP(Elo!$A17, Games!$C$2:$AO$101, MATCH("New Away Elo", Games!$C$1:$AO$1, 0), FALSE), I17)))</f>
        <v>1748.7533514163415</v>
      </c>
      <c r="M17" s="137" t="n">
        <f t="shared" si="7"/>
        <v>-18.817565595788437</v>
      </c>
      <c r="N17" s="123" t="n">
        <f t="shared" si="2"/>
        <v>18</v>
      </c>
      <c r="O17" s="137" t="n">
        <f>IF(AND(COUNTIF(Games!$B$2:$B$101, Elo!$A17)=0,COUNTIF(Games!$C$2:$C$101, Elo!$A17)=0), L17, IF(COUNTIF(Games!$B$2:$B$101, Elo!$A17)&gt;0, VLOOKUP(Elo!$A17, Games!$B$2:$AN$101, MATCH("New Home Elo", Games!$B$1:$AN$1, 0), FALSE), IF(COUNTIF(Games!$C$2:$C$101, Elo!$A17)&gt;0, VLOOKUP(Elo!$A17, Games!$C$2:$AO$101, MATCH("New Away Elo", Games!$C$1:$AO$1, 0), FALSE), L17)))</f>
        <v>1748.7533514163415</v>
      </c>
      <c r="P17" s="137" t="n">
        <f t="shared" si="11"/>
        <v>0</v>
      </c>
      <c r="Q17" s="123" t="n">
        <f t="shared" si="3"/>
        <v>18</v>
      </c>
      <c r="R17" s="137" t="n">
        <f>IF(AND(COUNTIF(Games!$B$2:$B$101, Elo!$A17)=0,COUNTIF(Games!$C$2:$C$101, Elo!$A17)=0), O17, IF(COUNTIF(Games!$B$2:$B$101, Elo!$A17)&gt;0, VLOOKUP(Elo!$A17, Games!$B$2:$AN$101, MATCH("New Home Elo", Games!$B$1:$AN$1, 0), FALSE), IF(COUNTIF(Games!$C$2:$C$101, Elo!$A17)&gt;0, VLOOKUP(Elo!$A17, Games!$C$2:$AO$101, MATCH("New Away Elo", Games!$C$1:$AO$1, 0), FALSE), O17)))</f>
        <v>1748.7533514163415</v>
      </c>
      <c r="S17" s="137" t="n">
        <f t="shared" si="12"/>
        <v>0</v>
      </c>
      <c r="T17" s="123" t="n">
        <f t="shared" si="4"/>
        <v>18</v>
      </c>
      <c r="U17" s="137" t="n">
        <f>IF(AND(COUNTIF(Games!$B$2:$B$101, Elo!$A17)=0,COUNTIF(Games!$C$2:$C$101, Elo!$A17)=0), R17, IF(COUNTIF(Games!$B$2:$B$101, Elo!$A17)&gt;0, VLOOKUP(Elo!$A17, Games!$B$2:$AN$101, MATCH("New Home Elo", Games!$B$1:$AN$1, 0), FALSE), IF(COUNTIF(Games!$C$2:$C$101, Elo!$A17)&gt;0, VLOOKUP(Elo!$A17, Games!$C$2:$AO$101, MATCH("New Away Elo", Games!$C$1:$AO$1, 0), FALSE), R17)))</f>
        <v>1748.7533514163415</v>
      </c>
      <c r="V17" s="137" t="n">
        <f t="shared" si="13"/>
        <v>0</v>
      </c>
      <c r="W17" s="123" t="n">
        <f t="shared" si="5"/>
        <v>18</v>
      </c>
    </row>
    <row r="18">
      <c r="A18" s="1" t="s">
        <v>129</v>
      </c>
      <c r="B18" s="1" t="s">
        <v>109</v>
      </c>
      <c r="C18" s="137" t="n">
        <f>VLOOKUP(A18, $A$2:$BQ$1048576, MATCH(_xlfn.CONCAT("Week ",Games!$A$7), Elo!$A$1:$BQ$1, 0), FALSE)</f>
        <v>1767.2022166059101</v>
      </c>
      <c r="D18" s="137" t="n">
        <f t="shared" si="0"/>
        <v>17</v>
      </c>
      <c r="E18" s="137" t="n">
        <v>1767.2022166059101</v>
      </c>
      <c r="F18" s="123" t="n">
        <v>17</v>
      </c>
      <c r="G18" s="137" t="n">
        <v>1767.2022166059101</v>
      </c>
      <c r="H18" s="123" t="n">
        <v>17</v>
      </c>
      <c r="I18" s="137" t="n">
        <v>1767.2022166059101</v>
      </c>
      <c r="J18" s="137" t="n">
        <f t="shared" si="6"/>
        <v>0</v>
      </c>
      <c r="K18" s="123" t="n">
        <f t="shared" si="1"/>
        <v>17</v>
      </c>
      <c r="L18" s="137" t="n">
        <f>IF(AND(COUNTIF(Games!$B$2:$B$101, Elo!$A18)=0,COUNTIF(Games!$C$2:$C$101, Elo!$A18)=0), I18, IF(COUNTIF(Games!$B$2:$B$101, Elo!$A18)&gt;0, VLOOKUP(Elo!$A18, Games!$B$2:$AN$101, MATCH("New Home Elo", Games!$B$1:$AN$1, 0), FALSE), IF(COUNTIF(Games!$C$2:$C$101, Elo!$A18)&gt;0, VLOOKUP(Elo!$A18, Games!$C$2:$AO$101, MATCH("New Away Elo", Games!$C$1:$AO$1, 0), FALSE), I18)))</f>
        <v>1678.7192058123862</v>
      </c>
      <c r="M18" s="137" t="n">
        <f t="shared" si="7"/>
        <v>-88.483010793523817</v>
      </c>
      <c r="N18" s="123" t="n">
        <f t="shared" si="2"/>
        <v>29</v>
      </c>
      <c r="O18" s="137" t="n">
        <f>IF(AND(COUNTIF(Games!$B$2:$B$101, Elo!$A18)=0,COUNTIF(Games!$C$2:$C$101, Elo!$A18)=0), L18, IF(COUNTIF(Games!$B$2:$B$101, Elo!$A18)&gt;0, VLOOKUP(Elo!$A18, Games!$B$2:$AN$101, MATCH("New Home Elo", Games!$B$1:$AN$1, 0), FALSE), IF(COUNTIF(Games!$C$2:$C$101, Elo!$A18)&gt;0, VLOOKUP(Elo!$A18, Games!$C$2:$AO$101, MATCH("New Away Elo", Games!$C$1:$AO$1, 0), FALSE), L18)))</f>
        <v>1678.7192058123862</v>
      </c>
      <c r="P18" s="137" t="n">
        <f t="shared" si="11"/>
        <v>0</v>
      </c>
      <c r="Q18" s="123" t="n">
        <f t="shared" si="3"/>
        <v>29</v>
      </c>
      <c r="R18" s="137" t="n">
        <f>IF(AND(COUNTIF(Games!$B$2:$B$101, Elo!$A18)=0,COUNTIF(Games!$C$2:$C$101, Elo!$A18)=0), O18, IF(COUNTIF(Games!$B$2:$B$101, Elo!$A18)&gt;0, VLOOKUP(Elo!$A18, Games!$B$2:$AN$101, MATCH("New Home Elo", Games!$B$1:$AN$1, 0), FALSE), IF(COUNTIF(Games!$C$2:$C$101, Elo!$A18)&gt;0, VLOOKUP(Elo!$A18, Games!$C$2:$AO$101, MATCH("New Away Elo", Games!$C$1:$AO$1, 0), FALSE), O18)))</f>
        <v>1678.7192058123862</v>
      </c>
      <c r="S18" s="137" t="n">
        <f t="shared" si="12"/>
        <v>0</v>
      </c>
      <c r="T18" s="123" t="n">
        <f t="shared" si="4"/>
        <v>29</v>
      </c>
      <c r="U18" s="137" t="n">
        <f>IF(AND(COUNTIF(Games!$B$2:$B$101, Elo!$A18)=0,COUNTIF(Games!$C$2:$C$101, Elo!$A18)=0), R18, IF(COUNTIF(Games!$B$2:$B$101, Elo!$A18)&gt;0, VLOOKUP(Elo!$A18, Games!$B$2:$AN$101, MATCH("New Home Elo", Games!$B$1:$AN$1, 0), FALSE), IF(COUNTIF(Games!$C$2:$C$101, Elo!$A18)&gt;0, VLOOKUP(Elo!$A18, Games!$C$2:$AO$101, MATCH("New Away Elo", Games!$C$1:$AO$1, 0), FALSE), R18)))</f>
        <v>1678.7192058123862</v>
      </c>
      <c r="V18" s="137" t="n">
        <f t="shared" si="13"/>
        <v>0</v>
      </c>
      <c r="W18" s="123" t="n">
        <f t="shared" si="5"/>
        <v>29</v>
      </c>
    </row>
    <row r="19">
      <c r="A19" s="1" t="s">
        <v>130</v>
      </c>
      <c r="B19" s="1" t="s">
        <v>126</v>
      </c>
      <c r="C19" s="137" t="n">
        <f>VLOOKUP(A19, $A$2:$BQ$1048576, MATCH(_xlfn.CONCAT("Week ",Games!$A$7), Elo!$A$1:$BQ$1, 0), FALSE)</f>
        <v>1752.6004195016501</v>
      </c>
      <c r="D19" s="137" t="n">
        <f t="shared" si="0"/>
        <v>18</v>
      </c>
      <c r="E19" s="137" t="n">
        <v>1752.6004195016501</v>
      </c>
      <c r="F19" s="123" t="n">
        <v>18</v>
      </c>
      <c r="G19" s="137" t="n">
        <v>1752.6004195016501</v>
      </c>
      <c r="H19" s="123" t="n">
        <v>18</v>
      </c>
      <c r="I19" s="137" t="n">
        <v>1752.6004195016501</v>
      </c>
      <c r="J19" s="137" t="n">
        <f t="shared" si="6"/>
        <v>0</v>
      </c>
      <c r="K19" s="123" t="n">
        <f t="shared" si="1"/>
        <v>18</v>
      </c>
      <c r="L19" s="137" t="n">
        <f>IF(AND(COUNTIF(Games!$B$2:$B$101, Elo!$A19)=0,COUNTIF(Games!$C$2:$C$101, Elo!$A19)=0), I19, IF(COUNTIF(Games!$B$2:$B$101, Elo!$A19)&gt;0, VLOOKUP(Elo!$A19, Games!$B$2:$AN$101, MATCH("New Home Elo", Games!$B$1:$AN$1, 0), FALSE), IF(COUNTIF(Games!$C$2:$C$101, Elo!$A19)&gt;0, VLOOKUP(Elo!$A19, Games!$C$2:$AO$101, MATCH("New Away Elo", Games!$C$1:$AO$1, 0), FALSE), I19)))</f>
        <v>1760.756466459814</v>
      </c>
      <c r="M19" s="137" t="n">
        <f t="shared" si="7"/>
        <v>8.1560469581638699</v>
      </c>
      <c r="N19" s="123" t="n">
        <f t="shared" si="2"/>
        <v>17</v>
      </c>
      <c r="O19" s="137" t="n">
        <f>IF(AND(COUNTIF(Games!$B$2:$B$101, Elo!$A19)=0,COUNTIF(Games!$C$2:$C$101, Elo!$A19)=0), L19, IF(COUNTIF(Games!$B$2:$B$101, Elo!$A19)&gt;0, VLOOKUP(Elo!$A19, Games!$B$2:$AN$101, MATCH("New Home Elo", Games!$B$1:$AN$1, 0), FALSE), IF(COUNTIF(Games!$C$2:$C$101, Elo!$A19)&gt;0, VLOOKUP(Elo!$A19, Games!$C$2:$AO$101, MATCH("New Away Elo", Games!$C$1:$AO$1, 0), FALSE), L19)))</f>
        <v>1760.756466459814</v>
      </c>
      <c r="P19" s="137" t="n">
        <f t="shared" si="11"/>
        <v>0</v>
      </c>
      <c r="Q19" s="123" t="n">
        <f t="shared" si="3"/>
        <v>17</v>
      </c>
      <c r="R19" s="137" t="n">
        <f>IF(AND(COUNTIF(Games!$B$2:$B$101, Elo!$A19)=0,COUNTIF(Games!$C$2:$C$101, Elo!$A19)=0), O19, IF(COUNTIF(Games!$B$2:$B$101, Elo!$A19)&gt;0, VLOOKUP(Elo!$A19, Games!$B$2:$AN$101, MATCH("New Home Elo", Games!$B$1:$AN$1, 0), FALSE), IF(COUNTIF(Games!$C$2:$C$101, Elo!$A19)&gt;0, VLOOKUP(Elo!$A19, Games!$C$2:$AO$101, MATCH("New Away Elo", Games!$C$1:$AO$1, 0), FALSE), O19)))</f>
        <v>1760.756466459814</v>
      </c>
      <c r="S19" s="137" t="n">
        <f t="shared" si="12"/>
        <v>0</v>
      </c>
      <c r="T19" s="123" t="n">
        <f t="shared" si="4"/>
        <v>17</v>
      </c>
      <c r="U19" s="137" t="n">
        <f>IF(AND(COUNTIF(Games!$B$2:$B$101, Elo!$A19)=0,COUNTIF(Games!$C$2:$C$101, Elo!$A19)=0), R19, IF(COUNTIF(Games!$B$2:$B$101, Elo!$A19)&gt;0, VLOOKUP(Elo!$A19, Games!$B$2:$AN$101, MATCH("New Home Elo", Games!$B$1:$AN$1, 0), FALSE), IF(COUNTIF(Games!$C$2:$C$101, Elo!$A19)&gt;0, VLOOKUP(Elo!$A19, Games!$C$2:$AO$101, MATCH("New Away Elo", Games!$C$1:$AO$1, 0), FALSE), R19)))</f>
        <v>1760.756466459814</v>
      </c>
      <c r="V19" s="137" t="n">
        <f t="shared" si="13"/>
        <v>0</v>
      </c>
      <c r="W19" s="123" t="n">
        <f t="shared" si="5"/>
        <v>17</v>
      </c>
    </row>
    <row r="20">
      <c r="A20" s="1" t="s">
        <v>131</v>
      </c>
      <c r="B20" s="1" t="s">
        <v>126</v>
      </c>
      <c r="C20" s="137" t="n">
        <f>VLOOKUP(A20, $A$2:$BQ$1048576, MATCH(_xlfn.CONCAT("Week ",Games!$A$7), Elo!$A$1:$BQ$1, 0), FALSE)</f>
        <v>1726.8098521951899</v>
      </c>
      <c r="D20" s="137" t="n">
        <f t="shared" si="0"/>
        <v>19</v>
      </c>
      <c r="E20" s="137" t="n">
        <v>1726.8098521951899</v>
      </c>
      <c r="F20" s="123" t="n">
        <v>19</v>
      </c>
      <c r="G20" s="137" t="n">
        <v>1726.8098521951899</v>
      </c>
      <c r="H20" s="123" t="n">
        <v>19</v>
      </c>
      <c r="I20" s="137" t="n">
        <v>1726.8098521951899</v>
      </c>
      <c r="J20" s="137" t="n">
        <f t="shared" si="6"/>
        <v>0</v>
      </c>
      <c r="K20" s="123" t="n">
        <f t="shared" si="1"/>
        <v>19</v>
      </c>
      <c r="L20" s="137" t="n">
        <f>IF(AND(COUNTIF(Games!$B$2:$B$101, Elo!$A20)=0,COUNTIF(Games!$C$2:$C$101, Elo!$A20)=0), I20, IF(COUNTIF(Games!$B$2:$B$101, Elo!$A20)&gt;0, VLOOKUP(Elo!$A20, Games!$B$2:$AN$101, MATCH("New Home Elo", Games!$B$1:$AN$1, 0), FALSE), IF(COUNTIF(Games!$C$2:$C$101, Elo!$A20)&gt;0, VLOOKUP(Elo!$A20, Games!$C$2:$AO$101, MATCH("New Away Elo", Games!$C$1:$AO$1, 0), FALSE), I20)))</f>
        <v>1729.0130314446494</v>
      </c>
      <c r="M20" s="137" t="n">
        <f t="shared" si="7"/>
        <v>2.2031792494594811</v>
      </c>
      <c r="N20" s="123" t="n">
        <f t="shared" si="2"/>
        <v>19</v>
      </c>
      <c r="O20" s="137" t="n">
        <f>IF(AND(COUNTIF(Games!$B$2:$B$101, Elo!$A20)=0,COUNTIF(Games!$C$2:$C$101, Elo!$A20)=0), L20, IF(COUNTIF(Games!$B$2:$B$101, Elo!$A20)&gt;0, VLOOKUP(Elo!$A20, Games!$B$2:$AN$101, MATCH("New Home Elo", Games!$B$1:$AN$1, 0), FALSE), IF(COUNTIF(Games!$C$2:$C$101, Elo!$A20)&gt;0, VLOOKUP(Elo!$A20, Games!$C$2:$AO$101, MATCH("New Away Elo", Games!$C$1:$AO$1, 0), FALSE), L20)))</f>
        <v>1729.0130314446494</v>
      </c>
      <c r="P20" s="137" t="n">
        <f t="shared" si="11"/>
        <v>0</v>
      </c>
      <c r="Q20" s="123" t="n">
        <f t="shared" si="3"/>
        <v>19</v>
      </c>
      <c r="R20" s="137" t="n">
        <f>IF(AND(COUNTIF(Games!$B$2:$B$101, Elo!$A20)=0,COUNTIF(Games!$C$2:$C$101, Elo!$A20)=0), O20, IF(COUNTIF(Games!$B$2:$B$101, Elo!$A20)&gt;0, VLOOKUP(Elo!$A20, Games!$B$2:$AN$101, MATCH("New Home Elo", Games!$B$1:$AN$1, 0), FALSE), IF(COUNTIF(Games!$C$2:$C$101, Elo!$A20)&gt;0, VLOOKUP(Elo!$A20, Games!$C$2:$AO$101, MATCH("New Away Elo", Games!$C$1:$AO$1, 0), FALSE), O20)))</f>
        <v>1729.0130314446494</v>
      </c>
      <c r="S20" s="137" t="n">
        <f t="shared" si="12"/>
        <v>0</v>
      </c>
      <c r="T20" s="123" t="n">
        <f t="shared" si="4"/>
        <v>19</v>
      </c>
      <c r="U20" s="137" t="n">
        <f>IF(AND(COUNTIF(Games!$B$2:$B$101, Elo!$A20)=0,COUNTIF(Games!$C$2:$C$101, Elo!$A20)=0), R20, IF(COUNTIF(Games!$B$2:$B$101, Elo!$A20)&gt;0, VLOOKUP(Elo!$A20, Games!$B$2:$AN$101, MATCH("New Home Elo", Games!$B$1:$AN$1, 0), FALSE), IF(COUNTIF(Games!$C$2:$C$101, Elo!$A20)&gt;0, VLOOKUP(Elo!$A20, Games!$C$2:$AO$101, MATCH("New Away Elo", Games!$C$1:$AO$1, 0), FALSE), R20)))</f>
        <v>1729.0130314446494</v>
      </c>
      <c r="V20" s="137" t="n">
        <f t="shared" si="13"/>
        <v>0</v>
      </c>
      <c r="W20" s="123" t="n">
        <f t="shared" si="5"/>
        <v>19</v>
      </c>
    </row>
    <row r="21">
      <c r="A21" s="1" t="s">
        <v>132</v>
      </c>
      <c r="B21" s="1" t="s">
        <v>122</v>
      </c>
      <c r="C21" s="137" t="n">
        <f>VLOOKUP(A21, $A$2:$BQ$1048576, MATCH(_xlfn.CONCAT("Week ",Games!$A$7), Elo!$A$1:$BQ$1, 0), FALSE)</f>
        <v>1688.4448627520264</v>
      </c>
      <c r="D21" s="137" t="n">
        <f t="shared" si="0"/>
        <v>20</v>
      </c>
      <c r="E21" s="137" t="n">
        <v>1717.7561294033601</v>
      </c>
      <c r="F21" s="123" t="n">
        <v>20</v>
      </c>
      <c r="G21" s="137" t="n">
        <v>1717.7561294033601</v>
      </c>
      <c r="H21" s="123" t="n">
        <v>20</v>
      </c>
      <c r="I21" s="137" t="n">
        <v>1688.4448627520264</v>
      </c>
      <c r="J21" s="137" t="n">
        <f t="shared" si="6"/>
        <v>-29.311266651333653</v>
      </c>
      <c r="K21" s="123" t="n">
        <f t="shared" si="1"/>
        <v>24</v>
      </c>
      <c r="L21" s="137" t="n">
        <f>IF(AND(COUNTIF(Games!$B$2:$B$101, Elo!$A21)=0,COUNTIF(Games!$C$2:$C$101, Elo!$A21)=0), I21, IF(COUNTIF(Games!$B$2:$B$101, Elo!$A21)&gt;0, VLOOKUP(Elo!$A21, Games!$B$2:$AN$101, MATCH("New Home Elo", Games!$B$1:$AN$1, 0), FALSE), IF(COUNTIF(Games!$C$2:$C$101, Elo!$A21)&gt;0, VLOOKUP(Elo!$A21, Games!$C$2:$AO$101, MATCH("New Away Elo", Games!$C$1:$AO$1, 0), FALSE), I21)))</f>
        <v>1688.4448627520264</v>
      </c>
      <c r="M21" s="137" t="n">
        <f t="shared" si="7"/>
        <v>0</v>
      </c>
      <c r="N21" s="123" t="n">
        <f t="shared" si="2"/>
        <v>26</v>
      </c>
      <c r="O21" s="137" t="n">
        <f>IF(AND(COUNTIF(Games!$B$2:$B$101, Elo!$A21)=0,COUNTIF(Games!$C$2:$C$101, Elo!$A21)=0), L21, IF(COUNTIF(Games!$B$2:$B$101, Elo!$A21)&gt;0, VLOOKUP(Elo!$A21, Games!$B$2:$AN$101, MATCH("New Home Elo", Games!$B$1:$AN$1, 0), FALSE), IF(COUNTIF(Games!$C$2:$C$101, Elo!$A21)&gt;0, VLOOKUP(Elo!$A21, Games!$C$2:$AO$101, MATCH("New Away Elo", Games!$C$1:$AO$1, 0), FALSE), L21)))</f>
        <v>1688.4448627520264</v>
      </c>
      <c r="P21" s="137" t="n">
        <f t="shared" si="11"/>
        <v>0</v>
      </c>
      <c r="Q21" s="123" t="n">
        <f t="shared" si="3"/>
        <v>26</v>
      </c>
      <c r="R21" s="137" t="n">
        <f>IF(AND(COUNTIF(Games!$B$2:$B$101, Elo!$A21)=0,COUNTIF(Games!$C$2:$C$101, Elo!$A21)=0), O21, IF(COUNTIF(Games!$B$2:$B$101, Elo!$A21)&gt;0, VLOOKUP(Elo!$A21, Games!$B$2:$AN$101, MATCH("New Home Elo", Games!$B$1:$AN$1, 0), FALSE), IF(COUNTIF(Games!$C$2:$C$101, Elo!$A21)&gt;0, VLOOKUP(Elo!$A21, Games!$C$2:$AO$101, MATCH("New Away Elo", Games!$C$1:$AO$1, 0), FALSE), O21)))</f>
        <v>1688.4448627520264</v>
      </c>
      <c r="S21" s="137" t="n">
        <f t="shared" si="12"/>
        <v>0</v>
      </c>
      <c r="T21" s="123" t="n">
        <f t="shared" si="4"/>
        <v>26</v>
      </c>
      <c r="U21" s="137" t="n">
        <f>IF(AND(COUNTIF(Games!$B$2:$B$101, Elo!$A21)=0,COUNTIF(Games!$C$2:$C$101, Elo!$A21)=0), R21, IF(COUNTIF(Games!$B$2:$B$101, Elo!$A21)&gt;0, VLOOKUP(Elo!$A21, Games!$B$2:$AN$101, MATCH("New Home Elo", Games!$B$1:$AN$1, 0), FALSE), IF(COUNTIF(Games!$C$2:$C$101, Elo!$A21)&gt;0, VLOOKUP(Elo!$A21, Games!$C$2:$AO$101, MATCH("New Away Elo", Games!$C$1:$AO$1, 0), FALSE), R21)))</f>
        <v>1688.4448627520264</v>
      </c>
      <c r="V21" s="137" t="n">
        <f t="shared" si="13"/>
        <v>0</v>
      </c>
      <c r="W21" s="123" t="n">
        <f t="shared" si="5"/>
        <v>26</v>
      </c>
    </row>
    <row r="22">
      <c r="A22" s="1" t="s">
        <v>133</v>
      </c>
      <c r="B22" s="1" t="s">
        <v>126</v>
      </c>
      <c r="C22" s="137" t="n">
        <f>VLOOKUP(A22, $A$2:$BQ$1048576, MATCH(_xlfn.CONCAT("Week ",Games!$A$7), Elo!$A$1:$BQ$1, 0), FALSE)</f>
        <v>1715.6444468361401</v>
      </c>
      <c r="D22" s="137" t="n">
        <f t="shared" si="0"/>
        <v>21</v>
      </c>
      <c r="E22" s="137" t="n">
        <v>1715.6444468361401</v>
      </c>
      <c r="F22" s="123" t="n">
        <v>21</v>
      </c>
      <c r="G22" s="137" t="n">
        <v>1715.6444468361401</v>
      </c>
      <c r="H22" s="123" t="n">
        <v>21</v>
      </c>
      <c r="I22" s="137" t="n">
        <v>1715.6444468361401</v>
      </c>
      <c r="J22" s="137" t="n">
        <f t="shared" si="6"/>
        <v>0</v>
      </c>
      <c r="K22" s="123" t="n">
        <f t="shared" si="1"/>
        <v>20</v>
      </c>
      <c r="L22" s="137" t="n">
        <f>IF(AND(COUNTIF(Games!$B$2:$B$101, Elo!$A22)=0,COUNTIF(Games!$C$2:$C$101, Elo!$A22)=0), I22, IF(COUNTIF(Games!$B$2:$B$101, Elo!$A22)&gt;0, VLOOKUP(Elo!$A22, Games!$B$2:$AN$101, MATCH("New Home Elo", Games!$B$1:$AN$1, 0), FALSE), IF(COUNTIF(Games!$C$2:$C$101, Elo!$A22)&gt;0, VLOOKUP(Elo!$A22, Games!$C$2:$AO$101, MATCH("New Away Elo", Games!$C$1:$AO$1, 0), FALSE), I22)))</f>
        <v>1717.7309233620499</v>
      </c>
      <c r="M22" s="137" t="n">
        <f t="shared" si="7"/>
        <v>2.0864765259098021</v>
      </c>
      <c r="N22" s="123" t="n">
        <f t="shared" si="2"/>
        <v>20</v>
      </c>
      <c r="O22" s="137" t="n">
        <f>IF(AND(COUNTIF(Games!$B$2:$B$101, Elo!$A22)=0,COUNTIF(Games!$C$2:$C$101, Elo!$A22)=0), L22, IF(COUNTIF(Games!$B$2:$B$101, Elo!$A22)&gt;0, VLOOKUP(Elo!$A22, Games!$B$2:$AN$101, MATCH("New Home Elo", Games!$B$1:$AN$1, 0), FALSE), IF(COUNTIF(Games!$C$2:$C$101, Elo!$A22)&gt;0, VLOOKUP(Elo!$A22, Games!$C$2:$AO$101, MATCH("New Away Elo", Games!$C$1:$AO$1, 0), FALSE), L22)))</f>
        <v>1717.7309233620499</v>
      </c>
      <c r="P22" s="137" t="n">
        <f t="shared" si="11"/>
        <v>0</v>
      </c>
      <c r="Q22" s="123" t="n">
        <f t="shared" si="3"/>
        <v>20</v>
      </c>
      <c r="R22" s="137" t="n">
        <f>IF(AND(COUNTIF(Games!$B$2:$B$101, Elo!$A22)=0,COUNTIF(Games!$C$2:$C$101, Elo!$A22)=0), O22, IF(COUNTIF(Games!$B$2:$B$101, Elo!$A22)&gt;0, VLOOKUP(Elo!$A22, Games!$B$2:$AN$101, MATCH("New Home Elo", Games!$B$1:$AN$1, 0), FALSE), IF(COUNTIF(Games!$C$2:$C$101, Elo!$A22)&gt;0, VLOOKUP(Elo!$A22, Games!$C$2:$AO$101, MATCH("New Away Elo", Games!$C$1:$AO$1, 0), FALSE), O22)))</f>
        <v>1717.7309233620499</v>
      </c>
      <c r="S22" s="137" t="n">
        <f t="shared" si="12"/>
        <v>0</v>
      </c>
      <c r="T22" s="123" t="n">
        <f t="shared" si="4"/>
        <v>20</v>
      </c>
      <c r="U22" s="137" t="n">
        <f>IF(AND(COUNTIF(Games!$B$2:$B$101, Elo!$A22)=0,COUNTIF(Games!$C$2:$C$101, Elo!$A22)=0), R22, IF(COUNTIF(Games!$B$2:$B$101, Elo!$A22)&gt;0, VLOOKUP(Elo!$A22, Games!$B$2:$AN$101, MATCH("New Home Elo", Games!$B$1:$AN$1, 0), FALSE), IF(COUNTIF(Games!$C$2:$C$101, Elo!$A22)&gt;0, VLOOKUP(Elo!$A22, Games!$C$2:$AO$101, MATCH("New Away Elo", Games!$C$1:$AO$1, 0), FALSE), R22)))</f>
        <v>1717.7309233620499</v>
      </c>
      <c r="V22" s="137" t="n">
        <f t="shared" si="13"/>
        <v>0</v>
      </c>
      <c r="W22" s="123" t="n">
        <f t="shared" si="5"/>
        <v>20</v>
      </c>
    </row>
    <row r="23">
      <c r="A23" s="1" t="s">
        <v>134</v>
      </c>
      <c r="B23" s="1" t="s">
        <v>135</v>
      </c>
      <c r="C23" s="137" t="n">
        <f>VLOOKUP(A23, $A$2:$BQ$1048576, MATCH(_xlfn.CONCAT("Week ",Games!$A$7), Elo!$A$1:$BQ$1, 0), FALSE)</f>
        <v>1706.8433033961401</v>
      </c>
      <c r="D23" s="137" t="n">
        <f t="shared" si="0"/>
        <v>22</v>
      </c>
      <c r="E23" s="137" t="n">
        <v>1706.8433033961401</v>
      </c>
      <c r="F23" s="123" t="n">
        <v>22</v>
      </c>
      <c r="G23" s="137" t="n">
        <v>1706.8433033961401</v>
      </c>
      <c r="H23" s="123" t="n">
        <v>22</v>
      </c>
      <c r="I23" s="137" t="n">
        <v>1706.8433033961401</v>
      </c>
      <c r="J23" s="137" t="n">
        <f t="shared" si="6"/>
        <v>0</v>
      </c>
      <c r="K23" s="123" t="n">
        <f t="shared" si="1"/>
        <v>21</v>
      </c>
      <c r="L23" s="137" t="n">
        <f>IF(AND(COUNTIF(Games!$B$2:$B$101, Elo!$A23)=0,COUNTIF(Games!$C$2:$C$101, Elo!$A23)=0), I23, IF(COUNTIF(Games!$B$2:$B$101, Elo!$A23)&gt;0, VLOOKUP(Elo!$A23, Games!$B$2:$AN$101, MATCH("New Home Elo", Games!$B$1:$AN$1, 0), FALSE), IF(COUNTIF(Games!$C$2:$C$101, Elo!$A23)&gt;0, VLOOKUP(Elo!$A23, Games!$C$2:$AO$101, MATCH("New Away Elo", Games!$C$1:$AO$1, 0), FALSE), I23)))</f>
        <v>1710.4008642831734</v>
      </c>
      <c r="M23" s="137" t="n">
        <f t="shared" si="7"/>
        <v>3.5575608870333326</v>
      </c>
      <c r="N23" s="123" t="n">
        <f t="shared" si="2"/>
        <v>21</v>
      </c>
      <c r="O23" s="137" t="n">
        <f>IF(AND(COUNTIF(Games!$B$2:$B$101, Elo!$A23)=0,COUNTIF(Games!$C$2:$C$101, Elo!$A23)=0), L23, IF(COUNTIF(Games!$B$2:$B$101, Elo!$A23)&gt;0, VLOOKUP(Elo!$A23, Games!$B$2:$AN$101, MATCH("New Home Elo", Games!$B$1:$AN$1, 0), FALSE), IF(COUNTIF(Games!$C$2:$C$101, Elo!$A23)&gt;0, VLOOKUP(Elo!$A23, Games!$C$2:$AO$101, MATCH("New Away Elo", Games!$C$1:$AO$1, 0), FALSE), L23)))</f>
        <v>1710.4008642831734</v>
      </c>
      <c r="P23" s="137" t="n">
        <f t="shared" si="11"/>
        <v>0</v>
      </c>
      <c r="Q23" s="123" t="n">
        <f t="shared" si="3"/>
        <v>21</v>
      </c>
      <c r="R23" s="137" t="n">
        <f>IF(AND(COUNTIF(Games!$B$2:$B$101, Elo!$A23)=0,COUNTIF(Games!$C$2:$C$101, Elo!$A23)=0), O23, IF(COUNTIF(Games!$B$2:$B$101, Elo!$A23)&gt;0, VLOOKUP(Elo!$A23, Games!$B$2:$AN$101, MATCH("New Home Elo", Games!$B$1:$AN$1, 0), FALSE), IF(COUNTIF(Games!$C$2:$C$101, Elo!$A23)&gt;0, VLOOKUP(Elo!$A23, Games!$C$2:$AO$101, MATCH("New Away Elo", Games!$C$1:$AO$1, 0), FALSE), O23)))</f>
        <v>1710.4008642831734</v>
      </c>
      <c r="S23" s="137" t="n">
        <f t="shared" si="12"/>
        <v>0</v>
      </c>
      <c r="T23" s="123" t="n">
        <f t="shared" si="4"/>
        <v>21</v>
      </c>
      <c r="U23" s="137" t="n">
        <f>IF(AND(COUNTIF(Games!$B$2:$B$101, Elo!$A23)=0,COUNTIF(Games!$C$2:$C$101, Elo!$A23)=0), R23, IF(COUNTIF(Games!$B$2:$B$101, Elo!$A23)&gt;0, VLOOKUP(Elo!$A23, Games!$B$2:$AN$101, MATCH("New Home Elo", Games!$B$1:$AN$1, 0), FALSE), IF(COUNTIF(Games!$C$2:$C$101, Elo!$A23)&gt;0, VLOOKUP(Elo!$A23, Games!$C$2:$AO$101, MATCH("New Away Elo", Games!$C$1:$AO$1, 0), FALSE), R23)))</f>
        <v>1710.4008642831734</v>
      </c>
      <c r="V23" s="137" t="n">
        <f t="shared" si="13"/>
        <v>0</v>
      </c>
      <c r="W23" s="123" t="n">
        <f t="shared" si="5"/>
        <v>21</v>
      </c>
    </row>
    <row r="24">
      <c r="A24" s="1" t="s">
        <v>136</v>
      </c>
      <c r="B24" s="1" t="s">
        <v>111</v>
      </c>
      <c r="C24" s="137" t="n">
        <f>VLOOKUP(A24, $A$2:$BQ$1048576, MATCH(_xlfn.CONCAT("Week ",Games!$A$7), Elo!$A$1:$BQ$1, 0), FALSE)</f>
        <v>1693.0010990296</v>
      </c>
      <c r="D24" s="137" t="n">
        <f t="shared" si="0"/>
        <v>23</v>
      </c>
      <c r="E24" s="137" t="n">
        <v>1693.0010990296</v>
      </c>
      <c r="F24" s="123" t="n">
        <v>23</v>
      </c>
      <c r="G24" s="137" t="n">
        <v>1693.0010990296</v>
      </c>
      <c r="H24" s="123" t="n">
        <v>23</v>
      </c>
      <c r="I24" s="137" t="n">
        <v>1693.0010990296</v>
      </c>
      <c r="J24" s="137" t="n">
        <f t="shared" si="6"/>
        <v>0</v>
      </c>
      <c r="K24" s="123" t="n">
        <f t="shared" si="1"/>
        <v>22</v>
      </c>
      <c r="L24" s="137" t="n">
        <f>IF(AND(COUNTIF(Games!$B$2:$B$101, Elo!$A24)=0,COUNTIF(Games!$C$2:$C$101, Elo!$A24)=0), I24, IF(COUNTIF(Games!$B$2:$B$101, Elo!$A24)&gt;0, VLOOKUP(Elo!$A24, Games!$B$2:$AN$101, MATCH("New Home Elo", Games!$B$1:$AN$1, 0), FALSE), IF(COUNTIF(Games!$C$2:$C$101, Elo!$A24)&gt;0, VLOOKUP(Elo!$A24, Games!$C$2:$AO$101, MATCH("New Away Elo", Games!$C$1:$AO$1, 0), FALSE), I24)))</f>
        <v>1697.6251381048007</v>
      </c>
      <c r="M24" s="137" t="n">
        <f t="shared" si="7"/>
        <v>4.6240390752006988</v>
      </c>
      <c r="N24" s="123" t="n">
        <f t="shared" si="2"/>
        <v>22</v>
      </c>
      <c r="O24" s="137" t="n">
        <f>IF(AND(COUNTIF(Games!$B$2:$B$101, Elo!$A24)=0,COUNTIF(Games!$C$2:$C$101, Elo!$A24)=0), L24, IF(COUNTIF(Games!$B$2:$B$101, Elo!$A24)&gt;0, VLOOKUP(Elo!$A24, Games!$B$2:$AN$101, MATCH("New Home Elo", Games!$B$1:$AN$1, 0), FALSE), IF(COUNTIF(Games!$C$2:$C$101, Elo!$A24)&gt;0, VLOOKUP(Elo!$A24, Games!$C$2:$AO$101, MATCH("New Away Elo", Games!$C$1:$AO$1, 0), FALSE), L24)))</f>
        <v>1697.6251381048007</v>
      </c>
      <c r="P24" s="137" t="n">
        <f t="shared" si="11"/>
        <v>0</v>
      </c>
      <c r="Q24" s="123" t="n">
        <f t="shared" si="3"/>
        <v>22</v>
      </c>
      <c r="R24" s="137" t="n">
        <f>IF(AND(COUNTIF(Games!$B$2:$B$101, Elo!$A24)=0,COUNTIF(Games!$C$2:$C$101, Elo!$A24)=0), O24, IF(COUNTIF(Games!$B$2:$B$101, Elo!$A24)&gt;0, VLOOKUP(Elo!$A24, Games!$B$2:$AN$101, MATCH("New Home Elo", Games!$B$1:$AN$1, 0), FALSE), IF(COUNTIF(Games!$C$2:$C$101, Elo!$A24)&gt;0, VLOOKUP(Elo!$A24, Games!$C$2:$AO$101, MATCH("New Away Elo", Games!$C$1:$AO$1, 0), FALSE), O24)))</f>
        <v>1697.6251381048007</v>
      </c>
      <c r="S24" s="137" t="n">
        <f t="shared" si="12"/>
        <v>0</v>
      </c>
      <c r="T24" s="123" t="n">
        <f t="shared" si="4"/>
        <v>22</v>
      </c>
      <c r="U24" s="137" t="n">
        <f>IF(AND(COUNTIF(Games!$B$2:$B$101, Elo!$A24)=0,COUNTIF(Games!$C$2:$C$101, Elo!$A24)=0), R24, IF(COUNTIF(Games!$B$2:$B$101, Elo!$A24)&gt;0, VLOOKUP(Elo!$A24, Games!$B$2:$AN$101, MATCH("New Home Elo", Games!$B$1:$AN$1, 0), FALSE), IF(COUNTIF(Games!$C$2:$C$101, Elo!$A24)&gt;0, VLOOKUP(Elo!$A24, Games!$C$2:$AO$101, MATCH("New Away Elo", Games!$C$1:$AO$1, 0), FALSE), R24)))</f>
        <v>1697.6251381048007</v>
      </c>
      <c r="V24" s="137" t="n">
        <f t="shared" si="13"/>
        <v>0</v>
      </c>
      <c r="W24" s="123" t="n">
        <f t="shared" si="5"/>
        <v>22</v>
      </c>
    </row>
    <row r="25">
      <c r="A25" s="1" t="s">
        <v>137</v>
      </c>
      <c r="B25" s="1" t="s">
        <v>138</v>
      </c>
      <c r="C25" s="137" t="n">
        <f>VLOOKUP(A25, $A$2:$BQ$1048576, MATCH(_xlfn.CONCAT("Week ",Games!$A$7), Elo!$A$1:$BQ$1, 0), FALSE)</f>
        <v>1692.71584847636</v>
      </c>
      <c r="D25" s="137" t="n">
        <f t="shared" si="0"/>
        <v>24</v>
      </c>
      <c r="E25" s="137" t="n">
        <v>1692.71584847636</v>
      </c>
      <c r="F25" s="123" t="n">
        <v>24</v>
      </c>
      <c r="G25" s="137" t="n">
        <v>1692.71584847636</v>
      </c>
      <c r="H25" s="123" t="n">
        <v>24</v>
      </c>
      <c r="I25" s="137" t="n">
        <v>1692.71584847636</v>
      </c>
      <c r="J25" s="137" t="n">
        <f t="shared" si="6"/>
        <v>0</v>
      </c>
      <c r="K25" s="123" t="n">
        <f t="shared" si="1"/>
        <v>23</v>
      </c>
      <c r="L25" s="137" t="n">
        <f>IF(AND(COUNTIF(Games!$B$2:$B$101, Elo!$A25)=0,COUNTIF(Games!$C$2:$C$101, Elo!$A25)=0), I25, IF(COUNTIF(Games!$B$2:$B$101, Elo!$A25)&gt;0, VLOOKUP(Elo!$A25, Games!$B$2:$AN$101, MATCH("New Home Elo", Games!$B$1:$AN$1, 0), FALSE), IF(COUNTIF(Games!$C$2:$C$101, Elo!$A25)&gt;0, VLOOKUP(Elo!$A25, Games!$C$2:$AO$101, MATCH("New Away Elo", Games!$C$1:$AO$1, 0), FALSE), I25)))</f>
        <v>1695.7365596600259</v>
      </c>
      <c r="M25" s="137" t="n">
        <f t="shared" si="7"/>
        <v>3.0207111836659806</v>
      </c>
      <c r="N25" s="123" t="n">
        <f t="shared" si="2"/>
        <v>23</v>
      </c>
      <c r="O25" s="137" t="n">
        <f>IF(AND(COUNTIF(Games!$B$2:$B$101, Elo!$A25)=0,COUNTIF(Games!$C$2:$C$101, Elo!$A25)=0), L25, IF(COUNTIF(Games!$B$2:$B$101, Elo!$A25)&gt;0, VLOOKUP(Elo!$A25, Games!$B$2:$AN$101, MATCH("New Home Elo", Games!$B$1:$AN$1, 0), FALSE), IF(COUNTIF(Games!$C$2:$C$101, Elo!$A25)&gt;0, VLOOKUP(Elo!$A25, Games!$C$2:$AO$101, MATCH("New Away Elo", Games!$C$1:$AO$1, 0), FALSE), L25)))</f>
        <v>1695.7365596600259</v>
      </c>
      <c r="P25" s="137" t="n">
        <f t="shared" si="11"/>
        <v>0</v>
      </c>
      <c r="Q25" s="123" t="n">
        <f t="shared" si="3"/>
        <v>23</v>
      </c>
      <c r="R25" s="137" t="n">
        <f>IF(AND(COUNTIF(Games!$B$2:$B$101, Elo!$A25)=0,COUNTIF(Games!$C$2:$C$101, Elo!$A25)=0), O25, IF(COUNTIF(Games!$B$2:$B$101, Elo!$A25)&gt;0, VLOOKUP(Elo!$A25, Games!$B$2:$AN$101, MATCH("New Home Elo", Games!$B$1:$AN$1, 0), FALSE), IF(COUNTIF(Games!$C$2:$C$101, Elo!$A25)&gt;0, VLOOKUP(Elo!$A25, Games!$C$2:$AO$101, MATCH("New Away Elo", Games!$C$1:$AO$1, 0), FALSE), O25)))</f>
        <v>1695.7365596600259</v>
      </c>
      <c r="S25" s="137" t="n">
        <f t="shared" si="12"/>
        <v>0</v>
      </c>
      <c r="T25" s="123" t="n">
        <f t="shared" si="4"/>
        <v>23</v>
      </c>
      <c r="U25" s="137" t="n">
        <f>IF(AND(COUNTIF(Games!$B$2:$B$101, Elo!$A25)=0,COUNTIF(Games!$C$2:$C$101, Elo!$A25)=0), R25, IF(COUNTIF(Games!$B$2:$B$101, Elo!$A25)&gt;0, VLOOKUP(Elo!$A25, Games!$B$2:$AN$101, MATCH("New Home Elo", Games!$B$1:$AN$1, 0), FALSE), IF(COUNTIF(Games!$C$2:$C$101, Elo!$A25)&gt;0, VLOOKUP(Elo!$A25, Games!$C$2:$AO$101, MATCH("New Away Elo", Games!$C$1:$AO$1, 0), FALSE), R25)))</f>
        <v>1695.7365596600259</v>
      </c>
      <c r="V25" s="137" t="n">
        <f t="shared" si="13"/>
        <v>0</v>
      </c>
      <c r="W25" s="123" t="n">
        <f t="shared" si="5"/>
        <v>23</v>
      </c>
    </row>
    <row r="26">
      <c r="A26" s="1" t="s">
        <v>139</v>
      </c>
      <c r="B26" s="1" t="s">
        <v>126</v>
      </c>
      <c r="C26" s="137" t="n">
        <f>VLOOKUP(A26, $A$2:$BQ$1048576, MATCH(_xlfn.CONCAT("Week ",Games!$A$7), Elo!$A$1:$BQ$1, 0), FALSE)</f>
        <v>1686.5806772625001</v>
      </c>
      <c r="D26" s="137" t="n">
        <f t="shared" si="0"/>
        <v>25</v>
      </c>
      <c r="E26" s="137" t="n">
        <v>1686.5806772625001</v>
      </c>
      <c r="F26" s="123" t="n">
        <v>25</v>
      </c>
      <c r="G26" s="137" t="n">
        <v>1686.5806772625001</v>
      </c>
      <c r="H26" s="123" t="n">
        <v>25</v>
      </c>
      <c r="I26" s="137" t="n">
        <v>1686.5806772625001</v>
      </c>
      <c r="J26" s="137" t="n">
        <f t="shared" si="6"/>
        <v>0</v>
      </c>
      <c r="K26" s="123" t="n">
        <f t="shared" si="1"/>
        <v>25</v>
      </c>
      <c r="L26" s="137" t="n">
        <f>IF(AND(COUNTIF(Games!$B$2:$B$101, Elo!$A26)=0,COUNTIF(Games!$C$2:$C$101, Elo!$A26)=0), I26, IF(COUNTIF(Games!$B$2:$B$101, Elo!$A26)&gt;0, VLOOKUP(Elo!$A26, Games!$B$2:$AN$101, MATCH("New Home Elo", Games!$B$1:$AN$1, 0), FALSE), IF(COUNTIF(Games!$C$2:$C$101, Elo!$A26)&gt;0, VLOOKUP(Elo!$A26, Games!$C$2:$AO$101, MATCH("New Away Elo", Games!$C$1:$AO$1, 0), FALSE), I26)))</f>
        <v>1645.2684079670694</v>
      </c>
      <c r="M26" s="137" t="n">
        <f t="shared" si="7"/>
        <v>-41.312269295430724</v>
      </c>
      <c r="N26" s="123" t="n">
        <f t="shared" si="2"/>
        <v>34</v>
      </c>
      <c r="O26" s="137" t="n">
        <f>IF(AND(COUNTIF(Games!$B$2:$B$101, Elo!$A26)=0,COUNTIF(Games!$C$2:$C$101, Elo!$A26)=0), L26, IF(COUNTIF(Games!$B$2:$B$101, Elo!$A26)&gt;0, VLOOKUP(Elo!$A26, Games!$B$2:$AN$101, MATCH("New Home Elo", Games!$B$1:$AN$1, 0), FALSE), IF(COUNTIF(Games!$C$2:$C$101, Elo!$A26)&gt;0, VLOOKUP(Elo!$A26, Games!$C$2:$AO$101, MATCH("New Away Elo", Games!$C$1:$AO$1, 0), FALSE), L26)))</f>
        <v>1645.2684079670694</v>
      </c>
      <c r="P26" s="137" t="n">
        <f t="shared" si="11"/>
        <v>0</v>
      </c>
      <c r="Q26" s="123" t="n">
        <f t="shared" si="3"/>
        <v>34</v>
      </c>
      <c r="R26" s="137" t="n">
        <f>IF(AND(COUNTIF(Games!$B$2:$B$101, Elo!$A26)=0,COUNTIF(Games!$C$2:$C$101, Elo!$A26)=0), O26, IF(COUNTIF(Games!$B$2:$B$101, Elo!$A26)&gt;0, VLOOKUP(Elo!$A26, Games!$B$2:$AN$101, MATCH("New Home Elo", Games!$B$1:$AN$1, 0), FALSE), IF(COUNTIF(Games!$C$2:$C$101, Elo!$A26)&gt;0, VLOOKUP(Elo!$A26, Games!$C$2:$AO$101, MATCH("New Away Elo", Games!$C$1:$AO$1, 0), FALSE), O26)))</f>
        <v>1645.2684079670694</v>
      </c>
      <c r="S26" s="137" t="n">
        <f t="shared" si="12"/>
        <v>0</v>
      </c>
      <c r="T26" s="123" t="n">
        <f t="shared" si="4"/>
        <v>34</v>
      </c>
      <c r="U26" s="137" t="n">
        <f>IF(AND(COUNTIF(Games!$B$2:$B$101, Elo!$A26)=0,COUNTIF(Games!$C$2:$C$101, Elo!$A26)=0), R26, IF(COUNTIF(Games!$B$2:$B$101, Elo!$A26)&gt;0, VLOOKUP(Elo!$A26, Games!$B$2:$AN$101, MATCH("New Home Elo", Games!$B$1:$AN$1, 0), FALSE), IF(COUNTIF(Games!$C$2:$C$101, Elo!$A26)&gt;0, VLOOKUP(Elo!$A26, Games!$C$2:$AO$101, MATCH("New Away Elo", Games!$C$1:$AO$1, 0), FALSE), R26)))</f>
        <v>1645.2684079670694</v>
      </c>
      <c r="V26" s="137" t="n">
        <f t="shared" si="13"/>
        <v>0</v>
      </c>
      <c r="W26" s="123" t="n">
        <f t="shared" si="5"/>
        <v>34</v>
      </c>
    </row>
    <row r="27">
      <c r="A27" s="1" t="s">
        <v>140</v>
      </c>
      <c r="B27" s="1" t="s">
        <v>141</v>
      </c>
      <c r="C27" s="137" t="n">
        <f>VLOOKUP(A27, $A$2:$BQ$1048576, MATCH(_xlfn.CONCAT("Week ",Games!$A$7), Elo!$A$1:$BQ$1, 0), FALSE)</f>
        <v>1686.07410211058</v>
      </c>
      <c r="D27" s="137" t="n">
        <f t="shared" si="0"/>
        <v>26</v>
      </c>
      <c r="E27" s="137" t="n">
        <v>1686.07410211058</v>
      </c>
      <c r="F27" s="123" t="n">
        <v>26</v>
      </c>
      <c r="G27" s="137" t="n">
        <v>1686.07410211058</v>
      </c>
      <c r="H27" s="123" t="n">
        <v>26</v>
      </c>
      <c r="I27" s="137" t="n">
        <v>1686.07410211058</v>
      </c>
      <c r="J27" s="137" t="n">
        <f t="shared" si="6"/>
        <v>0</v>
      </c>
      <c r="K27" s="123" t="n">
        <f t="shared" si="1"/>
        <v>26</v>
      </c>
      <c r="L27" s="137" t="n">
        <f>IF(AND(COUNTIF(Games!$B$2:$B$101, Elo!$A27)=0,COUNTIF(Games!$C$2:$C$101, Elo!$A27)=0), I27, IF(COUNTIF(Games!$B$2:$B$101, Elo!$A27)&gt;0, VLOOKUP(Elo!$A27, Games!$B$2:$AN$101, MATCH("New Home Elo", Games!$B$1:$AN$1, 0), FALSE), IF(COUNTIF(Games!$C$2:$C$101, Elo!$A27)&gt;0, VLOOKUP(Elo!$A27, Games!$C$2:$AO$101, MATCH("New Away Elo", Games!$C$1:$AO$1, 0), FALSE), I27)))</f>
        <v>1689.0790051962499</v>
      </c>
      <c r="M27" s="137" t="n">
        <f t="shared" si="7"/>
        <v>3.0049030856698664</v>
      </c>
      <c r="N27" s="123" t="n">
        <f t="shared" si="2"/>
        <v>25</v>
      </c>
      <c r="O27" s="137" t="n">
        <f>IF(AND(COUNTIF(Games!$B$2:$B$101, Elo!$A27)=0,COUNTIF(Games!$C$2:$C$101, Elo!$A27)=0), L27, IF(COUNTIF(Games!$B$2:$B$101, Elo!$A27)&gt;0, VLOOKUP(Elo!$A27, Games!$B$2:$AN$101, MATCH("New Home Elo", Games!$B$1:$AN$1, 0), FALSE), IF(COUNTIF(Games!$C$2:$C$101, Elo!$A27)&gt;0, VLOOKUP(Elo!$A27, Games!$C$2:$AO$101, MATCH("New Away Elo", Games!$C$1:$AO$1, 0), FALSE), L27)))</f>
        <v>1689.0790051962499</v>
      </c>
      <c r="P27" s="137" t="n">
        <f t="shared" si="11"/>
        <v>0</v>
      </c>
      <c r="Q27" s="123" t="n">
        <f t="shared" si="3"/>
        <v>25</v>
      </c>
      <c r="R27" s="137" t="n">
        <f>IF(AND(COUNTIF(Games!$B$2:$B$101, Elo!$A27)=0,COUNTIF(Games!$C$2:$C$101, Elo!$A27)=0), O27, IF(COUNTIF(Games!$B$2:$B$101, Elo!$A27)&gt;0, VLOOKUP(Elo!$A27, Games!$B$2:$AN$101, MATCH("New Home Elo", Games!$B$1:$AN$1, 0), FALSE), IF(COUNTIF(Games!$C$2:$C$101, Elo!$A27)&gt;0, VLOOKUP(Elo!$A27, Games!$C$2:$AO$101, MATCH("New Away Elo", Games!$C$1:$AO$1, 0), FALSE), O27)))</f>
        <v>1689.0790051962499</v>
      </c>
      <c r="S27" s="137" t="n">
        <f t="shared" si="12"/>
        <v>0</v>
      </c>
      <c r="T27" s="123" t="n">
        <f t="shared" si="4"/>
        <v>25</v>
      </c>
      <c r="U27" s="137" t="n">
        <f>IF(AND(COUNTIF(Games!$B$2:$B$101, Elo!$A27)=0,COUNTIF(Games!$C$2:$C$101, Elo!$A27)=0), R27, IF(COUNTIF(Games!$B$2:$B$101, Elo!$A27)&gt;0, VLOOKUP(Elo!$A27, Games!$B$2:$AN$101, MATCH("New Home Elo", Games!$B$1:$AN$1, 0), FALSE), IF(COUNTIF(Games!$C$2:$C$101, Elo!$A27)&gt;0, VLOOKUP(Elo!$A27, Games!$C$2:$AO$101, MATCH("New Away Elo", Games!$C$1:$AO$1, 0), FALSE), R27)))</f>
        <v>1689.0790051962499</v>
      </c>
      <c r="V27" s="137" t="n">
        <f t="shared" si="13"/>
        <v>0</v>
      </c>
      <c r="W27" s="123" t="n">
        <f t="shared" si="5"/>
        <v>25</v>
      </c>
    </row>
    <row r="28">
      <c r="A28" s="1" t="s">
        <v>142</v>
      </c>
      <c r="B28" s="1" t="s">
        <v>111</v>
      </c>
      <c r="C28" s="137" t="n">
        <f>VLOOKUP(A28, $A$2:$BQ$1048576, MATCH(_xlfn.CONCAT("Week ",Games!$A$7), Elo!$A$1:$BQ$1, 0), FALSE)</f>
        <v>1685.0569141992501</v>
      </c>
      <c r="D28" s="137" t="n">
        <f t="shared" si="0"/>
        <v>27</v>
      </c>
      <c r="E28" s="137" t="n">
        <v>1685.0569141992501</v>
      </c>
      <c r="F28" s="123" t="n">
        <v>27</v>
      </c>
      <c r="G28" s="137" t="n">
        <v>1685.0569141992501</v>
      </c>
      <c r="H28" s="123" t="n">
        <v>27</v>
      </c>
      <c r="I28" s="137" t="n">
        <v>1685.0569141992501</v>
      </c>
      <c r="J28" s="137" t="n">
        <f t="shared" si="6"/>
        <v>0</v>
      </c>
      <c r="K28" s="123" t="n">
        <f t="shared" si="1"/>
        <v>27</v>
      </c>
      <c r="L28" s="137" t="n">
        <f>IF(AND(COUNTIF(Games!$B$2:$B$101, Elo!$A28)=0,COUNTIF(Games!$C$2:$C$101, Elo!$A28)=0), I28, IF(COUNTIF(Games!$B$2:$B$101, Elo!$A28)&gt;0, VLOOKUP(Elo!$A28, Games!$B$2:$AN$101, MATCH("New Home Elo", Games!$B$1:$AN$1, 0), FALSE), IF(COUNTIF(Games!$C$2:$C$101, Elo!$A28)&gt;0, VLOOKUP(Elo!$A28, Games!$C$2:$AO$101, MATCH("New Away Elo", Games!$C$1:$AO$1, 0), FALSE), I28)))</f>
        <v>1685.0569141992501</v>
      </c>
      <c r="M28" s="137" t="n">
        <f t="shared" si="7"/>
        <v>0</v>
      </c>
      <c r="N28" s="123" t="n">
        <f t="shared" si="2"/>
        <v>28</v>
      </c>
      <c r="O28" s="137" t="n">
        <f>IF(AND(COUNTIF(Games!$B$2:$B$101, Elo!$A28)=0,COUNTIF(Games!$C$2:$C$101, Elo!$A28)=0), L28, IF(COUNTIF(Games!$B$2:$B$101, Elo!$A28)&gt;0, VLOOKUP(Elo!$A28, Games!$B$2:$AN$101, MATCH("New Home Elo", Games!$B$1:$AN$1, 0), FALSE), IF(COUNTIF(Games!$C$2:$C$101, Elo!$A28)&gt;0, VLOOKUP(Elo!$A28, Games!$C$2:$AO$101, MATCH("New Away Elo", Games!$C$1:$AO$1, 0), FALSE), L28)))</f>
        <v>1685.0569141992501</v>
      </c>
      <c r="P28" s="137" t="n">
        <f t="shared" si="11"/>
        <v>0</v>
      </c>
      <c r="Q28" s="123" t="n">
        <f t="shared" si="3"/>
        <v>28</v>
      </c>
      <c r="R28" s="137" t="n">
        <f>IF(AND(COUNTIF(Games!$B$2:$B$101, Elo!$A28)=0,COUNTIF(Games!$C$2:$C$101, Elo!$A28)=0), O28, IF(COUNTIF(Games!$B$2:$B$101, Elo!$A28)&gt;0, VLOOKUP(Elo!$A28, Games!$B$2:$AN$101, MATCH("New Home Elo", Games!$B$1:$AN$1, 0), FALSE), IF(COUNTIF(Games!$C$2:$C$101, Elo!$A28)&gt;0, VLOOKUP(Elo!$A28, Games!$C$2:$AO$101, MATCH("New Away Elo", Games!$C$1:$AO$1, 0), FALSE), O28)))</f>
        <v>1685.0569141992501</v>
      </c>
      <c r="S28" s="137" t="n">
        <f t="shared" si="12"/>
        <v>0</v>
      </c>
      <c r="T28" s="123" t="n">
        <f t="shared" si="4"/>
        <v>28</v>
      </c>
      <c r="U28" s="137" t="n">
        <f>IF(AND(COUNTIF(Games!$B$2:$B$101, Elo!$A28)=0,COUNTIF(Games!$C$2:$C$101, Elo!$A28)=0), R28, IF(COUNTIF(Games!$B$2:$B$101, Elo!$A28)&gt;0, VLOOKUP(Elo!$A28, Games!$B$2:$AN$101, MATCH("New Home Elo", Games!$B$1:$AN$1, 0), FALSE), IF(COUNTIF(Games!$C$2:$C$101, Elo!$A28)&gt;0, VLOOKUP(Elo!$A28, Games!$C$2:$AO$101, MATCH("New Away Elo", Games!$C$1:$AO$1, 0), FALSE), R28)))</f>
        <v>1685.0569141992501</v>
      </c>
      <c r="V28" s="137" t="n">
        <f t="shared" si="13"/>
        <v>0</v>
      </c>
      <c r="W28" s="123" t="n">
        <f t="shared" si="5"/>
        <v>28</v>
      </c>
    </row>
    <row r="29">
      <c r="A29" s="1" t="s">
        <v>143</v>
      </c>
      <c r="B29" s="1" t="s">
        <v>109</v>
      </c>
      <c r="C29" s="137" t="n">
        <f>VLOOKUP(A29, $A$2:$BQ$1048576, MATCH(_xlfn.CONCAT("Week ",Games!$A$7), Elo!$A$1:$BQ$1, 0), FALSE)</f>
        <v>1674.0057140070201</v>
      </c>
      <c r="D29" s="137" t="n">
        <f t="shared" si="0"/>
        <v>28</v>
      </c>
      <c r="E29" s="137" t="n">
        <v>1674.0057140070201</v>
      </c>
      <c r="F29" s="123" t="n">
        <v>28</v>
      </c>
      <c r="G29" s="137" t="n">
        <v>1674.0057140070201</v>
      </c>
      <c r="H29" s="123" t="n">
        <v>28</v>
      </c>
      <c r="I29" s="137" t="n">
        <v>1674.0057140070201</v>
      </c>
      <c r="J29" s="137" t="n">
        <f t="shared" si="6"/>
        <v>0</v>
      </c>
      <c r="K29" s="123" t="n">
        <f t="shared" si="1"/>
        <v>28</v>
      </c>
      <c r="L29" s="137" t="n">
        <f>IF(AND(COUNTIF(Games!$B$2:$B$101, Elo!$A29)=0,COUNTIF(Games!$C$2:$C$101, Elo!$A29)=0), I29, IF(COUNTIF(Games!$B$2:$B$101, Elo!$A29)&gt;0, VLOOKUP(Elo!$A29, Games!$B$2:$AN$101, MATCH("New Home Elo", Games!$B$1:$AN$1, 0), FALSE), IF(COUNTIF(Games!$C$2:$C$101, Elo!$A29)&gt;0, VLOOKUP(Elo!$A29, Games!$C$2:$AO$101, MATCH("New Away Elo", Games!$C$1:$AO$1, 0), FALSE), I29)))</f>
        <v>1510.0663481847023</v>
      </c>
      <c r="M29" s="137" t="n">
        <f t="shared" si="7"/>
        <v>-163.93936582231777</v>
      </c>
      <c r="N29" s="123" t="n">
        <f t="shared" si="2"/>
        <v>66</v>
      </c>
      <c r="O29" s="137" t="n">
        <f>IF(AND(COUNTIF(Games!$B$2:$B$101, Elo!$A29)=0,COUNTIF(Games!$C$2:$C$101, Elo!$A29)=0), L29, IF(COUNTIF(Games!$B$2:$B$101, Elo!$A29)&gt;0, VLOOKUP(Elo!$A29, Games!$B$2:$AN$101, MATCH("New Home Elo", Games!$B$1:$AN$1, 0), FALSE), IF(COUNTIF(Games!$C$2:$C$101, Elo!$A29)&gt;0, VLOOKUP(Elo!$A29, Games!$C$2:$AO$101, MATCH("New Away Elo", Games!$C$1:$AO$1, 0), FALSE), L29)))</f>
        <v>1510.0663481847023</v>
      </c>
      <c r="P29" s="137" t="n">
        <f t="shared" si="11"/>
        <v>0</v>
      </c>
      <c r="Q29" s="123" t="n">
        <f t="shared" si="3"/>
        <v>66</v>
      </c>
      <c r="R29" s="137" t="n">
        <f>IF(AND(COUNTIF(Games!$B$2:$B$101, Elo!$A29)=0,COUNTIF(Games!$C$2:$C$101, Elo!$A29)=0), O29, IF(COUNTIF(Games!$B$2:$B$101, Elo!$A29)&gt;0, VLOOKUP(Elo!$A29, Games!$B$2:$AN$101, MATCH("New Home Elo", Games!$B$1:$AN$1, 0), FALSE), IF(COUNTIF(Games!$C$2:$C$101, Elo!$A29)&gt;0, VLOOKUP(Elo!$A29, Games!$C$2:$AO$101, MATCH("New Away Elo", Games!$C$1:$AO$1, 0), FALSE), O29)))</f>
        <v>1510.0663481847023</v>
      </c>
      <c r="S29" s="137" t="n">
        <f t="shared" si="12"/>
        <v>0</v>
      </c>
      <c r="T29" s="123" t="n">
        <f t="shared" si="4"/>
        <v>66</v>
      </c>
      <c r="U29" s="137" t="n">
        <f>IF(AND(COUNTIF(Games!$B$2:$B$101, Elo!$A29)=0,COUNTIF(Games!$C$2:$C$101, Elo!$A29)=0), R29, IF(COUNTIF(Games!$B$2:$B$101, Elo!$A29)&gt;0, VLOOKUP(Elo!$A29, Games!$B$2:$AN$101, MATCH("New Home Elo", Games!$B$1:$AN$1, 0), FALSE), IF(COUNTIF(Games!$C$2:$C$101, Elo!$A29)&gt;0, VLOOKUP(Elo!$A29, Games!$C$2:$AO$101, MATCH("New Away Elo", Games!$C$1:$AO$1, 0), FALSE), R29)))</f>
        <v>1510.0663481847023</v>
      </c>
      <c r="V29" s="137" t="n">
        <f t="shared" si="13"/>
        <v>0</v>
      </c>
      <c r="W29" s="123" t="n">
        <f t="shared" si="5"/>
        <v>66</v>
      </c>
    </row>
    <row r="30">
      <c r="A30" s="1" t="s">
        <v>144</v>
      </c>
      <c r="B30" s="1" t="s">
        <v>122</v>
      </c>
      <c r="C30" s="137" t="n">
        <f>VLOOKUP(A30, $A$2:$BQ$1048576, MATCH(_xlfn.CONCAT("Week ",Games!$A$7), Elo!$A$1:$BQ$1, 0), FALSE)</f>
        <v>1673.90260631614</v>
      </c>
      <c r="D30" s="137" t="n">
        <f t="shared" si="0"/>
        <v>29</v>
      </c>
      <c r="E30" s="137" t="n">
        <v>1673.90260631614</v>
      </c>
      <c r="F30" s="123" t="n">
        <v>29</v>
      </c>
      <c r="G30" s="137" t="n">
        <v>1673.90260631614</v>
      </c>
      <c r="H30" s="123" t="n">
        <v>29</v>
      </c>
      <c r="I30" s="137" t="n">
        <v>1673.90260631614</v>
      </c>
      <c r="J30" s="137" t="n">
        <f t="shared" si="6"/>
        <v>0</v>
      </c>
      <c r="K30" s="123" t="n">
        <f t="shared" si="1"/>
        <v>29</v>
      </c>
      <c r="L30" s="137" t="n">
        <f>IF(AND(COUNTIF(Games!$B$2:$B$101, Elo!$A30)=0,COUNTIF(Games!$C$2:$C$101, Elo!$A30)=0), I30, IF(COUNTIF(Games!$B$2:$B$101, Elo!$A30)&gt;0, VLOOKUP(Elo!$A30, Games!$B$2:$AN$101, MATCH("New Home Elo", Games!$B$1:$AN$1, 0), FALSE), IF(COUNTIF(Games!$C$2:$C$101, Elo!$A30)&gt;0, VLOOKUP(Elo!$A30, Games!$C$2:$AO$101, MATCH("New Away Elo", Games!$C$1:$AO$1, 0), FALSE), I30)))</f>
        <v>1518.9479011342073</v>
      </c>
      <c r="M30" s="137" t="n">
        <f t="shared" si="7"/>
        <v>-154.9547051819327</v>
      </c>
      <c r="N30" s="123" t="n">
        <f t="shared" si="2"/>
        <v>64</v>
      </c>
      <c r="O30" s="137" t="n">
        <f>IF(AND(COUNTIF(Games!$B$2:$B$101, Elo!$A30)=0,COUNTIF(Games!$C$2:$C$101, Elo!$A30)=0), L30, IF(COUNTIF(Games!$B$2:$B$101, Elo!$A30)&gt;0, VLOOKUP(Elo!$A30, Games!$B$2:$AN$101, MATCH("New Home Elo", Games!$B$1:$AN$1, 0), FALSE), IF(COUNTIF(Games!$C$2:$C$101, Elo!$A30)&gt;0, VLOOKUP(Elo!$A30, Games!$C$2:$AO$101, MATCH("New Away Elo", Games!$C$1:$AO$1, 0), FALSE), L30)))</f>
        <v>1518.9479011342073</v>
      </c>
      <c r="P30" s="137" t="n">
        <f t="shared" si="11"/>
        <v>0</v>
      </c>
      <c r="Q30" s="123" t="n">
        <f t="shared" si="3"/>
        <v>64</v>
      </c>
      <c r="R30" s="137" t="n">
        <f>IF(AND(COUNTIF(Games!$B$2:$B$101, Elo!$A30)=0,COUNTIF(Games!$C$2:$C$101, Elo!$A30)=0), O30, IF(COUNTIF(Games!$B$2:$B$101, Elo!$A30)&gt;0, VLOOKUP(Elo!$A30, Games!$B$2:$AN$101, MATCH("New Home Elo", Games!$B$1:$AN$1, 0), FALSE), IF(COUNTIF(Games!$C$2:$C$101, Elo!$A30)&gt;0, VLOOKUP(Elo!$A30, Games!$C$2:$AO$101, MATCH("New Away Elo", Games!$C$1:$AO$1, 0), FALSE), O30)))</f>
        <v>1518.9479011342073</v>
      </c>
      <c r="S30" s="137" t="n">
        <f t="shared" si="12"/>
        <v>0</v>
      </c>
      <c r="T30" s="123" t="n">
        <f t="shared" si="4"/>
        <v>64</v>
      </c>
      <c r="U30" s="137" t="n">
        <f>IF(AND(COUNTIF(Games!$B$2:$B$101, Elo!$A30)=0,COUNTIF(Games!$C$2:$C$101, Elo!$A30)=0), R30, IF(COUNTIF(Games!$B$2:$B$101, Elo!$A30)&gt;0, VLOOKUP(Elo!$A30, Games!$B$2:$AN$101, MATCH("New Home Elo", Games!$B$1:$AN$1, 0), FALSE), IF(COUNTIF(Games!$C$2:$C$101, Elo!$A30)&gt;0, VLOOKUP(Elo!$A30, Games!$C$2:$AO$101, MATCH("New Away Elo", Games!$C$1:$AO$1, 0), FALSE), R30)))</f>
        <v>1518.9479011342073</v>
      </c>
      <c r="V30" s="137" t="n">
        <f t="shared" si="13"/>
        <v>0</v>
      </c>
      <c r="W30" s="123" t="n">
        <f t="shared" si="5"/>
        <v>64</v>
      </c>
    </row>
    <row r="31">
      <c r="A31" s="1" t="s">
        <v>145</v>
      </c>
      <c r="B31" s="1" t="s">
        <v>126</v>
      </c>
      <c r="C31" s="137" t="n">
        <f>VLOOKUP(A31, $A$2:$BQ$1048576, MATCH(_xlfn.CONCAT("Week ",Games!$A$7), Elo!$A$1:$BQ$1, 0), FALSE)</f>
        <v>1668.36288069077</v>
      </c>
      <c r="D31" s="137" t="n">
        <f t="shared" si="0"/>
        <v>30</v>
      </c>
      <c r="E31" s="137" t="n">
        <v>1668.36288069077</v>
      </c>
      <c r="F31" s="123" t="n">
        <v>30</v>
      </c>
      <c r="G31" s="137" t="n">
        <v>1668.36288069077</v>
      </c>
      <c r="H31" s="123" t="n">
        <v>30</v>
      </c>
      <c r="I31" s="137" t="n">
        <v>1668.36288069077</v>
      </c>
      <c r="J31" s="137" t="n">
        <f t="shared" si="6"/>
        <v>0</v>
      </c>
      <c r="K31" s="123" t="n">
        <f t="shared" si="1"/>
        <v>30</v>
      </c>
      <c r="L31" s="137" t="n">
        <f>IF(AND(COUNTIF(Games!$B$2:$B$101, Elo!$A31)=0,COUNTIF(Games!$C$2:$C$101, Elo!$A31)=0), I31, IF(COUNTIF(Games!$B$2:$B$101, Elo!$A31)&gt;0, VLOOKUP(Elo!$A31, Games!$B$2:$AN$101, MATCH("New Home Elo", Games!$B$1:$AN$1, 0), FALSE), IF(COUNTIF(Games!$C$2:$C$101, Elo!$A31)&gt;0, VLOOKUP(Elo!$A31, Games!$C$2:$AO$101, MATCH("New Away Elo", Games!$C$1:$AO$1, 0), FALSE), I31)))</f>
        <v>1687.424056478807</v>
      </c>
      <c r="M31" s="137" t="n">
        <f>L31-I31</f>
        <v>19.061175788036962</v>
      </c>
      <c r="N31" s="123" t="n">
        <f t="shared" si="2"/>
        <v>27</v>
      </c>
      <c r="O31" s="137" t="n">
        <f>IF(AND(COUNTIF(Games!$B$2:$B$101, Elo!$A31)=0,COUNTIF(Games!$C$2:$C$101, Elo!$A31)=0), L31, IF(COUNTIF(Games!$B$2:$B$101, Elo!$A31)&gt;0, VLOOKUP(Elo!$A31, Games!$B$2:$AN$101, MATCH("New Home Elo", Games!$B$1:$AN$1, 0), FALSE), IF(COUNTIF(Games!$C$2:$C$101, Elo!$A31)&gt;0, VLOOKUP(Elo!$A31, Games!$C$2:$AO$101, MATCH("New Away Elo", Games!$C$1:$AO$1, 0), FALSE), L31)))</f>
        <v>1687.424056478807</v>
      </c>
      <c r="P31" s="137" t="n">
        <f>O31-L31</f>
        <v>0</v>
      </c>
      <c r="Q31" s="123" t="n">
        <f t="shared" si="3"/>
        <v>27</v>
      </c>
      <c r="R31" s="137" t="n">
        <f>IF(AND(COUNTIF(Games!$B$2:$B$101, Elo!$A31)=0,COUNTIF(Games!$C$2:$C$101, Elo!$A31)=0), O31, IF(COUNTIF(Games!$B$2:$B$101, Elo!$A31)&gt;0, VLOOKUP(Elo!$A31, Games!$B$2:$AN$101, MATCH("New Home Elo", Games!$B$1:$AN$1, 0), FALSE), IF(COUNTIF(Games!$C$2:$C$101, Elo!$A31)&gt;0, VLOOKUP(Elo!$A31, Games!$C$2:$AO$101, MATCH("New Away Elo", Games!$C$1:$AO$1, 0), FALSE), O31)))</f>
        <v>1687.424056478807</v>
      </c>
      <c r="S31" s="137" t="n">
        <f>R31-O31</f>
        <v>0</v>
      </c>
      <c r="T31" s="123" t="n">
        <f t="shared" si="4"/>
        <v>27</v>
      </c>
      <c r="U31" s="137" t="n">
        <f>IF(AND(COUNTIF(Games!$B$2:$B$101, Elo!$A31)=0,COUNTIF(Games!$C$2:$C$101, Elo!$A31)=0), R31, IF(COUNTIF(Games!$B$2:$B$101, Elo!$A31)&gt;0, VLOOKUP(Elo!$A31, Games!$B$2:$AN$101, MATCH("New Home Elo", Games!$B$1:$AN$1, 0), FALSE), IF(COUNTIF(Games!$C$2:$C$101, Elo!$A31)&gt;0, VLOOKUP(Elo!$A31, Games!$C$2:$AO$101, MATCH("New Away Elo", Games!$C$1:$AO$1, 0), FALSE), R31)))</f>
        <v>1687.424056478807</v>
      </c>
      <c r="V31" s="137" t="n">
        <f>U31-R31</f>
        <v>0</v>
      </c>
      <c r="W31" s="123" t="n">
        <f t="shared" si="5"/>
        <v>27</v>
      </c>
    </row>
    <row r="32">
      <c r="A32" s="1" t="s">
        <v>146</v>
      </c>
      <c r="B32" s="1" t="s">
        <v>122</v>
      </c>
      <c r="C32" s="137" t="n">
        <f>VLOOKUP(A32, $A$2:$BQ$1048576, MATCH(_xlfn.CONCAT("Week ",Games!$A$7), Elo!$A$1:$BQ$1, 0), FALSE)</f>
        <v>1657.4210284573401</v>
      </c>
      <c r="D32" s="137" t="n">
        <f t="shared" si="0"/>
        <v>31</v>
      </c>
      <c r="E32" s="137" t="n">
        <v>1657.4210284573401</v>
      </c>
      <c r="F32" s="123" t="n">
        <v>31</v>
      </c>
      <c r="G32" s="137" t="n">
        <v>1657.4210284573401</v>
      </c>
      <c r="H32" s="123" t="n">
        <v>31</v>
      </c>
      <c r="I32" s="137" t="n">
        <v>1657.4210284573401</v>
      </c>
      <c r="J32" s="137" t="n">
        <f t="shared" si="6"/>
        <v>0</v>
      </c>
      <c r="K32" s="123" t="n">
        <f t="shared" si="1"/>
        <v>31</v>
      </c>
      <c r="L32" s="137" t="n">
        <f>IF(AND(COUNTIF(Games!$B$2:$B$101, Elo!$A32)=0,COUNTIF(Games!$C$2:$C$101, Elo!$A32)=0), I32, IF(COUNTIF(Games!$B$2:$B$101, Elo!$A32)&gt;0, VLOOKUP(Elo!$A32, Games!$B$2:$AN$101, MATCH("New Home Elo", Games!$B$1:$AN$1, 0), FALSE), IF(COUNTIF(Games!$C$2:$C$101, Elo!$A32)&gt;0, VLOOKUP(Elo!$A32, Games!$C$2:$AO$101, MATCH("New Away Elo", Games!$C$1:$AO$1, 0), FALSE), I32)))</f>
        <v>1821.3603942796578</v>
      </c>
      <c r="M32" s="137" t="n">
        <f t="shared" si="7"/>
        <v>163.93936582231777</v>
      </c>
      <c r="N32" s="123" t="n">
        <f t="shared" si="2"/>
        <v>14</v>
      </c>
      <c r="O32" s="137" t="n">
        <f>IF(AND(COUNTIF(Games!$B$2:$B$101, Elo!$A32)=0,COUNTIF(Games!$C$2:$C$101, Elo!$A32)=0), L32, IF(COUNTIF(Games!$B$2:$B$101, Elo!$A32)&gt;0, VLOOKUP(Elo!$A32, Games!$B$2:$AN$101, MATCH("New Home Elo", Games!$B$1:$AN$1, 0), FALSE), IF(COUNTIF(Games!$C$2:$C$101, Elo!$A32)&gt;0, VLOOKUP(Elo!$A32, Games!$C$2:$AO$101, MATCH("New Away Elo", Games!$C$1:$AO$1, 0), FALSE), L32)))</f>
        <v>1821.3603942796578</v>
      </c>
      <c r="P32" s="137" t="n">
        <f t="shared" ref="P32:P71" si="14">O32-L32</f>
        <v>0</v>
      </c>
      <c r="Q32" s="123" t="n">
        <f t="shared" si="3"/>
        <v>14</v>
      </c>
      <c r="R32" s="137" t="n">
        <f>IF(AND(COUNTIF(Games!$B$2:$B$101, Elo!$A32)=0,COUNTIF(Games!$C$2:$C$101, Elo!$A32)=0), O32, IF(COUNTIF(Games!$B$2:$B$101, Elo!$A32)&gt;0, VLOOKUP(Elo!$A32, Games!$B$2:$AN$101, MATCH("New Home Elo", Games!$B$1:$AN$1, 0), FALSE), IF(COUNTIF(Games!$C$2:$C$101, Elo!$A32)&gt;0, VLOOKUP(Elo!$A32, Games!$C$2:$AO$101, MATCH("New Away Elo", Games!$C$1:$AO$1, 0), FALSE), O32)))</f>
        <v>1821.3603942796578</v>
      </c>
      <c r="S32" s="137" t="n">
        <f t="shared" ref="S32:S71" si="15">R32-O32</f>
        <v>0</v>
      </c>
      <c r="T32" s="123" t="n">
        <f t="shared" si="4"/>
        <v>14</v>
      </c>
      <c r="U32" s="137" t="n">
        <f>IF(AND(COUNTIF(Games!$B$2:$B$101, Elo!$A32)=0,COUNTIF(Games!$C$2:$C$101, Elo!$A32)=0), R32, IF(COUNTIF(Games!$B$2:$B$101, Elo!$A32)&gt;0, VLOOKUP(Elo!$A32, Games!$B$2:$AN$101, MATCH("New Home Elo", Games!$B$1:$AN$1, 0), FALSE), IF(COUNTIF(Games!$C$2:$C$101, Elo!$A32)&gt;0, VLOOKUP(Elo!$A32, Games!$C$2:$AO$101, MATCH("New Away Elo", Games!$C$1:$AO$1, 0), FALSE), R32)))</f>
        <v>1821.3603942796578</v>
      </c>
      <c r="V32" s="137" t="n">
        <f t="shared" ref="V32:V71" si="16">U32-R32</f>
        <v>0</v>
      </c>
      <c r="W32" s="123" t="n">
        <f t="shared" si="5"/>
        <v>14</v>
      </c>
    </row>
    <row r="33">
      <c r="A33" s="1" t="s">
        <v>147</v>
      </c>
      <c r="B33" s="1" t="s">
        <v>111</v>
      </c>
      <c r="C33" s="137" t="n">
        <f>VLOOKUP(A33, $A$2:$BQ$1048576, MATCH(_xlfn.CONCAT("Week ",Games!$A$7), Elo!$A$1:$BQ$1, 0), FALSE)</f>
        <v>1650.6994647767399</v>
      </c>
      <c r="D33" s="137" t="n">
        <f t="shared" si="0"/>
        <v>32</v>
      </c>
      <c r="E33" s="137" t="n">
        <v>1650.6994647767399</v>
      </c>
      <c r="F33" s="123" t="n">
        <v>32</v>
      </c>
      <c r="G33" s="137" t="n">
        <v>1650.6994647767399</v>
      </c>
      <c r="H33" s="123" t="n">
        <v>32</v>
      </c>
      <c r="I33" s="137" t="n">
        <v>1650.6994647767399</v>
      </c>
      <c r="J33" s="137" t="n">
        <f t="shared" si="6"/>
        <v>0</v>
      </c>
      <c r="K33" s="123" t="n">
        <f t="shared" si="1"/>
        <v>32</v>
      </c>
      <c r="L33" s="137" t="n">
        <f>IF(AND(COUNTIF(Games!$B$2:$B$101, Elo!$A33)=0,COUNTIF(Games!$C$2:$C$101, Elo!$A33)=0), I33, IF(COUNTIF(Games!$B$2:$B$101, Elo!$A33)&gt;0, VLOOKUP(Elo!$A33, Games!$B$2:$AN$101, MATCH("New Home Elo", Games!$B$1:$AN$1, 0), FALSE), IF(COUNTIF(Games!$C$2:$C$101, Elo!$A33)&gt;0, VLOOKUP(Elo!$A33, Games!$C$2:$AO$101, MATCH("New Away Elo", Games!$C$1:$AO$1, 0), FALSE), I33)))</f>
        <v>1660.2792499171926</v>
      </c>
      <c r="M33" s="137" t="n">
        <f t="shared" si="7"/>
        <v>9.5797851404527137</v>
      </c>
      <c r="N33" s="123" t="n">
        <f t="shared" si="2"/>
        <v>31</v>
      </c>
      <c r="O33" s="137" t="n">
        <f>IF(AND(COUNTIF(Games!$B$2:$B$101, Elo!$A33)=0,COUNTIF(Games!$C$2:$C$101, Elo!$A33)=0), L33, IF(COUNTIF(Games!$B$2:$B$101, Elo!$A33)&gt;0, VLOOKUP(Elo!$A33, Games!$B$2:$AN$101, MATCH("New Home Elo", Games!$B$1:$AN$1, 0), FALSE), IF(COUNTIF(Games!$C$2:$C$101, Elo!$A33)&gt;0, VLOOKUP(Elo!$A33, Games!$C$2:$AO$101, MATCH("New Away Elo", Games!$C$1:$AO$1, 0), FALSE), L33)))</f>
        <v>1660.2792499171926</v>
      </c>
      <c r="P33" s="137" t="n">
        <f t="shared" si="14"/>
        <v>0</v>
      </c>
      <c r="Q33" s="123" t="n">
        <f t="shared" si="3"/>
        <v>31</v>
      </c>
      <c r="R33" s="137" t="n">
        <f>IF(AND(COUNTIF(Games!$B$2:$B$101, Elo!$A33)=0,COUNTIF(Games!$C$2:$C$101, Elo!$A33)=0), O33, IF(COUNTIF(Games!$B$2:$B$101, Elo!$A33)&gt;0, VLOOKUP(Elo!$A33, Games!$B$2:$AN$101, MATCH("New Home Elo", Games!$B$1:$AN$1, 0), FALSE), IF(COUNTIF(Games!$C$2:$C$101, Elo!$A33)&gt;0, VLOOKUP(Elo!$A33, Games!$C$2:$AO$101, MATCH("New Away Elo", Games!$C$1:$AO$1, 0), FALSE), O33)))</f>
        <v>1660.2792499171926</v>
      </c>
      <c r="S33" s="137" t="n">
        <f t="shared" si="15"/>
        <v>0</v>
      </c>
      <c r="T33" s="123" t="n">
        <f t="shared" si="4"/>
        <v>31</v>
      </c>
      <c r="U33" s="137" t="n">
        <f>IF(AND(COUNTIF(Games!$B$2:$B$101, Elo!$A33)=0,COUNTIF(Games!$C$2:$C$101, Elo!$A33)=0), R33, IF(COUNTIF(Games!$B$2:$B$101, Elo!$A33)&gt;0, VLOOKUP(Elo!$A33, Games!$B$2:$AN$101, MATCH("New Home Elo", Games!$B$1:$AN$1, 0), FALSE), IF(COUNTIF(Games!$C$2:$C$101, Elo!$A33)&gt;0, VLOOKUP(Elo!$A33, Games!$C$2:$AO$101, MATCH("New Away Elo", Games!$C$1:$AO$1, 0), FALSE), R33)))</f>
        <v>1660.2792499171926</v>
      </c>
      <c r="V33" s="137" t="n">
        <f t="shared" si="16"/>
        <v>0</v>
      </c>
      <c r="W33" s="123" t="n">
        <f t="shared" si="5"/>
        <v>31</v>
      </c>
    </row>
    <row r="34">
      <c r="A34" s="1" t="s">
        <v>148</v>
      </c>
      <c r="B34" s="1" t="s">
        <v>149</v>
      </c>
      <c r="C34" s="137" t="n">
        <f>VLOOKUP(A34, $A$2:$BQ$1048576, MATCH(_xlfn.CONCAT("Week ",Games!$A$7), Elo!$A$1:$BQ$1, 0), FALSE)</f>
        <v>1650.1956948458501</v>
      </c>
      <c r="D34" s="137" t="n">
        <f t="shared" ref="D34:D65" si="17">F34</f>
        <v>33</v>
      </c>
      <c r="E34" s="137" t="n">
        <v>1650.1956948458501</v>
      </c>
      <c r="F34" s="123" t="n">
        <v>33</v>
      </c>
      <c r="G34" s="137" t="n">
        <v>1650.1956948458501</v>
      </c>
      <c r="H34" s="123" t="n">
        <v>33</v>
      </c>
      <c r="I34" s="137" t="n">
        <v>1650.1956948458501</v>
      </c>
      <c r="J34" s="137" t="n">
        <f t="shared" si="6"/>
        <v>0</v>
      </c>
      <c r="K34" s="123" t="n">
        <f t="shared" ref="K34:K65" si="18">_xlfn.RANK.EQ(I34, I$2:I$134, 0)</f>
        <v>33</v>
      </c>
      <c r="L34" s="137" t="n">
        <f>IF(AND(COUNTIF(Games!$B$2:$B$101, Elo!$A34)=0,COUNTIF(Games!$C$2:$C$101, Elo!$A34)=0), I34, IF(COUNTIF(Games!$B$2:$B$101, Elo!$A34)&gt;0, VLOOKUP(Elo!$A34, Games!$B$2:$AN$101, MATCH("New Home Elo", Games!$B$1:$AN$1, 0), FALSE), IF(COUNTIF(Games!$C$2:$C$101, Elo!$A34)&gt;0, VLOOKUP(Elo!$A34, Games!$C$2:$AO$101, MATCH("New Away Elo", Games!$C$1:$AO$1, 0), FALSE), I34)))</f>
        <v>1695.283437101247</v>
      </c>
      <c r="M34" s="137" t="n">
        <f t="shared" si="7"/>
        <v>45.087742255396961</v>
      </c>
      <c r="N34" s="123" t="n">
        <f t="shared" ref="N34:N65" si="19">_xlfn.RANK.EQ(L34, L$2:L$134, 0)</f>
        <v>24</v>
      </c>
      <c r="O34" s="137" t="n">
        <f>IF(AND(COUNTIF(Games!$B$2:$B$101, Elo!$A34)=0,COUNTIF(Games!$C$2:$C$101, Elo!$A34)=0), L34, IF(COUNTIF(Games!$B$2:$B$101, Elo!$A34)&gt;0, VLOOKUP(Elo!$A34, Games!$B$2:$AN$101, MATCH("New Home Elo", Games!$B$1:$AN$1, 0), FALSE), IF(COUNTIF(Games!$C$2:$C$101, Elo!$A34)&gt;0, VLOOKUP(Elo!$A34, Games!$C$2:$AO$101, MATCH("New Away Elo", Games!$C$1:$AO$1, 0), FALSE), L34)))</f>
        <v>1695.283437101247</v>
      </c>
      <c r="P34" s="137" t="n">
        <f t="shared" si="14"/>
        <v>0</v>
      </c>
      <c r="Q34" s="123" t="n">
        <f t="shared" si="3"/>
        <v>24</v>
      </c>
      <c r="R34" s="137" t="n">
        <f>IF(AND(COUNTIF(Games!$B$2:$B$101, Elo!$A34)=0,COUNTIF(Games!$C$2:$C$101, Elo!$A34)=0), O34, IF(COUNTIF(Games!$B$2:$B$101, Elo!$A34)&gt;0, VLOOKUP(Elo!$A34, Games!$B$2:$AN$101, MATCH("New Home Elo", Games!$B$1:$AN$1, 0), FALSE), IF(COUNTIF(Games!$C$2:$C$101, Elo!$A34)&gt;0, VLOOKUP(Elo!$A34, Games!$C$2:$AO$101, MATCH("New Away Elo", Games!$C$1:$AO$1, 0), FALSE), O34)))</f>
        <v>1695.283437101247</v>
      </c>
      <c r="S34" s="137" t="n">
        <f t="shared" si="15"/>
        <v>0</v>
      </c>
      <c r="T34" s="123" t="n">
        <f t="shared" si="4"/>
        <v>24</v>
      </c>
      <c r="U34" s="137" t="n">
        <f>IF(AND(COUNTIF(Games!$B$2:$B$101, Elo!$A34)=0,COUNTIF(Games!$C$2:$C$101, Elo!$A34)=0), R34, IF(COUNTIF(Games!$B$2:$B$101, Elo!$A34)&gt;0, VLOOKUP(Elo!$A34, Games!$B$2:$AN$101, MATCH("New Home Elo", Games!$B$1:$AN$1, 0), FALSE), IF(COUNTIF(Games!$C$2:$C$101, Elo!$A34)&gt;0, VLOOKUP(Elo!$A34, Games!$C$2:$AO$101, MATCH("New Away Elo", Games!$C$1:$AO$1, 0), FALSE), R34)))</f>
        <v>1695.283437101247</v>
      </c>
      <c r="V34" s="137" t="n">
        <f t="shared" si="16"/>
        <v>0</v>
      </c>
      <c r="W34" s="123" t="n">
        <f t="shared" si="5"/>
        <v>24</v>
      </c>
    </row>
    <row r="35">
      <c r="A35" s="1" t="s">
        <v>150</v>
      </c>
      <c r="B35" s="1" t="s">
        <v>126</v>
      </c>
      <c r="C35" s="137" t="n">
        <f>VLOOKUP(A35, $A$2:$BQ$1048576, MATCH(_xlfn.CONCAT("Week ",Games!$A$7), Elo!$A$1:$BQ$1, 0), FALSE)</f>
        <v>1648.9480606638299</v>
      </c>
      <c r="D35" s="137" t="n">
        <f t="shared" si="17"/>
        <v>34</v>
      </c>
      <c r="E35" s="137" t="n">
        <v>1648.9480606638299</v>
      </c>
      <c r="F35" s="123" t="n">
        <v>34</v>
      </c>
      <c r="G35" s="137" t="n">
        <v>1648.9480606638299</v>
      </c>
      <c r="H35" s="123" t="n">
        <v>34</v>
      </c>
      <c r="I35" s="137" t="n">
        <v>1648.9480606638299</v>
      </c>
      <c r="J35" s="137" t="n">
        <f t="shared" si="6"/>
        <v>0</v>
      </c>
      <c r="K35" s="123" t="n">
        <f t="shared" si="18"/>
        <v>34</v>
      </c>
      <c r="L35" s="137" t="n">
        <f>IF(AND(COUNTIF(Games!$B$2:$B$101, Elo!$A35)=0,COUNTIF(Games!$C$2:$C$101, Elo!$A35)=0), I35, IF(COUNTIF(Games!$B$2:$B$101, Elo!$A35)&gt;0, VLOOKUP(Elo!$A35, Games!$B$2:$AN$101, MATCH("New Home Elo", Games!$B$1:$AN$1, 0), FALSE), IF(COUNTIF(Games!$C$2:$C$101, Elo!$A35)&gt;0, VLOOKUP(Elo!$A35, Games!$C$2:$AO$101, MATCH("New Away Elo", Games!$C$1:$AO$1, 0), FALSE), I35)))</f>
        <v>1652.0936608832533</v>
      </c>
      <c r="M35" s="137" t="n">
        <f t="shared" si="7"/>
        <v>3.1456002194233861</v>
      </c>
      <c r="N35" s="123" t="n">
        <f t="shared" si="19"/>
        <v>32</v>
      </c>
      <c r="O35" s="137" t="n">
        <f>IF(AND(COUNTIF(Games!$B$2:$B$101, Elo!$A35)=0,COUNTIF(Games!$C$2:$C$101, Elo!$A35)=0), L35, IF(COUNTIF(Games!$B$2:$B$101, Elo!$A35)&gt;0, VLOOKUP(Elo!$A35, Games!$B$2:$AN$101, MATCH("New Home Elo", Games!$B$1:$AN$1, 0), FALSE), IF(COUNTIF(Games!$C$2:$C$101, Elo!$A35)&gt;0, VLOOKUP(Elo!$A35, Games!$C$2:$AO$101, MATCH("New Away Elo", Games!$C$1:$AO$1, 0), FALSE), L35)))</f>
        <v>1652.0936608832533</v>
      </c>
      <c r="P35" s="137" t="n">
        <f t="shared" si="14"/>
        <v>0</v>
      </c>
      <c r="Q35" s="123" t="n">
        <f t="shared" si="3"/>
        <v>32</v>
      </c>
      <c r="R35" s="137" t="n">
        <f>IF(AND(COUNTIF(Games!$B$2:$B$101, Elo!$A35)=0,COUNTIF(Games!$C$2:$C$101, Elo!$A35)=0), O35, IF(COUNTIF(Games!$B$2:$B$101, Elo!$A35)&gt;0, VLOOKUP(Elo!$A35, Games!$B$2:$AN$101, MATCH("New Home Elo", Games!$B$1:$AN$1, 0), FALSE), IF(COUNTIF(Games!$C$2:$C$101, Elo!$A35)&gt;0, VLOOKUP(Elo!$A35, Games!$C$2:$AO$101, MATCH("New Away Elo", Games!$C$1:$AO$1, 0), FALSE), O35)))</f>
        <v>1652.0936608832533</v>
      </c>
      <c r="S35" s="137" t="n">
        <f t="shared" si="15"/>
        <v>0</v>
      </c>
      <c r="T35" s="123" t="n">
        <f t="shared" si="4"/>
        <v>32</v>
      </c>
      <c r="U35" s="137" t="n">
        <f>IF(AND(COUNTIF(Games!$B$2:$B$101, Elo!$A35)=0,COUNTIF(Games!$C$2:$C$101, Elo!$A35)=0), R35, IF(COUNTIF(Games!$B$2:$B$101, Elo!$A35)&gt;0, VLOOKUP(Elo!$A35, Games!$B$2:$AN$101, MATCH("New Home Elo", Games!$B$1:$AN$1, 0), FALSE), IF(COUNTIF(Games!$C$2:$C$101, Elo!$A35)&gt;0, VLOOKUP(Elo!$A35, Games!$C$2:$AO$101, MATCH("New Away Elo", Games!$C$1:$AO$1, 0), FALSE), R35)))</f>
        <v>1652.0936608832533</v>
      </c>
      <c r="V35" s="137" t="n">
        <f t="shared" si="16"/>
        <v>0</v>
      </c>
      <c r="W35" s="123" t="n">
        <f t="shared" si="5"/>
        <v>32</v>
      </c>
    </row>
    <row r="36">
      <c r="A36" s="1" t="s">
        <v>151</v>
      </c>
      <c r="B36" s="1" t="s">
        <v>126</v>
      </c>
      <c r="C36" s="137" t="n">
        <f>VLOOKUP(A36, $A$2:$BQ$1048576, MATCH(_xlfn.CONCAT("Week ",Games!$A$7), Elo!$A$1:$BQ$1, 0), FALSE)</f>
        <v>1637.4913747384601</v>
      </c>
      <c r="D36" s="137" t="n">
        <f t="shared" si="17"/>
        <v>35</v>
      </c>
      <c r="E36" s="137" t="n">
        <v>1637.4913747384601</v>
      </c>
      <c r="F36" s="123" t="n">
        <v>35</v>
      </c>
      <c r="G36" s="137" t="n">
        <v>1637.4913747384601</v>
      </c>
      <c r="H36" s="123" t="n">
        <v>35</v>
      </c>
      <c r="I36" s="137" t="n">
        <v>1637.4913747384601</v>
      </c>
      <c r="J36" s="137" t="n">
        <f t="shared" si="6"/>
        <v>0</v>
      </c>
      <c r="K36" s="123" t="n">
        <f t="shared" si="18"/>
        <v>35</v>
      </c>
      <c r="L36" s="137" t="n">
        <f>IF(AND(COUNTIF(Games!$B$2:$B$101, Elo!$A36)=0,COUNTIF(Games!$C$2:$C$101, Elo!$A36)=0), I36, IF(COUNTIF(Games!$B$2:$B$101, Elo!$A36)&gt;0, VLOOKUP(Elo!$A36, Games!$B$2:$AN$101, MATCH("New Home Elo", Games!$B$1:$AN$1, 0), FALSE), IF(COUNTIF(Games!$C$2:$C$101, Elo!$A36)&gt;0, VLOOKUP(Elo!$A36, Games!$C$2:$AO$101, MATCH("New Away Elo", Games!$C$1:$AO$1, 0), FALSE), I36)))</f>
        <v>1639.7636371627668</v>
      </c>
      <c r="M36" s="137" t="n">
        <f t="shared" si="7"/>
        <v>2.2722624243067457</v>
      </c>
      <c r="N36" s="123" t="n">
        <f t="shared" si="19"/>
        <v>36</v>
      </c>
      <c r="O36" s="137" t="n">
        <f>IF(AND(COUNTIF(Games!$B$2:$B$101, Elo!$A36)=0,COUNTIF(Games!$C$2:$C$101, Elo!$A36)=0), L36, IF(COUNTIF(Games!$B$2:$B$101, Elo!$A36)&gt;0, VLOOKUP(Elo!$A36, Games!$B$2:$AN$101, MATCH("New Home Elo", Games!$B$1:$AN$1, 0), FALSE), IF(COUNTIF(Games!$C$2:$C$101, Elo!$A36)&gt;0, VLOOKUP(Elo!$A36, Games!$C$2:$AO$101, MATCH("New Away Elo", Games!$C$1:$AO$1, 0), FALSE), L36)))</f>
        <v>1639.7636371627668</v>
      </c>
      <c r="P36" s="137" t="n">
        <f t="shared" si="14"/>
        <v>0</v>
      </c>
      <c r="Q36" s="123" t="n">
        <f t="shared" si="3"/>
        <v>36</v>
      </c>
      <c r="R36" s="137" t="n">
        <f>IF(AND(COUNTIF(Games!$B$2:$B$101, Elo!$A36)=0,COUNTIF(Games!$C$2:$C$101, Elo!$A36)=0), O36, IF(COUNTIF(Games!$B$2:$B$101, Elo!$A36)&gt;0, VLOOKUP(Elo!$A36, Games!$B$2:$AN$101, MATCH("New Home Elo", Games!$B$1:$AN$1, 0), FALSE), IF(COUNTIF(Games!$C$2:$C$101, Elo!$A36)&gt;0, VLOOKUP(Elo!$A36, Games!$C$2:$AO$101, MATCH("New Away Elo", Games!$C$1:$AO$1, 0), FALSE), O36)))</f>
        <v>1639.7636371627668</v>
      </c>
      <c r="S36" s="137" t="n">
        <f t="shared" si="15"/>
        <v>0</v>
      </c>
      <c r="T36" s="123" t="n">
        <f t="shared" si="4"/>
        <v>36</v>
      </c>
      <c r="U36" s="137" t="n">
        <f>IF(AND(COUNTIF(Games!$B$2:$B$101, Elo!$A36)=0,COUNTIF(Games!$C$2:$C$101, Elo!$A36)=0), R36, IF(COUNTIF(Games!$B$2:$B$101, Elo!$A36)&gt;0, VLOOKUP(Elo!$A36, Games!$B$2:$AN$101, MATCH("New Home Elo", Games!$B$1:$AN$1, 0), FALSE), IF(COUNTIF(Games!$C$2:$C$101, Elo!$A36)&gt;0, VLOOKUP(Elo!$A36, Games!$C$2:$AO$101, MATCH("New Away Elo", Games!$C$1:$AO$1, 0), FALSE), R36)))</f>
        <v>1639.7636371627668</v>
      </c>
      <c r="V36" s="137" t="n">
        <f t="shared" si="16"/>
        <v>0</v>
      </c>
      <c r="W36" s="123" t="n">
        <f t="shared" si="5"/>
        <v>36</v>
      </c>
    </row>
    <row r="37">
      <c r="A37" s="1" t="s">
        <v>152</v>
      </c>
      <c r="B37" s="1" t="s">
        <v>109</v>
      </c>
      <c r="C37" s="137" t="n">
        <f>VLOOKUP(A37, $A$2:$BQ$1048576, MATCH(_xlfn.CONCAT("Week ",Games!$A$7), Elo!$A$1:$BQ$1, 0), FALSE)</f>
        <v>1636.14046511078</v>
      </c>
      <c r="D37" s="137" t="n">
        <f t="shared" si="17"/>
        <v>36</v>
      </c>
      <c r="E37" s="137" t="n">
        <v>1636.14046511078</v>
      </c>
      <c r="F37" s="123" t="n">
        <v>36</v>
      </c>
      <c r="G37" s="137" t="n">
        <v>1636.14046511078</v>
      </c>
      <c r="H37" s="123" t="n">
        <v>36</v>
      </c>
      <c r="I37" s="137" t="n">
        <v>1636.14046511078</v>
      </c>
      <c r="J37" s="137" t="n">
        <f t="shared" si="6"/>
        <v>0</v>
      </c>
      <c r="K37" s="123" t="n">
        <f t="shared" si="18"/>
        <v>36</v>
      </c>
      <c r="L37" s="137" t="n">
        <f>IF(AND(COUNTIF(Games!$B$2:$B$101, Elo!$A37)=0,COUNTIF(Games!$C$2:$C$101, Elo!$A37)=0), I37, IF(COUNTIF(Games!$B$2:$B$101, Elo!$A37)&gt;0, VLOOKUP(Elo!$A37, Games!$B$2:$AN$101, MATCH("New Home Elo", Games!$B$1:$AN$1, 0), FALSE), IF(COUNTIF(Games!$C$2:$C$101, Elo!$A37)&gt;0, VLOOKUP(Elo!$A37, Games!$C$2:$AO$101, MATCH("New Away Elo", Games!$C$1:$AO$1, 0), FALSE), I37)))</f>
        <v>1643.0757553206638</v>
      </c>
      <c r="M37" s="137" t="n">
        <f t="shared" si="7"/>
        <v>6.9352902098837603</v>
      </c>
      <c r="N37" s="123" t="n">
        <f t="shared" si="19"/>
        <v>35</v>
      </c>
      <c r="O37" s="137" t="n">
        <f>IF(AND(COUNTIF(Games!$B$2:$B$101, Elo!$A37)=0,COUNTIF(Games!$C$2:$C$101, Elo!$A37)=0), L37, IF(COUNTIF(Games!$B$2:$B$101, Elo!$A37)&gt;0, VLOOKUP(Elo!$A37, Games!$B$2:$AN$101, MATCH("New Home Elo", Games!$B$1:$AN$1, 0), FALSE), IF(COUNTIF(Games!$C$2:$C$101, Elo!$A37)&gt;0, VLOOKUP(Elo!$A37, Games!$C$2:$AO$101, MATCH("New Away Elo", Games!$C$1:$AO$1, 0), FALSE), L37)))</f>
        <v>1643.0757553206638</v>
      </c>
      <c r="P37" s="137" t="n">
        <f t="shared" si="14"/>
        <v>0</v>
      </c>
      <c r="Q37" s="123" t="n">
        <f t="shared" si="3"/>
        <v>35</v>
      </c>
      <c r="R37" s="137" t="n">
        <f>IF(AND(COUNTIF(Games!$B$2:$B$101, Elo!$A37)=0,COUNTIF(Games!$C$2:$C$101, Elo!$A37)=0), O37, IF(COUNTIF(Games!$B$2:$B$101, Elo!$A37)&gt;0, VLOOKUP(Elo!$A37, Games!$B$2:$AN$101, MATCH("New Home Elo", Games!$B$1:$AN$1, 0), FALSE), IF(COUNTIF(Games!$C$2:$C$101, Elo!$A37)&gt;0, VLOOKUP(Elo!$A37, Games!$C$2:$AO$101, MATCH("New Away Elo", Games!$C$1:$AO$1, 0), FALSE), O37)))</f>
        <v>1643.0757553206638</v>
      </c>
      <c r="S37" s="137" t="n">
        <f t="shared" si="15"/>
        <v>0</v>
      </c>
      <c r="T37" s="123" t="n">
        <f t="shared" si="4"/>
        <v>35</v>
      </c>
      <c r="U37" s="137" t="n">
        <f>IF(AND(COUNTIF(Games!$B$2:$B$101, Elo!$A37)=0,COUNTIF(Games!$C$2:$C$101, Elo!$A37)=0), R37, IF(COUNTIF(Games!$B$2:$B$101, Elo!$A37)&gt;0, VLOOKUP(Elo!$A37, Games!$B$2:$AN$101, MATCH("New Home Elo", Games!$B$1:$AN$1, 0), FALSE), IF(COUNTIF(Games!$C$2:$C$101, Elo!$A37)&gt;0, VLOOKUP(Elo!$A37, Games!$C$2:$AO$101, MATCH("New Away Elo", Games!$C$1:$AO$1, 0), FALSE), R37)))</f>
        <v>1643.0757553206638</v>
      </c>
      <c r="V37" s="137" t="n">
        <f t="shared" si="16"/>
        <v>0</v>
      </c>
      <c r="W37" s="123" t="n">
        <f t="shared" si="5"/>
        <v>35</v>
      </c>
    </row>
    <row r="38">
      <c r="A38" s="1" t="s">
        <v>153</v>
      </c>
      <c r="B38" s="1" t="s">
        <v>122</v>
      </c>
      <c r="C38" s="137" t="n">
        <f>VLOOKUP(A38, $A$2:$BQ$1048576, MATCH(_xlfn.CONCAT("Week ",Games!$A$7), Elo!$A$1:$BQ$1, 0), FALSE)</f>
        <v>1621.47572672711</v>
      </c>
      <c r="D38" s="137" t="n">
        <f t="shared" si="17"/>
        <v>37</v>
      </c>
      <c r="E38" s="137" t="n">
        <v>1621.47572672711</v>
      </c>
      <c r="F38" s="123" t="n">
        <v>37</v>
      </c>
      <c r="G38" s="137" t="n">
        <v>1621.47572672711</v>
      </c>
      <c r="H38" s="123" t="n">
        <v>37</v>
      </c>
      <c r="I38" s="137" t="n">
        <v>1621.47572672711</v>
      </c>
      <c r="J38" s="137" t="n">
        <f t="shared" si="6"/>
        <v>0</v>
      </c>
      <c r="K38" s="123" t="n">
        <f t="shared" si="18"/>
        <v>38</v>
      </c>
      <c r="L38" s="137" t="n">
        <f>IF(AND(COUNTIF(Games!$B$2:$B$101, Elo!$A38)=0,COUNTIF(Games!$C$2:$C$101, Elo!$A38)=0), I38, IF(COUNTIF(Games!$B$2:$B$101, Elo!$A38)&gt;0, VLOOKUP(Elo!$A38, Games!$B$2:$AN$101, MATCH("New Home Elo", Games!$B$1:$AN$1, 0), FALSE), IF(COUNTIF(Games!$C$2:$C$101, Elo!$A38)&gt;0, VLOOKUP(Elo!$A38, Games!$C$2:$AO$101, MATCH("New Away Elo", Games!$C$1:$AO$1, 0), FALSE), I38)))</f>
        <v>1639.3324358915629</v>
      </c>
      <c r="M38" s="137" t="n">
        <f t="shared" si="7"/>
        <v>17.856709164452923</v>
      </c>
      <c r="N38" s="123" t="n">
        <f t="shared" si="19"/>
        <v>37</v>
      </c>
      <c r="O38" s="137" t="n">
        <f>IF(AND(COUNTIF(Games!$B$2:$B$101, Elo!$A38)=0,COUNTIF(Games!$C$2:$C$101, Elo!$A38)=0), L38, IF(COUNTIF(Games!$B$2:$B$101, Elo!$A38)&gt;0, VLOOKUP(Elo!$A38, Games!$B$2:$AN$101, MATCH("New Home Elo", Games!$B$1:$AN$1, 0), FALSE), IF(COUNTIF(Games!$C$2:$C$101, Elo!$A38)&gt;0, VLOOKUP(Elo!$A38, Games!$C$2:$AO$101, MATCH("New Away Elo", Games!$C$1:$AO$1, 0), FALSE), L38)))</f>
        <v>1639.3324358915629</v>
      </c>
      <c r="P38" s="137" t="n">
        <f t="shared" si="14"/>
        <v>0</v>
      </c>
      <c r="Q38" s="123" t="n">
        <f t="shared" si="3"/>
        <v>37</v>
      </c>
      <c r="R38" s="137" t="n">
        <f>IF(AND(COUNTIF(Games!$B$2:$B$101, Elo!$A38)=0,COUNTIF(Games!$C$2:$C$101, Elo!$A38)=0), O38, IF(COUNTIF(Games!$B$2:$B$101, Elo!$A38)&gt;0, VLOOKUP(Elo!$A38, Games!$B$2:$AN$101, MATCH("New Home Elo", Games!$B$1:$AN$1, 0), FALSE), IF(COUNTIF(Games!$C$2:$C$101, Elo!$A38)&gt;0, VLOOKUP(Elo!$A38, Games!$C$2:$AO$101, MATCH("New Away Elo", Games!$C$1:$AO$1, 0), FALSE), O38)))</f>
        <v>1639.3324358915629</v>
      </c>
      <c r="S38" s="137" t="n">
        <f t="shared" si="15"/>
        <v>0</v>
      </c>
      <c r="T38" s="123" t="n">
        <f t="shared" si="4"/>
        <v>37</v>
      </c>
      <c r="U38" s="137" t="n">
        <f>IF(AND(COUNTIF(Games!$B$2:$B$101, Elo!$A38)=0,COUNTIF(Games!$C$2:$C$101, Elo!$A38)=0), R38, IF(COUNTIF(Games!$B$2:$B$101, Elo!$A38)&gt;0, VLOOKUP(Elo!$A38, Games!$B$2:$AN$101, MATCH("New Home Elo", Games!$B$1:$AN$1, 0), FALSE), IF(COUNTIF(Games!$C$2:$C$101, Elo!$A38)&gt;0, VLOOKUP(Elo!$A38, Games!$C$2:$AO$101, MATCH("New Away Elo", Games!$C$1:$AO$1, 0), FALSE), R38)))</f>
        <v>1639.3324358915629</v>
      </c>
      <c r="V38" s="137" t="n">
        <f t="shared" si="16"/>
        <v>0</v>
      </c>
      <c r="W38" s="123" t="n">
        <f t="shared" si="5"/>
        <v>37</v>
      </c>
    </row>
    <row r="39">
      <c r="A39" s="1" t="s">
        <v>154</v>
      </c>
      <c r="B39" s="1" t="s">
        <v>138</v>
      </c>
      <c r="C39" s="137" t="n">
        <f>VLOOKUP(A39, $A$2:$BQ$1048576, MATCH(_xlfn.CONCAT("Week ",Games!$A$7), Elo!$A$1:$BQ$1, 0), FALSE)</f>
        <v>1621.2663058405501</v>
      </c>
      <c r="D39" s="137" t="n">
        <f t="shared" si="17"/>
        <v>38</v>
      </c>
      <c r="E39" s="137" t="n">
        <v>1621.2663058405501</v>
      </c>
      <c r="F39" s="123" t="n">
        <v>38</v>
      </c>
      <c r="G39" s="137" t="n">
        <v>1621.2663058405501</v>
      </c>
      <c r="H39" s="123" t="n">
        <v>38</v>
      </c>
      <c r="I39" s="137" t="n">
        <v>1621.2663058405501</v>
      </c>
      <c r="J39" s="137" t="n">
        <f t="shared" si="6"/>
        <v>0</v>
      </c>
      <c r="K39" s="123" t="n">
        <f t="shared" si="18"/>
        <v>39</v>
      </c>
      <c r="L39" s="137" t="n">
        <f>IF(AND(COUNTIF(Games!$B$2:$B$101, Elo!$A39)=0,COUNTIF(Games!$C$2:$C$101, Elo!$A39)=0), I39, IF(COUNTIF(Games!$B$2:$B$101, Elo!$A39)&gt;0, VLOOKUP(Elo!$A39, Games!$B$2:$AN$101, MATCH("New Home Elo", Games!$B$1:$AN$1, 0), FALSE), IF(COUNTIF(Games!$C$2:$C$101, Elo!$A39)&gt;0, VLOOKUP(Elo!$A39, Games!$C$2:$AO$101, MATCH("New Away Elo", Games!$C$1:$AO$1, 0), FALSE), I39)))</f>
        <v>1383.5090178414982</v>
      </c>
      <c r="M39" s="137" t="n">
        <f t="shared" si="7"/>
        <v>-237.75728799905187</v>
      </c>
      <c r="N39" s="123" t="n">
        <f t="shared" si="19"/>
        <v>95</v>
      </c>
      <c r="O39" s="137" t="n">
        <f>IF(AND(COUNTIF(Games!$B$2:$B$101, Elo!$A39)=0,COUNTIF(Games!$C$2:$C$101, Elo!$A39)=0), L39, IF(COUNTIF(Games!$B$2:$B$101, Elo!$A39)&gt;0, VLOOKUP(Elo!$A39, Games!$B$2:$AN$101, MATCH("New Home Elo", Games!$B$1:$AN$1, 0), FALSE), IF(COUNTIF(Games!$C$2:$C$101, Elo!$A39)&gt;0, VLOOKUP(Elo!$A39, Games!$C$2:$AO$101, MATCH("New Away Elo", Games!$C$1:$AO$1, 0), FALSE), L39)))</f>
        <v>1383.5090178414982</v>
      </c>
      <c r="P39" s="137" t="n">
        <f t="shared" si="14"/>
        <v>0</v>
      </c>
      <c r="Q39" s="123" t="n">
        <f t="shared" si="3"/>
        <v>95</v>
      </c>
      <c r="R39" s="137" t="n">
        <f>IF(AND(COUNTIF(Games!$B$2:$B$101, Elo!$A39)=0,COUNTIF(Games!$C$2:$C$101, Elo!$A39)=0), O39, IF(COUNTIF(Games!$B$2:$B$101, Elo!$A39)&gt;0, VLOOKUP(Elo!$A39, Games!$B$2:$AN$101, MATCH("New Home Elo", Games!$B$1:$AN$1, 0), FALSE), IF(COUNTIF(Games!$C$2:$C$101, Elo!$A39)&gt;0, VLOOKUP(Elo!$A39, Games!$C$2:$AO$101, MATCH("New Away Elo", Games!$C$1:$AO$1, 0), FALSE), O39)))</f>
        <v>1383.5090178414982</v>
      </c>
      <c r="S39" s="137" t="n">
        <f t="shared" si="15"/>
        <v>0</v>
      </c>
      <c r="T39" s="123" t="n">
        <f t="shared" si="4"/>
        <v>95</v>
      </c>
      <c r="U39" s="137" t="n">
        <f>IF(AND(COUNTIF(Games!$B$2:$B$101, Elo!$A39)=0,COUNTIF(Games!$C$2:$C$101, Elo!$A39)=0), R39, IF(COUNTIF(Games!$B$2:$B$101, Elo!$A39)&gt;0, VLOOKUP(Elo!$A39, Games!$B$2:$AN$101, MATCH("New Home Elo", Games!$B$1:$AN$1, 0), FALSE), IF(COUNTIF(Games!$C$2:$C$101, Elo!$A39)&gt;0, VLOOKUP(Elo!$A39, Games!$C$2:$AO$101, MATCH("New Away Elo", Games!$C$1:$AO$1, 0), FALSE), R39)))</f>
        <v>1383.5090178414982</v>
      </c>
      <c r="V39" s="137" t="n">
        <f t="shared" si="16"/>
        <v>0</v>
      </c>
      <c r="W39" s="123" t="n">
        <f t="shared" si="5"/>
        <v>95</v>
      </c>
    </row>
    <row r="40">
      <c r="A40" s="1" t="s">
        <v>155</v>
      </c>
      <c r="B40" s="1" t="s">
        <v>111</v>
      </c>
      <c r="C40" s="137" t="n">
        <f>VLOOKUP(A40, $A$2:$BQ$1048576, MATCH(_xlfn.CONCAT("Week ",Games!$A$7), Elo!$A$1:$BQ$1, 0), FALSE)</f>
        <v>1618.9234953375901</v>
      </c>
      <c r="D40" s="137" t="n">
        <f t="shared" si="17"/>
        <v>39</v>
      </c>
      <c r="E40" s="137" t="n">
        <v>1618.9234953375901</v>
      </c>
      <c r="F40" s="123" t="n">
        <v>39</v>
      </c>
      <c r="G40" s="137" t="n">
        <v>1618.9234953375901</v>
      </c>
      <c r="H40" s="123" t="n">
        <v>39</v>
      </c>
      <c r="I40" s="137" t="n">
        <v>1618.9234953375901</v>
      </c>
      <c r="J40" s="137" t="n">
        <f t="shared" si="6"/>
        <v>0</v>
      </c>
      <c r="K40" s="123" t="n">
        <f t="shared" si="18"/>
        <v>40</v>
      </c>
      <c r="L40" s="137" t="n">
        <f>IF(AND(COUNTIF(Games!$B$2:$B$101, Elo!$A40)=0,COUNTIF(Games!$C$2:$C$101, Elo!$A40)=0), I40, IF(COUNTIF(Games!$B$2:$B$101, Elo!$A40)&gt;0, VLOOKUP(Elo!$A40, Games!$B$2:$AN$101, MATCH("New Home Elo", Games!$B$1:$AN$1, 0), FALSE), IF(COUNTIF(Games!$C$2:$C$101, Elo!$A40)&gt;0, VLOOKUP(Elo!$A40, Games!$C$2:$AO$101, MATCH("New Away Elo", Games!$C$1:$AO$1, 0), FALSE), I40)))</f>
        <v>1635.19402057604</v>
      </c>
      <c r="M40" s="137" t="n">
        <f t="shared" si="7"/>
        <v>16.270525238449864</v>
      </c>
      <c r="N40" s="123" t="n">
        <f t="shared" si="19"/>
        <v>38</v>
      </c>
      <c r="O40" s="137" t="n">
        <f>IF(AND(COUNTIF(Games!$B$2:$B$101, Elo!$A40)=0,COUNTIF(Games!$C$2:$C$101, Elo!$A40)=0), L40, IF(COUNTIF(Games!$B$2:$B$101, Elo!$A40)&gt;0, VLOOKUP(Elo!$A40, Games!$B$2:$AN$101, MATCH("New Home Elo", Games!$B$1:$AN$1, 0), FALSE), IF(COUNTIF(Games!$C$2:$C$101, Elo!$A40)&gt;0, VLOOKUP(Elo!$A40, Games!$C$2:$AO$101, MATCH("New Away Elo", Games!$C$1:$AO$1, 0), FALSE), L40)))</f>
        <v>1635.19402057604</v>
      </c>
      <c r="P40" s="137" t="n">
        <f t="shared" si="14"/>
        <v>0</v>
      </c>
      <c r="Q40" s="123" t="n">
        <f t="shared" si="3"/>
        <v>38</v>
      </c>
      <c r="R40" s="137" t="n">
        <f>IF(AND(COUNTIF(Games!$B$2:$B$101, Elo!$A40)=0,COUNTIF(Games!$C$2:$C$101, Elo!$A40)=0), O40, IF(COUNTIF(Games!$B$2:$B$101, Elo!$A40)&gt;0, VLOOKUP(Elo!$A40, Games!$B$2:$AN$101, MATCH("New Home Elo", Games!$B$1:$AN$1, 0), FALSE), IF(COUNTIF(Games!$C$2:$C$101, Elo!$A40)&gt;0, VLOOKUP(Elo!$A40, Games!$C$2:$AO$101, MATCH("New Away Elo", Games!$C$1:$AO$1, 0), FALSE), O40)))</f>
        <v>1635.19402057604</v>
      </c>
      <c r="S40" s="137" t="n">
        <f t="shared" si="15"/>
        <v>0</v>
      </c>
      <c r="T40" s="123" t="n">
        <f t="shared" si="4"/>
        <v>38</v>
      </c>
      <c r="U40" s="137" t="n">
        <f>IF(AND(COUNTIF(Games!$B$2:$B$101, Elo!$A40)=0,COUNTIF(Games!$C$2:$C$101, Elo!$A40)=0), R40, IF(COUNTIF(Games!$B$2:$B$101, Elo!$A40)&gt;0, VLOOKUP(Elo!$A40, Games!$B$2:$AN$101, MATCH("New Home Elo", Games!$B$1:$AN$1, 0), FALSE), IF(COUNTIF(Games!$C$2:$C$101, Elo!$A40)&gt;0, VLOOKUP(Elo!$A40, Games!$C$2:$AO$101, MATCH("New Away Elo", Games!$C$1:$AO$1, 0), FALSE), R40)))</f>
        <v>1635.19402057604</v>
      </c>
      <c r="V40" s="137" t="n">
        <f t="shared" si="16"/>
        <v>0</v>
      </c>
      <c r="W40" s="123" t="n">
        <f t="shared" si="5"/>
        <v>38</v>
      </c>
    </row>
    <row r="41">
      <c r="A41" s="1" t="s">
        <v>156</v>
      </c>
      <c r="B41" s="1" t="s">
        <v>111</v>
      </c>
      <c r="C41" s="137" t="n">
        <f>VLOOKUP(A41, $A$2:$BQ$1048576, MATCH(_xlfn.CONCAT("Week ",Games!$A$7), Elo!$A$1:$BQ$1, 0), FALSE)</f>
        <v>1617.1595515613601</v>
      </c>
      <c r="D41" s="137" t="n">
        <f t="shared" si="17"/>
        <v>40</v>
      </c>
      <c r="E41" s="137" t="n">
        <v>1617.1595515613601</v>
      </c>
      <c r="F41" s="123" t="n">
        <v>40</v>
      </c>
      <c r="G41" s="137" t="n">
        <v>1617.1595515613601</v>
      </c>
      <c r="H41" s="123" t="n">
        <v>40</v>
      </c>
      <c r="I41" s="137" t="n">
        <v>1617.1595515613601</v>
      </c>
      <c r="J41" s="137" t="n">
        <f t="shared" si="6"/>
        <v>0</v>
      </c>
      <c r="K41" s="123" t="n">
        <f t="shared" si="18"/>
        <v>41</v>
      </c>
      <c r="L41" s="137" t="n">
        <f>IF(AND(COUNTIF(Games!$B$2:$B$101, Elo!$A41)=0,COUNTIF(Games!$C$2:$C$101, Elo!$A41)=0), I41, IF(COUNTIF(Games!$B$2:$B$101, Elo!$A41)&gt;0, VLOOKUP(Elo!$A41, Games!$B$2:$AN$101, MATCH("New Home Elo", Games!$B$1:$AN$1, 0), FALSE), IF(COUNTIF(Games!$C$2:$C$101, Elo!$A41)&gt;0, VLOOKUP(Elo!$A41, Games!$C$2:$AO$101, MATCH("New Away Elo", Games!$C$1:$AO$1, 0), FALSE), I41)))</f>
        <v>1645.5183798225519</v>
      </c>
      <c r="M41" s="137" t="n">
        <f t="shared" si="7"/>
        <v>28.358828261191775</v>
      </c>
      <c r="N41" s="123" t="n">
        <f t="shared" si="19"/>
        <v>33</v>
      </c>
      <c r="O41" s="137" t="n">
        <f>IF(AND(COUNTIF(Games!$B$2:$B$101, Elo!$A41)=0,COUNTIF(Games!$C$2:$C$101, Elo!$A41)=0), L41, IF(COUNTIF(Games!$B$2:$B$101, Elo!$A41)&gt;0, VLOOKUP(Elo!$A41, Games!$B$2:$AN$101, MATCH("New Home Elo", Games!$B$1:$AN$1, 0), FALSE), IF(COUNTIF(Games!$C$2:$C$101, Elo!$A41)&gt;0, VLOOKUP(Elo!$A41, Games!$C$2:$AO$101, MATCH("New Away Elo", Games!$C$1:$AO$1, 0), FALSE), L41)))</f>
        <v>1645.5183798225519</v>
      </c>
      <c r="P41" s="137" t="n">
        <f t="shared" si="14"/>
        <v>0</v>
      </c>
      <c r="Q41" s="123" t="n">
        <f t="shared" si="3"/>
        <v>33</v>
      </c>
      <c r="R41" s="137" t="n">
        <f>IF(AND(COUNTIF(Games!$B$2:$B$101, Elo!$A41)=0,COUNTIF(Games!$C$2:$C$101, Elo!$A41)=0), O41, IF(COUNTIF(Games!$B$2:$B$101, Elo!$A41)&gt;0, VLOOKUP(Elo!$A41, Games!$B$2:$AN$101, MATCH("New Home Elo", Games!$B$1:$AN$1, 0), FALSE), IF(COUNTIF(Games!$C$2:$C$101, Elo!$A41)&gt;0, VLOOKUP(Elo!$A41, Games!$C$2:$AO$101, MATCH("New Away Elo", Games!$C$1:$AO$1, 0), FALSE), O41)))</f>
        <v>1645.5183798225519</v>
      </c>
      <c r="S41" s="137" t="n">
        <f t="shared" si="15"/>
        <v>0</v>
      </c>
      <c r="T41" s="123" t="n">
        <f t="shared" si="4"/>
        <v>33</v>
      </c>
      <c r="U41" s="137" t="n">
        <f>IF(AND(COUNTIF(Games!$B$2:$B$101, Elo!$A41)=0,COUNTIF(Games!$C$2:$C$101, Elo!$A41)=0), R41, IF(COUNTIF(Games!$B$2:$B$101, Elo!$A41)&gt;0, VLOOKUP(Elo!$A41, Games!$B$2:$AN$101, MATCH("New Home Elo", Games!$B$1:$AN$1, 0), FALSE), IF(COUNTIF(Games!$C$2:$C$101, Elo!$A41)&gt;0, VLOOKUP(Elo!$A41, Games!$C$2:$AO$101, MATCH("New Away Elo", Games!$C$1:$AO$1, 0), FALSE), R41)))</f>
        <v>1645.5183798225519</v>
      </c>
      <c r="V41" s="137" t="n">
        <f t="shared" si="16"/>
        <v>0</v>
      </c>
      <c r="W41" s="123" t="n">
        <f t="shared" si="5"/>
        <v>33</v>
      </c>
    </row>
    <row r="42">
      <c r="A42" s="1" t="s">
        <v>157</v>
      </c>
      <c r="B42" s="1" t="s">
        <v>122</v>
      </c>
      <c r="C42" s="137" t="n">
        <f>VLOOKUP(A42, $A$2:$BQ$1048576, MATCH(_xlfn.CONCAT("Week ",Games!$A$7), Elo!$A$1:$BQ$1, 0), FALSE)</f>
        <v>1609.5800322447801</v>
      </c>
      <c r="D42" s="137" t="n">
        <f t="shared" si="17"/>
        <v>41</v>
      </c>
      <c r="E42" s="137" t="n">
        <v>1609.5800322447801</v>
      </c>
      <c r="F42" s="123" t="n">
        <v>41</v>
      </c>
      <c r="G42" s="137" t="n">
        <v>1609.5800322447801</v>
      </c>
      <c r="H42" s="123" t="n">
        <v>41</v>
      </c>
      <c r="I42" s="137" t="n">
        <v>1609.5800322447801</v>
      </c>
      <c r="J42" s="137" t="n">
        <f t="shared" si="6"/>
        <v>0</v>
      </c>
      <c r="K42" s="123" t="n">
        <f t="shared" si="18"/>
        <v>42</v>
      </c>
      <c r="L42" s="137" t="n">
        <f>IF(AND(COUNTIF(Games!$B$2:$B$101, Elo!$A42)=0,COUNTIF(Games!$C$2:$C$101, Elo!$A42)=0), I42, IF(COUNTIF(Games!$B$2:$B$101, Elo!$A42)&gt;0, VLOOKUP(Elo!$A42, Games!$B$2:$AN$101, MATCH("New Home Elo", Games!$B$1:$AN$1, 0), FALSE), IF(COUNTIF(Games!$C$2:$C$101, Elo!$A42)&gt;0, VLOOKUP(Elo!$A42, Games!$C$2:$AO$101, MATCH("New Away Elo", Games!$C$1:$AO$1, 0), FALSE), I42)))</f>
        <v>1612.7480091685247</v>
      </c>
      <c r="M42" s="137" t="n">
        <f t="shared" si="7"/>
        <v>3.167976923744618</v>
      </c>
      <c r="N42" s="123" t="n">
        <f t="shared" si="19"/>
        <v>43</v>
      </c>
      <c r="O42" s="137" t="n">
        <f>IF(AND(COUNTIF(Games!$B$2:$B$101, Elo!$A42)=0,COUNTIF(Games!$C$2:$C$101, Elo!$A42)=0), L42, IF(COUNTIF(Games!$B$2:$B$101, Elo!$A42)&gt;0, VLOOKUP(Elo!$A42, Games!$B$2:$AN$101, MATCH("New Home Elo", Games!$B$1:$AN$1, 0), FALSE), IF(COUNTIF(Games!$C$2:$C$101, Elo!$A42)&gt;0, VLOOKUP(Elo!$A42, Games!$C$2:$AO$101, MATCH("New Away Elo", Games!$C$1:$AO$1, 0), FALSE), L42)))</f>
        <v>1612.7480091685247</v>
      </c>
      <c r="P42" s="137" t="n">
        <f t="shared" si="14"/>
        <v>0</v>
      </c>
      <c r="Q42" s="123" t="n">
        <f t="shared" si="3"/>
        <v>43</v>
      </c>
      <c r="R42" s="137" t="n">
        <f>IF(AND(COUNTIF(Games!$B$2:$B$101, Elo!$A42)=0,COUNTIF(Games!$C$2:$C$101, Elo!$A42)=0), O42, IF(COUNTIF(Games!$B$2:$B$101, Elo!$A42)&gt;0, VLOOKUP(Elo!$A42, Games!$B$2:$AN$101, MATCH("New Home Elo", Games!$B$1:$AN$1, 0), FALSE), IF(COUNTIF(Games!$C$2:$C$101, Elo!$A42)&gt;0, VLOOKUP(Elo!$A42, Games!$C$2:$AO$101, MATCH("New Away Elo", Games!$C$1:$AO$1, 0), FALSE), O42)))</f>
        <v>1612.7480091685247</v>
      </c>
      <c r="S42" s="137" t="n">
        <f t="shared" si="15"/>
        <v>0</v>
      </c>
      <c r="T42" s="123" t="n">
        <f t="shared" si="4"/>
        <v>43</v>
      </c>
      <c r="U42" s="137" t="n">
        <f>IF(AND(COUNTIF(Games!$B$2:$B$101, Elo!$A42)=0,COUNTIF(Games!$C$2:$C$101, Elo!$A42)=0), R42, IF(COUNTIF(Games!$B$2:$B$101, Elo!$A42)&gt;0, VLOOKUP(Elo!$A42, Games!$B$2:$AN$101, MATCH("New Home Elo", Games!$B$1:$AN$1, 0), FALSE), IF(COUNTIF(Games!$C$2:$C$101, Elo!$A42)&gt;0, VLOOKUP(Elo!$A42, Games!$C$2:$AO$101, MATCH("New Away Elo", Games!$C$1:$AO$1, 0), FALSE), R42)))</f>
        <v>1612.7480091685247</v>
      </c>
      <c r="V42" s="137" t="n">
        <f t="shared" si="16"/>
        <v>0</v>
      </c>
      <c r="W42" s="123" t="n">
        <f t="shared" si="5"/>
        <v>43</v>
      </c>
    </row>
    <row r="43">
      <c r="A43" s="1" t="s">
        <v>158</v>
      </c>
      <c r="B43" s="1" t="s">
        <v>126</v>
      </c>
      <c r="C43" s="137" t="n">
        <f>VLOOKUP(A43, $A$2:$BQ$1048576, MATCH(_xlfn.CONCAT("Week ",Games!$A$7), Elo!$A$1:$BQ$1, 0), FALSE)</f>
        <v>1609.2667379074601</v>
      </c>
      <c r="D43" s="137" t="n">
        <f t="shared" si="17"/>
        <v>42</v>
      </c>
      <c r="E43" s="137" t="n">
        <v>1609.2667379074601</v>
      </c>
      <c r="F43" s="123" t="n">
        <v>42</v>
      </c>
      <c r="G43" s="137" t="n">
        <v>1609.2667379074601</v>
      </c>
      <c r="H43" s="123" t="n">
        <v>42</v>
      </c>
      <c r="I43" s="137" t="n">
        <v>1609.2667379074601</v>
      </c>
      <c r="J43" s="137" t="n">
        <f t="shared" si="6"/>
        <v>0</v>
      </c>
      <c r="K43" s="123" t="n">
        <f t="shared" si="18"/>
        <v>43</v>
      </c>
      <c r="L43" s="137" t="n">
        <f>IF(AND(COUNTIF(Games!$B$2:$B$101, Elo!$A43)=0,COUNTIF(Games!$C$2:$C$101, Elo!$A43)=0), I43, IF(COUNTIF(Games!$B$2:$B$101, Elo!$A43)&gt;0, VLOOKUP(Elo!$A43, Games!$B$2:$AN$101, MATCH("New Home Elo", Games!$B$1:$AN$1, 0), FALSE), IF(COUNTIF(Games!$C$2:$C$101, Elo!$A43)&gt;0, VLOOKUP(Elo!$A43, Games!$C$2:$AO$101, MATCH("New Away Elo", Games!$C$1:$AO$1, 0), FALSE), I43)))</f>
        <v>1610.6034895014534</v>
      </c>
      <c r="M43" s="137" t="n">
        <f t="shared" si="7"/>
        <v>1.3367515939933128</v>
      </c>
      <c r="N43" s="123" t="n">
        <f t="shared" si="19"/>
        <v>44</v>
      </c>
      <c r="O43" s="137" t="n">
        <f>IF(AND(COUNTIF(Games!$B$2:$B$101, Elo!$A43)=0,COUNTIF(Games!$C$2:$C$101, Elo!$A43)=0), L43, IF(COUNTIF(Games!$B$2:$B$101, Elo!$A43)&gt;0, VLOOKUP(Elo!$A43, Games!$B$2:$AN$101, MATCH("New Home Elo", Games!$B$1:$AN$1, 0), FALSE), IF(COUNTIF(Games!$C$2:$C$101, Elo!$A43)&gt;0, VLOOKUP(Elo!$A43, Games!$C$2:$AO$101, MATCH("New Away Elo", Games!$C$1:$AO$1, 0), FALSE), L43)))</f>
        <v>1610.6034895014534</v>
      </c>
      <c r="P43" s="137" t="n">
        <f t="shared" si="14"/>
        <v>0</v>
      </c>
      <c r="Q43" s="123" t="n">
        <f t="shared" si="3"/>
        <v>44</v>
      </c>
      <c r="R43" s="137" t="n">
        <f>IF(AND(COUNTIF(Games!$B$2:$B$101, Elo!$A43)=0,COUNTIF(Games!$C$2:$C$101, Elo!$A43)=0), O43, IF(COUNTIF(Games!$B$2:$B$101, Elo!$A43)&gt;0, VLOOKUP(Elo!$A43, Games!$B$2:$AN$101, MATCH("New Home Elo", Games!$B$1:$AN$1, 0), FALSE), IF(COUNTIF(Games!$C$2:$C$101, Elo!$A43)&gt;0, VLOOKUP(Elo!$A43, Games!$C$2:$AO$101, MATCH("New Away Elo", Games!$C$1:$AO$1, 0), FALSE), O43)))</f>
        <v>1610.6034895014534</v>
      </c>
      <c r="S43" s="137" t="n">
        <f t="shared" si="15"/>
        <v>0</v>
      </c>
      <c r="T43" s="123" t="n">
        <f t="shared" si="4"/>
        <v>44</v>
      </c>
      <c r="U43" s="137" t="n">
        <f>IF(AND(COUNTIF(Games!$B$2:$B$101, Elo!$A43)=0,COUNTIF(Games!$C$2:$C$101, Elo!$A43)=0), R43, IF(COUNTIF(Games!$B$2:$B$101, Elo!$A43)&gt;0, VLOOKUP(Elo!$A43, Games!$B$2:$AN$101, MATCH("New Home Elo", Games!$B$1:$AN$1, 0), FALSE), IF(COUNTIF(Games!$C$2:$C$101, Elo!$A43)&gt;0, VLOOKUP(Elo!$A43, Games!$C$2:$AO$101, MATCH("New Away Elo", Games!$C$1:$AO$1, 0), FALSE), R43)))</f>
        <v>1610.6034895014534</v>
      </c>
      <c r="V43" s="137" t="n">
        <f t="shared" si="16"/>
        <v>0</v>
      </c>
      <c r="W43" s="123" t="n">
        <f t="shared" si="5"/>
        <v>44</v>
      </c>
    </row>
    <row r="44">
      <c r="A44" s="1" t="s">
        <v>159</v>
      </c>
      <c r="B44" s="1" t="s">
        <v>109</v>
      </c>
      <c r="C44" s="137" t="n">
        <f>VLOOKUP(A44, $A$2:$BQ$1048576, MATCH(_xlfn.CONCAT("Week ",Games!$A$7), Elo!$A$1:$BQ$1, 0), FALSE)</f>
        <v>1606.7229081037401</v>
      </c>
      <c r="D44" s="137" t="n">
        <f t="shared" si="17"/>
        <v>43</v>
      </c>
      <c r="E44" s="137" t="n">
        <v>1606.7229081037401</v>
      </c>
      <c r="F44" s="123" t="n">
        <v>43</v>
      </c>
      <c r="G44" s="137" t="n">
        <v>1606.7229081037401</v>
      </c>
      <c r="H44" s="123" t="n">
        <v>43</v>
      </c>
      <c r="I44" s="137" t="n">
        <v>1606.7229081037401</v>
      </c>
      <c r="J44" s="137" t="n">
        <f t="shared" si="6"/>
        <v>0</v>
      </c>
      <c r="K44" s="123" t="n">
        <f t="shared" si="18"/>
        <v>44</v>
      </c>
      <c r="L44" s="137" t="n">
        <f>IF(AND(COUNTIF(Games!$B$2:$B$101, Elo!$A44)=0,COUNTIF(Games!$C$2:$C$101, Elo!$A44)=0), I44, IF(COUNTIF(Games!$B$2:$B$101, Elo!$A44)&gt;0, VLOOKUP(Elo!$A44, Games!$B$2:$AN$101, MATCH("New Home Elo", Games!$B$1:$AN$1, 0), FALSE), IF(COUNTIF(Games!$C$2:$C$101, Elo!$A44)&gt;0, VLOOKUP(Elo!$A44, Games!$C$2:$AO$101, MATCH("New Away Elo", Games!$C$1:$AO$1, 0), FALSE), I44)))</f>
        <v>1632.7428834092102</v>
      </c>
      <c r="M44" s="137" t="n">
        <f t="shared" si="7"/>
        <v>26.019975305470098</v>
      </c>
      <c r="N44" s="123" t="n">
        <f t="shared" si="19"/>
        <v>39</v>
      </c>
      <c r="O44" s="137" t="n">
        <f>IF(AND(COUNTIF(Games!$B$2:$B$101, Elo!$A44)=0,COUNTIF(Games!$C$2:$C$101, Elo!$A44)=0), L44, IF(COUNTIF(Games!$B$2:$B$101, Elo!$A44)&gt;0, VLOOKUP(Elo!$A44, Games!$B$2:$AN$101, MATCH("New Home Elo", Games!$B$1:$AN$1, 0), FALSE), IF(COUNTIF(Games!$C$2:$C$101, Elo!$A44)&gt;0, VLOOKUP(Elo!$A44, Games!$C$2:$AO$101, MATCH("New Away Elo", Games!$C$1:$AO$1, 0), FALSE), L44)))</f>
        <v>1632.7428834092102</v>
      </c>
      <c r="P44" s="137" t="n">
        <f t="shared" si="14"/>
        <v>0</v>
      </c>
      <c r="Q44" s="123" t="n">
        <f t="shared" si="3"/>
        <v>39</v>
      </c>
      <c r="R44" s="137" t="n">
        <f>IF(AND(COUNTIF(Games!$B$2:$B$101, Elo!$A44)=0,COUNTIF(Games!$C$2:$C$101, Elo!$A44)=0), O44, IF(COUNTIF(Games!$B$2:$B$101, Elo!$A44)&gt;0, VLOOKUP(Elo!$A44, Games!$B$2:$AN$101, MATCH("New Home Elo", Games!$B$1:$AN$1, 0), FALSE), IF(COUNTIF(Games!$C$2:$C$101, Elo!$A44)&gt;0, VLOOKUP(Elo!$A44, Games!$C$2:$AO$101, MATCH("New Away Elo", Games!$C$1:$AO$1, 0), FALSE), O44)))</f>
        <v>1632.7428834092102</v>
      </c>
      <c r="S44" s="137" t="n">
        <f t="shared" si="15"/>
        <v>0</v>
      </c>
      <c r="T44" s="123" t="n">
        <f t="shared" si="4"/>
        <v>39</v>
      </c>
      <c r="U44" s="137" t="n">
        <f>IF(AND(COUNTIF(Games!$B$2:$B$101, Elo!$A44)=0,COUNTIF(Games!$C$2:$C$101, Elo!$A44)=0), R44, IF(COUNTIF(Games!$B$2:$B$101, Elo!$A44)&gt;0, VLOOKUP(Elo!$A44, Games!$B$2:$AN$101, MATCH("New Home Elo", Games!$B$1:$AN$1, 0), FALSE), IF(COUNTIF(Games!$C$2:$C$101, Elo!$A44)&gt;0, VLOOKUP(Elo!$A44, Games!$C$2:$AO$101, MATCH("New Away Elo", Games!$C$1:$AO$1, 0), FALSE), R44)))</f>
        <v>1632.7428834092102</v>
      </c>
      <c r="V44" s="137" t="n">
        <f t="shared" si="16"/>
        <v>0</v>
      </c>
      <c r="W44" s="123" t="n">
        <f t="shared" si="5"/>
        <v>39</v>
      </c>
    </row>
    <row r="45">
      <c r="A45" s="1" t="s">
        <v>160</v>
      </c>
      <c r="B45" s="1" t="s">
        <v>138</v>
      </c>
      <c r="C45" s="137" t="n">
        <f>VLOOKUP(A45, $A$2:$BQ$1048576, MATCH(_xlfn.CONCAT("Week ",Games!$A$7), Elo!$A$1:$BQ$1, 0), FALSE)</f>
        <v>1606.67468205416</v>
      </c>
      <c r="D45" s="137" t="n">
        <f t="shared" si="17"/>
        <v>44</v>
      </c>
      <c r="E45" s="137" t="n">
        <v>1606.67468205416</v>
      </c>
      <c r="F45" s="123" t="n">
        <v>44</v>
      </c>
      <c r="G45" s="137" t="n">
        <v>1606.67468205416</v>
      </c>
      <c r="H45" s="123" t="n">
        <v>44</v>
      </c>
      <c r="I45" s="137" t="n">
        <v>1606.67468205416</v>
      </c>
      <c r="J45" s="137" t="n">
        <f t="shared" si="6"/>
        <v>0</v>
      </c>
      <c r="K45" s="123" t="n">
        <f t="shared" si="18"/>
        <v>45</v>
      </c>
      <c r="L45" s="137" t="n">
        <f>IF(AND(COUNTIF(Games!$B$2:$B$101, Elo!$A45)=0,COUNTIF(Games!$C$2:$C$101, Elo!$A45)=0), I45, IF(COUNTIF(Games!$B$2:$B$101, Elo!$A45)&gt;0, VLOOKUP(Elo!$A45, Games!$B$2:$AN$101, MATCH("New Home Elo", Games!$B$1:$AN$1, 0), FALSE), IF(COUNTIF(Games!$C$2:$C$101, Elo!$A45)&gt;0, VLOOKUP(Elo!$A45, Games!$C$2:$AO$101, MATCH("New Away Elo", Games!$C$1:$AO$1, 0), FALSE), I45)))</f>
        <v>1468.7334163779326</v>
      </c>
      <c r="M45" s="137" t="n">
        <f t="shared" si="7"/>
        <v>-137.94126567622743</v>
      </c>
      <c r="N45" s="123" t="n">
        <f t="shared" si="19"/>
        <v>75</v>
      </c>
      <c r="O45" s="137" t="n">
        <f>IF(AND(COUNTIF(Games!$B$2:$B$101, Elo!$A45)=0,COUNTIF(Games!$C$2:$C$101, Elo!$A45)=0), L45, IF(COUNTIF(Games!$B$2:$B$101, Elo!$A45)&gt;0, VLOOKUP(Elo!$A45, Games!$B$2:$AN$101, MATCH("New Home Elo", Games!$B$1:$AN$1, 0), FALSE), IF(COUNTIF(Games!$C$2:$C$101, Elo!$A45)&gt;0, VLOOKUP(Elo!$A45, Games!$C$2:$AO$101, MATCH("New Away Elo", Games!$C$1:$AO$1, 0), FALSE), L45)))</f>
        <v>1468.7334163779326</v>
      </c>
      <c r="P45" s="137" t="n">
        <f t="shared" si="14"/>
        <v>0</v>
      </c>
      <c r="Q45" s="123" t="n">
        <f t="shared" si="3"/>
        <v>75</v>
      </c>
      <c r="R45" s="137" t="n">
        <f>IF(AND(COUNTIF(Games!$B$2:$B$101, Elo!$A45)=0,COUNTIF(Games!$C$2:$C$101, Elo!$A45)=0), O45, IF(COUNTIF(Games!$B$2:$B$101, Elo!$A45)&gt;0, VLOOKUP(Elo!$A45, Games!$B$2:$AN$101, MATCH("New Home Elo", Games!$B$1:$AN$1, 0), FALSE), IF(COUNTIF(Games!$C$2:$C$101, Elo!$A45)&gt;0, VLOOKUP(Elo!$A45, Games!$C$2:$AO$101, MATCH("New Away Elo", Games!$C$1:$AO$1, 0), FALSE), O45)))</f>
        <v>1468.7334163779326</v>
      </c>
      <c r="S45" s="137" t="n">
        <f t="shared" si="15"/>
        <v>0</v>
      </c>
      <c r="T45" s="123" t="n">
        <f t="shared" si="4"/>
        <v>75</v>
      </c>
      <c r="U45" s="137" t="n">
        <f>IF(AND(COUNTIF(Games!$B$2:$B$101, Elo!$A45)=0,COUNTIF(Games!$C$2:$C$101, Elo!$A45)=0), R45, IF(COUNTIF(Games!$B$2:$B$101, Elo!$A45)&gt;0, VLOOKUP(Elo!$A45, Games!$B$2:$AN$101, MATCH("New Home Elo", Games!$B$1:$AN$1, 0), FALSE), IF(COUNTIF(Games!$C$2:$C$101, Elo!$A45)&gt;0, VLOOKUP(Elo!$A45, Games!$C$2:$AO$101, MATCH("New Away Elo", Games!$C$1:$AO$1, 0), FALSE), R45)))</f>
        <v>1468.7334163779326</v>
      </c>
      <c r="V45" s="137" t="n">
        <f t="shared" si="16"/>
        <v>0</v>
      </c>
      <c r="W45" s="123" t="n">
        <f t="shared" si="5"/>
        <v>75</v>
      </c>
    </row>
    <row r="46">
      <c r="A46" s="1" t="s">
        <v>161</v>
      </c>
      <c r="B46" s="1" t="s">
        <v>122</v>
      </c>
      <c r="C46" s="137" t="n">
        <f>VLOOKUP(A46, $A$2:$BQ$1048576, MATCH(_xlfn.CONCAT("Week ",Games!$A$7), Elo!$A$1:$BQ$1, 0), FALSE)</f>
        <v>1626.9395343942037</v>
      </c>
      <c r="D46" s="137" t="n">
        <f t="shared" si="17"/>
        <v>45</v>
      </c>
      <c r="E46" s="137" t="n">
        <v>1597.6282677428701</v>
      </c>
      <c r="F46" s="123" t="n">
        <v>45</v>
      </c>
      <c r="G46" s="137" t="n">
        <v>1597.6282677428701</v>
      </c>
      <c r="H46" s="123" t="n">
        <v>45</v>
      </c>
      <c r="I46" s="137" t="n">
        <v>1626.9395343942037</v>
      </c>
      <c r="J46" s="137" t="n">
        <f t="shared" si="6"/>
        <v>29.311266651333653</v>
      </c>
      <c r="K46" s="123" t="n">
        <f t="shared" si="18"/>
        <v>37</v>
      </c>
      <c r="L46" s="137" t="n">
        <f>IF(AND(COUNTIF(Games!$B$2:$B$101, Elo!$A46)=0,COUNTIF(Games!$C$2:$C$101, Elo!$A46)=0), I46, IF(COUNTIF(Games!$B$2:$B$101, Elo!$A46)&gt;0, VLOOKUP(Elo!$A46, Games!$B$2:$AN$101, MATCH("New Home Elo", Games!$B$1:$AN$1, 0), FALSE), IF(COUNTIF(Games!$C$2:$C$101, Elo!$A46)&gt;0, VLOOKUP(Elo!$A46, Games!$C$2:$AO$101, MATCH("New Away Elo", Games!$C$1:$AO$1, 0), FALSE), I46)))</f>
        <v>1626.9395343942037</v>
      </c>
      <c r="M46" s="137" t="n">
        <f t="shared" si="7"/>
        <v>0</v>
      </c>
      <c r="N46" s="123" t="n">
        <f t="shared" si="19"/>
        <v>40</v>
      </c>
      <c r="O46" s="137" t="n">
        <f>IF(AND(COUNTIF(Games!$B$2:$B$101, Elo!$A46)=0,COUNTIF(Games!$C$2:$C$101, Elo!$A46)=0), L46, IF(COUNTIF(Games!$B$2:$B$101, Elo!$A46)&gt;0, VLOOKUP(Elo!$A46, Games!$B$2:$AN$101, MATCH("New Home Elo", Games!$B$1:$AN$1, 0), FALSE), IF(COUNTIF(Games!$C$2:$C$101, Elo!$A46)&gt;0, VLOOKUP(Elo!$A46, Games!$C$2:$AO$101, MATCH("New Away Elo", Games!$C$1:$AO$1, 0), FALSE), L46)))</f>
        <v>1626.9395343942037</v>
      </c>
      <c r="P46" s="137" t="n">
        <f t="shared" si="14"/>
        <v>0</v>
      </c>
      <c r="Q46" s="123" t="n">
        <f t="shared" si="3"/>
        <v>40</v>
      </c>
      <c r="R46" s="137" t="n">
        <f>IF(AND(COUNTIF(Games!$B$2:$B$101, Elo!$A46)=0,COUNTIF(Games!$C$2:$C$101, Elo!$A46)=0), O46, IF(COUNTIF(Games!$B$2:$B$101, Elo!$A46)&gt;0, VLOOKUP(Elo!$A46, Games!$B$2:$AN$101, MATCH("New Home Elo", Games!$B$1:$AN$1, 0), FALSE), IF(COUNTIF(Games!$C$2:$C$101, Elo!$A46)&gt;0, VLOOKUP(Elo!$A46, Games!$C$2:$AO$101, MATCH("New Away Elo", Games!$C$1:$AO$1, 0), FALSE), O46)))</f>
        <v>1626.9395343942037</v>
      </c>
      <c r="S46" s="137" t="n">
        <f t="shared" si="15"/>
        <v>0</v>
      </c>
      <c r="T46" s="123" t="n">
        <f t="shared" si="4"/>
        <v>40</v>
      </c>
      <c r="U46" s="137" t="n">
        <f>IF(AND(COUNTIF(Games!$B$2:$B$101, Elo!$A46)=0,COUNTIF(Games!$C$2:$C$101, Elo!$A46)=0), R46, IF(COUNTIF(Games!$B$2:$B$101, Elo!$A46)&gt;0, VLOOKUP(Elo!$A46, Games!$B$2:$AN$101, MATCH("New Home Elo", Games!$B$1:$AN$1, 0), FALSE), IF(COUNTIF(Games!$C$2:$C$101, Elo!$A46)&gt;0, VLOOKUP(Elo!$A46, Games!$C$2:$AO$101, MATCH("New Away Elo", Games!$C$1:$AO$1, 0), FALSE), R46)))</f>
        <v>1626.9395343942037</v>
      </c>
      <c r="V46" s="137" t="n">
        <f t="shared" si="16"/>
        <v>0</v>
      </c>
      <c r="W46" s="123" t="n">
        <f t="shared" si="5"/>
        <v>40</v>
      </c>
    </row>
    <row r="47">
      <c r="A47" s="1" t="s">
        <v>162</v>
      </c>
      <c r="B47" s="1" t="s">
        <v>122</v>
      </c>
      <c r="C47" s="137" t="n">
        <f>VLOOKUP(A47, $A$2:$BQ$1048576, MATCH(_xlfn.CONCAT("Week ",Games!$A$7), Elo!$A$1:$BQ$1, 0), FALSE)</f>
        <v>1595.2684664870901</v>
      </c>
      <c r="D47" s="137" t="n">
        <f t="shared" si="17"/>
        <v>46</v>
      </c>
      <c r="E47" s="137" t="n">
        <v>1595.2684664870901</v>
      </c>
      <c r="F47" s="123" t="n">
        <v>46</v>
      </c>
      <c r="G47" s="137" t="n">
        <v>1595.2684664870901</v>
      </c>
      <c r="H47" s="123" t="n">
        <v>46</v>
      </c>
      <c r="I47" s="137" t="n">
        <v>1595.2684664870901</v>
      </c>
      <c r="J47" s="137" t="n">
        <f t="shared" si="6"/>
        <v>0</v>
      </c>
      <c r="K47" s="123" t="n">
        <f t="shared" si="18"/>
        <v>46</v>
      </c>
      <c r="L47" s="137" t="n">
        <f>IF(AND(COUNTIF(Games!$B$2:$B$101, Elo!$A47)=0,COUNTIF(Games!$C$2:$C$101, Elo!$A47)=0), I47, IF(COUNTIF(Games!$B$2:$B$101, Elo!$A47)&gt;0, VLOOKUP(Elo!$A47, Games!$B$2:$AN$101, MATCH("New Home Elo", Games!$B$1:$AN$1, 0), FALSE), IF(COUNTIF(Games!$C$2:$C$101, Elo!$A47)&gt;0, VLOOKUP(Elo!$A47, Games!$C$2:$AO$101, MATCH("New Away Elo", Games!$C$1:$AO$1, 0), FALSE), I47)))</f>
        <v>1597.3248734939418</v>
      </c>
      <c r="M47" s="137" t="n">
        <f t="shared" si="7"/>
        <v>2.056407006851714</v>
      </c>
      <c r="N47" s="123" t="n">
        <f t="shared" si="19"/>
        <v>46</v>
      </c>
      <c r="O47" s="137" t="n">
        <f>IF(AND(COUNTIF(Games!$B$2:$B$101, Elo!$A47)=0,COUNTIF(Games!$C$2:$C$101, Elo!$A47)=0), L47, IF(COUNTIF(Games!$B$2:$B$101, Elo!$A47)&gt;0, VLOOKUP(Elo!$A47, Games!$B$2:$AN$101, MATCH("New Home Elo", Games!$B$1:$AN$1, 0), FALSE), IF(COUNTIF(Games!$C$2:$C$101, Elo!$A47)&gt;0, VLOOKUP(Elo!$A47, Games!$C$2:$AO$101, MATCH("New Away Elo", Games!$C$1:$AO$1, 0), FALSE), L47)))</f>
        <v>1597.3248734939418</v>
      </c>
      <c r="P47" s="137" t="n">
        <f t="shared" si="14"/>
        <v>0</v>
      </c>
      <c r="Q47" s="123" t="n">
        <f t="shared" si="3"/>
        <v>46</v>
      </c>
      <c r="R47" s="137" t="n">
        <f>IF(AND(COUNTIF(Games!$B$2:$B$101, Elo!$A47)=0,COUNTIF(Games!$C$2:$C$101, Elo!$A47)=0), O47, IF(COUNTIF(Games!$B$2:$B$101, Elo!$A47)&gt;0, VLOOKUP(Elo!$A47, Games!$B$2:$AN$101, MATCH("New Home Elo", Games!$B$1:$AN$1, 0), FALSE), IF(COUNTIF(Games!$C$2:$C$101, Elo!$A47)&gt;0, VLOOKUP(Elo!$A47, Games!$C$2:$AO$101, MATCH("New Away Elo", Games!$C$1:$AO$1, 0), FALSE), O47)))</f>
        <v>1597.3248734939418</v>
      </c>
      <c r="S47" s="137" t="n">
        <f t="shared" si="15"/>
        <v>0</v>
      </c>
      <c r="T47" s="123" t="n">
        <f t="shared" si="4"/>
        <v>46</v>
      </c>
      <c r="U47" s="137" t="n">
        <f>IF(AND(COUNTIF(Games!$B$2:$B$101, Elo!$A47)=0,COUNTIF(Games!$C$2:$C$101, Elo!$A47)=0), R47, IF(COUNTIF(Games!$B$2:$B$101, Elo!$A47)&gt;0, VLOOKUP(Elo!$A47, Games!$B$2:$AN$101, MATCH("New Home Elo", Games!$B$1:$AN$1, 0), FALSE), IF(COUNTIF(Games!$C$2:$C$101, Elo!$A47)&gt;0, VLOOKUP(Elo!$A47, Games!$C$2:$AO$101, MATCH("New Away Elo", Games!$C$1:$AO$1, 0), FALSE), R47)))</f>
        <v>1597.3248734939418</v>
      </c>
      <c r="V47" s="137" t="n">
        <f t="shared" si="16"/>
        <v>0</v>
      </c>
      <c r="W47" s="123" t="n">
        <f t="shared" si="5"/>
        <v>46</v>
      </c>
    </row>
    <row r="48">
      <c r="A48" s="1" t="s">
        <v>163</v>
      </c>
      <c r="B48" s="1" t="s">
        <v>122</v>
      </c>
      <c r="C48" s="137" t="n">
        <f>VLOOKUP(A48, $A$2:$BQ$1048576, MATCH(_xlfn.CONCAT("Week ",Games!$A$7), Elo!$A$1:$BQ$1, 0), FALSE)</f>
        <v>1594.64320359563</v>
      </c>
      <c r="D48" s="137" t="n">
        <f t="shared" si="17"/>
        <v>47</v>
      </c>
      <c r="E48" s="137" t="n">
        <v>1594.64320359563</v>
      </c>
      <c r="F48" s="123" t="n">
        <v>47</v>
      </c>
      <c r="G48" s="137" t="n">
        <v>1594.64320359563</v>
      </c>
      <c r="H48" s="123" t="n">
        <v>47</v>
      </c>
      <c r="I48" s="137" t="n">
        <v>1594.64320359563</v>
      </c>
      <c r="J48" s="137" t="n">
        <f t="shared" si="6"/>
        <v>0</v>
      </c>
      <c r="K48" s="123" t="n">
        <f t="shared" si="18"/>
        <v>47</v>
      </c>
      <c r="L48" s="137" t="n">
        <f>IF(AND(COUNTIF(Games!$B$2:$B$101, Elo!$A48)=0,COUNTIF(Games!$C$2:$C$101, Elo!$A48)=0), I48, IF(COUNTIF(Games!$B$2:$B$101, Elo!$A48)&gt;0, VLOOKUP(Elo!$A48, Games!$B$2:$AN$101, MATCH("New Home Elo", Games!$B$1:$AN$1, 0), FALSE), IF(COUNTIF(Games!$C$2:$C$101, Elo!$A48)&gt;0, VLOOKUP(Elo!$A48, Games!$C$2:$AO$101, MATCH("New Away Elo", Games!$C$1:$AO$1, 0), FALSE), I48)))</f>
        <v>1600.015661022471</v>
      </c>
      <c r="M48" s="137" t="n">
        <f t="shared" si="7"/>
        <v>5.3724574268410379</v>
      </c>
      <c r="N48" s="123" t="n">
        <f t="shared" si="19"/>
        <v>45</v>
      </c>
      <c r="O48" s="137" t="n">
        <f>IF(AND(COUNTIF(Games!$B$2:$B$101, Elo!$A48)=0,COUNTIF(Games!$C$2:$C$101, Elo!$A48)=0), L48, IF(COUNTIF(Games!$B$2:$B$101, Elo!$A48)&gt;0, VLOOKUP(Elo!$A48, Games!$B$2:$AN$101, MATCH("New Home Elo", Games!$B$1:$AN$1, 0), FALSE), IF(COUNTIF(Games!$C$2:$C$101, Elo!$A48)&gt;0, VLOOKUP(Elo!$A48, Games!$C$2:$AO$101, MATCH("New Away Elo", Games!$C$1:$AO$1, 0), FALSE), L48)))</f>
        <v>1600.015661022471</v>
      </c>
      <c r="P48" s="137" t="n">
        <f t="shared" si="14"/>
        <v>0</v>
      </c>
      <c r="Q48" s="123" t="n">
        <f t="shared" si="3"/>
        <v>45</v>
      </c>
      <c r="R48" s="137" t="n">
        <f>IF(AND(COUNTIF(Games!$B$2:$B$101, Elo!$A48)=0,COUNTIF(Games!$C$2:$C$101, Elo!$A48)=0), O48, IF(COUNTIF(Games!$B$2:$B$101, Elo!$A48)&gt;0, VLOOKUP(Elo!$A48, Games!$B$2:$AN$101, MATCH("New Home Elo", Games!$B$1:$AN$1, 0), FALSE), IF(COUNTIF(Games!$C$2:$C$101, Elo!$A48)&gt;0, VLOOKUP(Elo!$A48, Games!$C$2:$AO$101, MATCH("New Away Elo", Games!$C$1:$AO$1, 0), FALSE), O48)))</f>
        <v>1600.015661022471</v>
      </c>
      <c r="S48" s="137" t="n">
        <f t="shared" si="15"/>
        <v>0</v>
      </c>
      <c r="T48" s="123" t="n">
        <f t="shared" si="4"/>
        <v>45</v>
      </c>
      <c r="U48" s="137" t="n">
        <f>IF(AND(COUNTIF(Games!$B$2:$B$101, Elo!$A48)=0,COUNTIF(Games!$C$2:$C$101, Elo!$A48)=0), R48, IF(COUNTIF(Games!$B$2:$B$101, Elo!$A48)&gt;0, VLOOKUP(Elo!$A48, Games!$B$2:$AN$101, MATCH("New Home Elo", Games!$B$1:$AN$1, 0), FALSE), IF(COUNTIF(Games!$C$2:$C$101, Elo!$A48)&gt;0, VLOOKUP(Elo!$A48, Games!$C$2:$AO$101, MATCH("New Away Elo", Games!$C$1:$AO$1, 0), FALSE), R48)))</f>
        <v>1600.015661022471</v>
      </c>
      <c r="V48" s="137" t="n">
        <f t="shared" si="16"/>
        <v>0</v>
      </c>
      <c r="W48" s="123" t="n">
        <f t="shared" si="5"/>
        <v>45</v>
      </c>
    </row>
    <row r="49">
      <c r="A49" s="1" t="s">
        <v>164</v>
      </c>
      <c r="B49" s="1" t="s">
        <v>126</v>
      </c>
      <c r="C49" s="137" t="n">
        <f>VLOOKUP(A49, $A$2:$BQ$1048576, MATCH(_xlfn.CONCAT("Week ",Games!$A$7), Elo!$A$1:$BQ$1, 0), FALSE)</f>
        <v>1591.81085197679</v>
      </c>
      <c r="D49" s="137" t="n">
        <f t="shared" si="17"/>
        <v>48</v>
      </c>
      <c r="E49" s="137" t="n">
        <v>1591.81085197679</v>
      </c>
      <c r="F49" s="123" t="n">
        <v>48</v>
      </c>
      <c r="G49" s="137" t="n">
        <v>1591.81085197679</v>
      </c>
      <c r="H49" s="123" t="n">
        <v>48</v>
      </c>
      <c r="I49" s="137" t="n">
        <v>1591.81085197679</v>
      </c>
      <c r="J49" s="137" t="n">
        <f t="shared" si="6"/>
        <v>0</v>
      </c>
      <c r="K49" s="123" t="n">
        <f t="shared" si="18"/>
        <v>48</v>
      </c>
      <c r="L49" s="137" t="n">
        <f>IF(AND(COUNTIF(Games!$B$2:$B$101, Elo!$A49)=0,COUNTIF(Games!$C$2:$C$101, Elo!$A49)=0), I49, IF(COUNTIF(Games!$B$2:$B$101, Elo!$A49)&gt;0, VLOOKUP(Elo!$A49, Games!$B$2:$AN$101, MATCH("New Home Elo", Games!$B$1:$AN$1, 0), FALSE), IF(COUNTIF(Games!$C$2:$C$101, Elo!$A49)&gt;0, VLOOKUP(Elo!$A49, Games!$C$2:$AO$101, MATCH("New Away Elo", Games!$C$1:$AO$1, 0), FALSE), I49)))</f>
        <v>1595.7738419340396</v>
      </c>
      <c r="M49" s="137" t="n">
        <f t="shared" si="7"/>
        <v>3.962989957249647</v>
      </c>
      <c r="N49" s="123" t="n">
        <f t="shared" si="19"/>
        <v>47</v>
      </c>
      <c r="O49" s="137" t="n">
        <f>IF(AND(COUNTIF(Games!$B$2:$B$101, Elo!$A49)=0,COUNTIF(Games!$C$2:$C$101, Elo!$A49)=0), L49, IF(COUNTIF(Games!$B$2:$B$101, Elo!$A49)&gt;0, VLOOKUP(Elo!$A49, Games!$B$2:$AN$101, MATCH("New Home Elo", Games!$B$1:$AN$1, 0), FALSE), IF(COUNTIF(Games!$C$2:$C$101, Elo!$A49)&gt;0, VLOOKUP(Elo!$A49, Games!$C$2:$AO$101, MATCH("New Away Elo", Games!$C$1:$AO$1, 0), FALSE), L49)))</f>
        <v>1595.7738419340396</v>
      </c>
      <c r="P49" s="137" t="n">
        <f t="shared" si="14"/>
        <v>0</v>
      </c>
      <c r="Q49" s="123" t="n">
        <f t="shared" si="3"/>
        <v>47</v>
      </c>
      <c r="R49" s="137" t="n">
        <f>IF(AND(COUNTIF(Games!$B$2:$B$101, Elo!$A49)=0,COUNTIF(Games!$C$2:$C$101, Elo!$A49)=0), O49, IF(COUNTIF(Games!$B$2:$B$101, Elo!$A49)&gt;0, VLOOKUP(Elo!$A49, Games!$B$2:$AN$101, MATCH("New Home Elo", Games!$B$1:$AN$1, 0), FALSE), IF(COUNTIF(Games!$C$2:$C$101, Elo!$A49)&gt;0, VLOOKUP(Elo!$A49, Games!$C$2:$AO$101, MATCH("New Away Elo", Games!$C$1:$AO$1, 0), FALSE), O49)))</f>
        <v>1595.7738419340396</v>
      </c>
      <c r="S49" s="137" t="n">
        <f t="shared" si="15"/>
        <v>0</v>
      </c>
      <c r="T49" s="123" t="n">
        <f t="shared" si="4"/>
        <v>47</v>
      </c>
      <c r="U49" s="137" t="n">
        <f>IF(AND(COUNTIF(Games!$B$2:$B$101, Elo!$A49)=0,COUNTIF(Games!$C$2:$C$101, Elo!$A49)=0), R49, IF(COUNTIF(Games!$B$2:$B$101, Elo!$A49)&gt;0, VLOOKUP(Elo!$A49, Games!$B$2:$AN$101, MATCH("New Home Elo", Games!$B$1:$AN$1, 0), FALSE), IF(COUNTIF(Games!$C$2:$C$101, Elo!$A49)&gt;0, VLOOKUP(Elo!$A49, Games!$C$2:$AO$101, MATCH("New Away Elo", Games!$C$1:$AO$1, 0), FALSE), R49)))</f>
        <v>1595.7738419340396</v>
      </c>
      <c r="V49" s="137" t="n">
        <f t="shared" si="16"/>
        <v>0</v>
      </c>
      <c r="W49" s="123" t="n">
        <f t="shared" si="5"/>
        <v>47</v>
      </c>
    </row>
    <row r="50">
      <c r="A50" s="1" t="s">
        <v>165</v>
      </c>
      <c r="B50" s="1" t="s">
        <v>149</v>
      </c>
      <c r="C50" s="137" t="n">
        <f>VLOOKUP(A50, $A$2:$BQ$1048576, MATCH(_xlfn.CONCAT("Week ",Games!$A$7), Elo!$A$1:$BQ$1, 0), FALSE)</f>
        <v>1590.4549955011701</v>
      </c>
      <c r="D50" s="137" t="n">
        <f t="shared" si="17"/>
        <v>49</v>
      </c>
      <c r="E50" s="137" t="n">
        <v>1590.4549955011701</v>
      </c>
      <c r="F50" s="123" t="n">
        <v>49</v>
      </c>
      <c r="G50" s="137" t="n">
        <v>1590.4549955011701</v>
      </c>
      <c r="H50" s="123" t="n">
        <v>49</v>
      </c>
      <c r="I50" s="137" t="n">
        <v>1590.4549955011701</v>
      </c>
      <c r="J50" s="137" t="n">
        <f t="shared" si="6"/>
        <v>0</v>
      </c>
      <c r="K50" s="123" t="n">
        <f t="shared" si="18"/>
        <v>49</v>
      </c>
      <c r="L50" s="137" t="n">
        <f>IF(AND(COUNTIF(Games!$B$2:$B$101, Elo!$A50)=0,COUNTIF(Games!$C$2:$C$101, Elo!$A50)=0), I50, IF(COUNTIF(Games!$B$2:$B$101, Elo!$A50)&gt;0, VLOOKUP(Elo!$A50, Games!$B$2:$AN$101, MATCH("New Home Elo", Games!$B$1:$AN$1, 0), FALSE), IF(COUNTIF(Games!$C$2:$C$101, Elo!$A50)&gt;0, VLOOKUP(Elo!$A50, Games!$C$2:$AO$101, MATCH("New Away Elo", Games!$C$1:$AO$1, 0), FALSE), I50)))</f>
        <v>1569.6789072229801</v>
      </c>
      <c r="M50" s="137" t="n">
        <f t="shared" si="7"/>
        <v>-20.776088278189945</v>
      </c>
      <c r="N50" s="123" t="n">
        <f t="shared" si="19"/>
        <v>52</v>
      </c>
      <c r="O50" s="137" t="n">
        <f>IF(AND(COUNTIF(Games!$B$2:$B$101, Elo!$A50)=0,COUNTIF(Games!$C$2:$C$101, Elo!$A50)=0), L50, IF(COUNTIF(Games!$B$2:$B$101, Elo!$A50)&gt;0, VLOOKUP(Elo!$A50, Games!$B$2:$AN$101, MATCH("New Home Elo", Games!$B$1:$AN$1, 0), FALSE), IF(COUNTIF(Games!$C$2:$C$101, Elo!$A50)&gt;0, VLOOKUP(Elo!$A50, Games!$C$2:$AO$101, MATCH("New Away Elo", Games!$C$1:$AO$1, 0), FALSE), L50)))</f>
        <v>1569.6789072229801</v>
      </c>
      <c r="P50" s="137" t="n">
        <f t="shared" si="14"/>
        <v>0</v>
      </c>
      <c r="Q50" s="123" t="n">
        <f t="shared" si="3"/>
        <v>52</v>
      </c>
      <c r="R50" s="137" t="n">
        <f>IF(AND(COUNTIF(Games!$B$2:$B$101, Elo!$A50)=0,COUNTIF(Games!$C$2:$C$101, Elo!$A50)=0), O50, IF(COUNTIF(Games!$B$2:$B$101, Elo!$A50)&gt;0, VLOOKUP(Elo!$A50, Games!$B$2:$AN$101, MATCH("New Home Elo", Games!$B$1:$AN$1, 0), FALSE), IF(COUNTIF(Games!$C$2:$C$101, Elo!$A50)&gt;0, VLOOKUP(Elo!$A50, Games!$C$2:$AO$101, MATCH("New Away Elo", Games!$C$1:$AO$1, 0), FALSE), O50)))</f>
        <v>1569.6789072229801</v>
      </c>
      <c r="S50" s="137" t="n">
        <f t="shared" si="15"/>
        <v>0</v>
      </c>
      <c r="T50" s="123" t="n">
        <f t="shared" si="4"/>
        <v>52</v>
      </c>
      <c r="U50" s="137" t="n">
        <f>IF(AND(COUNTIF(Games!$B$2:$B$101, Elo!$A50)=0,COUNTIF(Games!$C$2:$C$101, Elo!$A50)=0), R50, IF(COUNTIF(Games!$B$2:$B$101, Elo!$A50)&gt;0, VLOOKUP(Elo!$A50, Games!$B$2:$AN$101, MATCH("New Home Elo", Games!$B$1:$AN$1, 0), FALSE), IF(COUNTIF(Games!$C$2:$C$101, Elo!$A50)&gt;0, VLOOKUP(Elo!$A50, Games!$C$2:$AO$101, MATCH("New Away Elo", Games!$C$1:$AO$1, 0), FALSE), R50)))</f>
        <v>1569.6789072229801</v>
      </c>
      <c r="V50" s="137" t="n">
        <f t="shared" si="16"/>
        <v>0</v>
      </c>
      <c r="W50" s="123" t="n">
        <f t="shared" si="5"/>
        <v>52</v>
      </c>
    </row>
    <row r="51">
      <c r="A51" s="1" t="s">
        <v>166</v>
      </c>
      <c r="B51" s="1" t="s">
        <v>117</v>
      </c>
      <c r="C51" s="137" t="n">
        <f>VLOOKUP(A51, $A$2:$BQ$1048576, MATCH(_xlfn.CONCAT("Week ",Games!$A$7), Elo!$A$1:$BQ$1, 0), FALSE)</f>
        <v>1589.69435626634</v>
      </c>
      <c r="D51" s="137" t="n">
        <f t="shared" si="17"/>
        <v>50</v>
      </c>
      <c r="E51" s="137" t="n">
        <v>1589.69435626634</v>
      </c>
      <c r="F51" s="123" t="n">
        <v>50</v>
      </c>
      <c r="G51" s="137" t="n">
        <v>1589.69435626634</v>
      </c>
      <c r="H51" s="123" t="n">
        <v>50</v>
      </c>
      <c r="I51" s="137" t="n">
        <v>1589.69435626634</v>
      </c>
      <c r="J51" s="137" t="n">
        <f t="shared" si="6"/>
        <v>0</v>
      </c>
      <c r="K51" s="123" t="n">
        <f t="shared" si="18"/>
        <v>50</v>
      </c>
      <c r="L51" s="137" t="n">
        <f>IF(AND(COUNTIF(Games!$B$2:$B$101, Elo!$A51)=0,COUNTIF(Games!$C$2:$C$101, Elo!$A51)=0), I51, IF(COUNTIF(Games!$B$2:$B$101, Elo!$A51)&gt;0, VLOOKUP(Elo!$A51, Games!$B$2:$AN$101, MATCH("New Home Elo", Games!$B$1:$AN$1, 0), FALSE), IF(COUNTIF(Games!$C$2:$C$101, Elo!$A51)&gt;0, VLOOKUP(Elo!$A51, Games!$C$2:$AO$101, MATCH("New Away Elo", Games!$C$1:$AO$1, 0), FALSE), I51)))</f>
        <v>1595.6615506424343</v>
      </c>
      <c r="M51" s="137" t="n">
        <f t="shared" si="7"/>
        <v>5.9671943760943122</v>
      </c>
      <c r="N51" s="123" t="n">
        <f t="shared" si="19"/>
        <v>48</v>
      </c>
      <c r="O51" s="137" t="n">
        <f>IF(AND(COUNTIF(Games!$B$2:$B$101, Elo!$A51)=0,COUNTIF(Games!$C$2:$C$101, Elo!$A51)=0), L51, IF(COUNTIF(Games!$B$2:$B$101, Elo!$A51)&gt;0, VLOOKUP(Elo!$A51, Games!$B$2:$AN$101, MATCH("New Home Elo", Games!$B$1:$AN$1, 0), FALSE), IF(COUNTIF(Games!$C$2:$C$101, Elo!$A51)&gt;0, VLOOKUP(Elo!$A51, Games!$C$2:$AO$101, MATCH("New Away Elo", Games!$C$1:$AO$1, 0), FALSE), L51)))</f>
        <v>1595.6615506424343</v>
      </c>
      <c r="P51" s="137" t="n">
        <f t="shared" si="14"/>
        <v>0</v>
      </c>
      <c r="Q51" s="123" t="n">
        <f t="shared" si="3"/>
        <v>48</v>
      </c>
      <c r="R51" s="137" t="n">
        <f>IF(AND(COUNTIF(Games!$B$2:$B$101, Elo!$A51)=0,COUNTIF(Games!$C$2:$C$101, Elo!$A51)=0), O51, IF(COUNTIF(Games!$B$2:$B$101, Elo!$A51)&gt;0, VLOOKUP(Elo!$A51, Games!$B$2:$AN$101, MATCH("New Home Elo", Games!$B$1:$AN$1, 0), FALSE), IF(COUNTIF(Games!$C$2:$C$101, Elo!$A51)&gt;0, VLOOKUP(Elo!$A51, Games!$C$2:$AO$101, MATCH("New Away Elo", Games!$C$1:$AO$1, 0), FALSE), O51)))</f>
        <v>1595.6615506424343</v>
      </c>
      <c r="S51" s="137" t="n">
        <f t="shared" si="15"/>
        <v>0</v>
      </c>
      <c r="T51" s="123" t="n">
        <f t="shared" si="4"/>
        <v>48</v>
      </c>
      <c r="U51" s="137" t="n">
        <f>IF(AND(COUNTIF(Games!$B$2:$B$101, Elo!$A51)=0,COUNTIF(Games!$C$2:$C$101, Elo!$A51)=0), R51, IF(COUNTIF(Games!$B$2:$B$101, Elo!$A51)&gt;0, VLOOKUP(Elo!$A51, Games!$B$2:$AN$101, MATCH("New Home Elo", Games!$B$1:$AN$1, 0), FALSE), IF(COUNTIF(Games!$C$2:$C$101, Elo!$A51)&gt;0, VLOOKUP(Elo!$A51, Games!$C$2:$AO$101, MATCH("New Away Elo", Games!$C$1:$AO$1, 0), FALSE), R51)))</f>
        <v>1595.6615506424343</v>
      </c>
      <c r="V51" s="137" t="n">
        <f t="shared" si="16"/>
        <v>0</v>
      </c>
      <c r="W51" s="123" t="n">
        <f t="shared" si="5"/>
        <v>48</v>
      </c>
    </row>
    <row r="52">
      <c r="A52" s="1" t="s">
        <v>167</v>
      </c>
      <c r="B52" s="1" t="s">
        <v>138</v>
      </c>
      <c r="C52" s="137" t="n">
        <f>VLOOKUP(A52, $A$2:$BQ$1048576, MATCH(_xlfn.CONCAT("Week ",Games!$A$7), Elo!$A$1:$BQ$1, 0), FALSE)</f>
        <v>1574.01800604036</v>
      </c>
      <c r="D52" s="137" t="n">
        <f t="shared" si="17"/>
        <v>51</v>
      </c>
      <c r="E52" s="137" t="n">
        <v>1574.01800604036</v>
      </c>
      <c r="F52" s="123" t="n">
        <v>51</v>
      </c>
      <c r="G52" s="137" t="n">
        <v>1574.01800604036</v>
      </c>
      <c r="H52" s="123" t="n">
        <v>51</v>
      </c>
      <c r="I52" s="137" t="n">
        <v>1574.01800604036</v>
      </c>
      <c r="J52" s="137" t="n">
        <f t="shared" si="6"/>
        <v>0</v>
      </c>
      <c r="K52" s="123" t="n">
        <f t="shared" si="18"/>
        <v>51</v>
      </c>
      <c r="L52" s="137" t="n">
        <f>IF(AND(COUNTIF(Games!$B$2:$B$101, Elo!$A52)=0,COUNTIF(Games!$C$2:$C$101, Elo!$A52)=0), I52, IF(COUNTIF(Games!$B$2:$B$101, Elo!$A52)&gt;0, VLOOKUP(Elo!$A52, Games!$B$2:$AN$101, MATCH("New Home Elo", Games!$B$1:$AN$1, 0), FALSE), IF(COUNTIF(Games!$C$2:$C$101, Elo!$A52)&gt;0, VLOOKUP(Elo!$A52, Games!$C$2:$AO$101, MATCH("New Away Elo", Games!$C$1:$AO$1, 0), FALSE), I52)))</f>
        <v>1616.0645051823685</v>
      </c>
      <c r="M52" s="137" t="n">
        <f t="shared" si="7"/>
        <v>42.046499142008543</v>
      </c>
      <c r="N52" s="123" t="n">
        <f t="shared" si="19"/>
        <v>41</v>
      </c>
      <c r="O52" s="137" t="n">
        <f>IF(AND(COUNTIF(Games!$B$2:$B$101, Elo!$A52)=0,COUNTIF(Games!$C$2:$C$101, Elo!$A52)=0), L52, IF(COUNTIF(Games!$B$2:$B$101, Elo!$A52)&gt;0, VLOOKUP(Elo!$A52, Games!$B$2:$AN$101, MATCH("New Home Elo", Games!$B$1:$AN$1, 0), FALSE), IF(COUNTIF(Games!$C$2:$C$101, Elo!$A52)&gt;0, VLOOKUP(Elo!$A52, Games!$C$2:$AO$101, MATCH("New Away Elo", Games!$C$1:$AO$1, 0), FALSE), L52)))</f>
        <v>1616.0645051823685</v>
      </c>
      <c r="P52" s="137" t="n">
        <f t="shared" si="14"/>
        <v>0</v>
      </c>
      <c r="Q52" s="123" t="n">
        <f t="shared" si="3"/>
        <v>41</v>
      </c>
      <c r="R52" s="137" t="n">
        <f>IF(AND(COUNTIF(Games!$B$2:$B$101, Elo!$A52)=0,COUNTIF(Games!$C$2:$C$101, Elo!$A52)=0), O52, IF(COUNTIF(Games!$B$2:$B$101, Elo!$A52)&gt;0, VLOOKUP(Elo!$A52, Games!$B$2:$AN$101, MATCH("New Home Elo", Games!$B$1:$AN$1, 0), FALSE), IF(COUNTIF(Games!$C$2:$C$101, Elo!$A52)&gt;0, VLOOKUP(Elo!$A52, Games!$C$2:$AO$101, MATCH("New Away Elo", Games!$C$1:$AO$1, 0), FALSE), O52)))</f>
        <v>1616.0645051823685</v>
      </c>
      <c r="S52" s="137" t="n">
        <f t="shared" si="15"/>
        <v>0</v>
      </c>
      <c r="T52" s="123" t="n">
        <f t="shared" si="4"/>
        <v>41</v>
      </c>
      <c r="U52" s="137" t="n">
        <f>IF(AND(COUNTIF(Games!$B$2:$B$101, Elo!$A52)=0,COUNTIF(Games!$C$2:$C$101, Elo!$A52)=0), R52, IF(COUNTIF(Games!$B$2:$B$101, Elo!$A52)&gt;0, VLOOKUP(Elo!$A52, Games!$B$2:$AN$101, MATCH("New Home Elo", Games!$B$1:$AN$1, 0), FALSE), IF(COUNTIF(Games!$C$2:$C$101, Elo!$A52)&gt;0, VLOOKUP(Elo!$A52, Games!$C$2:$AO$101, MATCH("New Away Elo", Games!$C$1:$AO$1, 0), FALSE), R52)))</f>
        <v>1616.0645051823685</v>
      </c>
      <c r="V52" s="137" t="n">
        <f t="shared" si="16"/>
        <v>0</v>
      </c>
      <c r="W52" s="123" t="n">
        <f t="shared" si="5"/>
        <v>41</v>
      </c>
    </row>
    <row r="53">
      <c r="A53" s="1" t="s">
        <v>168</v>
      </c>
      <c r="B53" s="1" t="s">
        <v>109</v>
      </c>
      <c r="C53" s="137" t="n">
        <f>VLOOKUP(A53, $A$2:$BQ$1048576, MATCH(_xlfn.CONCAT("Week ",Games!$A$7), Elo!$A$1:$BQ$1, 0), FALSE)</f>
        <v>1551.56570204067</v>
      </c>
      <c r="D53" s="137" t="n">
        <f t="shared" si="17"/>
        <v>52</v>
      </c>
      <c r="E53" s="137" t="n">
        <v>1551.56570204067</v>
      </c>
      <c r="F53" s="123" t="n">
        <v>52</v>
      </c>
      <c r="G53" s="137" t="n">
        <v>1551.56570204067</v>
      </c>
      <c r="H53" s="123" t="n">
        <v>52</v>
      </c>
      <c r="I53" s="137" t="n">
        <v>1551.56570204067</v>
      </c>
      <c r="J53" s="137" t="n">
        <f t="shared" si="6"/>
        <v>0</v>
      </c>
      <c r="K53" s="123" t="n">
        <f t="shared" si="18"/>
        <v>52</v>
      </c>
      <c r="L53" s="137" t="n">
        <f>IF(AND(COUNTIF(Games!$B$2:$B$101, Elo!$A53)=0,COUNTIF(Games!$C$2:$C$101, Elo!$A53)=0), I53, IF(COUNTIF(Games!$B$2:$B$101, Elo!$A53)&gt;0, VLOOKUP(Elo!$A53, Games!$B$2:$AN$101, MATCH("New Home Elo", Games!$B$1:$AN$1, 0), FALSE), IF(COUNTIF(Games!$C$2:$C$101, Elo!$A53)&gt;0, VLOOKUP(Elo!$A53, Games!$C$2:$AO$101, MATCH("New Away Elo", Games!$C$1:$AO$1, 0), FALSE), I53)))</f>
        <v>1579.1944226524704</v>
      </c>
      <c r="M53" s="137" t="n">
        <f t="shared" si="7"/>
        <v>27.628720611800418</v>
      </c>
      <c r="N53" s="123" t="n">
        <f t="shared" si="19"/>
        <v>50</v>
      </c>
      <c r="O53" s="137" t="n">
        <f>IF(AND(COUNTIF(Games!$B$2:$B$101, Elo!$A53)=0,COUNTIF(Games!$C$2:$C$101, Elo!$A53)=0), L53, IF(COUNTIF(Games!$B$2:$B$101, Elo!$A53)&gt;0, VLOOKUP(Elo!$A53, Games!$B$2:$AN$101, MATCH("New Home Elo", Games!$B$1:$AN$1, 0), FALSE), IF(COUNTIF(Games!$C$2:$C$101, Elo!$A53)&gt;0, VLOOKUP(Elo!$A53, Games!$C$2:$AO$101, MATCH("New Away Elo", Games!$C$1:$AO$1, 0), FALSE), L53)))</f>
        <v>1579.1944226524704</v>
      </c>
      <c r="P53" s="137" t="n">
        <f t="shared" si="14"/>
        <v>0</v>
      </c>
      <c r="Q53" s="123" t="n">
        <f t="shared" si="3"/>
        <v>50</v>
      </c>
      <c r="R53" s="137" t="n">
        <f>IF(AND(COUNTIF(Games!$B$2:$B$101, Elo!$A53)=0,COUNTIF(Games!$C$2:$C$101, Elo!$A53)=0), O53, IF(COUNTIF(Games!$B$2:$B$101, Elo!$A53)&gt;0, VLOOKUP(Elo!$A53, Games!$B$2:$AN$101, MATCH("New Home Elo", Games!$B$1:$AN$1, 0), FALSE), IF(COUNTIF(Games!$C$2:$C$101, Elo!$A53)&gt;0, VLOOKUP(Elo!$A53, Games!$C$2:$AO$101, MATCH("New Away Elo", Games!$C$1:$AO$1, 0), FALSE), O53)))</f>
        <v>1579.1944226524704</v>
      </c>
      <c r="S53" s="137" t="n">
        <f t="shared" si="15"/>
        <v>0</v>
      </c>
      <c r="T53" s="123" t="n">
        <f t="shared" si="4"/>
        <v>50</v>
      </c>
      <c r="U53" s="137" t="n">
        <f>IF(AND(COUNTIF(Games!$B$2:$B$101, Elo!$A53)=0,COUNTIF(Games!$C$2:$C$101, Elo!$A53)=0), R53, IF(COUNTIF(Games!$B$2:$B$101, Elo!$A53)&gt;0, VLOOKUP(Elo!$A53, Games!$B$2:$AN$101, MATCH("New Home Elo", Games!$B$1:$AN$1, 0), FALSE), IF(COUNTIF(Games!$C$2:$C$101, Elo!$A53)&gt;0, VLOOKUP(Elo!$A53, Games!$C$2:$AO$101, MATCH("New Away Elo", Games!$C$1:$AO$1, 0), FALSE), R53)))</f>
        <v>1579.1944226524704</v>
      </c>
      <c r="V53" s="137" t="n">
        <f t="shared" si="16"/>
        <v>0</v>
      </c>
      <c r="W53" s="123" t="n">
        <f t="shared" si="5"/>
        <v>50</v>
      </c>
    </row>
    <row r="54">
      <c r="A54" s="1" t="s">
        <v>169</v>
      </c>
      <c r="B54" s="1" t="s">
        <v>170</v>
      </c>
      <c r="C54" s="137" t="n">
        <f>VLOOKUP(A54, $A$2:$BQ$1048576, MATCH(_xlfn.CONCAT("Week ",Games!$A$7), Elo!$A$1:$BQ$1, 0), FALSE)</f>
        <v>1550.0998910427199</v>
      </c>
      <c r="D54" s="137" t="n">
        <f t="shared" si="17"/>
        <v>53</v>
      </c>
      <c r="E54" s="137" t="n">
        <v>1550.0998910427199</v>
      </c>
      <c r="F54" s="123" t="n">
        <v>53</v>
      </c>
      <c r="G54" s="137" t="n">
        <v>1550.0998910427199</v>
      </c>
      <c r="H54" s="123" t="n">
        <v>53</v>
      </c>
      <c r="I54" s="137" t="n">
        <v>1550.0998910427199</v>
      </c>
      <c r="J54" s="137" t="n">
        <f t="shared" si="6"/>
        <v>0</v>
      </c>
      <c r="K54" s="123" t="n">
        <f t="shared" si="18"/>
        <v>53</v>
      </c>
      <c r="L54" s="137" t="n">
        <f>IF(AND(COUNTIF(Games!$B$2:$B$101, Elo!$A54)=0,COUNTIF(Games!$C$2:$C$101, Elo!$A54)=0), I54, IF(COUNTIF(Games!$B$2:$B$101, Elo!$A54)&gt;0, VLOOKUP(Elo!$A54, Games!$B$2:$AN$101, MATCH("New Home Elo", Games!$B$1:$AN$1, 0), FALSE), IF(COUNTIF(Games!$C$2:$C$101, Elo!$A54)&gt;0, VLOOKUP(Elo!$A54, Games!$C$2:$AO$101, MATCH("New Away Elo", Games!$C$1:$AO$1, 0), FALSE), I54)))</f>
        <v>1553.987424450605</v>
      </c>
      <c r="M54" s="137" t="n">
        <f t="shared" si="7"/>
        <v>3.8875334078850301</v>
      </c>
      <c r="N54" s="123" t="n">
        <f t="shared" si="19"/>
        <v>55</v>
      </c>
      <c r="O54" s="137" t="n">
        <f>IF(AND(COUNTIF(Games!$B$2:$B$101, Elo!$A54)=0,COUNTIF(Games!$C$2:$C$101, Elo!$A54)=0), L54, IF(COUNTIF(Games!$B$2:$B$101, Elo!$A54)&gt;0, VLOOKUP(Elo!$A54, Games!$B$2:$AN$101, MATCH("New Home Elo", Games!$B$1:$AN$1, 0), FALSE), IF(COUNTIF(Games!$C$2:$C$101, Elo!$A54)&gt;0, VLOOKUP(Elo!$A54, Games!$C$2:$AO$101, MATCH("New Away Elo", Games!$C$1:$AO$1, 0), FALSE), L54)))</f>
        <v>1553.987424450605</v>
      </c>
      <c r="P54" s="137" t="n">
        <f t="shared" si="14"/>
        <v>0</v>
      </c>
      <c r="Q54" s="123" t="n">
        <f t="shared" si="3"/>
        <v>55</v>
      </c>
      <c r="R54" s="137" t="n">
        <f>IF(AND(COUNTIF(Games!$B$2:$B$101, Elo!$A54)=0,COUNTIF(Games!$C$2:$C$101, Elo!$A54)=0), O54, IF(COUNTIF(Games!$B$2:$B$101, Elo!$A54)&gt;0, VLOOKUP(Elo!$A54, Games!$B$2:$AN$101, MATCH("New Home Elo", Games!$B$1:$AN$1, 0), FALSE), IF(COUNTIF(Games!$C$2:$C$101, Elo!$A54)&gt;0, VLOOKUP(Elo!$A54, Games!$C$2:$AO$101, MATCH("New Away Elo", Games!$C$1:$AO$1, 0), FALSE), O54)))</f>
        <v>1553.987424450605</v>
      </c>
      <c r="S54" s="137" t="n">
        <f t="shared" si="15"/>
        <v>0</v>
      </c>
      <c r="T54" s="123" t="n">
        <f t="shared" si="4"/>
        <v>55</v>
      </c>
      <c r="U54" s="137" t="n">
        <f>IF(AND(COUNTIF(Games!$B$2:$B$101, Elo!$A54)=0,COUNTIF(Games!$C$2:$C$101, Elo!$A54)=0), R54, IF(COUNTIF(Games!$B$2:$B$101, Elo!$A54)&gt;0, VLOOKUP(Elo!$A54, Games!$B$2:$AN$101, MATCH("New Home Elo", Games!$B$1:$AN$1, 0), FALSE), IF(COUNTIF(Games!$C$2:$C$101, Elo!$A54)&gt;0, VLOOKUP(Elo!$A54, Games!$C$2:$AO$101, MATCH("New Away Elo", Games!$C$1:$AO$1, 0), FALSE), R54)))</f>
        <v>1553.987424450605</v>
      </c>
      <c r="V54" s="137" t="n">
        <f t="shared" si="16"/>
        <v>0</v>
      </c>
      <c r="W54" s="123" t="n">
        <f t="shared" si="5"/>
        <v>55</v>
      </c>
    </row>
    <row r="55">
      <c r="A55" s="1" t="s">
        <v>171</v>
      </c>
      <c r="B55" s="1" t="s">
        <v>135</v>
      </c>
      <c r="C55" s="137" t="n">
        <f>VLOOKUP(A55, $A$2:$BQ$1048576, MATCH(_xlfn.CONCAT("Week ",Games!$A$7), Elo!$A$1:$BQ$1, 0), FALSE)</f>
        <v>1545.58176013767</v>
      </c>
      <c r="D55" s="137" t="n">
        <f t="shared" si="17"/>
        <v>54</v>
      </c>
      <c r="E55" s="137" t="n">
        <v>1545.58176013767</v>
      </c>
      <c r="F55" s="123" t="n">
        <v>54</v>
      </c>
      <c r="G55" s="137" t="n">
        <v>1545.58176013767</v>
      </c>
      <c r="H55" s="123" t="n">
        <v>54</v>
      </c>
      <c r="I55" s="137" t="n">
        <v>1545.58176013767</v>
      </c>
      <c r="J55" s="137" t="n">
        <f t="shared" si="6"/>
        <v>0</v>
      </c>
      <c r="K55" s="123" t="n">
        <f t="shared" si="18"/>
        <v>54</v>
      </c>
      <c r="L55" s="137" t="n">
        <f>IF(AND(COUNTIF(Games!$B$2:$B$101, Elo!$A55)=0,COUNTIF(Games!$C$2:$C$101, Elo!$A55)=0), I55, IF(COUNTIF(Games!$B$2:$B$101, Elo!$A55)&gt;0, VLOOKUP(Elo!$A55, Games!$B$2:$AN$101, MATCH("New Home Elo", Games!$B$1:$AN$1, 0), FALSE), IF(COUNTIF(Games!$C$2:$C$101, Elo!$A55)&gt;0, VLOOKUP(Elo!$A55, Games!$C$2:$AO$101, MATCH("New Away Elo", Games!$C$1:$AO$1, 0), FALSE), I55)))</f>
        <v>1554.6444514417626</v>
      </c>
      <c r="M55" s="137" t="n">
        <f t="shared" si="7"/>
        <v>9.0626913040925956</v>
      </c>
      <c r="N55" s="123" t="n">
        <f t="shared" si="19"/>
        <v>54</v>
      </c>
      <c r="O55" s="137" t="n">
        <f>IF(AND(COUNTIF(Games!$B$2:$B$101, Elo!$A55)=0,COUNTIF(Games!$C$2:$C$101, Elo!$A55)=0), L55, IF(COUNTIF(Games!$B$2:$B$101, Elo!$A55)&gt;0, VLOOKUP(Elo!$A55, Games!$B$2:$AN$101, MATCH("New Home Elo", Games!$B$1:$AN$1, 0), FALSE), IF(COUNTIF(Games!$C$2:$C$101, Elo!$A55)&gt;0, VLOOKUP(Elo!$A55, Games!$C$2:$AO$101, MATCH("New Away Elo", Games!$C$1:$AO$1, 0), FALSE), L55)))</f>
        <v>1554.6444514417626</v>
      </c>
      <c r="P55" s="137" t="n">
        <f t="shared" si="14"/>
        <v>0</v>
      </c>
      <c r="Q55" s="123" t="n">
        <f t="shared" si="3"/>
        <v>54</v>
      </c>
      <c r="R55" s="137" t="n">
        <f>IF(AND(COUNTIF(Games!$B$2:$B$101, Elo!$A55)=0,COUNTIF(Games!$C$2:$C$101, Elo!$A55)=0), O55, IF(COUNTIF(Games!$B$2:$B$101, Elo!$A55)&gt;0, VLOOKUP(Elo!$A55, Games!$B$2:$AN$101, MATCH("New Home Elo", Games!$B$1:$AN$1, 0), FALSE), IF(COUNTIF(Games!$C$2:$C$101, Elo!$A55)&gt;0, VLOOKUP(Elo!$A55, Games!$C$2:$AO$101, MATCH("New Away Elo", Games!$C$1:$AO$1, 0), FALSE), O55)))</f>
        <v>1554.6444514417626</v>
      </c>
      <c r="S55" s="137" t="n">
        <f t="shared" si="15"/>
        <v>0</v>
      </c>
      <c r="T55" s="123" t="n">
        <f t="shared" si="4"/>
        <v>54</v>
      </c>
      <c r="U55" s="137" t="n">
        <f>IF(AND(COUNTIF(Games!$B$2:$B$101, Elo!$A55)=0,COUNTIF(Games!$C$2:$C$101, Elo!$A55)=0), R55, IF(COUNTIF(Games!$B$2:$B$101, Elo!$A55)&gt;0, VLOOKUP(Elo!$A55, Games!$B$2:$AN$101, MATCH("New Home Elo", Games!$B$1:$AN$1, 0), FALSE), IF(COUNTIF(Games!$C$2:$C$101, Elo!$A55)&gt;0, VLOOKUP(Elo!$A55, Games!$C$2:$AO$101, MATCH("New Away Elo", Games!$C$1:$AO$1, 0), FALSE), R55)))</f>
        <v>1554.6444514417626</v>
      </c>
      <c r="V55" s="137" t="n">
        <f t="shared" si="16"/>
        <v>0</v>
      </c>
      <c r="W55" s="123" t="n">
        <f t="shared" si="5"/>
        <v>54</v>
      </c>
    </row>
    <row r="56">
      <c r="A56" s="1" t="s">
        <v>172</v>
      </c>
      <c r="B56" s="1" t="s">
        <v>135</v>
      </c>
      <c r="C56" s="137" t="n">
        <f>VLOOKUP(A56, $A$2:$BQ$1048576, MATCH(_xlfn.CONCAT("Week ",Games!$A$7), Elo!$A$1:$BQ$1, 0), FALSE)</f>
        <v>1532.4393644862901</v>
      </c>
      <c r="D56" s="137" t="n">
        <f t="shared" si="17"/>
        <v>55</v>
      </c>
      <c r="E56" s="137" t="n">
        <v>1532.4393644862901</v>
      </c>
      <c r="F56" s="123" t="n">
        <v>55</v>
      </c>
      <c r="G56" s="137" t="n">
        <v>1532.4393644862901</v>
      </c>
      <c r="H56" s="123" t="n">
        <v>55</v>
      </c>
      <c r="I56" s="137" t="n">
        <v>1532.4393644862901</v>
      </c>
      <c r="J56" s="137" t="n">
        <f t="shared" si="6"/>
        <v>0</v>
      </c>
      <c r="K56" s="123" t="n">
        <f t="shared" si="18"/>
        <v>55</v>
      </c>
      <c r="L56" s="137" t="n">
        <f>IF(AND(COUNTIF(Games!$B$2:$B$101, Elo!$A56)=0,COUNTIF(Games!$C$2:$C$101, Elo!$A56)=0), I56, IF(COUNTIF(Games!$B$2:$B$101, Elo!$A56)&gt;0, VLOOKUP(Elo!$A56, Games!$B$2:$AN$101, MATCH("New Home Elo", Games!$B$1:$AN$1, 0), FALSE), IF(COUNTIF(Games!$C$2:$C$101, Elo!$A56)&gt;0, VLOOKUP(Elo!$A56, Games!$C$2:$AO$101, MATCH("New Away Elo", Games!$C$1:$AO$1, 0), FALSE), I56)))</f>
        <v>1543.6933787341181</v>
      </c>
      <c r="M56" s="137" t="n">
        <f t="shared" si="7"/>
        <v>11.254014247828081</v>
      </c>
      <c r="N56" s="123" t="n">
        <f t="shared" si="19"/>
        <v>56</v>
      </c>
      <c r="O56" s="137" t="n">
        <f>IF(AND(COUNTIF(Games!$B$2:$B$101, Elo!$A56)=0,COUNTIF(Games!$C$2:$C$101, Elo!$A56)=0), L56, IF(COUNTIF(Games!$B$2:$B$101, Elo!$A56)&gt;0, VLOOKUP(Elo!$A56, Games!$B$2:$AN$101, MATCH("New Home Elo", Games!$B$1:$AN$1, 0), FALSE), IF(COUNTIF(Games!$C$2:$C$101, Elo!$A56)&gt;0, VLOOKUP(Elo!$A56, Games!$C$2:$AO$101, MATCH("New Away Elo", Games!$C$1:$AO$1, 0), FALSE), L56)))</f>
        <v>1543.6933787341181</v>
      </c>
      <c r="P56" s="137" t="n">
        <f t="shared" si="14"/>
        <v>0</v>
      </c>
      <c r="Q56" s="123" t="n">
        <f t="shared" si="3"/>
        <v>56</v>
      </c>
      <c r="R56" s="137" t="n">
        <f>IF(AND(COUNTIF(Games!$B$2:$B$101, Elo!$A56)=0,COUNTIF(Games!$C$2:$C$101, Elo!$A56)=0), O56, IF(COUNTIF(Games!$B$2:$B$101, Elo!$A56)&gt;0, VLOOKUP(Elo!$A56, Games!$B$2:$AN$101, MATCH("New Home Elo", Games!$B$1:$AN$1, 0), FALSE), IF(COUNTIF(Games!$C$2:$C$101, Elo!$A56)&gt;0, VLOOKUP(Elo!$A56, Games!$C$2:$AO$101, MATCH("New Away Elo", Games!$C$1:$AO$1, 0), FALSE), O56)))</f>
        <v>1543.6933787341181</v>
      </c>
      <c r="S56" s="137" t="n">
        <f t="shared" si="15"/>
        <v>0</v>
      </c>
      <c r="T56" s="123" t="n">
        <f t="shared" si="4"/>
        <v>56</v>
      </c>
      <c r="U56" s="137" t="n">
        <f>IF(AND(COUNTIF(Games!$B$2:$B$101, Elo!$A56)=0,COUNTIF(Games!$C$2:$C$101, Elo!$A56)=0), R56, IF(COUNTIF(Games!$B$2:$B$101, Elo!$A56)&gt;0, VLOOKUP(Elo!$A56, Games!$B$2:$AN$101, MATCH("New Home Elo", Games!$B$1:$AN$1, 0), FALSE), IF(COUNTIF(Games!$C$2:$C$101, Elo!$A56)&gt;0, VLOOKUP(Elo!$A56, Games!$C$2:$AO$101, MATCH("New Away Elo", Games!$C$1:$AO$1, 0), FALSE), R56)))</f>
        <v>1543.6933787341181</v>
      </c>
      <c r="V56" s="137" t="n">
        <f t="shared" si="16"/>
        <v>0</v>
      </c>
      <c r="W56" s="123" t="n">
        <f t="shared" si="5"/>
        <v>56</v>
      </c>
    </row>
    <row r="57">
      <c r="A57" s="1" t="s">
        <v>173</v>
      </c>
      <c r="B57" s="1" t="s">
        <v>135</v>
      </c>
      <c r="C57" s="137" t="n">
        <f>VLOOKUP(A57, $A$2:$BQ$1048576, MATCH(_xlfn.CONCAT("Week ",Games!$A$7), Elo!$A$1:$BQ$1, 0), FALSE)</f>
        <v>1531.9769986049</v>
      </c>
      <c r="D57" s="137" t="n">
        <f t="shared" si="17"/>
        <v>56</v>
      </c>
      <c r="E57" s="137" t="n">
        <v>1531.9769986049</v>
      </c>
      <c r="F57" s="123" t="n">
        <v>56</v>
      </c>
      <c r="G57" s="137" t="n">
        <v>1531.9769986049</v>
      </c>
      <c r="H57" s="123" t="n">
        <v>56</v>
      </c>
      <c r="I57" s="137" t="n">
        <v>1531.9769986049</v>
      </c>
      <c r="J57" s="137" t="n">
        <f t="shared" si="6"/>
        <v>0</v>
      </c>
      <c r="K57" s="123" t="n">
        <f t="shared" si="18"/>
        <v>56</v>
      </c>
      <c r="L57" s="137" t="n">
        <f>IF(AND(COUNTIF(Games!$B$2:$B$101, Elo!$A57)=0,COUNTIF(Games!$C$2:$C$101, Elo!$A57)=0), I57, IF(COUNTIF(Games!$B$2:$B$101, Elo!$A57)&gt;0, VLOOKUP(Elo!$A57, Games!$B$2:$AN$101, MATCH("New Home Elo", Games!$B$1:$AN$1, 0), FALSE), IF(COUNTIF(Games!$C$2:$C$101, Elo!$A57)&gt;0, VLOOKUP(Elo!$A57, Games!$C$2:$AO$101, MATCH("New Away Elo", Games!$C$1:$AO$1, 0), FALSE), I57)))</f>
        <v>1537.0697162260992</v>
      </c>
      <c r="M57" s="137" t="n">
        <f t="shared" si="7"/>
        <v>5.0927176211991991</v>
      </c>
      <c r="N57" s="123" t="n">
        <f t="shared" si="19"/>
        <v>57</v>
      </c>
      <c r="O57" s="137" t="n">
        <f>IF(AND(COUNTIF(Games!$B$2:$B$101, Elo!$A57)=0,COUNTIF(Games!$C$2:$C$101, Elo!$A57)=0), L57, IF(COUNTIF(Games!$B$2:$B$101, Elo!$A57)&gt;0, VLOOKUP(Elo!$A57, Games!$B$2:$AN$101, MATCH("New Home Elo", Games!$B$1:$AN$1, 0), FALSE), IF(COUNTIF(Games!$C$2:$C$101, Elo!$A57)&gt;0, VLOOKUP(Elo!$A57, Games!$C$2:$AO$101, MATCH("New Away Elo", Games!$C$1:$AO$1, 0), FALSE), L57)))</f>
        <v>1537.0697162260992</v>
      </c>
      <c r="P57" s="137" t="n">
        <f t="shared" si="14"/>
        <v>0</v>
      </c>
      <c r="Q57" s="123" t="n">
        <f t="shared" si="3"/>
        <v>57</v>
      </c>
      <c r="R57" s="137" t="n">
        <f>IF(AND(COUNTIF(Games!$B$2:$B$101, Elo!$A57)=0,COUNTIF(Games!$C$2:$C$101, Elo!$A57)=0), O57, IF(COUNTIF(Games!$B$2:$B$101, Elo!$A57)&gt;0, VLOOKUP(Elo!$A57, Games!$B$2:$AN$101, MATCH("New Home Elo", Games!$B$1:$AN$1, 0), FALSE), IF(COUNTIF(Games!$C$2:$C$101, Elo!$A57)&gt;0, VLOOKUP(Elo!$A57, Games!$C$2:$AO$101, MATCH("New Away Elo", Games!$C$1:$AO$1, 0), FALSE), O57)))</f>
        <v>1537.0697162260992</v>
      </c>
      <c r="S57" s="137" t="n">
        <f t="shared" si="15"/>
        <v>0</v>
      </c>
      <c r="T57" s="123" t="n">
        <f t="shared" si="4"/>
        <v>57</v>
      </c>
      <c r="U57" s="137" t="n">
        <f>IF(AND(COUNTIF(Games!$B$2:$B$101, Elo!$A57)=0,COUNTIF(Games!$C$2:$C$101, Elo!$A57)=0), R57, IF(COUNTIF(Games!$B$2:$B$101, Elo!$A57)&gt;0, VLOOKUP(Elo!$A57, Games!$B$2:$AN$101, MATCH("New Home Elo", Games!$B$1:$AN$1, 0), FALSE), IF(COUNTIF(Games!$C$2:$C$101, Elo!$A57)&gt;0, VLOOKUP(Elo!$A57, Games!$C$2:$AO$101, MATCH("New Away Elo", Games!$C$1:$AO$1, 0), FALSE), R57)))</f>
        <v>1537.0697162260992</v>
      </c>
      <c r="V57" s="137" t="n">
        <f t="shared" si="16"/>
        <v>0</v>
      </c>
      <c r="W57" s="123" t="n">
        <f t="shared" si="5"/>
        <v>57</v>
      </c>
    </row>
    <row r="58">
      <c r="A58" s="1" t="s">
        <v>174</v>
      </c>
      <c r="B58" s="1" t="s">
        <v>111</v>
      </c>
      <c r="C58" s="137" t="n">
        <f>VLOOKUP(A58, $A$2:$BQ$1048576, MATCH(_xlfn.CONCAT("Week ",Games!$A$7), Elo!$A$1:$BQ$1, 0), FALSE)</f>
        <v>1526.8517655099199</v>
      </c>
      <c r="D58" s="137" t="n">
        <f t="shared" si="17"/>
        <v>57</v>
      </c>
      <c r="E58" s="137" t="n">
        <v>1526.8517655099199</v>
      </c>
      <c r="F58" s="123" t="n">
        <v>57</v>
      </c>
      <c r="G58" s="137" t="n">
        <v>1526.8517655099199</v>
      </c>
      <c r="H58" s="123" t="n">
        <v>57</v>
      </c>
      <c r="I58" s="137" t="n">
        <v>1526.8517655099199</v>
      </c>
      <c r="J58" s="137" t="n">
        <f t="shared" si="6"/>
        <v>0</v>
      </c>
      <c r="K58" s="123" t="n">
        <f t="shared" si="18"/>
        <v>57</v>
      </c>
      <c r="L58" s="137" t="n">
        <f>IF(AND(COUNTIF(Games!$B$2:$B$101, Elo!$A58)=0,COUNTIF(Games!$C$2:$C$101, Elo!$A58)=0), I58, IF(COUNTIF(Games!$B$2:$B$101, Elo!$A58)&gt;0, VLOOKUP(Elo!$A58, Games!$B$2:$AN$101, MATCH("New Home Elo", Games!$B$1:$AN$1, 0), FALSE), IF(COUNTIF(Games!$C$2:$C$101, Elo!$A58)&gt;0, VLOOKUP(Elo!$A58, Games!$C$2:$AO$101, MATCH("New Away Elo", Games!$C$1:$AO$1, 0), FALSE), I58)))</f>
        <v>1558.5152330377177</v>
      </c>
      <c r="M58" s="137" t="n">
        <f t="shared" si="7"/>
        <v>31.66346752779782</v>
      </c>
      <c r="N58" s="123" t="n">
        <f t="shared" si="19"/>
        <v>53</v>
      </c>
      <c r="O58" s="137" t="n">
        <f>IF(AND(COUNTIF(Games!$B$2:$B$101, Elo!$A58)=0,COUNTIF(Games!$C$2:$C$101, Elo!$A58)=0), L58, IF(COUNTIF(Games!$B$2:$B$101, Elo!$A58)&gt;0, VLOOKUP(Elo!$A58, Games!$B$2:$AN$101, MATCH("New Home Elo", Games!$B$1:$AN$1, 0), FALSE), IF(COUNTIF(Games!$C$2:$C$101, Elo!$A58)&gt;0, VLOOKUP(Elo!$A58, Games!$C$2:$AO$101, MATCH("New Away Elo", Games!$C$1:$AO$1, 0), FALSE), L58)))</f>
        <v>1558.5152330377177</v>
      </c>
      <c r="P58" s="137" t="n">
        <f t="shared" si="14"/>
        <v>0</v>
      </c>
      <c r="Q58" s="123" t="n">
        <f t="shared" si="3"/>
        <v>53</v>
      </c>
      <c r="R58" s="137" t="n">
        <f>IF(AND(COUNTIF(Games!$B$2:$B$101, Elo!$A58)=0,COUNTIF(Games!$C$2:$C$101, Elo!$A58)=0), O58, IF(COUNTIF(Games!$B$2:$B$101, Elo!$A58)&gt;0, VLOOKUP(Elo!$A58, Games!$B$2:$AN$101, MATCH("New Home Elo", Games!$B$1:$AN$1, 0), FALSE), IF(COUNTIF(Games!$C$2:$C$101, Elo!$A58)&gt;0, VLOOKUP(Elo!$A58, Games!$C$2:$AO$101, MATCH("New Away Elo", Games!$C$1:$AO$1, 0), FALSE), O58)))</f>
        <v>1558.5152330377177</v>
      </c>
      <c r="S58" s="137" t="n">
        <f t="shared" si="15"/>
        <v>0</v>
      </c>
      <c r="T58" s="123" t="n">
        <f t="shared" si="4"/>
        <v>53</v>
      </c>
      <c r="U58" s="137" t="n">
        <f>IF(AND(COUNTIF(Games!$B$2:$B$101, Elo!$A58)=0,COUNTIF(Games!$C$2:$C$101, Elo!$A58)=0), R58, IF(COUNTIF(Games!$B$2:$B$101, Elo!$A58)&gt;0, VLOOKUP(Elo!$A58, Games!$B$2:$AN$101, MATCH("New Home Elo", Games!$B$1:$AN$1, 0), FALSE), IF(COUNTIF(Games!$C$2:$C$101, Elo!$A58)&gt;0, VLOOKUP(Elo!$A58, Games!$C$2:$AO$101, MATCH("New Away Elo", Games!$C$1:$AO$1, 0), FALSE), R58)))</f>
        <v>1558.5152330377177</v>
      </c>
      <c r="V58" s="137" t="n">
        <f t="shared" si="16"/>
        <v>0</v>
      </c>
      <c r="W58" s="123" t="n">
        <f t="shared" si="5"/>
        <v>53</v>
      </c>
    </row>
    <row r="59">
      <c r="A59" s="1" t="s">
        <v>175</v>
      </c>
      <c r="B59" s="1" t="s">
        <v>122</v>
      </c>
      <c r="C59" s="137" t="n">
        <f>VLOOKUP(A59, $A$2:$BQ$1048576, MATCH(_xlfn.CONCAT("Week ",Games!$A$7), Elo!$A$1:$BQ$1, 0), FALSE)</f>
        <v>1524.46898827274</v>
      </c>
      <c r="D59" s="137" t="n">
        <f t="shared" si="17"/>
        <v>58</v>
      </c>
      <c r="E59" s="137" t="n">
        <v>1524.46898827274</v>
      </c>
      <c r="F59" s="123" t="n">
        <v>58</v>
      </c>
      <c r="G59" s="137" t="n">
        <v>1524.46898827274</v>
      </c>
      <c r="H59" s="123" t="n">
        <v>58</v>
      </c>
      <c r="I59" s="137" t="n">
        <v>1524.46898827274</v>
      </c>
      <c r="J59" s="137" t="n">
        <f t="shared" si="6"/>
        <v>0</v>
      </c>
      <c r="K59" s="123" t="n">
        <f t="shared" si="18"/>
        <v>58</v>
      </c>
      <c r="L59" s="137" t="n">
        <f>IF(AND(COUNTIF(Games!$B$2:$B$101, Elo!$A59)=0,COUNTIF(Games!$C$2:$C$101, Elo!$A59)=0), I59, IF(COUNTIF(Games!$B$2:$B$101, Elo!$A59)&gt;0, VLOOKUP(Elo!$A59, Games!$B$2:$AN$101, MATCH("New Home Elo", Games!$B$1:$AN$1, 0), FALSE), IF(COUNTIF(Games!$C$2:$C$101, Elo!$A59)&gt;0, VLOOKUP(Elo!$A59, Games!$C$2:$AO$101, MATCH("New Away Elo", Games!$C$1:$AO$1, 0), FALSE), I59)))</f>
        <v>1532.1141882642942</v>
      </c>
      <c r="M59" s="137" t="n">
        <f t="shared" si="7"/>
        <v>7.6451999915541364</v>
      </c>
      <c r="N59" s="123" t="n">
        <f t="shared" si="19"/>
        <v>59</v>
      </c>
      <c r="O59" s="137" t="n">
        <f>IF(AND(COUNTIF(Games!$B$2:$B$101, Elo!$A59)=0,COUNTIF(Games!$C$2:$C$101, Elo!$A59)=0), L59, IF(COUNTIF(Games!$B$2:$B$101, Elo!$A59)&gt;0, VLOOKUP(Elo!$A59, Games!$B$2:$AN$101, MATCH("New Home Elo", Games!$B$1:$AN$1, 0), FALSE), IF(COUNTIF(Games!$C$2:$C$101, Elo!$A59)&gt;0, VLOOKUP(Elo!$A59, Games!$C$2:$AO$101, MATCH("New Away Elo", Games!$C$1:$AO$1, 0), FALSE), L59)))</f>
        <v>1532.1141882642942</v>
      </c>
      <c r="P59" s="137" t="n">
        <f t="shared" si="14"/>
        <v>0</v>
      </c>
      <c r="Q59" s="123" t="n">
        <f t="shared" si="3"/>
        <v>59</v>
      </c>
      <c r="R59" s="137" t="n">
        <f>IF(AND(COUNTIF(Games!$B$2:$B$101, Elo!$A59)=0,COUNTIF(Games!$C$2:$C$101, Elo!$A59)=0), O59, IF(COUNTIF(Games!$B$2:$B$101, Elo!$A59)&gt;0, VLOOKUP(Elo!$A59, Games!$B$2:$AN$101, MATCH("New Home Elo", Games!$B$1:$AN$1, 0), FALSE), IF(COUNTIF(Games!$C$2:$C$101, Elo!$A59)&gt;0, VLOOKUP(Elo!$A59, Games!$C$2:$AO$101, MATCH("New Away Elo", Games!$C$1:$AO$1, 0), FALSE), O59)))</f>
        <v>1532.1141882642942</v>
      </c>
      <c r="S59" s="137" t="n">
        <f t="shared" si="15"/>
        <v>0</v>
      </c>
      <c r="T59" s="123" t="n">
        <f t="shared" si="4"/>
        <v>59</v>
      </c>
      <c r="U59" s="137" t="n">
        <f>IF(AND(COUNTIF(Games!$B$2:$B$101, Elo!$A59)=0,COUNTIF(Games!$C$2:$C$101, Elo!$A59)=0), R59, IF(COUNTIF(Games!$B$2:$B$101, Elo!$A59)&gt;0, VLOOKUP(Elo!$A59, Games!$B$2:$AN$101, MATCH("New Home Elo", Games!$B$1:$AN$1, 0), FALSE), IF(COUNTIF(Games!$C$2:$C$101, Elo!$A59)&gt;0, VLOOKUP(Elo!$A59, Games!$C$2:$AO$101, MATCH("New Away Elo", Games!$C$1:$AO$1, 0), FALSE), R59)))</f>
        <v>1532.1141882642942</v>
      </c>
      <c r="V59" s="137" t="n">
        <f t="shared" si="16"/>
        <v>0</v>
      </c>
      <c r="W59" s="123" t="n">
        <f t="shared" si="5"/>
        <v>59</v>
      </c>
    </row>
    <row r="60">
      <c r="A60" s="1" t="s">
        <v>176</v>
      </c>
      <c r="B60" s="1" t="s">
        <v>117</v>
      </c>
      <c r="C60" s="137" t="n">
        <f>VLOOKUP(A60, $A$2:$BQ$1048576, MATCH(_xlfn.CONCAT("Week ",Games!$A$7), Elo!$A$1:$BQ$1, 0), FALSE)</f>
        <v>1520.9785482769501</v>
      </c>
      <c r="D60" s="137" t="n">
        <f t="shared" si="17"/>
        <v>59</v>
      </c>
      <c r="E60" s="137" t="n">
        <v>1520.9785482769501</v>
      </c>
      <c r="F60" s="123" t="n">
        <v>59</v>
      </c>
      <c r="G60" s="137" t="n">
        <v>1520.9785482769501</v>
      </c>
      <c r="H60" s="123" t="n">
        <v>59</v>
      </c>
      <c r="I60" s="137" t="n">
        <v>1520.9785482769501</v>
      </c>
      <c r="J60" s="137" t="n">
        <f t="shared" si="6"/>
        <v>0</v>
      </c>
      <c r="K60" s="123" t="n">
        <f t="shared" si="18"/>
        <v>59</v>
      </c>
      <c r="L60" s="137" t="n">
        <f>IF(AND(COUNTIF(Games!$B$2:$B$101, Elo!$A60)=0,COUNTIF(Games!$C$2:$C$101, Elo!$A60)=0), I60, IF(COUNTIF(Games!$B$2:$B$101, Elo!$A60)&gt;0, VLOOKUP(Elo!$A60, Games!$B$2:$AN$101, MATCH("New Home Elo", Games!$B$1:$AN$1, 0), FALSE), IF(COUNTIF(Games!$C$2:$C$101, Elo!$A60)&gt;0, VLOOKUP(Elo!$A60, Games!$C$2:$AO$101, MATCH("New Away Elo", Games!$C$1:$AO$1, 0), FALSE), I60)))</f>
        <v>1528.9831547196502</v>
      </c>
      <c r="M60" s="137" t="n">
        <f t="shared" si="7"/>
        <v>8.0046064427001511</v>
      </c>
      <c r="N60" s="123" t="n">
        <f t="shared" si="19"/>
        <v>60</v>
      </c>
      <c r="O60" s="137" t="n">
        <f>IF(AND(COUNTIF(Games!$B$2:$B$101, Elo!$A60)=0,COUNTIF(Games!$C$2:$C$101, Elo!$A60)=0), L60, IF(COUNTIF(Games!$B$2:$B$101, Elo!$A60)&gt;0, VLOOKUP(Elo!$A60, Games!$B$2:$AN$101, MATCH("New Home Elo", Games!$B$1:$AN$1, 0), FALSE), IF(COUNTIF(Games!$C$2:$C$101, Elo!$A60)&gt;0, VLOOKUP(Elo!$A60, Games!$C$2:$AO$101, MATCH("New Away Elo", Games!$C$1:$AO$1, 0), FALSE), L60)))</f>
        <v>1528.9831547196502</v>
      </c>
      <c r="P60" s="137" t="n">
        <f t="shared" si="14"/>
        <v>0</v>
      </c>
      <c r="Q60" s="123" t="n">
        <f t="shared" si="3"/>
        <v>60</v>
      </c>
      <c r="R60" s="137" t="n">
        <f>IF(AND(COUNTIF(Games!$B$2:$B$101, Elo!$A60)=0,COUNTIF(Games!$C$2:$C$101, Elo!$A60)=0), O60, IF(COUNTIF(Games!$B$2:$B$101, Elo!$A60)&gt;0, VLOOKUP(Elo!$A60, Games!$B$2:$AN$101, MATCH("New Home Elo", Games!$B$1:$AN$1, 0), FALSE), IF(COUNTIF(Games!$C$2:$C$101, Elo!$A60)&gt;0, VLOOKUP(Elo!$A60, Games!$C$2:$AO$101, MATCH("New Away Elo", Games!$C$1:$AO$1, 0), FALSE), O60)))</f>
        <v>1528.9831547196502</v>
      </c>
      <c r="S60" s="137" t="n">
        <f t="shared" si="15"/>
        <v>0</v>
      </c>
      <c r="T60" s="123" t="n">
        <f t="shared" si="4"/>
        <v>60</v>
      </c>
      <c r="U60" s="137" t="n">
        <f>IF(AND(COUNTIF(Games!$B$2:$B$101, Elo!$A60)=0,COUNTIF(Games!$C$2:$C$101, Elo!$A60)=0), R60, IF(COUNTIF(Games!$B$2:$B$101, Elo!$A60)&gt;0, VLOOKUP(Elo!$A60, Games!$B$2:$AN$101, MATCH("New Home Elo", Games!$B$1:$AN$1, 0), FALSE), IF(COUNTIF(Games!$C$2:$C$101, Elo!$A60)&gt;0, VLOOKUP(Elo!$A60, Games!$C$2:$AO$101, MATCH("New Away Elo", Games!$C$1:$AO$1, 0), FALSE), R60)))</f>
        <v>1528.9831547196502</v>
      </c>
      <c r="V60" s="137" t="n">
        <f t="shared" si="16"/>
        <v>0</v>
      </c>
      <c r="W60" s="123" t="n">
        <f t="shared" si="5"/>
        <v>60</v>
      </c>
    </row>
    <row r="61">
      <c r="A61" s="1" t="s">
        <v>177</v>
      </c>
      <c r="B61" s="1" t="s">
        <v>111</v>
      </c>
      <c r="C61" s="137" t="n">
        <f>VLOOKUP(A61, $A$2:$BQ$1048576, MATCH(_xlfn.CONCAT("Week ",Games!$A$7), Elo!$A$1:$BQ$1, 0), FALSE)</f>
        <v>1520.7578063209401</v>
      </c>
      <c r="D61" s="137" t="n">
        <f t="shared" si="17"/>
        <v>60</v>
      </c>
      <c r="E61" s="137" t="n">
        <v>1520.7578063209401</v>
      </c>
      <c r="F61" s="123" t="n">
        <v>60</v>
      </c>
      <c r="G61" s="137" t="n">
        <v>1520.7578063209401</v>
      </c>
      <c r="H61" s="123" t="n">
        <v>60</v>
      </c>
      <c r="I61" s="137" t="n">
        <v>1520.7578063209401</v>
      </c>
      <c r="J61" s="137" t="n">
        <f t="shared" si="6"/>
        <v>0</v>
      </c>
      <c r="K61" s="123" t="n">
        <f t="shared" si="18"/>
        <v>60</v>
      </c>
      <c r="L61" s="137" t="n">
        <f>IF(AND(COUNTIF(Games!$B$2:$B$101, Elo!$A61)=0,COUNTIF(Games!$C$2:$C$101, Elo!$A61)=0), I61, IF(COUNTIF(Games!$B$2:$B$101, Elo!$A61)&gt;0, VLOOKUP(Elo!$A61, Games!$B$2:$AN$101, MATCH("New Home Elo", Games!$B$1:$AN$1, 0), FALSE), IF(COUNTIF(Games!$C$2:$C$101, Elo!$A61)&gt;0, VLOOKUP(Elo!$A61, Games!$C$2:$AO$101, MATCH("New Away Elo", Games!$C$1:$AO$1, 0), FALSE), I61)))</f>
        <v>1527.4731330735785</v>
      </c>
      <c r="M61" s="137" t="n">
        <f t="shared" si="7"/>
        <v>6.7153267526384752</v>
      </c>
      <c r="N61" s="123" t="n">
        <f t="shared" si="19"/>
        <v>61</v>
      </c>
      <c r="O61" s="137" t="n">
        <f>IF(AND(COUNTIF(Games!$B$2:$B$101, Elo!$A61)=0,COUNTIF(Games!$C$2:$C$101, Elo!$A61)=0), L61, IF(COUNTIF(Games!$B$2:$B$101, Elo!$A61)&gt;0, VLOOKUP(Elo!$A61, Games!$B$2:$AN$101, MATCH("New Home Elo", Games!$B$1:$AN$1, 0), FALSE), IF(COUNTIF(Games!$C$2:$C$101, Elo!$A61)&gt;0, VLOOKUP(Elo!$A61, Games!$C$2:$AO$101, MATCH("New Away Elo", Games!$C$1:$AO$1, 0), FALSE), L61)))</f>
        <v>1527.4731330735785</v>
      </c>
      <c r="P61" s="137" t="n">
        <f t="shared" si="14"/>
        <v>0</v>
      </c>
      <c r="Q61" s="123" t="n">
        <f t="shared" si="3"/>
        <v>61</v>
      </c>
      <c r="R61" s="137" t="n">
        <f>IF(AND(COUNTIF(Games!$B$2:$B$101, Elo!$A61)=0,COUNTIF(Games!$C$2:$C$101, Elo!$A61)=0), O61, IF(COUNTIF(Games!$B$2:$B$101, Elo!$A61)&gt;0, VLOOKUP(Elo!$A61, Games!$B$2:$AN$101, MATCH("New Home Elo", Games!$B$1:$AN$1, 0), FALSE), IF(COUNTIF(Games!$C$2:$C$101, Elo!$A61)&gt;0, VLOOKUP(Elo!$A61, Games!$C$2:$AO$101, MATCH("New Away Elo", Games!$C$1:$AO$1, 0), FALSE), O61)))</f>
        <v>1527.4731330735785</v>
      </c>
      <c r="S61" s="137" t="n">
        <f t="shared" si="15"/>
        <v>0</v>
      </c>
      <c r="T61" s="123" t="n">
        <f t="shared" si="4"/>
        <v>61</v>
      </c>
      <c r="U61" s="137" t="n">
        <f>IF(AND(COUNTIF(Games!$B$2:$B$101, Elo!$A61)=0,COUNTIF(Games!$C$2:$C$101, Elo!$A61)=0), R61, IF(COUNTIF(Games!$B$2:$B$101, Elo!$A61)&gt;0, VLOOKUP(Elo!$A61, Games!$B$2:$AN$101, MATCH("New Home Elo", Games!$B$1:$AN$1, 0), FALSE), IF(COUNTIF(Games!$C$2:$C$101, Elo!$A61)&gt;0, VLOOKUP(Elo!$A61, Games!$C$2:$AO$101, MATCH("New Away Elo", Games!$C$1:$AO$1, 0), FALSE), R61)))</f>
        <v>1527.4731330735785</v>
      </c>
      <c r="V61" s="137" t="n">
        <f t="shared" si="16"/>
        <v>0</v>
      </c>
      <c r="W61" s="123" t="n">
        <f t="shared" si="5"/>
        <v>61</v>
      </c>
    </row>
    <row r="62">
      <c r="A62" s="1" t="s">
        <v>178</v>
      </c>
      <c r="B62" s="1" t="s">
        <v>111</v>
      </c>
      <c r="C62" s="137" t="n">
        <f>VLOOKUP(A62, $A$2:$BQ$1048576, MATCH(_xlfn.CONCAT("Week ",Games!$A$7), Elo!$A$1:$BQ$1, 0), FALSE)</f>
        <v>1517.64489422632</v>
      </c>
      <c r="D62" s="137" t="n">
        <f t="shared" si="17"/>
        <v>61</v>
      </c>
      <c r="E62" s="137" t="n">
        <v>1517.64489422632</v>
      </c>
      <c r="F62" s="123" t="n">
        <v>61</v>
      </c>
      <c r="G62" s="137" t="n">
        <v>1517.64489422632</v>
      </c>
      <c r="H62" s="123" t="n">
        <v>61</v>
      </c>
      <c r="I62" s="137" t="n">
        <v>1517.64489422632</v>
      </c>
      <c r="J62" s="137" t="n">
        <f t="shared" si="6"/>
        <v>0</v>
      </c>
      <c r="K62" s="123" t="n">
        <f t="shared" si="18"/>
        <v>61</v>
      </c>
      <c r="L62" s="137" t="n">
        <f>IF(AND(COUNTIF(Games!$B$2:$B$101, Elo!$A62)=0,COUNTIF(Games!$C$2:$C$101, Elo!$A62)=0), I62, IF(COUNTIF(Games!$B$2:$B$101, Elo!$A62)&gt;0, VLOOKUP(Elo!$A62, Games!$B$2:$AN$101, MATCH("New Home Elo", Games!$B$1:$AN$1, 0), FALSE), IF(COUNTIF(Games!$C$2:$C$101, Elo!$A62)&gt;0, VLOOKUP(Elo!$A62, Games!$C$2:$AO$101, MATCH("New Away Elo", Games!$C$1:$AO$1, 0), FALSE), I62)))</f>
        <v>1523.5595291868874</v>
      </c>
      <c r="M62" s="137" t="n">
        <f t="shared" si="7"/>
        <v>5.9146349605673549</v>
      </c>
      <c r="N62" s="123" t="n">
        <f t="shared" si="19"/>
        <v>62</v>
      </c>
      <c r="O62" s="137" t="n">
        <f>IF(AND(COUNTIF(Games!$B$2:$B$101, Elo!$A62)=0,COUNTIF(Games!$C$2:$C$101, Elo!$A62)=0), L62, IF(COUNTIF(Games!$B$2:$B$101, Elo!$A62)&gt;0, VLOOKUP(Elo!$A62, Games!$B$2:$AN$101, MATCH("New Home Elo", Games!$B$1:$AN$1, 0), FALSE), IF(COUNTIF(Games!$C$2:$C$101, Elo!$A62)&gt;0, VLOOKUP(Elo!$A62, Games!$C$2:$AO$101, MATCH("New Away Elo", Games!$C$1:$AO$1, 0), FALSE), L62)))</f>
        <v>1523.5595291868874</v>
      </c>
      <c r="P62" s="137" t="n">
        <f t="shared" si="14"/>
        <v>0</v>
      </c>
      <c r="Q62" s="123" t="n">
        <f t="shared" si="3"/>
        <v>62</v>
      </c>
      <c r="R62" s="137" t="n">
        <f>IF(AND(COUNTIF(Games!$B$2:$B$101, Elo!$A62)=0,COUNTIF(Games!$C$2:$C$101, Elo!$A62)=0), O62, IF(COUNTIF(Games!$B$2:$B$101, Elo!$A62)&gt;0, VLOOKUP(Elo!$A62, Games!$B$2:$AN$101, MATCH("New Home Elo", Games!$B$1:$AN$1, 0), FALSE), IF(COUNTIF(Games!$C$2:$C$101, Elo!$A62)&gt;0, VLOOKUP(Elo!$A62, Games!$C$2:$AO$101, MATCH("New Away Elo", Games!$C$1:$AO$1, 0), FALSE), O62)))</f>
        <v>1523.5595291868874</v>
      </c>
      <c r="S62" s="137" t="n">
        <f t="shared" si="15"/>
        <v>0</v>
      </c>
      <c r="T62" s="123" t="n">
        <f t="shared" si="4"/>
        <v>62</v>
      </c>
      <c r="U62" s="137" t="n">
        <f>IF(AND(COUNTIF(Games!$B$2:$B$101, Elo!$A62)=0,COUNTIF(Games!$C$2:$C$101, Elo!$A62)=0), R62, IF(COUNTIF(Games!$B$2:$B$101, Elo!$A62)&gt;0, VLOOKUP(Elo!$A62, Games!$B$2:$AN$101, MATCH("New Home Elo", Games!$B$1:$AN$1, 0), FALSE), IF(COUNTIF(Games!$C$2:$C$101, Elo!$A62)&gt;0, VLOOKUP(Elo!$A62, Games!$C$2:$AO$101, MATCH("New Away Elo", Games!$C$1:$AO$1, 0), FALSE), R62)))</f>
        <v>1523.5595291868874</v>
      </c>
      <c r="V62" s="137" t="n">
        <f t="shared" si="16"/>
        <v>0</v>
      </c>
      <c r="W62" s="123" t="n">
        <f t="shared" si="5"/>
        <v>62</v>
      </c>
    </row>
    <row r="63">
      <c r="A63" s="1" t="s">
        <v>179</v>
      </c>
      <c r="B63" s="1" t="s">
        <v>149</v>
      </c>
      <c r="C63" s="137" t="n">
        <f>VLOOKUP(A63, $A$2:$BQ$1048576, MATCH(_xlfn.CONCAT("Week ",Games!$A$7), Elo!$A$1:$BQ$1, 0), FALSE)</f>
        <v>1510.3767419297701</v>
      </c>
      <c r="D63" s="137" t="n">
        <f t="shared" si="17"/>
        <v>62</v>
      </c>
      <c r="E63" s="137" t="n">
        <v>1510.3767419297701</v>
      </c>
      <c r="F63" s="123" t="n">
        <v>62</v>
      </c>
      <c r="G63" s="137" t="n">
        <v>1510.3767419297701</v>
      </c>
      <c r="H63" s="123" t="n">
        <v>62</v>
      </c>
      <c r="I63" s="137" t="n">
        <v>1510.3767419297701</v>
      </c>
      <c r="J63" s="137" t="n">
        <f t="shared" si="6"/>
        <v>0</v>
      </c>
      <c r="K63" s="123" t="n">
        <f t="shared" si="18"/>
        <v>62</v>
      </c>
      <c r="L63" s="137" t="n">
        <f>IF(AND(COUNTIF(Games!$B$2:$B$101, Elo!$A63)=0,COUNTIF(Games!$C$2:$C$101, Elo!$A63)=0), I63, IF(COUNTIF(Games!$B$2:$B$101, Elo!$A63)&gt;0, VLOOKUP(Elo!$A63, Games!$B$2:$AN$101, MATCH("New Home Elo", Games!$B$1:$AN$1, 0), FALSE), IF(COUNTIF(Games!$C$2:$C$101, Elo!$A63)&gt;0, VLOOKUP(Elo!$A63, Games!$C$2:$AO$101, MATCH("New Away Elo", Games!$C$1:$AO$1, 0), FALSE), I63)))</f>
        <v>1672.5195312041308</v>
      </c>
      <c r="M63" s="137" t="n">
        <f t="shared" si="7"/>
        <v>162.14278927436067</v>
      </c>
      <c r="N63" s="123" t="n">
        <f t="shared" si="19"/>
        <v>30</v>
      </c>
      <c r="O63" s="137" t="n">
        <f>IF(AND(COUNTIF(Games!$B$2:$B$101, Elo!$A63)=0,COUNTIF(Games!$C$2:$C$101, Elo!$A63)=0), L63, IF(COUNTIF(Games!$B$2:$B$101, Elo!$A63)&gt;0, VLOOKUP(Elo!$A63, Games!$B$2:$AN$101, MATCH("New Home Elo", Games!$B$1:$AN$1, 0), FALSE), IF(COUNTIF(Games!$C$2:$C$101, Elo!$A63)&gt;0, VLOOKUP(Elo!$A63, Games!$C$2:$AO$101, MATCH("New Away Elo", Games!$C$1:$AO$1, 0), FALSE), L63)))</f>
        <v>1672.5195312041308</v>
      </c>
      <c r="P63" s="137" t="n">
        <f t="shared" si="14"/>
        <v>0</v>
      </c>
      <c r="Q63" s="123" t="n">
        <f t="shared" si="3"/>
        <v>30</v>
      </c>
      <c r="R63" s="137" t="n">
        <f>IF(AND(COUNTIF(Games!$B$2:$B$101, Elo!$A63)=0,COUNTIF(Games!$C$2:$C$101, Elo!$A63)=0), O63, IF(COUNTIF(Games!$B$2:$B$101, Elo!$A63)&gt;0, VLOOKUP(Elo!$A63, Games!$B$2:$AN$101, MATCH("New Home Elo", Games!$B$1:$AN$1, 0), FALSE), IF(COUNTIF(Games!$C$2:$C$101, Elo!$A63)&gt;0, VLOOKUP(Elo!$A63, Games!$C$2:$AO$101, MATCH("New Away Elo", Games!$C$1:$AO$1, 0), FALSE), O63)))</f>
        <v>1672.5195312041308</v>
      </c>
      <c r="S63" s="137" t="n">
        <f t="shared" si="15"/>
        <v>0</v>
      </c>
      <c r="T63" s="123" t="n">
        <f t="shared" si="4"/>
        <v>30</v>
      </c>
      <c r="U63" s="137" t="n">
        <f>IF(AND(COUNTIF(Games!$B$2:$B$101, Elo!$A63)=0,COUNTIF(Games!$C$2:$C$101, Elo!$A63)=0), R63, IF(COUNTIF(Games!$B$2:$B$101, Elo!$A63)&gt;0, VLOOKUP(Elo!$A63, Games!$B$2:$AN$101, MATCH("New Home Elo", Games!$B$1:$AN$1, 0), FALSE), IF(COUNTIF(Games!$C$2:$C$101, Elo!$A63)&gt;0, VLOOKUP(Elo!$A63, Games!$C$2:$AO$101, MATCH("New Away Elo", Games!$C$1:$AO$1, 0), FALSE), R63)))</f>
        <v>1672.5195312041308</v>
      </c>
      <c r="V63" s="137" t="n">
        <f t="shared" si="16"/>
        <v>0</v>
      </c>
      <c r="W63" s="123" t="n">
        <f t="shared" si="5"/>
        <v>30</v>
      </c>
    </row>
    <row r="64">
      <c r="A64" s="1" t="s">
        <v>180</v>
      </c>
      <c r="B64" s="1" t="s">
        <v>111</v>
      </c>
      <c r="C64" s="137" t="n">
        <f>VLOOKUP(A64, $A$2:$BQ$1048576, MATCH(_xlfn.CONCAT("Week ",Games!$A$7), Elo!$A$1:$BQ$1, 0), FALSE)</f>
        <v>1509.9526714001299</v>
      </c>
      <c r="D64" s="137" t="n">
        <f t="shared" si="17"/>
        <v>63</v>
      </c>
      <c r="E64" s="137" t="n">
        <v>1509.9526714001299</v>
      </c>
      <c r="F64" s="123" t="n">
        <v>63</v>
      </c>
      <c r="G64" s="137" t="n">
        <v>1509.9526714001299</v>
      </c>
      <c r="H64" s="123" t="n">
        <v>63</v>
      </c>
      <c r="I64" s="137" t="n">
        <v>1509.9526714001299</v>
      </c>
      <c r="J64" s="137" t="n">
        <f t="shared" si="6"/>
        <v>0</v>
      </c>
      <c r="K64" s="123" t="n">
        <f t="shared" si="18"/>
        <v>63</v>
      </c>
      <c r="L64" s="137" t="n">
        <f>IF(AND(COUNTIF(Games!$B$2:$B$101, Elo!$A64)=0,COUNTIF(Games!$C$2:$C$101, Elo!$A64)=0), I64, IF(COUNTIF(Games!$B$2:$B$101, Elo!$A64)&gt;0, VLOOKUP(Elo!$A64, Games!$B$2:$AN$101, MATCH("New Home Elo", Games!$B$1:$AN$1, 0), FALSE), IF(COUNTIF(Games!$C$2:$C$101, Elo!$A64)&gt;0, VLOOKUP(Elo!$A64, Games!$C$2:$AO$101, MATCH("New Away Elo", Games!$C$1:$AO$1, 0), FALSE), I64)))</f>
        <v>1517.6150291632107</v>
      </c>
      <c r="M64" s="137" t="n">
        <f t="shared" si="7"/>
        <v>7.6623577630807631</v>
      </c>
      <c r="N64" s="123" t="n">
        <f t="shared" si="19"/>
        <v>65</v>
      </c>
      <c r="O64" s="137" t="n">
        <f>IF(AND(COUNTIF(Games!$B$2:$B$101, Elo!$A64)=0,COUNTIF(Games!$C$2:$C$101, Elo!$A64)=0), L64, IF(COUNTIF(Games!$B$2:$B$101, Elo!$A64)&gt;0, VLOOKUP(Elo!$A64, Games!$B$2:$AN$101, MATCH("New Home Elo", Games!$B$1:$AN$1, 0), FALSE), IF(COUNTIF(Games!$C$2:$C$101, Elo!$A64)&gt;0, VLOOKUP(Elo!$A64, Games!$C$2:$AO$101, MATCH("New Away Elo", Games!$C$1:$AO$1, 0), FALSE), L64)))</f>
        <v>1517.6150291632107</v>
      </c>
      <c r="P64" s="137" t="n">
        <f t="shared" si="14"/>
        <v>0</v>
      </c>
      <c r="Q64" s="123" t="n">
        <f t="shared" si="3"/>
        <v>65</v>
      </c>
      <c r="R64" s="137" t="n">
        <f>IF(AND(COUNTIF(Games!$B$2:$B$101, Elo!$A64)=0,COUNTIF(Games!$C$2:$C$101, Elo!$A64)=0), O64, IF(COUNTIF(Games!$B$2:$B$101, Elo!$A64)&gt;0, VLOOKUP(Elo!$A64, Games!$B$2:$AN$101, MATCH("New Home Elo", Games!$B$1:$AN$1, 0), FALSE), IF(COUNTIF(Games!$C$2:$C$101, Elo!$A64)&gt;0, VLOOKUP(Elo!$A64, Games!$C$2:$AO$101, MATCH("New Away Elo", Games!$C$1:$AO$1, 0), FALSE), O64)))</f>
        <v>1517.6150291632107</v>
      </c>
      <c r="S64" s="137" t="n">
        <f t="shared" si="15"/>
        <v>0</v>
      </c>
      <c r="T64" s="123" t="n">
        <f t="shared" si="4"/>
        <v>65</v>
      </c>
      <c r="U64" s="137" t="n">
        <f>IF(AND(COUNTIF(Games!$B$2:$B$101, Elo!$A64)=0,COUNTIF(Games!$C$2:$C$101, Elo!$A64)=0), R64, IF(COUNTIF(Games!$B$2:$B$101, Elo!$A64)&gt;0, VLOOKUP(Elo!$A64, Games!$B$2:$AN$101, MATCH("New Home Elo", Games!$B$1:$AN$1, 0), FALSE), IF(COUNTIF(Games!$C$2:$C$101, Elo!$A64)&gt;0, VLOOKUP(Elo!$A64, Games!$C$2:$AO$101, MATCH("New Away Elo", Games!$C$1:$AO$1, 0), FALSE), R64)))</f>
        <v>1517.6150291632107</v>
      </c>
      <c r="V64" s="137" t="n">
        <f t="shared" si="16"/>
        <v>0</v>
      </c>
      <c r="W64" s="123" t="n">
        <f t="shared" si="5"/>
        <v>65</v>
      </c>
    </row>
    <row r="65">
      <c r="A65" s="1" t="s">
        <v>181</v>
      </c>
      <c r="B65" s="1" t="s">
        <v>170</v>
      </c>
      <c r="C65" s="137" t="n">
        <f>VLOOKUP(A65, $A$2:$BQ$1048576, MATCH(_xlfn.CONCAT("Week ",Games!$A$7), Elo!$A$1:$BQ$1, 0), FALSE)</f>
        <v>1500.8354405469399</v>
      </c>
      <c r="D65" s="137" t="n">
        <f t="shared" si="17"/>
        <v>64</v>
      </c>
      <c r="E65" s="137" t="n">
        <v>1500.8354405469399</v>
      </c>
      <c r="F65" s="123" t="n">
        <v>64</v>
      </c>
      <c r="G65" s="137" t="n">
        <v>1500.8354405469399</v>
      </c>
      <c r="H65" s="123" t="n">
        <v>64</v>
      </c>
      <c r="I65" s="137" t="n">
        <v>1500.8354405469399</v>
      </c>
      <c r="J65" s="137" t="n">
        <f t="shared" si="6"/>
        <v>0</v>
      </c>
      <c r="K65" s="123" t="n">
        <f t="shared" si="18"/>
        <v>64</v>
      </c>
      <c r="L65" s="137" t="n">
        <f>IF(AND(COUNTIF(Games!$B$2:$B$101, Elo!$A65)=0,COUNTIF(Games!$C$2:$C$101, Elo!$A65)=0), I65, IF(COUNTIF(Games!$B$2:$B$101, Elo!$A65)&gt;0, VLOOKUP(Elo!$A65, Games!$B$2:$AN$101, MATCH("New Home Elo", Games!$B$1:$AN$1, 0), FALSE), IF(COUNTIF(Games!$C$2:$C$101, Elo!$A65)&gt;0, VLOOKUP(Elo!$A65, Games!$C$2:$AO$101, MATCH("New Away Elo", Games!$C$1:$AO$1, 0), FALSE), I65)))</f>
        <v>1409.4756337777887</v>
      </c>
      <c r="M65" s="137" t="n">
        <f t="shared" si="7"/>
        <v>-91.359806769151191</v>
      </c>
      <c r="N65" s="123" t="n">
        <f t="shared" si="19"/>
        <v>92</v>
      </c>
      <c r="O65" s="137" t="n">
        <f>IF(AND(COUNTIF(Games!$B$2:$B$101, Elo!$A65)=0,COUNTIF(Games!$C$2:$C$101, Elo!$A65)=0), L65, IF(COUNTIF(Games!$B$2:$B$101, Elo!$A65)&gt;0, VLOOKUP(Elo!$A65, Games!$B$2:$AN$101, MATCH("New Home Elo", Games!$B$1:$AN$1, 0), FALSE), IF(COUNTIF(Games!$C$2:$C$101, Elo!$A65)&gt;0, VLOOKUP(Elo!$A65, Games!$C$2:$AO$101, MATCH("New Away Elo", Games!$C$1:$AO$1, 0), FALSE), L65)))</f>
        <v>1409.4756337777887</v>
      </c>
      <c r="P65" s="137" t="n">
        <f t="shared" si="14"/>
        <v>0</v>
      </c>
      <c r="Q65" s="123" t="n">
        <f t="shared" si="3"/>
        <v>92</v>
      </c>
      <c r="R65" s="137" t="n">
        <f>IF(AND(COUNTIF(Games!$B$2:$B$101, Elo!$A65)=0,COUNTIF(Games!$C$2:$C$101, Elo!$A65)=0), O65, IF(COUNTIF(Games!$B$2:$B$101, Elo!$A65)&gt;0, VLOOKUP(Elo!$A65, Games!$B$2:$AN$101, MATCH("New Home Elo", Games!$B$1:$AN$1, 0), FALSE), IF(COUNTIF(Games!$C$2:$C$101, Elo!$A65)&gt;0, VLOOKUP(Elo!$A65, Games!$C$2:$AO$101, MATCH("New Away Elo", Games!$C$1:$AO$1, 0), FALSE), O65)))</f>
        <v>1409.4756337777887</v>
      </c>
      <c r="S65" s="137" t="n">
        <f t="shared" si="15"/>
        <v>0</v>
      </c>
      <c r="T65" s="123" t="n">
        <f t="shared" si="4"/>
        <v>92</v>
      </c>
      <c r="U65" s="137" t="n">
        <f>IF(AND(COUNTIF(Games!$B$2:$B$101, Elo!$A65)=0,COUNTIF(Games!$C$2:$C$101, Elo!$A65)=0), R65, IF(COUNTIF(Games!$B$2:$B$101, Elo!$A65)&gt;0, VLOOKUP(Elo!$A65, Games!$B$2:$AN$101, MATCH("New Home Elo", Games!$B$1:$AN$1, 0), FALSE), IF(COUNTIF(Games!$C$2:$C$101, Elo!$A65)&gt;0, VLOOKUP(Elo!$A65, Games!$C$2:$AO$101, MATCH("New Away Elo", Games!$C$1:$AO$1, 0), FALSE), R65)))</f>
        <v>1409.4756337777887</v>
      </c>
      <c r="V65" s="137" t="n">
        <f t="shared" si="16"/>
        <v>0</v>
      </c>
      <c r="W65" s="123" t="n">
        <f t="shared" si="5"/>
        <v>92</v>
      </c>
    </row>
    <row r="66">
      <c r="A66" s="1" t="s">
        <v>182</v>
      </c>
      <c r="B66" s="1" t="s">
        <v>109</v>
      </c>
      <c r="C66" s="137" t="n">
        <f>VLOOKUP(A66, $A$2:$BQ$1048576, MATCH(_xlfn.CONCAT("Week ",Games!$A$7), Elo!$A$1:$BQ$1, 0), FALSE)</f>
        <v>1493.4569831670101</v>
      </c>
      <c r="D66" s="137" t="n">
        <f t="shared" ref="D66:D97" si="20">F66</f>
        <v>65</v>
      </c>
      <c r="E66" s="137" t="n">
        <v>1493.4569831670101</v>
      </c>
      <c r="F66" s="123" t="n">
        <v>65</v>
      </c>
      <c r="G66" s="137" t="n">
        <v>1493.4569831670101</v>
      </c>
      <c r="H66" s="123" t="n">
        <v>65</v>
      </c>
      <c r="I66" s="137" t="n">
        <v>1493.4569831670101</v>
      </c>
      <c r="J66" s="137" t="n">
        <f t="shared" si="6"/>
        <v>0</v>
      </c>
      <c r="K66" s="123" t="n">
        <f t="shared" ref="K66:K97" si="21">_xlfn.RANK.EQ(I66, I$2:I$134, 0)</f>
        <v>65</v>
      </c>
      <c r="L66" s="137" t="n">
        <f>IF(AND(COUNTIF(Games!$B$2:$B$101, Elo!$A66)=0,COUNTIF(Games!$C$2:$C$101, Elo!$A66)=0), I66, IF(COUNTIF(Games!$B$2:$B$101, Elo!$A66)&gt;0, VLOOKUP(Elo!$A66, Games!$B$2:$AN$101, MATCH("New Home Elo", Games!$B$1:$AN$1, 0), FALSE), IF(COUNTIF(Games!$C$2:$C$101, Elo!$A66)&gt;0, VLOOKUP(Elo!$A66, Games!$C$2:$AO$101, MATCH("New Away Elo", Games!$C$1:$AO$1, 0), FALSE), I66)))</f>
        <v>1501.5247884595321</v>
      </c>
      <c r="M66" s="137" t="n">
        <f t="shared" si="7"/>
        <v>8.0678052925220527</v>
      </c>
      <c r="N66" s="123" t="n">
        <f t="shared" ref="N66:N97" si="22">_xlfn.RANK.EQ(L66, L$2:L$134, 0)</f>
        <v>67</v>
      </c>
      <c r="O66" s="137" t="n">
        <f>IF(AND(COUNTIF(Games!$B$2:$B$101, Elo!$A66)=0,COUNTIF(Games!$C$2:$C$101, Elo!$A66)=0), L66, IF(COUNTIF(Games!$B$2:$B$101, Elo!$A66)&gt;0, VLOOKUP(Elo!$A66, Games!$B$2:$AN$101, MATCH("New Home Elo", Games!$B$1:$AN$1, 0), FALSE), IF(COUNTIF(Games!$C$2:$C$101, Elo!$A66)&gt;0, VLOOKUP(Elo!$A66, Games!$C$2:$AO$101, MATCH("New Away Elo", Games!$C$1:$AO$1, 0), FALSE), L66)))</f>
        <v>1501.5247884595321</v>
      </c>
      <c r="P66" s="137" t="n">
        <f t="shared" si="14"/>
        <v>0</v>
      </c>
      <c r="Q66" s="123" t="n">
        <f t="shared" ref="Q66:Q129" si="23">_xlfn.RANK.EQ(O66, O$2:O$134, 0)</f>
        <v>67</v>
      </c>
      <c r="R66" s="137" t="n">
        <f>IF(AND(COUNTIF(Games!$B$2:$B$101, Elo!$A66)=0,COUNTIF(Games!$C$2:$C$101, Elo!$A66)=0), O66, IF(COUNTIF(Games!$B$2:$B$101, Elo!$A66)&gt;0, VLOOKUP(Elo!$A66, Games!$B$2:$AN$101, MATCH("New Home Elo", Games!$B$1:$AN$1, 0), FALSE), IF(COUNTIF(Games!$C$2:$C$101, Elo!$A66)&gt;0, VLOOKUP(Elo!$A66, Games!$C$2:$AO$101, MATCH("New Away Elo", Games!$C$1:$AO$1, 0), FALSE), O66)))</f>
        <v>1501.5247884595321</v>
      </c>
      <c r="S66" s="137" t="n">
        <f t="shared" si="15"/>
        <v>0</v>
      </c>
      <c r="T66" s="123" t="n">
        <f t="shared" ref="T66:T129" si="24">_xlfn.RANK.EQ(R66, R$2:R$134, 0)</f>
        <v>67</v>
      </c>
      <c r="U66" s="137" t="n">
        <f>IF(AND(COUNTIF(Games!$B$2:$B$101, Elo!$A66)=0,COUNTIF(Games!$C$2:$C$101, Elo!$A66)=0), R66, IF(COUNTIF(Games!$B$2:$B$101, Elo!$A66)&gt;0, VLOOKUP(Elo!$A66, Games!$B$2:$AN$101, MATCH("New Home Elo", Games!$B$1:$AN$1, 0), FALSE), IF(COUNTIF(Games!$C$2:$C$101, Elo!$A66)&gt;0, VLOOKUP(Elo!$A66, Games!$C$2:$AO$101, MATCH("New Away Elo", Games!$C$1:$AO$1, 0), FALSE), R66)))</f>
        <v>1501.5247884595321</v>
      </c>
      <c r="V66" s="137" t="n">
        <f t="shared" si="16"/>
        <v>0</v>
      </c>
      <c r="W66" s="123" t="n">
        <f t="shared" ref="W66:W129" si="25">_xlfn.RANK.EQ(U66, U$2:U$134, 0)</f>
        <v>67</v>
      </c>
    </row>
    <row r="67">
      <c r="A67" s="1" t="s">
        <v>183</v>
      </c>
      <c r="B67" s="1" t="s">
        <v>111</v>
      </c>
      <c r="C67" s="137" t="n">
        <f>VLOOKUP(A67, $A$2:$BQ$1048576, MATCH(_xlfn.CONCAT("Week ",Games!$A$7), Elo!$A$1:$BQ$1, 0), FALSE)</f>
        <v>1488.6451876605499</v>
      </c>
      <c r="D67" s="137" t="n">
        <f t="shared" si="20"/>
        <v>66</v>
      </c>
      <c r="E67" s="137" t="n">
        <v>1488.6451876605499</v>
      </c>
      <c r="F67" s="123" t="n">
        <v>66</v>
      </c>
      <c r="G67" s="137" t="n">
        <v>1488.6451876605499</v>
      </c>
      <c r="H67" s="123" t="n">
        <v>66</v>
      </c>
      <c r="I67" s="137" t="n">
        <v>1488.6451876605499</v>
      </c>
      <c r="J67" s="137" t="n">
        <f t="shared" ref="J67:J130" si="26">I67-G67</f>
        <v>0</v>
      </c>
      <c r="K67" s="123" t="n">
        <f t="shared" si="21"/>
        <v>66</v>
      </c>
      <c r="L67" s="137" t="n">
        <f>IF(AND(COUNTIF(Games!$B$2:$B$101, Elo!$A67)=0,COUNTIF(Games!$C$2:$C$101, Elo!$A67)=0), I67, IF(COUNTIF(Games!$B$2:$B$101, Elo!$A67)&gt;0, VLOOKUP(Elo!$A67, Games!$B$2:$AN$101, MATCH("New Home Elo", Games!$B$1:$AN$1, 0), FALSE), IF(COUNTIF(Games!$C$2:$C$101, Elo!$A67)&gt;0, VLOOKUP(Elo!$A67, Games!$C$2:$AO$101, MATCH("New Away Elo", Games!$C$1:$AO$1, 0), FALSE), I67)))</f>
        <v>1470.788478496097</v>
      </c>
      <c r="M67" s="137" t="n">
        <f t="shared" ref="M67:M130" si="27">L67-I67</f>
        <v>-17.856709164452923</v>
      </c>
      <c r="N67" s="123" t="n">
        <f t="shared" si="22"/>
        <v>74</v>
      </c>
      <c r="O67" s="137" t="n">
        <f>IF(AND(COUNTIF(Games!$B$2:$B$101, Elo!$A67)=0,COUNTIF(Games!$C$2:$C$101, Elo!$A67)=0), L67, IF(COUNTIF(Games!$B$2:$B$101, Elo!$A67)&gt;0, VLOOKUP(Elo!$A67, Games!$B$2:$AN$101, MATCH("New Home Elo", Games!$B$1:$AN$1, 0), FALSE), IF(COUNTIF(Games!$C$2:$C$101, Elo!$A67)&gt;0, VLOOKUP(Elo!$A67, Games!$C$2:$AO$101, MATCH("New Away Elo", Games!$C$1:$AO$1, 0), FALSE), L67)))</f>
        <v>1470.788478496097</v>
      </c>
      <c r="P67" s="137" t="n">
        <f t="shared" si="14"/>
        <v>0</v>
      </c>
      <c r="Q67" s="123" t="n">
        <f t="shared" si="23"/>
        <v>74</v>
      </c>
      <c r="R67" s="137" t="n">
        <f>IF(AND(COUNTIF(Games!$B$2:$B$101, Elo!$A67)=0,COUNTIF(Games!$C$2:$C$101, Elo!$A67)=0), O67, IF(COUNTIF(Games!$B$2:$B$101, Elo!$A67)&gt;0, VLOOKUP(Elo!$A67, Games!$B$2:$AN$101, MATCH("New Home Elo", Games!$B$1:$AN$1, 0), FALSE), IF(COUNTIF(Games!$C$2:$C$101, Elo!$A67)&gt;0, VLOOKUP(Elo!$A67, Games!$C$2:$AO$101, MATCH("New Away Elo", Games!$C$1:$AO$1, 0), FALSE), O67)))</f>
        <v>1470.788478496097</v>
      </c>
      <c r="S67" s="137" t="n">
        <f t="shared" si="15"/>
        <v>0</v>
      </c>
      <c r="T67" s="123" t="n">
        <f t="shared" si="24"/>
        <v>74</v>
      </c>
      <c r="U67" s="137" t="n">
        <f>IF(AND(COUNTIF(Games!$B$2:$B$101, Elo!$A67)=0,COUNTIF(Games!$C$2:$C$101, Elo!$A67)=0), R67, IF(COUNTIF(Games!$B$2:$B$101, Elo!$A67)&gt;0, VLOOKUP(Elo!$A67, Games!$B$2:$AN$101, MATCH("New Home Elo", Games!$B$1:$AN$1, 0), FALSE), IF(COUNTIF(Games!$C$2:$C$101, Elo!$A67)&gt;0, VLOOKUP(Elo!$A67, Games!$C$2:$AO$101, MATCH("New Away Elo", Games!$C$1:$AO$1, 0), FALSE), R67)))</f>
        <v>1470.788478496097</v>
      </c>
      <c r="V67" s="137" t="n">
        <f t="shared" si="16"/>
        <v>0</v>
      </c>
      <c r="W67" s="123" t="n">
        <f t="shared" si="25"/>
        <v>74</v>
      </c>
    </row>
    <row r="68">
      <c r="A68" s="1" t="s">
        <v>184</v>
      </c>
      <c r="B68" s="1" t="s">
        <v>149</v>
      </c>
      <c r="C68" s="137" t="n">
        <f>VLOOKUP(A68, $A$2:$BQ$1048576, MATCH(_xlfn.CONCAT("Week ",Games!$A$7), Elo!$A$1:$BQ$1, 0), FALSE)</f>
        <v>1481.5922066164901</v>
      </c>
      <c r="D68" s="137" t="n">
        <f t="shared" si="20"/>
        <v>67</v>
      </c>
      <c r="E68" s="137" t="n">
        <v>1481.5922066164901</v>
      </c>
      <c r="F68" s="123" t="n">
        <v>67</v>
      </c>
      <c r="G68" s="137" t="n">
        <v>1481.5922066164901</v>
      </c>
      <c r="H68" s="123" t="n">
        <v>67</v>
      </c>
      <c r="I68" s="137" t="n">
        <v>1481.5922066164901</v>
      </c>
      <c r="J68" s="137" t="n">
        <f t="shared" si="26"/>
        <v>0</v>
      </c>
      <c r="K68" s="123" t="n">
        <f t="shared" si="21"/>
        <v>67</v>
      </c>
      <c r="L68" s="137" t="n">
        <f>IF(AND(COUNTIF(Games!$B$2:$B$101, Elo!$A68)=0,COUNTIF(Games!$C$2:$C$101, Elo!$A68)=0), I68, IF(COUNTIF(Games!$B$2:$B$101, Elo!$A68)&gt;0, VLOOKUP(Elo!$A68, Games!$B$2:$AN$101, MATCH("New Home Elo", Games!$B$1:$AN$1, 0), FALSE), IF(COUNTIF(Games!$C$2:$C$101, Elo!$A68)&gt;0, VLOOKUP(Elo!$A68, Games!$C$2:$AO$101, MATCH("New Away Elo", Games!$C$1:$AO$1, 0), FALSE), I68)))</f>
        <v>1487.4340164722416</v>
      </c>
      <c r="M68" s="137" t="n">
        <f t="shared" si="27"/>
        <v>5.841809855751535</v>
      </c>
      <c r="N68" s="123" t="n">
        <f t="shared" si="22"/>
        <v>69</v>
      </c>
      <c r="O68" s="137" t="n">
        <f>IF(AND(COUNTIF(Games!$B$2:$B$101, Elo!$A68)=0,COUNTIF(Games!$C$2:$C$101, Elo!$A68)=0), L68, IF(COUNTIF(Games!$B$2:$B$101, Elo!$A68)&gt;0, VLOOKUP(Elo!$A68, Games!$B$2:$AN$101, MATCH("New Home Elo", Games!$B$1:$AN$1, 0), FALSE), IF(COUNTIF(Games!$C$2:$C$101, Elo!$A68)&gt;0, VLOOKUP(Elo!$A68, Games!$C$2:$AO$101, MATCH("New Away Elo", Games!$C$1:$AO$1, 0), FALSE), L68)))</f>
        <v>1487.4340164722416</v>
      </c>
      <c r="P68" s="137" t="n">
        <f t="shared" si="14"/>
        <v>0</v>
      </c>
      <c r="Q68" s="123" t="n">
        <f t="shared" si="23"/>
        <v>69</v>
      </c>
      <c r="R68" s="137" t="n">
        <f>IF(AND(COUNTIF(Games!$B$2:$B$101, Elo!$A68)=0,COUNTIF(Games!$C$2:$C$101, Elo!$A68)=0), O68, IF(COUNTIF(Games!$B$2:$B$101, Elo!$A68)&gt;0, VLOOKUP(Elo!$A68, Games!$B$2:$AN$101, MATCH("New Home Elo", Games!$B$1:$AN$1, 0), FALSE), IF(COUNTIF(Games!$C$2:$C$101, Elo!$A68)&gt;0, VLOOKUP(Elo!$A68, Games!$C$2:$AO$101, MATCH("New Away Elo", Games!$C$1:$AO$1, 0), FALSE), O68)))</f>
        <v>1487.4340164722416</v>
      </c>
      <c r="S68" s="137" t="n">
        <f t="shared" si="15"/>
        <v>0</v>
      </c>
      <c r="T68" s="123" t="n">
        <f t="shared" si="24"/>
        <v>69</v>
      </c>
      <c r="U68" s="137" t="n">
        <f>IF(AND(COUNTIF(Games!$B$2:$B$101, Elo!$A68)=0,COUNTIF(Games!$C$2:$C$101, Elo!$A68)=0), R68, IF(COUNTIF(Games!$B$2:$B$101, Elo!$A68)&gt;0, VLOOKUP(Elo!$A68, Games!$B$2:$AN$101, MATCH("New Home Elo", Games!$B$1:$AN$1, 0), FALSE), IF(COUNTIF(Games!$C$2:$C$101, Elo!$A68)&gt;0, VLOOKUP(Elo!$A68, Games!$C$2:$AO$101, MATCH("New Away Elo", Games!$C$1:$AO$1, 0), FALSE), R68)))</f>
        <v>1487.4340164722416</v>
      </c>
      <c r="V68" s="137" t="n">
        <f t="shared" si="16"/>
        <v>0</v>
      </c>
      <c r="W68" s="123" t="n">
        <f t="shared" si="25"/>
        <v>69</v>
      </c>
    </row>
    <row r="69">
      <c r="A69" s="1" t="s">
        <v>185</v>
      </c>
      <c r="B69" s="1" t="s">
        <v>111</v>
      </c>
      <c r="C69" s="137" t="n">
        <f>VLOOKUP(A69, $A$2:$BQ$1048576, MATCH(_xlfn.CONCAT("Week ",Games!$A$7), Elo!$A$1:$BQ$1, 0), FALSE)</f>
        <v>1479.5427378219799</v>
      </c>
      <c r="D69" s="137" t="n">
        <f t="shared" si="20"/>
        <v>68</v>
      </c>
      <c r="E69" s="137" t="n">
        <v>1479.5427378219799</v>
      </c>
      <c r="F69" s="123" t="n">
        <v>68</v>
      </c>
      <c r="G69" s="137" t="n">
        <v>1479.5427378219799</v>
      </c>
      <c r="H69" s="123" t="n">
        <v>68</v>
      </c>
      <c r="I69" s="137" t="n">
        <v>1479.5427378219799</v>
      </c>
      <c r="J69" s="137" t="n">
        <f t="shared" si="26"/>
        <v>0</v>
      </c>
      <c r="K69" s="123" t="n">
        <f t="shared" si="21"/>
        <v>68</v>
      </c>
      <c r="L69" s="137" t="n">
        <f>IF(AND(COUNTIF(Games!$B$2:$B$101, Elo!$A69)=0,COUNTIF(Games!$C$2:$C$101, Elo!$A69)=0), I69, IF(COUNTIF(Games!$B$2:$B$101, Elo!$A69)&gt;0, VLOOKUP(Elo!$A69, Games!$B$2:$AN$101, MATCH("New Home Elo", Games!$B$1:$AN$1, 0), FALSE), IF(COUNTIF(Games!$C$2:$C$101, Elo!$A69)&gt;0, VLOOKUP(Elo!$A69, Games!$C$2:$AO$101, MATCH("New Away Elo", Games!$C$1:$AO$1, 0), FALSE), I69)))</f>
        <v>1570.9025445911311</v>
      </c>
      <c r="M69" s="137" t="n">
        <f t="shared" si="27"/>
        <v>91.359806769151191</v>
      </c>
      <c r="N69" s="123" t="n">
        <f t="shared" si="22"/>
        <v>51</v>
      </c>
      <c r="O69" s="137" t="n">
        <f>IF(AND(COUNTIF(Games!$B$2:$B$101, Elo!$A69)=0,COUNTIF(Games!$C$2:$C$101, Elo!$A69)=0), L69, IF(COUNTIF(Games!$B$2:$B$101, Elo!$A69)&gt;0, VLOOKUP(Elo!$A69, Games!$B$2:$AN$101, MATCH("New Home Elo", Games!$B$1:$AN$1, 0), FALSE), IF(COUNTIF(Games!$C$2:$C$101, Elo!$A69)&gt;0, VLOOKUP(Elo!$A69, Games!$C$2:$AO$101, MATCH("New Away Elo", Games!$C$1:$AO$1, 0), FALSE), L69)))</f>
        <v>1570.9025445911311</v>
      </c>
      <c r="P69" s="137" t="n">
        <f t="shared" si="14"/>
        <v>0</v>
      </c>
      <c r="Q69" s="123" t="n">
        <f t="shared" si="23"/>
        <v>51</v>
      </c>
      <c r="R69" s="137" t="n">
        <f>IF(AND(COUNTIF(Games!$B$2:$B$101, Elo!$A69)=0,COUNTIF(Games!$C$2:$C$101, Elo!$A69)=0), O69, IF(COUNTIF(Games!$B$2:$B$101, Elo!$A69)&gt;0, VLOOKUP(Elo!$A69, Games!$B$2:$AN$101, MATCH("New Home Elo", Games!$B$1:$AN$1, 0), FALSE), IF(COUNTIF(Games!$C$2:$C$101, Elo!$A69)&gt;0, VLOOKUP(Elo!$A69, Games!$C$2:$AO$101, MATCH("New Away Elo", Games!$C$1:$AO$1, 0), FALSE), O69)))</f>
        <v>1570.9025445911311</v>
      </c>
      <c r="S69" s="137" t="n">
        <f t="shared" si="15"/>
        <v>0</v>
      </c>
      <c r="T69" s="123" t="n">
        <f t="shared" si="24"/>
        <v>51</v>
      </c>
      <c r="U69" s="137" t="n">
        <f>IF(AND(COUNTIF(Games!$B$2:$B$101, Elo!$A69)=0,COUNTIF(Games!$C$2:$C$101, Elo!$A69)=0), R69, IF(COUNTIF(Games!$B$2:$B$101, Elo!$A69)&gt;0, VLOOKUP(Elo!$A69, Games!$B$2:$AN$101, MATCH("New Home Elo", Games!$B$1:$AN$1, 0), FALSE), IF(COUNTIF(Games!$C$2:$C$101, Elo!$A69)&gt;0, VLOOKUP(Elo!$A69, Games!$C$2:$AO$101, MATCH("New Away Elo", Games!$C$1:$AO$1, 0), FALSE), R69)))</f>
        <v>1570.9025445911311</v>
      </c>
      <c r="V69" s="137" t="n">
        <f t="shared" si="16"/>
        <v>0</v>
      </c>
      <c r="W69" s="123" t="n">
        <f t="shared" si="25"/>
        <v>51</v>
      </c>
    </row>
    <row r="70">
      <c r="A70" s="1" t="s">
        <v>186</v>
      </c>
      <c r="B70" s="1" t="s">
        <v>126</v>
      </c>
      <c r="C70" s="137" t="n">
        <f>VLOOKUP(A70, $A$2:$BQ$1048576, MATCH(_xlfn.CONCAT("Week ",Games!$A$7), Elo!$A$1:$BQ$1, 0), FALSE)</f>
        <v>1477.59868695249</v>
      </c>
      <c r="D70" s="137" t="n">
        <f t="shared" si="20"/>
        <v>69</v>
      </c>
      <c r="E70" s="137" t="n">
        <v>1477.59868695249</v>
      </c>
      <c r="F70" s="123" t="n">
        <v>69</v>
      </c>
      <c r="G70" s="137" t="n">
        <v>1477.59868695249</v>
      </c>
      <c r="H70" s="123" t="n">
        <v>69</v>
      </c>
      <c r="I70" s="137" t="n">
        <v>1477.59868695249</v>
      </c>
      <c r="J70" s="137" t="n">
        <f t="shared" si="26"/>
        <v>0</v>
      </c>
      <c r="K70" s="123" t="n">
        <f t="shared" si="21"/>
        <v>69</v>
      </c>
      <c r="L70" s="137" t="n">
        <f>IF(AND(COUNTIF(Games!$B$2:$B$101, Elo!$A70)=0,COUNTIF(Games!$C$2:$C$101, Elo!$A70)=0), I70, IF(COUNTIF(Games!$B$2:$B$101, Elo!$A70)&gt;0, VLOOKUP(Elo!$A70, Games!$B$2:$AN$101, MATCH("New Home Elo", Games!$B$1:$AN$1, 0), FALSE), IF(COUNTIF(Games!$C$2:$C$101, Elo!$A70)&gt;0, VLOOKUP(Elo!$A70, Games!$C$2:$AO$101, MATCH("New Away Elo", Games!$C$1:$AO$1, 0), FALSE), I70)))</f>
        <v>1315.4558976781293</v>
      </c>
      <c r="M70" s="137" t="n">
        <f t="shared" si="27"/>
        <v>-162.14278927436067</v>
      </c>
      <c r="N70" s="123" t="n">
        <f t="shared" si="22"/>
        <v>109</v>
      </c>
      <c r="O70" s="137" t="n">
        <f>IF(AND(COUNTIF(Games!$B$2:$B$101, Elo!$A70)=0,COUNTIF(Games!$C$2:$C$101, Elo!$A70)=0), L70, IF(COUNTIF(Games!$B$2:$B$101, Elo!$A70)&gt;0, VLOOKUP(Elo!$A70, Games!$B$2:$AN$101, MATCH("New Home Elo", Games!$B$1:$AN$1, 0), FALSE), IF(COUNTIF(Games!$C$2:$C$101, Elo!$A70)&gt;0, VLOOKUP(Elo!$A70, Games!$C$2:$AO$101, MATCH("New Away Elo", Games!$C$1:$AO$1, 0), FALSE), L70)))</f>
        <v>1315.4558976781293</v>
      </c>
      <c r="P70" s="137" t="n">
        <f t="shared" si="14"/>
        <v>0</v>
      </c>
      <c r="Q70" s="123" t="n">
        <f t="shared" si="23"/>
        <v>109</v>
      </c>
      <c r="R70" s="137" t="n">
        <f>IF(AND(COUNTIF(Games!$B$2:$B$101, Elo!$A70)=0,COUNTIF(Games!$C$2:$C$101, Elo!$A70)=0), O70, IF(COUNTIF(Games!$B$2:$B$101, Elo!$A70)&gt;0, VLOOKUP(Elo!$A70, Games!$B$2:$AN$101, MATCH("New Home Elo", Games!$B$1:$AN$1, 0), FALSE), IF(COUNTIF(Games!$C$2:$C$101, Elo!$A70)&gt;0, VLOOKUP(Elo!$A70, Games!$C$2:$AO$101, MATCH("New Away Elo", Games!$C$1:$AO$1, 0), FALSE), O70)))</f>
        <v>1315.4558976781293</v>
      </c>
      <c r="S70" s="137" t="n">
        <f t="shared" si="15"/>
        <v>0</v>
      </c>
      <c r="T70" s="123" t="n">
        <f t="shared" si="24"/>
        <v>109</v>
      </c>
      <c r="U70" s="137" t="n">
        <f>IF(AND(COUNTIF(Games!$B$2:$B$101, Elo!$A70)=0,COUNTIF(Games!$C$2:$C$101, Elo!$A70)=0), R70, IF(COUNTIF(Games!$B$2:$B$101, Elo!$A70)&gt;0, VLOOKUP(Elo!$A70, Games!$B$2:$AN$101, MATCH("New Home Elo", Games!$B$1:$AN$1, 0), FALSE), IF(COUNTIF(Games!$C$2:$C$101, Elo!$A70)&gt;0, VLOOKUP(Elo!$A70, Games!$C$2:$AO$101, MATCH("New Away Elo", Games!$C$1:$AO$1, 0), FALSE), R70)))</f>
        <v>1315.4558976781293</v>
      </c>
      <c r="V70" s="137" t="n">
        <f t="shared" si="16"/>
        <v>0</v>
      </c>
      <c r="W70" s="123" t="n">
        <f t="shared" si="25"/>
        <v>109</v>
      </c>
    </row>
    <row r="71">
      <c r="A71" s="1" t="s">
        <v>187</v>
      </c>
      <c r="B71" s="1" t="s">
        <v>111</v>
      </c>
      <c r="C71" s="137" t="n">
        <f>VLOOKUP(A71, $A$2:$BQ$1048576, MATCH(_xlfn.CONCAT("Week ",Games!$A$7), Elo!$A$1:$BQ$1, 0), FALSE)</f>
        <v>1476.30840768964</v>
      </c>
      <c r="D71" s="137" t="n">
        <f t="shared" si="20"/>
        <v>70</v>
      </c>
      <c r="E71" s="137" t="n">
        <v>1476.30840768964</v>
      </c>
      <c r="F71" s="123" t="n">
        <v>70</v>
      </c>
      <c r="G71" s="137" t="n">
        <v>1476.30840768964</v>
      </c>
      <c r="H71" s="123" t="n">
        <v>70</v>
      </c>
      <c r="I71" s="137" t="n">
        <v>1476.30840768964</v>
      </c>
      <c r="J71" s="137" t="n">
        <f t="shared" si="26"/>
        <v>0</v>
      </c>
      <c r="K71" s="123" t="n">
        <f t="shared" si="21"/>
        <v>70</v>
      </c>
      <c r="L71" s="137" t="n">
        <f>IF(AND(COUNTIF(Games!$B$2:$B$101, Elo!$A71)=0,COUNTIF(Games!$C$2:$C$101, Elo!$A71)=0), I71, IF(COUNTIF(Games!$B$2:$B$101, Elo!$A71)&gt;0, VLOOKUP(Elo!$A71, Games!$B$2:$AN$101, MATCH("New Home Elo", Games!$B$1:$AN$1, 0), FALSE), IF(COUNTIF(Games!$C$2:$C$101, Elo!$A71)&gt;0, VLOOKUP(Elo!$A71, Games!$C$2:$AO$101, MATCH("New Away Elo", Games!$C$1:$AO$1, 0), FALSE), I71)))</f>
        <v>1480.995560720768</v>
      </c>
      <c r="M71" s="137" t="n">
        <f t="shared" si="27"/>
        <v>4.6871530311279912</v>
      </c>
      <c r="N71" s="123" t="n">
        <f t="shared" si="22"/>
        <v>71</v>
      </c>
      <c r="O71" s="137" t="n">
        <f>IF(AND(COUNTIF(Games!$B$2:$B$101, Elo!$A71)=0,COUNTIF(Games!$C$2:$C$101, Elo!$A71)=0), L71, IF(COUNTIF(Games!$B$2:$B$101, Elo!$A71)&gt;0, VLOOKUP(Elo!$A71, Games!$B$2:$AN$101, MATCH("New Home Elo", Games!$B$1:$AN$1, 0), FALSE), IF(COUNTIF(Games!$C$2:$C$101, Elo!$A71)&gt;0, VLOOKUP(Elo!$A71, Games!$C$2:$AO$101, MATCH("New Away Elo", Games!$C$1:$AO$1, 0), FALSE), L71)))</f>
        <v>1480.995560720768</v>
      </c>
      <c r="P71" s="137" t="n">
        <f t="shared" si="14"/>
        <v>0</v>
      </c>
      <c r="Q71" s="123" t="n">
        <f t="shared" si="23"/>
        <v>71</v>
      </c>
      <c r="R71" s="137" t="n">
        <f>IF(AND(COUNTIF(Games!$B$2:$B$101, Elo!$A71)=0,COUNTIF(Games!$C$2:$C$101, Elo!$A71)=0), O71, IF(COUNTIF(Games!$B$2:$B$101, Elo!$A71)&gt;0, VLOOKUP(Elo!$A71, Games!$B$2:$AN$101, MATCH("New Home Elo", Games!$B$1:$AN$1, 0), FALSE), IF(COUNTIF(Games!$C$2:$C$101, Elo!$A71)&gt;0, VLOOKUP(Elo!$A71, Games!$C$2:$AO$101, MATCH("New Away Elo", Games!$C$1:$AO$1, 0), FALSE), O71)))</f>
        <v>1480.995560720768</v>
      </c>
      <c r="S71" s="137" t="n">
        <f t="shared" si="15"/>
        <v>0</v>
      </c>
      <c r="T71" s="123" t="n">
        <f t="shared" si="24"/>
        <v>71</v>
      </c>
      <c r="U71" s="137" t="n">
        <f>IF(AND(COUNTIF(Games!$B$2:$B$101, Elo!$A71)=0,COUNTIF(Games!$C$2:$C$101, Elo!$A71)=0), R71, IF(COUNTIF(Games!$B$2:$B$101, Elo!$A71)&gt;0, VLOOKUP(Elo!$A71, Games!$B$2:$AN$101, MATCH("New Home Elo", Games!$B$1:$AN$1, 0), FALSE), IF(COUNTIF(Games!$C$2:$C$101, Elo!$A71)&gt;0, VLOOKUP(Elo!$A71, Games!$C$2:$AO$101, MATCH("New Away Elo", Games!$C$1:$AO$1, 0), FALSE), R71)))</f>
        <v>1480.995560720768</v>
      </c>
      <c r="V71" s="137" t="n">
        <f t="shared" si="16"/>
        <v>0</v>
      </c>
      <c r="W71" s="123" t="n">
        <f t="shared" si="25"/>
        <v>71</v>
      </c>
    </row>
    <row r="72">
      <c r="A72" s="1" t="s">
        <v>188</v>
      </c>
      <c r="B72" s="1" t="s">
        <v>122</v>
      </c>
      <c r="C72" s="137" t="n">
        <f>VLOOKUP(A72, $A$2:$BQ$1048576, MATCH(_xlfn.CONCAT("Week ",Games!$A$7), Elo!$A$1:$BQ$1, 0), FALSE)</f>
        <v>1475.41673758554</v>
      </c>
      <c r="D72" s="137" t="n">
        <f t="shared" si="20"/>
        <v>71</v>
      </c>
      <c r="E72" s="137" t="n">
        <v>1475.41673758554</v>
      </c>
      <c r="F72" s="123" t="n">
        <v>71</v>
      </c>
      <c r="G72" s="137" t="n">
        <v>1475.41673758554</v>
      </c>
      <c r="H72" s="123" t="n">
        <v>71</v>
      </c>
      <c r="I72" s="137" t="n">
        <v>1475.41673758554</v>
      </c>
      <c r="J72" s="137" t="n">
        <f t="shared" si="26"/>
        <v>0</v>
      </c>
      <c r="K72" s="123" t="n">
        <f t="shared" si="21"/>
        <v>71</v>
      </c>
      <c r="L72" s="137" t="n">
        <f>IF(AND(COUNTIF(Games!$B$2:$B$101, Elo!$A72)=0,COUNTIF(Games!$C$2:$C$101, Elo!$A72)=0), I72, IF(COUNTIF(Games!$B$2:$B$101, Elo!$A72)&gt;0, VLOOKUP(Elo!$A72, Games!$B$2:$AN$101, MATCH("New Home Elo", Games!$B$1:$AN$1, 0), FALSE), IF(COUNTIF(Games!$C$2:$C$101, Elo!$A72)&gt;0, VLOOKUP(Elo!$A72, Games!$C$2:$AO$101, MATCH("New Away Elo", Games!$C$1:$AO$1, 0), FALSE), I72)))</f>
        <v>1475.41673758554</v>
      </c>
      <c r="M72" s="137" t="n">
        <f>L72-I72</f>
        <v>0</v>
      </c>
      <c r="N72" s="123" t="n">
        <f t="shared" si="22"/>
        <v>73</v>
      </c>
      <c r="O72" s="137" t="n">
        <f>IF(AND(COUNTIF(Games!$B$2:$B$101, Elo!$A72)=0,COUNTIF(Games!$C$2:$C$101, Elo!$A72)=0), L72, IF(COUNTIF(Games!$B$2:$B$101, Elo!$A72)&gt;0, VLOOKUP(Elo!$A72, Games!$B$2:$AN$101, MATCH("New Home Elo", Games!$B$1:$AN$1, 0), FALSE), IF(COUNTIF(Games!$C$2:$C$101, Elo!$A72)&gt;0, VLOOKUP(Elo!$A72, Games!$C$2:$AO$101, MATCH("New Away Elo", Games!$C$1:$AO$1, 0), FALSE), L72)))</f>
        <v>1475.41673758554</v>
      </c>
      <c r="P72" s="137" t="n">
        <f>O72-L72</f>
        <v>0</v>
      </c>
      <c r="Q72" s="123" t="n">
        <f t="shared" si="23"/>
        <v>73</v>
      </c>
      <c r="R72" s="137" t="n">
        <f>IF(AND(COUNTIF(Games!$B$2:$B$101, Elo!$A72)=0,COUNTIF(Games!$C$2:$C$101, Elo!$A72)=0), O72, IF(COUNTIF(Games!$B$2:$B$101, Elo!$A72)&gt;0, VLOOKUP(Elo!$A72, Games!$B$2:$AN$101, MATCH("New Home Elo", Games!$B$1:$AN$1, 0), FALSE), IF(COUNTIF(Games!$C$2:$C$101, Elo!$A72)&gt;0, VLOOKUP(Elo!$A72, Games!$C$2:$AO$101, MATCH("New Away Elo", Games!$C$1:$AO$1, 0), FALSE), O72)))</f>
        <v>1475.41673758554</v>
      </c>
      <c r="S72" s="137" t="n">
        <f>R72-O72</f>
        <v>0</v>
      </c>
      <c r="T72" s="123" t="n">
        <f t="shared" si="24"/>
        <v>73</v>
      </c>
      <c r="U72" s="137" t="n">
        <f>IF(AND(COUNTIF(Games!$B$2:$B$101, Elo!$A72)=0,COUNTIF(Games!$C$2:$C$101, Elo!$A72)=0), R72, IF(COUNTIF(Games!$B$2:$B$101, Elo!$A72)&gt;0, VLOOKUP(Elo!$A72, Games!$B$2:$AN$101, MATCH("New Home Elo", Games!$B$1:$AN$1, 0), FALSE), IF(COUNTIF(Games!$C$2:$C$101, Elo!$A72)&gt;0, VLOOKUP(Elo!$A72, Games!$C$2:$AO$101, MATCH("New Away Elo", Games!$C$1:$AO$1, 0), FALSE), R72)))</f>
        <v>1475.41673758554</v>
      </c>
      <c r="V72" s="137" t="n">
        <f>U72-R72</f>
        <v>0</v>
      </c>
      <c r="W72" s="123" t="n">
        <f t="shared" si="25"/>
        <v>73</v>
      </c>
    </row>
    <row r="73">
      <c r="A73" s="1" t="s">
        <v>189</v>
      </c>
      <c r="B73" s="1" t="s">
        <v>138</v>
      </c>
      <c r="C73" s="137" t="n">
        <f>VLOOKUP(A73, $A$2:$BQ$1048576, MATCH(_xlfn.CONCAT("Week ",Games!$A$7), Elo!$A$1:$BQ$1, 0), FALSE)</f>
        <v>1466.71497130843</v>
      </c>
      <c r="D73" s="137" t="n">
        <f t="shared" si="20"/>
        <v>72</v>
      </c>
      <c r="E73" s="137" t="n">
        <v>1466.71497130843</v>
      </c>
      <c r="F73" s="123" t="n">
        <v>72</v>
      </c>
      <c r="G73" s="137" t="n">
        <v>1466.71497130843</v>
      </c>
      <c r="H73" s="123" t="n">
        <v>72</v>
      </c>
      <c r="I73" s="137" t="n">
        <v>1466.71497130843</v>
      </c>
      <c r="J73" s="137" t="n">
        <f t="shared" si="26"/>
        <v>0</v>
      </c>
      <c r="K73" s="123" t="n">
        <f t="shared" si="21"/>
        <v>72</v>
      </c>
      <c r="L73" s="137" t="n">
        <f>IF(AND(COUNTIF(Games!$B$2:$B$101, Elo!$A73)=0,COUNTIF(Games!$C$2:$C$101, Elo!$A73)=0), I73, IF(COUNTIF(Games!$B$2:$B$101, Elo!$A73)&gt;0, VLOOKUP(Elo!$A73, Games!$B$2:$AN$101, MATCH("New Home Elo", Games!$B$1:$AN$1, 0), FALSE), IF(COUNTIF(Games!$C$2:$C$101, Elo!$A73)&gt;0, VLOOKUP(Elo!$A73, Games!$C$2:$AO$101, MATCH("New Away Elo", Games!$C$1:$AO$1, 0), FALSE), I73)))</f>
        <v>1483.0971016521028</v>
      </c>
      <c r="M73" s="137" t="n">
        <f t="shared" si="27"/>
        <v>16.38213034367277</v>
      </c>
      <c r="N73" s="123" t="n">
        <f t="shared" si="22"/>
        <v>70</v>
      </c>
      <c r="O73" s="137" t="n">
        <f>IF(AND(COUNTIF(Games!$B$2:$B$101, Elo!$A73)=0,COUNTIF(Games!$C$2:$C$101, Elo!$A73)=0), L73, IF(COUNTIF(Games!$B$2:$B$101, Elo!$A73)&gt;0, VLOOKUP(Elo!$A73, Games!$B$2:$AN$101, MATCH("New Home Elo", Games!$B$1:$AN$1, 0), FALSE), IF(COUNTIF(Games!$C$2:$C$101, Elo!$A73)&gt;0, VLOOKUP(Elo!$A73, Games!$C$2:$AO$101, MATCH("New Away Elo", Games!$C$1:$AO$1, 0), FALSE), L73)))</f>
        <v>1483.0971016521028</v>
      </c>
      <c r="P73" s="137" t="n">
        <f t="shared" ref="P73:P116" si="28">O73-L73</f>
        <v>0</v>
      </c>
      <c r="Q73" s="123" t="n">
        <f t="shared" si="23"/>
        <v>70</v>
      </c>
      <c r="R73" s="137" t="n">
        <f>IF(AND(COUNTIF(Games!$B$2:$B$101, Elo!$A73)=0,COUNTIF(Games!$C$2:$C$101, Elo!$A73)=0), O73, IF(COUNTIF(Games!$B$2:$B$101, Elo!$A73)&gt;0, VLOOKUP(Elo!$A73, Games!$B$2:$AN$101, MATCH("New Home Elo", Games!$B$1:$AN$1, 0), FALSE), IF(COUNTIF(Games!$C$2:$C$101, Elo!$A73)&gt;0, VLOOKUP(Elo!$A73, Games!$C$2:$AO$101, MATCH("New Away Elo", Games!$C$1:$AO$1, 0), FALSE), O73)))</f>
        <v>1483.0971016521028</v>
      </c>
      <c r="S73" s="137" t="n">
        <f t="shared" ref="S73:S116" si="29">R73-O73</f>
        <v>0</v>
      </c>
      <c r="T73" s="123" t="n">
        <f t="shared" si="24"/>
        <v>70</v>
      </c>
      <c r="U73" s="137" t="n">
        <f>IF(AND(COUNTIF(Games!$B$2:$B$101, Elo!$A73)=0,COUNTIF(Games!$C$2:$C$101, Elo!$A73)=0), R73, IF(COUNTIF(Games!$B$2:$B$101, Elo!$A73)&gt;0, VLOOKUP(Elo!$A73, Games!$B$2:$AN$101, MATCH("New Home Elo", Games!$B$1:$AN$1, 0), FALSE), IF(COUNTIF(Games!$C$2:$C$101, Elo!$A73)&gt;0, VLOOKUP(Elo!$A73, Games!$C$2:$AO$101, MATCH("New Away Elo", Games!$C$1:$AO$1, 0), FALSE), R73)))</f>
        <v>1483.0971016521028</v>
      </c>
      <c r="V73" s="137" t="n">
        <f t="shared" ref="V73:V116" si="30">U73-R73</f>
        <v>0</v>
      </c>
      <c r="W73" s="123" t="n">
        <f t="shared" si="25"/>
        <v>70</v>
      </c>
    </row>
    <row r="74">
      <c r="A74" s="1" t="s">
        <v>190</v>
      </c>
      <c r="B74" s="1" t="s">
        <v>141</v>
      </c>
      <c r="C74" s="137" t="n">
        <f>VLOOKUP(A74, $A$2:$BQ$1048576, MATCH(_xlfn.CONCAT("Week ",Games!$A$7), Elo!$A$1:$BQ$1, 0), FALSE)</f>
        <v>1464.95230950623</v>
      </c>
      <c r="D74" s="137" t="n">
        <f t="shared" si="20"/>
        <v>73</v>
      </c>
      <c r="E74" s="137" t="n">
        <v>1464.95230950623</v>
      </c>
      <c r="F74" s="123" t="n">
        <v>73</v>
      </c>
      <c r="G74" s="137" t="n">
        <v>1464.95230950623</v>
      </c>
      <c r="H74" s="123" t="n">
        <v>73</v>
      </c>
      <c r="I74" s="137" t="n">
        <v>1464.95230950623</v>
      </c>
      <c r="J74" s="137" t="n">
        <f t="shared" si="26"/>
        <v>0</v>
      </c>
      <c r="K74" s="123" t="n">
        <f t="shared" si="21"/>
        <v>73</v>
      </c>
      <c r="L74" s="137" t="n">
        <f>IF(AND(COUNTIF(Games!$B$2:$B$101, Elo!$A74)=0,COUNTIF(Games!$C$2:$C$101, Elo!$A74)=0), I74, IF(COUNTIF(Games!$B$2:$B$101, Elo!$A74)&gt;0, VLOOKUP(Elo!$A74, Games!$B$2:$AN$101, MATCH("New Home Elo", Games!$B$1:$AN$1, 0), FALSE), IF(COUNTIF(Games!$C$2:$C$101, Elo!$A74)&gt;0, VLOOKUP(Elo!$A74, Games!$C$2:$AO$101, MATCH("New Away Elo", Games!$C$1:$AO$1, 0), FALSE), I74)))</f>
        <v>1359.0870356732894</v>
      </c>
      <c r="M74" s="137" t="n">
        <f t="shared" si="27"/>
        <v>-105.8652738329406</v>
      </c>
      <c r="N74" s="123" t="n">
        <f t="shared" si="22"/>
        <v>100</v>
      </c>
      <c r="O74" s="137" t="n">
        <f>IF(AND(COUNTIF(Games!$B$2:$B$101, Elo!$A74)=0,COUNTIF(Games!$C$2:$C$101, Elo!$A74)=0), L74, IF(COUNTIF(Games!$B$2:$B$101, Elo!$A74)&gt;0, VLOOKUP(Elo!$A74, Games!$B$2:$AN$101, MATCH("New Home Elo", Games!$B$1:$AN$1, 0), FALSE), IF(COUNTIF(Games!$C$2:$C$101, Elo!$A74)&gt;0, VLOOKUP(Elo!$A74, Games!$C$2:$AO$101, MATCH("New Away Elo", Games!$C$1:$AO$1, 0), FALSE), L74)))</f>
        <v>1359.0870356732894</v>
      </c>
      <c r="P74" s="137" t="n">
        <f t="shared" si="28"/>
        <v>0</v>
      </c>
      <c r="Q74" s="123" t="n">
        <f t="shared" si="23"/>
        <v>100</v>
      </c>
      <c r="R74" s="137" t="n">
        <f>IF(AND(COUNTIF(Games!$B$2:$B$101, Elo!$A74)=0,COUNTIF(Games!$C$2:$C$101, Elo!$A74)=0), O74, IF(COUNTIF(Games!$B$2:$B$101, Elo!$A74)&gt;0, VLOOKUP(Elo!$A74, Games!$B$2:$AN$101, MATCH("New Home Elo", Games!$B$1:$AN$1, 0), FALSE), IF(COUNTIF(Games!$C$2:$C$101, Elo!$A74)&gt;0, VLOOKUP(Elo!$A74, Games!$C$2:$AO$101, MATCH("New Away Elo", Games!$C$1:$AO$1, 0), FALSE), O74)))</f>
        <v>1359.0870356732894</v>
      </c>
      <c r="S74" s="137" t="n">
        <f t="shared" si="29"/>
        <v>0</v>
      </c>
      <c r="T74" s="123" t="n">
        <f t="shared" si="24"/>
        <v>100</v>
      </c>
      <c r="U74" s="137" t="n">
        <f>IF(AND(COUNTIF(Games!$B$2:$B$101, Elo!$A74)=0,COUNTIF(Games!$C$2:$C$101, Elo!$A74)=0), R74, IF(COUNTIF(Games!$B$2:$B$101, Elo!$A74)&gt;0, VLOOKUP(Elo!$A74, Games!$B$2:$AN$101, MATCH("New Home Elo", Games!$B$1:$AN$1, 0), FALSE), IF(COUNTIF(Games!$C$2:$C$101, Elo!$A74)&gt;0, VLOOKUP(Elo!$A74, Games!$C$2:$AO$101, MATCH("New Away Elo", Games!$C$1:$AO$1, 0), FALSE), R74)))</f>
        <v>1359.0870356732894</v>
      </c>
      <c r="V74" s="137" t="n">
        <f t="shared" si="30"/>
        <v>0</v>
      </c>
      <c r="W74" s="123" t="n">
        <f t="shared" si="25"/>
        <v>100</v>
      </c>
    </row>
    <row r="75">
      <c r="A75" s="1" t="s">
        <v>191</v>
      </c>
      <c r="B75" s="1" t="s">
        <v>138</v>
      </c>
      <c r="C75" s="137" t="n">
        <f>VLOOKUP(A75, $A$2:$BQ$1048576, MATCH(_xlfn.CONCAT("Week ",Games!$A$7), Elo!$A$1:$BQ$1, 0), FALSE)</f>
        <v>1462.67018557917</v>
      </c>
      <c r="D75" s="137" t="n">
        <f t="shared" si="20"/>
        <v>74</v>
      </c>
      <c r="E75" s="137" t="n">
        <v>1462.67018557917</v>
      </c>
      <c r="F75" s="123" t="n">
        <v>74</v>
      </c>
      <c r="G75" s="137" t="n">
        <v>1462.67018557917</v>
      </c>
      <c r="H75" s="123" t="n">
        <v>74</v>
      </c>
      <c r="I75" s="137" t="n">
        <v>1462.67018557917</v>
      </c>
      <c r="J75" s="137" t="n">
        <f t="shared" si="26"/>
        <v>0</v>
      </c>
      <c r="K75" s="123" t="n">
        <f t="shared" si="21"/>
        <v>74</v>
      </c>
      <c r="L75" s="137" t="n">
        <f>IF(AND(COUNTIF(Games!$B$2:$B$101, Elo!$A75)=0,COUNTIF(Games!$C$2:$C$101, Elo!$A75)=0), I75, IF(COUNTIF(Games!$B$2:$B$101, Elo!$A75)&gt;0, VLOOKUP(Elo!$A75, Games!$B$2:$AN$101, MATCH("New Home Elo", Games!$B$1:$AN$1, 0), FALSE), IF(COUNTIF(Games!$C$2:$C$101, Elo!$A75)&gt;0, VLOOKUP(Elo!$A75, Games!$C$2:$AO$101, MATCH("New Away Elo", Games!$C$1:$AO$1, 0), FALSE), I75)))</f>
        <v>1468.246928264984</v>
      </c>
      <c r="M75" s="137" t="n">
        <f t="shared" si="27"/>
        <v>5.576742685813997</v>
      </c>
      <c r="N75" s="123" t="n">
        <f t="shared" si="22"/>
        <v>76</v>
      </c>
      <c r="O75" s="137" t="n">
        <f>IF(AND(COUNTIF(Games!$B$2:$B$101, Elo!$A75)=0,COUNTIF(Games!$C$2:$C$101, Elo!$A75)=0), L75, IF(COUNTIF(Games!$B$2:$B$101, Elo!$A75)&gt;0, VLOOKUP(Elo!$A75, Games!$B$2:$AN$101, MATCH("New Home Elo", Games!$B$1:$AN$1, 0), FALSE), IF(COUNTIF(Games!$C$2:$C$101, Elo!$A75)&gt;0, VLOOKUP(Elo!$A75, Games!$C$2:$AO$101, MATCH("New Away Elo", Games!$C$1:$AO$1, 0), FALSE), L75)))</f>
        <v>1468.246928264984</v>
      </c>
      <c r="P75" s="137" t="n">
        <f t="shared" si="28"/>
        <v>0</v>
      </c>
      <c r="Q75" s="123" t="n">
        <f t="shared" si="23"/>
        <v>76</v>
      </c>
      <c r="R75" s="137" t="n">
        <f>IF(AND(COUNTIF(Games!$B$2:$B$101, Elo!$A75)=0,COUNTIF(Games!$C$2:$C$101, Elo!$A75)=0), O75, IF(COUNTIF(Games!$B$2:$B$101, Elo!$A75)&gt;0, VLOOKUP(Elo!$A75, Games!$B$2:$AN$101, MATCH("New Home Elo", Games!$B$1:$AN$1, 0), FALSE), IF(COUNTIF(Games!$C$2:$C$101, Elo!$A75)&gt;0, VLOOKUP(Elo!$A75, Games!$C$2:$AO$101, MATCH("New Away Elo", Games!$C$1:$AO$1, 0), FALSE), O75)))</f>
        <v>1468.246928264984</v>
      </c>
      <c r="S75" s="137" t="n">
        <f t="shared" si="29"/>
        <v>0</v>
      </c>
      <c r="T75" s="123" t="n">
        <f t="shared" si="24"/>
        <v>76</v>
      </c>
      <c r="U75" s="137" t="n">
        <f>IF(AND(COUNTIF(Games!$B$2:$B$101, Elo!$A75)=0,COUNTIF(Games!$C$2:$C$101, Elo!$A75)=0), R75, IF(COUNTIF(Games!$B$2:$B$101, Elo!$A75)&gt;0, VLOOKUP(Elo!$A75, Games!$B$2:$AN$101, MATCH("New Home Elo", Games!$B$1:$AN$1, 0), FALSE), IF(COUNTIF(Games!$C$2:$C$101, Elo!$A75)&gt;0, VLOOKUP(Elo!$A75, Games!$C$2:$AO$101, MATCH("New Away Elo", Games!$C$1:$AO$1, 0), FALSE), R75)))</f>
        <v>1468.246928264984</v>
      </c>
      <c r="V75" s="137" t="n">
        <f t="shared" si="30"/>
        <v>0</v>
      </c>
      <c r="W75" s="123" t="n">
        <f t="shared" si="25"/>
        <v>76</v>
      </c>
    </row>
    <row r="76">
      <c r="A76" s="1" t="s">
        <v>192</v>
      </c>
      <c r="B76" s="1" t="s">
        <v>122</v>
      </c>
      <c r="C76" s="137" t="n">
        <f>VLOOKUP(A76, $A$2:$BQ$1048576, MATCH(_xlfn.CONCAT("Week ",Games!$A$7), Elo!$A$1:$BQ$1, 0), FALSE)</f>
        <v>1457.2675721461101</v>
      </c>
      <c r="D76" s="137" t="n">
        <f t="shared" si="20"/>
        <v>75</v>
      </c>
      <c r="E76" s="137" t="n">
        <v>1457.2675721461101</v>
      </c>
      <c r="F76" s="123" t="n">
        <v>75</v>
      </c>
      <c r="G76" s="137" t="n">
        <v>1457.2675721461101</v>
      </c>
      <c r="H76" s="123" t="n">
        <v>75</v>
      </c>
      <c r="I76" s="137" t="n">
        <v>1457.2675721461101</v>
      </c>
      <c r="J76" s="137" t="n">
        <f t="shared" si="26"/>
        <v>0</v>
      </c>
      <c r="K76" s="123" t="n">
        <f t="shared" si="21"/>
        <v>75</v>
      </c>
      <c r="L76" s="137" t="n">
        <f>IF(AND(COUNTIF(Games!$B$2:$B$101, Elo!$A76)=0,COUNTIF(Games!$C$2:$C$101, Elo!$A76)=0), I76, IF(COUNTIF(Games!$B$2:$B$101, Elo!$A76)&gt;0, VLOOKUP(Elo!$A76, Games!$B$2:$AN$101, MATCH("New Home Elo", Games!$B$1:$AN$1, 0), FALSE), IF(COUNTIF(Games!$C$2:$C$101, Elo!$A76)&gt;0, VLOOKUP(Elo!$A76, Games!$C$2:$AO$101, MATCH("New Away Elo", Games!$C$1:$AO$1, 0), FALSE), I76)))</f>
        <v>1475.7726363205293</v>
      </c>
      <c r="M76" s="137" t="n">
        <f t="shared" si="27"/>
        <v>18.505064174419203</v>
      </c>
      <c r="N76" s="123" t="n">
        <f t="shared" si="22"/>
        <v>72</v>
      </c>
      <c r="O76" s="137" t="n">
        <f>IF(AND(COUNTIF(Games!$B$2:$B$101, Elo!$A76)=0,COUNTIF(Games!$C$2:$C$101, Elo!$A76)=0), L76, IF(COUNTIF(Games!$B$2:$B$101, Elo!$A76)&gt;0, VLOOKUP(Elo!$A76, Games!$B$2:$AN$101, MATCH("New Home Elo", Games!$B$1:$AN$1, 0), FALSE), IF(COUNTIF(Games!$C$2:$C$101, Elo!$A76)&gt;0, VLOOKUP(Elo!$A76, Games!$C$2:$AO$101, MATCH("New Away Elo", Games!$C$1:$AO$1, 0), FALSE), L76)))</f>
        <v>1475.7726363205293</v>
      </c>
      <c r="P76" s="137" t="n">
        <f t="shared" si="28"/>
        <v>0</v>
      </c>
      <c r="Q76" s="123" t="n">
        <f t="shared" si="23"/>
        <v>72</v>
      </c>
      <c r="R76" s="137" t="n">
        <f>IF(AND(COUNTIF(Games!$B$2:$B$101, Elo!$A76)=0,COUNTIF(Games!$C$2:$C$101, Elo!$A76)=0), O76, IF(COUNTIF(Games!$B$2:$B$101, Elo!$A76)&gt;0, VLOOKUP(Elo!$A76, Games!$B$2:$AN$101, MATCH("New Home Elo", Games!$B$1:$AN$1, 0), FALSE), IF(COUNTIF(Games!$C$2:$C$101, Elo!$A76)&gt;0, VLOOKUP(Elo!$A76, Games!$C$2:$AO$101, MATCH("New Away Elo", Games!$C$1:$AO$1, 0), FALSE), O76)))</f>
        <v>1475.7726363205293</v>
      </c>
      <c r="S76" s="137" t="n">
        <f t="shared" si="29"/>
        <v>0</v>
      </c>
      <c r="T76" s="123" t="n">
        <f t="shared" si="24"/>
        <v>72</v>
      </c>
      <c r="U76" s="137" t="n">
        <f>IF(AND(COUNTIF(Games!$B$2:$B$101, Elo!$A76)=0,COUNTIF(Games!$C$2:$C$101, Elo!$A76)=0), R76, IF(COUNTIF(Games!$B$2:$B$101, Elo!$A76)&gt;0, VLOOKUP(Elo!$A76, Games!$B$2:$AN$101, MATCH("New Home Elo", Games!$B$1:$AN$1, 0), FALSE), IF(COUNTIF(Games!$C$2:$C$101, Elo!$A76)&gt;0, VLOOKUP(Elo!$A76, Games!$C$2:$AO$101, MATCH("New Away Elo", Games!$C$1:$AO$1, 0), FALSE), R76)))</f>
        <v>1475.7726363205293</v>
      </c>
      <c r="V76" s="137" t="n">
        <f t="shared" si="30"/>
        <v>0</v>
      </c>
      <c r="W76" s="123" t="n">
        <f t="shared" si="25"/>
        <v>72</v>
      </c>
    </row>
    <row r="77">
      <c r="A77" s="1" t="s">
        <v>193</v>
      </c>
      <c r="B77" s="1" t="s">
        <v>149</v>
      </c>
      <c r="C77" s="137" t="n">
        <f>VLOOKUP(A77, $A$2:$BQ$1048576, MATCH(_xlfn.CONCAT("Week ",Games!$A$7), Elo!$A$1:$BQ$1, 0), FALSE)</f>
        <v>1450.0603068717701</v>
      </c>
      <c r="D77" s="137" t="n">
        <f t="shared" si="20"/>
        <v>76</v>
      </c>
      <c r="E77" s="137" t="n">
        <v>1450.0603068717701</v>
      </c>
      <c r="F77" s="123" t="n">
        <v>76</v>
      </c>
      <c r="G77" s="137" t="n">
        <v>1450.0603068717701</v>
      </c>
      <c r="H77" s="123" t="n">
        <v>76</v>
      </c>
      <c r="I77" s="137" t="n">
        <v>1450.0603068717701</v>
      </c>
      <c r="J77" s="137" t="n">
        <f t="shared" si="26"/>
        <v>0</v>
      </c>
      <c r="K77" s="123" t="n">
        <f t="shared" si="21"/>
        <v>76</v>
      </c>
      <c r="L77" s="137" t="n">
        <f>IF(AND(COUNTIF(Games!$B$2:$B$101, Elo!$A77)=0,COUNTIF(Games!$C$2:$C$101, Elo!$A77)=0), I77, IF(COUNTIF(Games!$B$2:$B$101, Elo!$A77)&gt;0, VLOOKUP(Elo!$A77, Games!$B$2:$AN$101, MATCH("New Home Elo", Games!$B$1:$AN$1, 0), FALSE), IF(COUNTIF(Games!$C$2:$C$101, Elo!$A77)&gt;0, VLOOKUP(Elo!$A77, Games!$C$2:$AO$101, MATCH("New Away Elo", Games!$C$1:$AO$1, 0), FALSE), I77)))</f>
        <v>1460.7181344326086</v>
      </c>
      <c r="M77" s="137" t="n">
        <f t="shared" si="27"/>
        <v>10.657827560838541</v>
      </c>
      <c r="N77" s="123" t="n">
        <f t="shared" si="22"/>
        <v>77</v>
      </c>
      <c r="O77" s="137" t="n">
        <f>IF(AND(COUNTIF(Games!$B$2:$B$101, Elo!$A77)=0,COUNTIF(Games!$C$2:$C$101, Elo!$A77)=0), L77, IF(COUNTIF(Games!$B$2:$B$101, Elo!$A77)&gt;0, VLOOKUP(Elo!$A77, Games!$B$2:$AN$101, MATCH("New Home Elo", Games!$B$1:$AN$1, 0), FALSE), IF(COUNTIF(Games!$C$2:$C$101, Elo!$A77)&gt;0, VLOOKUP(Elo!$A77, Games!$C$2:$AO$101, MATCH("New Away Elo", Games!$C$1:$AO$1, 0), FALSE), L77)))</f>
        <v>1460.7181344326086</v>
      </c>
      <c r="P77" s="137" t="n">
        <f t="shared" si="28"/>
        <v>0</v>
      </c>
      <c r="Q77" s="123" t="n">
        <f t="shared" si="23"/>
        <v>77</v>
      </c>
      <c r="R77" s="137" t="n">
        <f>IF(AND(COUNTIF(Games!$B$2:$B$101, Elo!$A77)=0,COUNTIF(Games!$C$2:$C$101, Elo!$A77)=0), O77, IF(COUNTIF(Games!$B$2:$B$101, Elo!$A77)&gt;0, VLOOKUP(Elo!$A77, Games!$B$2:$AN$101, MATCH("New Home Elo", Games!$B$1:$AN$1, 0), FALSE), IF(COUNTIF(Games!$C$2:$C$101, Elo!$A77)&gt;0, VLOOKUP(Elo!$A77, Games!$C$2:$AO$101, MATCH("New Away Elo", Games!$C$1:$AO$1, 0), FALSE), O77)))</f>
        <v>1460.7181344326086</v>
      </c>
      <c r="S77" s="137" t="n">
        <f t="shared" si="29"/>
        <v>0</v>
      </c>
      <c r="T77" s="123" t="n">
        <f t="shared" si="24"/>
        <v>77</v>
      </c>
      <c r="U77" s="137" t="n">
        <f>IF(AND(COUNTIF(Games!$B$2:$B$101, Elo!$A77)=0,COUNTIF(Games!$C$2:$C$101, Elo!$A77)=0), R77, IF(COUNTIF(Games!$B$2:$B$101, Elo!$A77)&gt;0, VLOOKUP(Elo!$A77, Games!$B$2:$AN$101, MATCH("New Home Elo", Games!$B$1:$AN$1, 0), FALSE), IF(COUNTIF(Games!$C$2:$C$101, Elo!$A77)&gt;0, VLOOKUP(Elo!$A77, Games!$C$2:$AO$101, MATCH("New Away Elo", Games!$C$1:$AO$1, 0), FALSE), R77)))</f>
        <v>1460.7181344326086</v>
      </c>
      <c r="V77" s="137" t="n">
        <f t="shared" si="30"/>
        <v>0</v>
      </c>
      <c r="W77" s="123" t="n">
        <f t="shared" si="25"/>
        <v>77</v>
      </c>
    </row>
    <row r="78">
      <c r="A78" s="1" t="s">
        <v>194</v>
      </c>
      <c r="B78" s="1" t="s">
        <v>170</v>
      </c>
      <c r="C78" s="137" t="n">
        <f>VLOOKUP(A78, $A$2:$BQ$1048576, MATCH(_xlfn.CONCAT("Week ",Games!$A$7), Elo!$A$1:$BQ$1, 0), FALSE)</f>
        <v>1445.15054912657</v>
      </c>
      <c r="D78" s="137" t="n">
        <f t="shared" si="20"/>
        <v>77</v>
      </c>
      <c r="E78" s="137" t="n">
        <v>1445.15054912657</v>
      </c>
      <c r="F78" s="123" t="n">
        <v>77</v>
      </c>
      <c r="G78" s="137" t="n">
        <v>1445.15054912657</v>
      </c>
      <c r="H78" s="123" t="n">
        <v>77</v>
      </c>
      <c r="I78" s="137" t="n">
        <v>1445.15054912657</v>
      </c>
      <c r="J78" s="137" t="n">
        <f t="shared" si="26"/>
        <v>0</v>
      </c>
      <c r="K78" s="123" t="n">
        <f t="shared" si="21"/>
        <v>77</v>
      </c>
      <c r="L78" s="137" t="n">
        <f>IF(AND(COUNTIF(Games!$B$2:$B$101, Elo!$A78)=0,COUNTIF(Games!$C$2:$C$101, Elo!$A78)=0), I78, IF(COUNTIF(Games!$B$2:$B$101, Elo!$A78)&gt;0, VLOOKUP(Elo!$A78, Games!$B$2:$AN$101, MATCH("New Home Elo", Games!$B$1:$AN$1, 0), FALSE), IF(COUNTIF(Games!$C$2:$C$101, Elo!$A78)&gt;0, VLOOKUP(Elo!$A78, Games!$C$2:$AO$101, MATCH("New Away Elo", Games!$C$1:$AO$1, 0), FALSE), I78)))</f>
        <v>1451.0044567424763</v>
      </c>
      <c r="M78" s="137" t="n">
        <f t="shared" si="27"/>
        <v>5.853907615906337</v>
      </c>
      <c r="N78" s="123" t="n">
        <f t="shared" si="22"/>
        <v>79</v>
      </c>
      <c r="O78" s="137" t="n">
        <f>IF(AND(COUNTIF(Games!$B$2:$B$101, Elo!$A78)=0,COUNTIF(Games!$C$2:$C$101, Elo!$A78)=0), L78, IF(COUNTIF(Games!$B$2:$B$101, Elo!$A78)&gt;0, VLOOKUP(Elo!$A78, Games!$B$2:$AN$101, MATCH("New Home Elo", Games!$B$1:$AN$1, 0), FALSE), IF(COUNTIF(Games!$C$2:$C$101, Elo!$A78)&gt;0, VLOOKUP(Elo!$A78, Games!$C$2:$AO$101, MATCH("New Away Elo", Games!$C$1:$AO$1, 0), FALSE), L78)))</f>
        <v>1451.0044567424763</v>
      </c>
      <c r="P78" s="137" t="n">
        <f t="shared" si="28"/>
        <v>0</v>
      </c>
      <c r="Q78" s="123" t="n">
        <f t="shared" si="23"/>
        <v>79</v>
      </c>
      <c r="R78" s="137" t="n">
        <f>IF(AND(COUNTIF(Games!$B$2:$B$101, Elo!$A78)=0,COUNTIF(Games!$C$2:$C$101, Elo!$A78)=0), O78, IF(COUNTIF(Games!$B$2:$B$101, Elo!$A78)&gt;0, VLOOKUP(Elo!$A78, Games!$B$2:$AN$101, MATCH("New Home Elo", Games!$B$1:$AN$1, 0), FALSE), IF(COUNTIF(Games!$C$2:$C$101, Elo!$A78)&gt;0, VLOOKUP(Elo!$A78, Games!$C$2:$AO$101, MATCH("New Away Elo", Games!$C$1:$AO$1, 0), FALSE), O78)))</f>
        <v>1451.0044567424763</v>
      </c>
      <c r="S78" s="137" t="n">
        <f t="shared" si="29"/>
        <v>0</v>
      </c>
      <c r="T78" s="123" t="n">
        <f t="shared" si="24"/>
        <v>79</v>
      </c>
      <c r="U78" s="137" t="n">
        <f>IF(AND(COUNTIF(Games!$B$2:$B$101, Elo!$A78)=0,COUNTIF(Games!$C$2:$C$101, Elo!$A78)=0), R78, IF(COUNTIF(Games!$B$2:$B$101, Elo!$A78)&gt;0, VLOOKUP(Elo!$A78, Games!$B$2:$AN$101, MATCH("New Home Elo", Games!$B$1:$AN$1, 0), FALSE), IF(COUNTIF(Games!$C$2:$C$101, Elo!$A78)&gt;0, VLOOKUP(Elo!$A78, Games!$C$2:$AO$101, MATCH("New Away Elo", Games!$C$1:$AO$1, 0), FALSE), R78)))</f>
        <v>1451.0044567424763</v>
      </c>
      <c r="V78" s="137" t="n">
        <f t="shared" si="30"/>
        <v>0</v>
      </c>
      <c r="W78" s="123" t="n">
        <f t="shared" si="25"/>
        <v>79</v>
      </c>
    </row>
    <row r="79">
      <c r="A79" s="1" t="s">
        <v>195</v>
      </c>
      <c r="B79" s="1" t="s">
        <v>141</v>
      </c>
      <c r="C79" s="137" t="n">
        <f>VLOOKUP(A79, $A$2:$BQ$1048576, MATCH(_xlfn.CONCAT("Week ",Games!$A$7), Elo!$A$1:$BQ$1, 0), FALSE)</f>
        <v>1443.12595833975</v>
      </c>
      <c r="D79" s="137" t="n">
        <f t="shared" si="20"/>
        <v>78</v>
      </c>
      <c r="E79" s="137" t="n">
        <v>1443.12595833975</v>
      </c>
      <c r="F79" s="123" t="n">
        <v>78</v>
      </c>
      <c r="G79" s="137" t="n">
        <v>1443.12595833975</v>
      </c>
      <c r="H79" s="123" t="n">
        <v>78</v>
      </c>
      <c r="I79" s="137" t="n">
        <v>1443.12595833975</v>
      </c>
      <c r="J79" s="137" t="n">
        <f t="shared" si="26"/>
        <v>0</v>
      </c>
      <c r="K79" s="123" t="n">
        <f t="shared" si="21"/>
        <v>78</v>
      </c>
      <c r="L79" s="137" t="n">
        <f>IF(AND(COUNTIF(Games!$B$2:$B$101, Elo!$A79)=0,COUNTIF(Games!$C$2:$C$101, Elo!$A79)=0), I79, IF(COUNTIF(Games!$B$2:$B$101, Elo!$A79)&gt;0, VLOOKUP(Elo!$A79, Games!$B$2:$AN$101, MATCH("New Home Elo", Games!$B$1:$AN$1, 0), FALSE), IF(COUNTIF(Games!$C$2:$C$101, Elo!$A79)&gt;0, VLOOKUP(Elo!$A79, Games!$C$2:$AO$101, MATCH("New Away Elo", Games!$C$1:$AO$1, 0), FALSE), I79)))</f>
        <v>1431.3944735471489</v>
      </c>
      <c r="M79" s="137" t="n">
        <f t="shared" si="27"/>
        <v>-11.731484792601123</v>
      </c>
      <c r="N79" s="123" t="n">
        <f t="shared" si="22"/>
        <v>83</v>
      </c>
      <c r="O79" s="137" t="n">
        <f>IF(AND(COUNTIF(Games!$B$2:$B$101, Elo!$A79)=0,COUNTIF(Games!$C$2:$C$101, Elo!$A79)=0), L79, IF(COUNTIF(Games!$B$2:$B$101, Elo!$A79)&gt;0, VLOOKUP(Elo!$A79, Games!$B$2:$AN$101, MATCH("New Home Elo", Games!$B$1:$AN$1, 0), FALSE), IF(COUNTIF(Games!$C$2:$C$101, Elo!$A79)&gt;0, VLOOKUP(Elo!$A79, Games!$C$2:$AO$101, MATCH("New Away Elo", Games!$C$1:$AO$1, 0), FALSE), L79)))</f>
        <v>1431.3944735471489</v>
      </c>
      <c r="P79" s="137" t="n">
        <f t="shared" si="28"/>
        <v>0</v>
      </c>
      <c r="Q79" s="123" t="n">
        <f t="shared" si="23"/>
        <v>83</v>
      </c>
      <c r="R79" s="137" t="n">
        <f>IF(AND(COUNTIF(Games!$B$2:$B$101, Elo!$A79)=0,COUNTIF(Games!$C$2:$C$101, Elo!$A79)=0), O79, IF(COUNTIF(Games!$B$2:$B$101, Elo!$A79)&gt;0, VLOOKUP(Elo!$A79, Games!$B$2:$AN$101, MATCH("New Home Elo", Games!$B$1:$AN$1, 0), FALSE), IF(COUNTIF(Games!$C$2:$C$101, Elo!$A79)&gt;0, VLOOKUP(Elo!$A79, Games!$C$2:$AO$101, MATCH("New Away Elo", Games!$C$1:$AO$1, 0), FALSE), O79)))</f>
        <v>1431.3944735471489</v>
      </c>
      <c r="S79" s="137" t="n">
        <f t="shared" si="29"/>
        <v>0</v>
      </c>
      <c r="T79" s="123" t="n">
        <f t="shared" si="24"/>
        <v>83</v>
      </c>
      <c r="U79" s="137" t="n">
        <f>IF(AND(COUNTIF(Games!$B$2:$B$101, Elo!$A79)=0,COUNTIF(Games!$C$2:$C$101, Elo!$A79)=0), R79, IF(COUNTIF(Games!$B$2:$B$101, Elo!$A79)&gt;0, VLOOKUP(Elo!$A79, Games!$B$2:$AN$101, MATCH("New Home Elo", Games!$B$1:$AN$1, 0), FALSE), IF(COUNTIF(Games!$C$2:$C$101, Elo!$A79)&gt;0, VLOOKUP(Elo!$A79, Games!$C$2:$AO$101, MATCH("New Away Elo", Games!$C$1:$AO$1, 0), FALSE), R79)))</f>
        <v>1431.3944735471489</v>
      </c>
      <c r="V79" s="137" t="n">
        <f t="shared" si="30"/>
        <v>0</v>
      </c>
      <c r="W79" s="123" t="n">
        <f t="shared" si="25"/>
        <v>83</v>
      </c>
    </row>
    <row r="80">
      <c r="A80" s="1" t="s">
        <v>196</v>
      </c>
      <c r="B80" s="1" t="s">
        <v>170</v>
      </c>
      <c r="C80" s="137" t="n">
        <f>VLOOKUP(A80, $A$2:$BQ$1048576, MATCH(_xlfn.CONCAT("Week ",Games!$A$7), Elo!$A$1:$BQ$1, 0), FALSE)</f>
        <v>1436.3052224491501</v>
      </c>
      <c r="D80" s="137" t="n">
        <f t="shared" si="20"/>
        <v>79</v>
      </c>
      <c r="E80" s="137" t="n">
        <v>1436.3052224491501</v>
      </c>
      <c r="F80" s="123" t="n">
        <v>79</v>
      </c>
      <c r="G80" s="137" t="n">
        <v>1436.3052224491501</v>
      </c>
      <c r="H80" s="123" t="n">
        <v>79</v>
      </c>
      <c r="I80" s="137" t="n">
        <v>1436.3052224491501</v>
      </c>
      <c r="J80" s="137" t="n">
        <f t="shared" si="26"/>
        <v>0</v>
      </c>
      <c r="K80" s="123" t="n">
        <f t="shared" si="21"/>
        <v>79</v>
      </c>
      <c r="L80" s="137" t="n">
        <f>IF(AND(COUNTIF(Games!$B$2:$B$101, Elo!$A80)=0,COUNTIF(Games!$C$2:$C$101, Elo!$A80)=0), I80, IF(COUNTIF(Games!$B$2:$B$101, Elo!$A80)&gt;0, VLOOKUP(Elo!$A80, Games!$B$2:$AN$101, MATCH("New Home Elo", Games!$B$1:$AN$1, 0), FALSE), IF(COUNTIF(Games!$C$2:$C$101, Elo!$A80)&gt;0, VLOOKUP(Elo!$A80, Games!$C$2:$AO$101, MATCH("New Away Elo", Games!$C$1:$AO$1, 0), FALSE), I80)))</f>
        <v>1301.3049336732686</v>
      </c>
      <c r="M80" s="137" t="n">
        <f t="shared" si="27"/>
        <v>-135.00028877588147</v>
      </c>
      <c r="N80" s="123" t="n">
        <f t="shared" si="22"/>
        <v>112</v>
      </c>
      <c r="O80" s="137" t="n">
        <f>IF(AND(COUNTIF(Games!$B$2:$B$101, Elo!$A80)=0,COUNTIF(Games!$C$2:$C$101, Elo!$A80)=0), L80, IF(COUNTIF(Games!$B$2:$B$101, Elo!$A80)&gt;0, VLOOKUP(Elo!$A80, Games!$B$2:$AN$101, MATCH("New Home Elo", Games!$B$1:$AN$1, 0), FALSE), IF(COUNTIF(Games!$C$2:$C$101, Elo!$A80)&gt;0, VLOOKUP(Elo!$A80, Games!$C$2:$AO$101, MATCH("New Away Elo", Games!$C$1:$AO$1, 0), FALSE), L80)))</f>
        <v>1301.3049336732686</v>
      </c>
      <c r="P80" s="137" t="n">
        <f t="shared" si="28"/>
        <v>0</v>
      </c>
      <c r="Q80" s="123" t="n">
        <f t="shared" si="23"/>
        <v>112</v>
      </c>
      <c r="R80" s="137" t="n">
        <f>IF(AND(COUNTIF(Games!$B$2:$B$101, Elo!$A80)=0,COUNTIF(Games!$C$2:$C$101, Elo!$A80)=0), O80, IF(COUNTIF(Games!$B$2:$B$101, Elo!$A80)&gt;0, VLOOKUP(Elo!$A80, Games!$B$2:$AN$101, MATCH("New Home Elo", Games!$B$1:$AN$1, 0), FALSE), IF(COUNTIF(Games!$C$2:$C$101, Elo!$A80)&gt;0, VLOOKUP(Elo!$A80, Games!$C$2:$AO$101, MATCH("New Away Elo", Games!$C$1:$AO$1, 0), FALSE), O80)))</f>
        <v>1301.3049336732686</v>
      </c>
      <c r="S80" s="137" t="n">
        <f t="shared" si="29"/>
        <v>0</v>
      </c>
      <c r="T80" s="123" t="n">
        <f t="shared" si="24"/>
        <v>112</v>
      </c>
      <c r="U80" s="137" t="n">
        <f>IF(AND(COUNTIF(Games!$B$2:$B$101, Elo!$A80)=0,COUNTIF(Games!$C$2:$C$101, Elo!$A80)=0), R80, IF(COUNTIF(Games!$B$2:$B$101, Elo!$A80)&gt;0, VLOOKUP(Elo!$A80, Games!$B$2:$AN$101, MATCH("New Home Elo", Games!$B$1:$AN$1, 0), FALSE), IF(COUNTIF(Games!$C$2:$C$101, Elo!$A80)&gt;0, VLOOKUP(Elo!$A80, Games!$C$2:$AO$101, MATCH("New Away Elo", Games!$C$1:$AO$1, 0), FALSE), R80)))</f>
        <v>1301.3049336732686</v>
      </c>
      <c r="V80" s="137" t="n">
        <f t="shared" si="30"/>
        <v>0</v>
      </c>
      <c r="W80" s="123" t="n">
        <f t="shared" si="25"/>
        <v>112</v>
      </c>
    </row>
    <row r="81">
      <c r="A81" s="1" t="s">
        <v>197</v>
      </c>
      <c r="B81" s="1" t="s">
        <v>126</v>
      </c>
      <c r="C81" s="137" t="n">
        <f>VLOOKUP(A81, $A$2:$BQ$1048576, MATCH(_xlfn.CONCAT("Week ",Games!$A$7), Elo!$A$1:$BQ$1, 0), FALSE)</f>
        <v>1432.8476367916801</v>
      </c>
      <c r="D81" s="137" t="n">
        <f t="shared" si="20"/>
        <v>80</v>
      </c>
      <c r="E81" s="137" t="n">
        <v>1432.8476367916801</v>
      </c>
      <c r="F81" s="123" t="n">
        <v>80</v>
      </c>
      <c r="G81" s="137" t="n">
        <v>1432.8476367916801</v>
      </c>
      <c r="H81" s="123" t="n">
        <v>80</v>
      </c>
      <c r="I81" s="137" t="n">
        <v>1432.8476367916801</v>
      </c>
      <c r="J81" s="137" t="n">
        <f t="shared" si="26"/>
        <v>0</v>
      </c>
      <c r="K81" s="123" t="n">
        <f t="shared" si="21"/>
        <v>80</v>
      </c>
      <c r="L81" s="137" t="n">
        <f>IF(AND(COUNTIF(Games!$B$2:$B$101, Elo!$A81)=0,COUNTIF(Games!$C$2:$C$101, Elo!$A81)=0), I81, IF(COUNTIF(Games!$B$2:$B$101, Elo!$A81)&gt;0, VLOOKUP(Elo!$A81, Games!$B$2:$AN$101, MATCH("New Home Elo", Games!$B$1:$AN$1, 0), FALSE), IF(COUNTIF(Games!$C$2:$C$101, Elo!$A81)&gt;0, VLOOKUP(Elo!$A81, Games!$C$2:$AO$101, MATCH("New Away Elo", Games!$C$1:$AO$1, 0), FALSE), I81)))</f>
        <v>1451.9498878702009</v>
      </c>
      <c r="M81" s="137" t="n">
        <f t="shared" si="27"/>
        <v>19.102251078520794</v>
      </c>
      <c r="N81" s="123" t="n">
        <f t="shared" si="22"/>
        <v>78</v>
      </c>
      <c r="O81" s="137" t="n">
        <f>IF(AND(COUNTIF(Games!$B$2:$B$101, Elo!$A81)=0,COUNTIF(Games!$C$2:$C$101, Elo!$A81)=0), L81, IF(COUNTIF(Games!$B$2:$B$101, Elo!$A81)&gt;0, VLOOKUP(Elo!$A81, Games!$B$2:$AN$101, MATCH("New Home Elo", Games!$B$1:$AN$1, 0), FALSE), IF(COUNTIF(Games!$C$2:$C$101, Elo!$A81)&gt;0, VLOOKUP(Elo!$A81, Games!$C$2:$AO$101, MATCH("New Away Elo", Games!$C$1:$AO$1, 0), FALSE), L81)))</f>
        <v>1451.9498878702009</v>
      </c>
      <c r="P81" s="137" t="n">
        <f t="shared" si="28"/>
        <v>0</v>
      </c>
      <c r="Q81" s="123" t="n">
        <f t="shared" si="23"/>
        <v>78</v>
      </c>
      <c r="R81" s="137" t="n">
        <f>IF(AND(COUNTIF(Games!$B$2:$B$101, Elo!$A81)=0,COUNTIF(Games!$C$2:$C$101, Elo!$A81)=0), O81, IF(COUNTIF(Games!$B$2:$B$101, Elo!$A81)&gt;0, VLOOKUP(Elo!$A81, Games!$B$2:$AN$101, MATCH("New Home Elo", Games!$B$1:$AN$1, 0), FALSE), IF(COUNTIF(Games!$C$2:$C$101, Elo!$A81)&gt;0, VLOOKUP(Elo!$A81, Games!$C$2:$AO$101, MATCH("New Away Elo", Games!$C$1:$AO$1, 0), FALSE), O81)))</f>
        <v>1451.9498878702009</v>
      </c>
      <c r="S81" s="137" t="n">
        <f t="shared" si="29"/>
        <v>0</v>
      </c>
      <c r="T81" s="123" t="n">
        <f t="shared" si="24"/>
        <v>78</v>
      </c>
      <c r="U81" s="137" t="n">
        <f>IF(AND(COUNTIF(Games!$B$2:$B$101, Elo!$A81)=0,COUNTIF(Games!$C$2:$C$101, Elo!$A81)=0), R81, IF(COUNTIF(Games!$B$2:$B$101, Elo!$A81)&gt;0, VLOOKUP(Elo!$A81, Games!$B$2:$AN$101, MATCH("New Home Elo", Games!$B$1:$AN$1, 0), FALSE), IF(COUNTIF(Games!$C$2:$C$101, Elo!$A81)&gt;0, VLOOKUP(Elo!$A81, Games!$C$2:$AO$101, MATCH("New Away Elo", Games!$C$1:$AO$1, 0), FALSE), R81)))</f>
        <v>1451.9498878702009</v>
      </c>
      <c r="V81" s="137" t="n">
        <f t="shared" si="30"/>
        <v>0</v>
      </c>
      <c r="W81" s="123" t="n">
        <f t="shared" si="25"/>
        <v>78</v>
      </c>
    </row>
    <row r="82">
      <c r="A82" s="1" t="s">
        <v>198</v>
      </c>
      <c r="B82" s="1" t="s">
        <v>138</v>
      </c>
      <c r="C82" s="137" t="n">
        <f>VLOOKUP(A82, $A$2:$BQ$1048576, MATCH(_xlfn.CONCAT("Week ",Games!$A$7), Elo!$A$1:$BQ$1, 0), FALSE)</f>
        <v>1430.65821840994</v>
      </c>
      <c r="D82" s="137" t="n">
        <f t="shared" si="20"/>
        <v>81</v>
      </c>
      <c r="E82" s="137" t="n">
        <v>1430.65821840994</v>
      </c>
      <c r="F82" s="123" t="n">
        <v>81</v>
      </c>
      <c r="G82" s="137" t="n">
        <v>1430.65821840994</v>
      </c>
      <c r="H82" s="123" t="n">
        <v>81</v>
      </c>
      <c r="I82" s="137" t="n">
        <v>1430.65821840994</v>
      </c>
      <c r="J82" s="137" t="n">
        <f t="shared" si="26"/>
        <v>0</v>
      </c>
      <c r="K82" s="123" t="n">
        <f t="shared" si="21"/>
        <v>81</v>
      </c>
      <c r="L82" s="137" t="n">
        <f>IF(AND(COUNTIF(Games!$B$2:$B$101, Elo!$A82)=0,COUNTIF(Games!$C$2:$C$101, Elo!$A82)=0), I82, IF(COUNTIF(Games!$B$2:$B$101, Elo!$A82)&gt;0, VLOOKUP(Elo!$A82, Games!$B$2:$AN$101, MATCH("New Home Elo", Games!$B$1:$AN$1, 0), FALSE), IF(COUNTIF(Games!$C$2:$C$101, Elo!$A82)&gt;0, VLOOKUP(Elo!$A82, Games!$C$2:$AO$101, MATCH("New Away Elo", Games!$C$1:$AO$1, 0), FALSE), I82)))</f>
        <v>1536.5234922428806</v>
      </c>
      <c r="M82" s="137" t="n">
        <f t="shared" si="27"/>
        <v>105.8652738329406</v>
      </c>
      <c r="N82" s="123" t="n">
        <f t="shared" si="22"/>
        <v>58</v>
      </c>
      <c r="O82" s="137" t="n">
        <f>IF(AND(COUNTIF(Games!$B$2:$B$101, Elo!$A82)=0,COUNTIF(Games!$C$2:$C$101, Elo!$A82)=0), L82, IF(COUNTIF(Games!$B$2:$B$101, Elo!$A82)&gt;0, VLOOKUP(Elo!$A82, Games!$B$2:$AN$101, MATCH("New Home Elo", Games!$B$1:$AN$1, 0), FALSE), IF(COUNTIF(Games!$C$2:$C$101, Elo!$A82)&gt;0, VLOOKUP(Elo!$A82, Games!$C$2:$AO$101, MATCH("New Away Elo", Games!$C$1:$AO$1, 0), FALSE), L82)))</f>
        <v>1536.5234922428806</v>
      </c>
      <c r="P82" s="137" t="n">
        <f t="shared" si="28"/>
        <v>0</v>
      </c>
      <c r="Q82" s="123" t="n">
        <f t="shared" si="23"/>
        <v>58</v>
      </c>
      <c r="R82" s="137" t="n">
        <f>IF(AND(COUNTIF(Games!$B$2:$B$101, Elo!$A82)=0,COUNTIF(Games!$C$2:$C$101, Elo!$A82)=0), O82, IF(COUNTIF(Games!$B$2:$B$101, Elo!$A82)&gt;0, VLOOKUP(Elo!$A82, Games!$B$2:$AN$101, MATCH("New Home Elo", Games!$B$1:$AN$1, 0), FALSE), IF(COUNTIF(Games!$C$2:$C$101, Elo!$A82)&gt;0, VLOOKUP(Elo!$A82, Games!$C$2:$AO$101, MATCH("New Away Elo", Games!$C$1:$AO$1, 0), FALSE), O82)))</f>
        <v>1536.5234922428806</v>
      </c>
      <c r="S82" s="137" t="n">
        <f t="shared" si="29"/>
        <v>0</v>
      </c>
      <c r="T82" s="123" t="n">
        <f t="shared" si="24"/>
        <v>58</v>
      </c>
      <c r="U82" s="137" t="n">
        <f>IF(AND(COUNTIF(Games!$B$2:$B$101, Elo!$A82)=0,COUNTIF(Games!$C$2:$C$101, Elo!$A82)=0), R82, IF(COUNTIF(Games!$B$2:$B$101, Elo!$A82)&gt;0, VLOOKUP(Elo!$A82, Games!$B$2:$AN$101, MATCH("New Home Elo", Games!$B$1:$AN$1, 0), FALSE), IF(COUNTIF(Games!$C$2:$C$101, Elo!$A82)&gt;0, VLOOKUP(Elo!$A82, Games!$C$2:$AO$101, MATCH("New Away Elo", Games!$C$1:$AO$1, 0), FALSE), R82)))</f>
        <v>1536.5234922428806</v>
      </c>
      <c r="V82" s="137" t="n">
        <f t="shared" si="30"/>
        <v>0</v>
      </c>
      <c r="W82" s="123" t="n">
        <f t="shared" si="25"/>
        <v>58</v>
      </c>
    </row>
    <row r="83">
      <c r="A83" s="1" t="s">
        <v>199</v>
      </c>
      <c r="B83" s="1" t="s">
        <v>149</v>
      </c>
      <c r="C83" s="137" t="n">
        <f>VLOOKUP(A83, $A$2:$BQ$1048576, MATCH(_xlfn.CONCAT("Week ",Games!$A$7), Elo!$A$1:$BQ$1, 0), FALSE)</f>
        <v>1430.49718048412</v>
      </c>
      <c r="D83" s="137" t="n">
        <f t="shared" si="20"/>
        <v>82</v>
      </c>
      <c r="E83" s="137" t="n">
        <v>1430.49718048412</v>
      </c>
      <c r="F83" s="123" t="n">
        <v>82</v>
      </c>
      <c r="G83" s="137" t="n">
        <v>1430.49718048412</v>
      </c>
      <c r="H83" s="123" t="n">
        <v>82</v>
      </c>
      <c r="I83" s="137" t="n">
        <v>1430.49718048412</v>
      </c>
      <c r="J83" s="137" t="n">
        <f t="shared" si="26"/>
        <v>0</v>
      </c>
      <c r="K83" s="123" t="n">
        <f t="shared" si="21"/>
        <v>82</v>
      </c>
      <c r="L83" s="137" t="n">
        <f>IF(AND(COUNTIF(Games!$B$2:$B$101, Elo!$A83)=0,COUNTIF(Games!$C$2:$C$101, Elo!$A83)=0), I83, IF(COUNTIF(Games!$B$2:$B$101, Elo!$A83)&gt;0, VLOOKUP(Elo!$A83, Games!$B$2:$AN$101, MATCH("New Home Elo", Games!$B$1:$AN$1, 0), FALSE), IF(COUNTIF(Games!$C$2:$C$101, Elo!$A83)&gt;0, VLOOKUP(Elo!$A83, Games!$C$2:$AO$101, MATCH("New Away Elo", Games!$C$1:$AO$1, 0), FALSE), I83)))</f>
        <v>1175.4440762476802</v>
      </c>
      <c r="M83" s="137" t="n">
        <f t="shared" si="27"/>
        <v>-255.05310423643982</v>
      </c>
      <c r="N83" s="123" t="n">
        <f t="shared" si="22"/>
        <v>123</v>
      </c>
      <c r="O83" s="137" t="n">
        <f>IF(AND(COUNTIF(Games!$B$2:$B$101, Elo!$A83)=0,COUNTIF(Games!$C$2:$C$101, Elo!$A83)=0), L83, IF(COUNTIF(Games!$B$2:$B$101, Elo!$A83)&gt;0, VLOOKUP(Elo!$A83, Games!$B$2:$AN$101, MATCH("New Home Elo", Games!$B$1:$AN$1, 0), FALSE), IF(COUNTIF(Games!$C$2:$C$101, Elo!$A83)&gt;0, VLOOKUP(Elo!$A83, Games!$C$2:$AO$101, MATCH("New Away Elo", Games!$C$1:$AO$1, 0), FALSE), L83)))</f>
        <v>1175.4440762476802</v>
      </c>
      <c r="P83" s="137" t="n">
        <f t="shared" si="28"/>
        <v>0</v>
      </c>
      <c r="Q83" s="123" t="n">
        <f t="shared" si="23"/>
        <v>123</v>
      </c>
      <c r="R83" s="137" t="n">
        <f>IF(AND(COUNTIF(Games!$B$2:$B$101, Elo!$A83)=0,COUNTIF(Games!$C$2:$C$101, Elo!$A83)=0), O83, IF(COUNTIF(Games!$B$2:$B$101, Elo!$A83)&gt;0, VLOOKUP(Elo!$A83, Games!$B$2:$AN$101, MATCH("New Home Elo", Games!$B$1:$AN$1, 0), FALSE), IF(COUNTIF(Games!$C$2:$C$101, Elo!$A83)&gt;0, VLOOKUP(Elo!$A83, Games!$C$2:$AO$101, MATCH("New Away Elo", Games!$C$1:$AO$1, 0), FALSE), O83)))</f>
        <v>1175.4440762476802</v>
      </c>
      <c r="S83" s="137" t="n">
        <f t="shared" si="29"/>
        <v>0</v>
      </c>
      <c r="T83" s="123" t="n">
        <f t="shared" si="24"/>
        <v>123</v>
      </c>
      <c r="U83" s="137" t="n">
        <f>IF(AND(COUNTIF(Games!$B$2:$B$101, Elo!$A83)=0,COUNTIF(Games!$C$2:$C$101, Elo!$A83)=0), R83, IF(COUNTIF(Games!$B$2:$B$101, Elo!$A83)&gt;0, VLOOKUP(Elo!$A83, Games!$B$2:$AN$101, MATCH("New Home Elo", Games!$B$1:$AN$1, 0), FALSE), IF(COUNTIF(Games!$C$2:$C$101, Elo!$A83)&gt;0, VLOOKUP(Elo!$A83, Games!$C$2:$AO$101, MATCH("New Away Elo", Games!$C$1:$AO$1, 0), FALSE), R83)))</f>
        <v>1175.4440762476802</v>
      </c>
      <c r="V83" s="137" t="n">
        <f t="shared" si="30"/>
        <v>0</v>
      </c>
      <c r="W83" s="123" t="n">
        <f t="shared" si="25"/>
        <v>123</v>
      </c>
    </row>
    <row r="84">
      <c r="A84" s="1" t="s">
        <v>200</v>
      </c>
      <c r="B84" s="1" t="s">
        <v>170</v>
      </c>
      <c r="C84" s="137" t="n">
        <f>VLOOKUP(A84, $A$2:$BQ$1048576, MATCH(_xlfn.CONCAT("Week ",Games!$A$7), Elo!$A$1:$BQ$1, 0), FALSE)</f>
        <v>1428.0662163114901</v>
      </c>
      <c r="D84" s="137" t="n">
        <f t="shared" si="20"/>
        <v>83</v>
      </c>
      <c r="E84" s="137" t="n">
        <v>1428.0662163114901</v>
      </c>
      <c r="F84" s="123" t="n">
        <v>83</v>
      </c>
      <c r="G84" s="137" t="n">
        <v>1428.0662163114901</v>
      </c>
      <c r="H84" s="123" t="n">
        <v>83</v>
      </c>
      <c r="I84" s="137" t="n">
        <v>1428.0662163114901</v>
      </c>
      <c r="J84" s="137" t="n">
        <f t="shared" si="26"/>
        <v>0</v>
      </c>
      <c r="K84" s="123" t="n">
        <f t="shared" si="21"/>
        <v>83</v>
      </c>
      <c r="L84" s="137" t="n">
        <f>IF(AND(COUNTIF(Games!$B$2:$B$101, Elo!$A84)=0,COUNTIF(Games!$C$2:$C$101, Elo!$A84)=0), I84, IF(COUNTIF(Games!$B$2:$B$101, Elo!$A84)&gt;0, VLOOKUP(Elo!$A84, Games!$B$2:$AN$101, MATCH("New Home Elo", Games!$B$1:$AN$1, 0), FALSE), IF(COUNTIF(Games!$C$2:$C$101, Elo!$A84)&gt;0, VLOOKUP(Elo!$A84, Games!$C$2:$AO$101, MATCH("New Away Elo", Games!$C$1:$AO$1, 0), FALSE), I84)))</f>
        <v>1443.0678828126211</v>
      </c>
      <c r="M84" s="137" t="n">
        <f t="shared" si="27"/>
        <v>15.001666501131012</v>
      </c>
      <c r="N84" s="123" t="n">
        <f t="shared" si="22"/>
        <v>81</v>
      </c>
      <c r="O84" s="137" t="n">
        <f>IF(AND(COUNTIF(Games!$B$2:$B$101, Elo!$A84)=0,COUNTIF(Games!$C$2:$C$101, Elo!$A84)=0), L84, IF(COUNTIF(Games!$B$2:$B$101, Elo!$A84)&gt;0, VLOOKUP(Elo!$A84, Games!$B$2:$AN$101, MATCH("New Home Elo", Games!$B$1:$AN$1, 0), FALSE), IF(COUNTIF(Games!$C$2:$C$101, Elo!$A84)&gt;0, VLOOKUP(Elo!$A84, Games!$C$2:$AO$101, MATCH("New Away Elo", Games!$C$1:$AO$1, 0), FALSE), L84)))</f>
        <v>1443.0678828126211</v>
      </c>
      <c r="P84" s="137" t="n">
        <f t="shared" si="28"/>
        <v>0</v>
      </c>
      <c r="Q84" s="123" t="n">
        <f t="shared" si="23"/>
        <v>81</v>
      </c>
      <c r="R84" s="137" t="n">
        <f>IF(AND(COUNTIF(Games!$B$2:$B$101, Elo!$A84)=0,COUNTIF(Games!$C$2:$C$101, Elo!$A84)=0), O84, IF(COUNTIF(Games!$B$2:$B$101, Elo!$A84)&gt;0, VLOOKUP(Elo!$A84, Games!$B$2:$AN$101, MATCH("New Home Elo", Games!$B$1:$AN$1, 0), FALSE), IF(COUNTIF(Games!$C$2:$C$101, Elo!$A84)&gt;0, VLOOKUP(Elo!$A84, Games!$C$2:$AO$101, MATCH("New Away Elo", Games!$C$1:$AO$1, 0), FALSE), O84)))</f>
        <v>1443.0678828126211</v>
      </c>
      <c r="S84" s="137" t="n">
        <f t="shared" si="29"/>
        <v>0</v>
      </c>
      <c r="T84" s="123" t="n">
        <f t="shared" si="24"/>
        <v>81</v>
      </c>
      <c r="U84" s="137" t="n">
        <f>IF(AND(COUNTIF(Games!$B$2:$B$101, Elo!$A84)=0,COUNTIF(Games!$C$2:$C$101, Elo!$A84)=0), R84, IF(COUNTIF(Games!$B$2:$B$101, Elo!$A84)&gt;0, VLOOKUP(Elo!$A84, Games!$B$2:$AN$101, MATCH("New Home Elo", Games!$B$1:$AN$1, 0), FALSE), IF(COUNTIF(Games!$C$2:$C$101, Elo!$A84)&gt;0, VLOOKUP(Elo!$A84, Games!$C$2:$AO$101, MATCH("New Away Elo", Games!$C$1:$AO$1, 0), FALSE), R84)))</f>
        <v>1443.0678828126211</v>
      </c>
      <c r="V84" s="137" t="n">
        <f t="shared" si="30"/>
        <v>0</v>
      </c>
      <c r="W84" s="123" t="n">
        <f t="shared" si="25"/>
        <v>81</v>
      </c>
    </row>
    <row r="85">
      <c r="A85" s="1" t="s">
        <v>201</v>
      </c>
      <c r="B85" s="1" t="s">
        <v>109</v>
      </c>
      <c r="C85" s="137" t="n">
        <f>VLOOKUP(A85, $A$2:$BQ$1048576, MATCH(_xlfn.CONCAT("Week ",Games!$A$7), Elo!$A$1:$BQ$1, 0), FALSE)</f>
        <v>1425.80351524306</v>
      </c>
      <c r="D85" s="137" t="n">
        <f t="shared" si="20"/>
        <v>84</v>
      </c>
      <c r="E85" s="137" t="n">
        <v>1425.80351524306</v>
      </c>
      <c r="F85" s="123" t="n">
        <v>84</v>
      </c>
      <c r="G85" s="137" t="n">
        <v>1425.80351524306</v>
      </c>
      <c r="H85" s="123" t="n">
        <v>84</v>
      </c>
      <c r="I85" s="137" t="n">
        <v>1425.80351524306</v>
      </c>
      <c r="J85" s="137" t="n">
        <f t="shared" si="26"/>
        <v>0</v>
      </c>
      <c r="K85" s="123" t="n">
        <f t="shared" si="21"/>
        <v>84</v>
      </c>
      <c r="L85" s="137" t="n">
        <f>IF(AND(COUNTIF(Games!$B$2:$B$101, Elo!$A85)=0,COUNTIF(Games!$C$2:$C$101, Elo!$A85)=0), I85, IF(COUNTIF(Games!$B$2:$B$101, Elo!$A85)&gt;0, VLOOKUP(Elo!$A85, Games!$B$2:$AN$101, MATCH("New Home Elo", Games!$B$1:$AN$1, 0), FALSE), IF(COUNTIF(Games!$C$2:$C$101, Elo!$A85)&gt;0, VLOOKUP(Elo!$A85, Games!$C$2:$AO$101, MATCH("New Away Elo", Games!$C$1:$AO$1, 0), FALSE), I85)))</f>
        <v>1444.9074196647243</v>
      </c>
      <c r="M85" s="137" t="n">
        <f t="shared" si="27"/>
        <v>19.103904421664311</v>
      </c>
      <c r="N85" s="123" t="n">
        <f t="shared" si="22"/>
        <v>80</v>
      </c>
      <c r="O85" s="137" t="n">
        <f>IF(AND(COUNTIF(Games!$B$2:$B$101, Elo!$A85)=0,COUNTIF(Games!$C$2:$C$101, Elo!$A85)=0), L85, IF(COUNTIF(Games!$B$2:$B$101, Elo!$A85)&gt;0, VLOOKUP(Elo!$A85, Games!$B$2:$AN$101, MATCH("New Home Elo", Games!$B$1:$AN$1, 0), FALSE), IF(COUNTIF(Games!$C$2:$C$101, Elo!$A85)&gt;0, VLOOKUP(Elo!$A85, Games!$C$2:$AO$101, MATCH("New Away Elo", Games!$C$1:$AO$1, 0), FALSE), L85)))</f>
        <v>1444.9074196647243</v>
      </c>
      <c r="P85" s="137" t="n">
        <f t="shared" si="28"/>
        <v>0</v>
      </c>
      <c r="Q85" s="123" t="n">
        <f t="shared" si="23"/>
        <v>80</v>
      </c>
      <c r="R85" s="137" t="n">
        <f>IF(AND(COUNTIF(Games!$B$2:$B$101, Elo!$A85)=0,COUNTIF(Games!$C$2:$C$101, Elo!$A85)=0), O85, IF(COUNTIF(Games!$B$2:$B$101, Elo!$A85)&gt;0, VLOOKUP(Elo!$A85, Games!$B$2:$AN$101, MATCH("New Home Elo", Games!$B$1:$AN$1, 0), FALSE), IF(COUNTIF(Games!$C$2:$C$101, Elo!$A85)&gt;0, VLOOKUP(Elo!$A85, Games!$C$2:$AO$101, MATCH("New Away Elo", Games!$C$1:$AO$1, 0), FALSE), O85)))</f>
        <v>1444.9074196647243</v>
      </c>
      <c r="S85" s="137" t="n">
        <f t="shared" si="29"/>
        <v>0</v>
      </c>
      <c r="T85" s="123" t="n">
        <f t="shared" si="24"/>
        <v>80</v>
      </c>
      <c r="U85" s="137" t="n">
        <f>IF(AND(COUNTIF(Games!$B$2:$B$101, Elo!$A85)=0,COUNTIF(Games!$C$2:$C$101, Elo!$A85)=0), R85, IF(COUNTIF(Games!$B$2:$B$101, Elo!$A85)&gt;0, VLOOKUP(Elo!$A85, Games!$B$2:$AN$101, MATCH("New Home Elo", Games!$B$1:$AN$1, 0), FALSE), IF(COUNTIF(Games!$C$2:$C$101, Elo!$A85)&gt;0, VLOOKUP(Elo!$A85, Games!$C$2:$AO$101, MATCH("New Away Elo", Games!$C$1:$AO$1, 0), FALSE), R85)))</f>
        <v>1444.9074196647243</v>
      </c>
      <c r="V85" s="137" t="n">
        <f t="shared" si="30"/>
        <v>0</v>
      </c>
      <c r="W85" s="123" t="n">
        <f t="shared" si="25"/>
        <v>80</v>
      </c>
    </row>
    <row r="86">
      <c r="A86" s="1" t="s">
        <v>202</v>
      </c>
      <c r="B86" s="1" t="s">
        <v>126</v>
      </c>
      <c r="C86" s="137" t="n">
        <f>VLOOKUP(A86, $A$2:$BQ$1048576, MATCH(_xlfn.CONCAT("Week ",Games!$A$7), Elo!$A$1:$BQ$1, 0), FALSE)</f>
        <v>1412.3371658834501</v>
      </c>
      <c r="D86" s="137" t="n">
        <f t="shared" si="20"/>
        <v>85</v>
      </c>
      <c r="E86" s="137" t="n">
        <v>1412.3371658834501</v>
      </c>
      <c r="F86" s="123" t="n">
        <v>85</v>
      </c>
      <c r="G86" s="137" t="n">
        <v>1412.3371658834501</v>
      </c>
      <c r="H86" s="123" t="n">
        <v>85</v>
      </c>
      <c r="I86" s="137" t="n">
        <v>1412.3371658834501</v>
      </c>
      <c r="J86" s="137" t="n">
        <f t="shared" si="26"/>
        <v>0</v>
      </c>
      <c r="K86" s="123" t="n">
        <f t="shared" si="21"/>
        <v>85</v>
      </c>
      <c r="L86" s="137" t="n">
        <f>IF(AND(COUNTIF(Games!$B$2:$B$101, Elo!$A86)=0,COUNTIF(Games!$C$2:$C$101, Elo!$A86)=0), I86, IF(COUNTIF(Games!$B$2:$B$101, Elo!$A86)&gt;0, VLOOKUP(Elo!$A86, Games!$B$2:$AN$101, MATCH("New Home Elo", Games!$B$1:$AN$1, 0), FALSE), IF(COUNTIF(Games!$C$2:$C$101, Elo!$A86)&gt;0, VLOOKUP(Elo!$A86, Games!$C$2:$AO$101, MATCH("New Away Elo", Games!$C$1:$AO$1, 0), FALSE), I86)))</f>
        <v>1434.9247278973244</v>
      </c>
      <c r="M86" s="137" t="n">
        <f t="shared" si="27"/>
        <v>22.587562013874276</v>
      </c>
      <c r="N86" s="123" t="n">
        <f t="shared" si="22"/>
        <v>82</v>
      </c>
      <c r="O86" s="137" t="n">
        <f>IF(AND(COUNTIF(Games!$B$2:$B$101, Elo!$A86)=0,COUNTIF(Games!$C$2:$C$101, Elo!$A86)=0), L86, IF(COUNTIF(Games!$B$2:$B$101, Elo!$A86)&gt;0, VLOOKUP(Elo!$A86, Games!$B$2:$AN$101, MATCH("New Home Elo", Games!$B$1:$AN$1, 0), FALSE), IF(COUNTIF(Games!$C$2:$C$101, Elo!$A86)&gt;0, VLOOKUP(Elo!$A86, Games!$C$2:$AO$101, MATCH("New Away Elo", Games!$C$1:$AO$1, 0), FALSE), L86)))</f>
        <v>1434.9247278973244</v>
      </c>
      <c r="P86" s="137" t="n">
        <f t="shared" si="28"/>
        <v>0</v>
      </c>
      <c r="Q86" s="123" t="n">
        <f t="shared" si="23"/>
        <v>82</v>
      </c>
      <c r="R86" s="137" t="n">
        <f>IF(AND(COUNTIF(Games!$B$2:$B$101, Elo!$A86)=0,COUNTIF(Games!$C$2:$C$101, Elo!$A86)=0), O86, IF(COUNTIF(Games!$B$2:$B$101, Elo!$A86)&gt;0, VLOOKUP(Elo!$A86, Games!$B$2:$AN$101, MATCH("New Home Elo", Games!$B$1:$AN$1, 0), FALSE), IF(COUNTIF(Games!$C$2:$C$101, Elo!$A86)&gt;0, VLOOKUP(Elo!$A86, Games!$C$2:$AO$101, MATCH("New Away Elo", Games!$C$1:$AO$1, 0), FALSE), O86)))</f>
        <v>1434.9247278973244</v>
      </c>
      <c r="S86" s="137" t="n">
        <f t="shared" si="29"/>
        <v>0</v>
      </c>
      <c r="T86" s="123" t="n">
        <f t="shared" si="24"/>
        <v>82</v>
      </c>
      <c r="U86" s="137" t="n">
        <f>IF(AND(COUNTIF(Games!$B$2:$B$101, Elo!$A86)=0,COUNTIF(Games!$C$2:$C$101, Elo!$A86)=0), R86, IF(COUNTIF(Games!$B$2:$B$101, Elo!$A86)&gt;0, VLOOKUP(Elo!$A86, Games!$B$2:$AN$101, MATCH("New Home Elo", Games!$B$1:$AN$1, 0), FALSE), IF(COUNTIF(Games!$C$2:$C$101, Elo!$A86)&gt;0, VLOOKUP(Elo!$A86, Games!$C$2:$AO$101, MATCH("New Away Elo", Games!$C$1:$AO$1, 0), FALSE), R86)))</f>
        <v>1434.9247278973244</v>
      </c>
      <c r="V86" s="137" t="n">
        <f t="shared" si="30"/>
        <v>0</v>
      </c>
      <c r="W86" s="123" t="n">
        <f t="shared" si="25"/>
        <v>82</v>
      </c>
    </row>
    <row r="87">
      <c r="A87" s="1" t="s">
        <v>203</v>
      </c>
      <c r="B87" s="1" t="s">
        <v>135</v>
      </c>
      <c r="C87" s="137" t="n">
        <f>VLOOKUP(A87, $A$2:$BQ$1048576, MATCH(_xlfn.CONCAT("Week ",Games!$A$7), Elo!$A$1:$BQ$1, 0), FALSE)</f>
        <v>1411.46216213052</v>
      </c>
      <c r="D87" s="137" t="n">
        <f t="shared" si="20"/>
        <v>86</v>
      </c>
      <c r="E87" s="137" t="n">
        <v>1411.46216213052</v>
      </c>
      <c r="F87" s="123" t="n">
        <v>86</v>
      </c>
      <c r="G87" s="137" t="n">
        <v>1411.46216213052</v>
      </c>
      <c r="H87" s="123" t="n">
        <v>86</v>
      </c>
      <c r="I87" s="137" t="n">
        <v>1411.46216213052</v>
      </c>
      <c r="J87" s="137" t="n">
        <f t="shared" si="26"/>
        <v>0</v>
      </c>
      <c r="K87" s="123" t="n">
        <f t="shared" si="21"/>
        <v>86</v>
      </c>
      <c r="L87" s="137" t="n">
        <f>IF(AND(COUNTIF(Games!$B$2:$B$101, Elo!$A87)=0,COUNTIF(Games!$C$2:$C$101, Elo!$A87)=0), I87, IF(COUNTIF(Games!$B$2:$B$101, Elo!$A87)&gt;0, VLOOKUP(Elo!$A87, Games!$B$2:$AN$101, MATCH("New Home Elo", Games!$B$1:$AN$1, 0), FALSE), IF(COUNTIF(Games!$C$2:$C$101, Elo!$A87)&gt;0, VLOOKUP(Elo!$A87, Games!$C$2:$AO$101, MATCH("New Away Elo", Games!$C$1:$AO$1, 0), FALSE), I87)))</f>
        <v>1420.774944108683</v>
      </c>
      <c r="M87" s="137" t="n">
        <f t="shared" si="27"/>
        <v>9.3127819781630023</v>
      </c>
      <c r="N87" s="123" t="n">
        <f t="shared" si="22"/>
        <v>85</v>
      </c>
      <c r="O87" s="137" t="n">
        <f>IF(AND(COUNTIF(Games!$B$2:$B$101, Elo!$A87)=0,COUNTIF(Games!$C$2:$C$101, Elo!$A87)=0), L87, IF(COUNTIF(Games!$B$2:$B$101, Elo!$A87)&gt;0, VLOOKUP(Elo!$A87, Games!$B$2:$AN$101, MATCH("New Home Elo", Games!$B$1:$AN$1, 0), FALSE), IF(COUNTIF(Games!$C$2:$C$101, Elo!$A87)&gt;0, VLOOKUP(Elo!$A87, Games!$C$2:$AO$101, MATCH("New Away Elo", Games!$C$1:$AO$1, 0), FALSE), L87)))</f>
        <v>1420.774944108683</v>
      </c>
      <c r="P87" s="137" t="n">
        <f t="shared" si="28"/>
        <v>0</v>
      </c>
      <c r="Q87" s="123" t="n">
        <f t="shared" si="23"/>
        <v>85</v>
      </c>
      <c r="R87" s="137" t="n">
        <f>IF(AND(COUNTIF(Games!$B$2:$B$101, Elo!$A87)=0,COUNTIF(Games!$C$2:$C$101, Elo!$A87)=0), O87, IF(COUNTIF(Games!$B$2:$B$101, Elo!$A87)&gt;0, VLOOKUP(Elo!$A87, Games!$B$2:$AN$101, MATCH("New Home Elo", Games!$B$1:$AN$1, 0), FALSE), IF(COUNTIF(Games!$C$2:$C$101, Elo!$A87)&gt;0, VLOOKUP(Elo!$A87, Games!$C$2:$AO$101, MATCH("New Away Elo", Games!$C$1:$AO$1, 0), FALSE), O87)))</f>
        <v>1420.774944108683</v>
      </c>
      <c r="S87" s="137" t="n">
        <f t="shared" si="29"/>
        <v>0</v>
      </c>
      <c r="T87" s="123" t="n">
        <f t="shared" si="24"/>
        <v>85</v>
      </c>
      <c r="U87" s="137" t="n">
        <f>IF(AND(COUNTIF(Games!$B$2:$B$101, Elo!$A87)=0,COUNTIF(Games!$C$2:$C$101, Elo!$A87)=0), R87, IF(COUNTIF(Games!$B$2:$B$101, Elo!$A87)&gt;0, VLOOKUP(Elo!$A87, Games!$B$2:$AN$101, MATCH("New Home Elo", Games!$B$1:$AN$1, 0), FALSE), IF(COUNTIF(Games!$C$2:$C$101, Elo!$A87)&gt;0, VLOOKUP(Elo!$A87, Games!$C$2:$AO$101, MATCH("New Away Elo", Games!$C$1:$AO$1, 0), FALSE), R87)))</f>
        <v>1420.774944108683</v>
      </c>
      <c r="V87" s="137" t="n">
        <f t="shared" si="30"/>
        <v>0</v>
      </c>
      <c r="W87" s="123" t="n">
        <f t="shared" si="25"/>
        <v>85</v>
      </c>
    </row>
    <row r="88">
      <c r="A88" s="1" t="s">
        <v>204</v>
      </c>
      <c r="B88" s="1" t="s">
        <v>138</v>
      </c>
      <c r="C88" s="137" t="n">
        <f>VLOOKUP(A88, $A$2:$BQ$1048576, MATCH(_xlfn.CONCAT("Week ",Games!$A$7), Elo!$A$1:$BQ$1, 0), FALSE)</f>
        <v>1411.2568692781999</v>
      </c>
      <c r="D88" s="137" t="n">
        <f t="shared" si="20"/>
        <v>87</v>
      </c>
      <c r="E88" s="137" t="n">
        <v>1411.2568692781999</v>
      </c>
      <c r="F88" s="123" t="n">
        <v>87</v>
      </c>
      <c r="G88" s="137" t="n">
        <v>1411.2568692781999</v>
      </c>
      <c r="H88" s="123" t="n">
        <v>87</v>
      </c>
      <c r="I88" s="137" t="n">
        <v>1411.2568692781999</v>
      </c>
      <c r="J88" s="137" t="n">
        <f t="shared" si="26"/>
        <v>0</v>
      </c>
      <c r="K88" s="123" t="n">
        <f t="shared" si="21"/>
        <v>87</v>
      </c>
      <c r="L88" s="137" t="n">
        <f>IF(AND(COUNTIF(Games!$B$2:$B$101, Elo!$A88)=0,COUNTIF(Games!$C$2:$C$101, Elo!$A88)=0), I88, IF(COUNTIF(Games!$B$2:$B$101, Elo!$A88)&gt;0, VLOOKUP(Elo!$A88, Games!$B$2:$AN$101, MATCH("New Home Elo", Games!$B$1:$AN$1, 0), FALSE), IF(COUNTIF(Games!$C$2:$C$101, Elo!$A88)&gt;0, VLOOKUP(Elo!$A88, Games!$C$2:$AO$101, MATCH("New Away Elo", Games!$C$1:$AO$1, 0), FALSE), I88)))</f>
        <v>1425.1776590871802</v>
      </c>
      <c r="M88" s="137" t="n">
        <f t="shared" si="27"/>
        <v>13.920789808980317</v>
      </c>
      <c r="N88" s="123" t="n">
        <f t="shared" si="22"/>
        <v>84</v>
      </c>
      <c r="O88" s="137" t="n">
        <f>IF(AND(COUNTIF(Games!$B$2:$B$101, Elo!$A88)=0,COUNTIF(Games!$C$2:$C$101, Elo!$A88)=0), L88, IF(COUNTIF(Games!$B$2:$B$101, Elo!$A88)&gt;0, VLOOKUP(Elo!$A88, Games!$B$2:$AN$101, MATCH("New Home Elo", Games!$B$1:$AN$1, 0), FALSE), IF(COUNTIF(Games!$C$2:$C$101, Elo!$A88)&gt;0, VLOOKUP(Elo!$A88, Games!$C$2:$AO$101, MATCH("New Away Elo", Games!$C$1:$AO$1, 0), FALSE), L88)))</f>
        <v>1425.1776590871802</v>
      </c>
      <c r="P88" s="137" t="n">
        <f t="shared" si="28"/>
        <v>0</v>
      </c>
      <c r="Q88" s="123" t="n">
        <f t="shared" si="23"/>
        <v>84</v>
      </c>
      <c r="R88" s="137" t="n">
        <f>IF(AND(COUNTIF(Games!$B$2:$B$101, Elo!$A88)=0,COUNTIF(Games!$C$2:$C$101, Elo!$A88)=0), O88, IF(COUNTIF(Games!$B$2:$B$101, Elo!$A88)&gt;0, VLOOKUP(Elo!$A88, Games!$B$2:$AN$101, MATCH("New Home Elo", Games!$B$1:$AN$1, 0), FALSE), IF(COUNTIF(Games!$C$2:$C$101, Elo!$A88)&gt;0, VLOOKUP(Elo!$A88, Games!$C$2:$AO$101, MATCH("New Away Elo", Games!$C$1:$AO$1, 0), FALSE), O88)))</f>
        <v>1425.1776590871802</v>
      </c>
      <c r="S88" s="137" t="n">
        <f t="shared" si="29"/>
        <v>0</v>
      </c>
      <c r="T88" s="123" t="n">
        <f t="shared" si="24"/>
        <v>84</v>
      </c>
      <c r="U88" s="137" t="n">
        <f>IF(AND(COUNTIF(Games!$B$2:$B$101, Elo!$A88)=0,COUNTIF(Games!$C$2:$C$101, Elo!$A88)=0), R88, IF(COUNTIF(Games!$B$2:$B$101, Elo!$A88)&gt;0, VLOOKUP(Elo!$A88, Games!$B$2:$AN$101, MATCH("New Home Elo", Games!$B$1:$AN$1, 0), FALSE), IF(COUNTIF(Games!$C$2:$C$101, Elo!$A88)&gt;0, VLOOKUP(Elo!$A88, Games!$C$2:$AO$101, MATCH("New Away Elo", Games!$C$1:$AO$1, 0), FALSE), R88)))</f>
        <v>1425.1776590871802</v>
      </c>
      <c r="V88" s="137" t="n">
        <f t="shared" si="30"/>
        <v>0</v>
      </c>
      <c r="W88" s="123" t="n">
        <f t="shared" si="25"/>
        <v>84</v>
      </c>
    </row>
    <row r="89">
      <c r="A89" s="1" t="s">
        <v>205</v>
      </c>
      <c r="B89" s="1" t="s">
        <v>126</v>
      </c>
      <c r="C89" s="137" t="n">
        <f>VLOOKUP(A89, $A$2:$BQ$1048576, MATCH(_xlfn.CONCAT("Week ",Games!$A$7), Elo!$A$1:$BQ$1, 0), FALSE)</f>
        <v>1411.1644731500101</v>
      </c>
      <c r="D89" s="137" t="n">
        <f t="shared" si="20"/>
        <v>88</v>
      </c>
      <c r="E89" s="137" t="n">
        <v>1411.1644731500101</v>
      </c>
      <c r="F89" s="123" t="n">
        <v>88</v>
      </c>
      <c r="G89" s="137" t="n">
        <v>1411.1644731500101</v>
      </c>
      <c r="H89" s="123" t="n">
        <v>88</v>
      </c>
      <c r="I89" s="137" t="n">
        <v>1411.1644731500101</v>
      </c>
      <c r="J89" s="137" t="n">
        <f t="shared" si="26"/>
        <v>0</v>
      </c>
      <c r="K89" s="123" t="n">
        <f t="shared" si="21"/>
        <v>88</v>
      </c>
      <c r="L89" s="137" t="n">
        <f>IF(AND(COUNTIF(Games!$B$2:$B$101, Elo!$A89)=0,COUNTIF(Games!$C$2:$C$101, Elo!$A89)=0), I89, IF(COUNTIF(Games!$B$2:$B$101, Elo!$A89)&gt;0, VLOOKUP(Elo!$A89, Games!$B$2:$AN$101, MATCH("New Home Elo", Games!$B$1:$AN$1, 0), FALSE), IF(COUNTIF(Games!$C$2:$C$101, Elo!$A89)&gt;0, VLOOKUP(Elo!$A89, Games!$C$2:$AO$101, MATCH("New Away Elo", Games!$C$1:$AO$1, 0), FALSE), I89)))</f>
        <v>1416.0245010600095</v>
      </c>
      <c r="M89" s="137" t="n">
        <f t="shared" si="27"/>
        <v>4.8600279099994168</v>
      </c>
      <c r="N89" s="123" t="n">
        <f t="shared" si="22"/>
        <v>88</v>
      </c>
      <c r="O89" s="137" t="n">
        <f>IF(AND(COUNTIF(Games!$B$2:$B$101, Elo!$A89)=0,COUNTIF(Games!$C$2:$C$101, Elo!$A89)=0), L89, IF(COUNTIF(Games!$B$2:$B$101, Elo!$A89)&gt;0, VLOOKUP(Elo!$A89, Games!$B$2:$AN$101, MATCH("New Home Elo", Games!$B$1:$AN$1, 0), FALSE), IF(COUNTIF(Games!$C$2:$C$101, Elo!$A89)&gt;0, VLOOKUP(Elo!$A89, Games!$C$2:$AO$101, MATCH("New Away Elo", Games!$C$1:$AO$1, 0), FALSE), L89)))</f>
        <v>1416.0245010600095</v>
      </c>
      <c r="P89" s="137" t="n">
        <f t="shared" si="28"/>
        <v>0</v>
      </c>
      <c r="Q89" s="123" t="n">
        <f t="shared" si="23"/>
        <v>88</v>
      </c>
      <c r="R89" s="137" t="n">
        <f>IF(AND(COUNTIF(Games!$B$2:$B$101, Elo!$A89)=0,COUNTIF(Games!$C$2:$C$101, Elo!$A89)=0), O89, IF(COUNTIF(Games!$B$2:$B$101, Elo!$A89)&gt;0, VLOOKUP(Elo!$A89, Games!$B$2:$AN$101, MATCH("New Home Elo", Games!$B$1:$AN$1, 0), FALSE), IF(COUNTIF(Games!$C$2:$C$101, Elo!$A89)&gt;0, VLOOKUP(Elo!$A89, Games!$C$2:$AO$101, MATCH("New Away Elo", Games!$C$1:$AO$1, 0), FALSE), O89)))</f>
        <v>1416.0245010600095</v>
      </c>
      <c r="S89" s="137" t="n">
        <f t="shared" si="29"/>
        <v>0</v>
      </c>
      <c r="T89" s="123" t="n">
        <f t="shared" si="24"/>
        <v>88</v>
      </c>
      <c r="U89" s="137" t="n">
        <f>IF(AND(COUNTIF(Games!$B$2:$B$101, Elo!$A89)=0,COUNTIF(Games!$C$2:$C$101, Elo!$A89)=0), R89, IF(COUNTIF(Games!$B$2:$B$101, Elo!$A89)&gt;0, VLOOKUP(Elo!$A89, Games!$B$2:$AN$101, MATCH("New Home Elo", Games!$B$1:$AN$1, 0), FALSE), IF(COUNTIF(Games!$C$2:$C$101, Elo!$A89)&gt;0, VLOOKUP(Elo!$A89, Games!$C$2:$AO$101, MATCH("New Away Elo", Games!$C$1:$AO$1, 0), FALSE), R89)))</f>
        <v>1416.0245010600095</v>
      </c>
      <c r="V89" s="137" t="n">
        <f t="shared" si="30"/>
        <v>0</v>
      </c>
      <c r="W89" s="123" t="n">
        <f t="shared" si="25"/>
        <v>88</v>
      </c>
    </row>
    <row r="90">
      <c r="A90" s="1" t="s">
        <v>206</v>
      </c>
      <c r="B90" s="1" t="s">
        <v>122</v>
      </c>
      <c r="C90" s="137" t="n">
        <f>VLOOKUP(A90, $A$2:$BQ$1048576, MATCH(_xlfn.CONCAT("Week ",Games!$A$7), Elo!$A$1:$BQ$1, 0), FALSE)</f>
        <v>1408.9937454746801</v>
      </c>
      <c r="D90" s="137" t="n">
        <f t="shared" si="20"/>
        <v>89</v>
      </c>
      <c r="E90" s="137" t="n">
        <v>1408.9937454746801</v>
      </c>
      <c r="F90" s="123" t="n">
        <v>89</v>
      </c>
      <c r="G90" s="137" t="n">
        <v>1408.9937454746801</v>
      </c>
      <c r="H90" s="123" t="n">
        <v>89</v>
      </c>
      <c r="I90" s="137" t="n">
        <v>1408.9937454746801</v>
      </c>
      <c r="J90" s="137" t="n">
        <f t="shared" si="26"/>
        <v>0</v>
      </c>
      <c r="K90" s="123" t="n">
        <f t="shared" si="21"/>
        <v>89</v>
      </c>
      <c r="L90" s="137" t="n">
        <f>IF(AND(COUNTIF(Games!$B$2:$B$101, Elo!$A90)=0,COUNTIF(Games!$C$2:$C$101, Elo!$A90)=0), I90, IF(COUNTIF(Games!$B$2:$B$101, Elo!$A90)&gt;0, VLOOKUP(Elo!$A90, Games!$B$2:$AN$101, MATCH("New Home Elo", Games!$B$1:$AN$1, 0), FALSE), IF(COUNTIF(Games!$C$2:$C$101, Elo!$A90)&gt;0, VLOOKUP(Elo!$A90, Games!$C$2:$AO$101, MATCH("New Away Elo", Games!$C$1:$AO$1, 0), FALSE), I90)))</f>
        <v>1417.637504352454</v>
      </c>
      <c r="M90" s="137" t="n">
        <f t="shared" si="27"/>
        <v>8.643758877773962</v>
      </c>
      <c r="N90" s="123" t="n">
        <f t="shared" si="22"/>
        <v>87</v>
      </c>
      <c r="O90" s="137" t="n">
        <f>IF(AND(COUNTIF(Games!$B$2:$B$101, Elo!$A90)=0,COUNTIF(Games!$C$2:$C$101, Elo!$A90)=0), L90, IF(COUNTIF(Games!$B$2:$B$101, Elo!$A90)&gt;0, VLOOKUP(Elo!$A90, Games!$B$2:$AN$101, MATCH("New Home Elo", Games!$B$1:$AN$1, 0), FALSE), IF(COUNTIF(Games!$C$2:$C$101, Elo!$A90)&gt;0, VLOOKUP(Elo!$A90, Games!$C$2:$AO$101, MATCH("New Away Elo", Games!$C$1:$AO$1, 0), FALSE), L90)))</f>
        <v>1417.637504352454</v>
      </c>
      <c r="P90" s="137" t="n">
        <f t="shared" si="28"/>
        <v>0</v>
      </c>
      <c r="Q90" s="123" t="n">
        <f t="shared" si="23"/>
        <v>87</v>
      </c>
      <c r="R90" s="137" t="n">
        <f>IF(AND(COUNTIF(Games!$B$2:$B$101, Elo!$A90)=0,COUNTIF(Games!$C$2:$C$101, Elo!$A90)=0), O90, IF(COUNTIF(Games!$B$2:$B$101, Elo!$A90)&gt;0, VLOOKUP(Elo!$A90, Games!$B$2:$AN$101, MATCH("New Home Elo", Games!$B$1:$AN$1, 0), FALSE), IF(COUNTIF(Games!$C$2:$C$101, Elo!$A90)&gt;0, VLOOKUP(Elo!$A90, Games!$C$2:$AO$101, MATCH("New Away Elo", Games!$C$1:$AO$1, 0), FALSE), O90)))</f>
        <v>1417.637504352454</v>
      </c>
      <c r="S90" s="137" t="n">
        <f t="shared" si="29"/>
        <v>0</v>
      </c>
      <c r="T90" s="123" t="n">
        <f t="shared" si="24"/>
        <v>87</v>
      </c>
      <c r="U90" s="137" t="n">
        <f>IF(AND(COUNTIF(Games!$B$2:$B$101, Elo!$A90)=0,COUNTIF(Games!$C$2:$C$101, Elo!$A90)=0), R90, IF(COUNTIF(Games!$B$2:$B$101, Elo!$A90)&gt;0, VLOOKUP(Elo!$A90, Games!$B$2:$AN$101, MATCH("New Home Elo", Games!$B$1:$AN$1, 0), FALSE), IF(COUNTIF(Games!$C$2:$C$101, Elo!$A90)&gt;0, VLOOKUP(Elo!$A90, Games!$C$2:$AO$101, MATCH("New Away Elo", Games!$C$1:$AO$1, 0), FALSE), R90)))</f>
        <v>1417.637504352454</v>
      </c>
      <c r="V90" s="137" t="n">
        <f t="shared" si="30"/>
        <v>0</v>
      </c>
      <c r="W90" s="123" t="n">
        <f t="shared" si="25"/>
        <v>87</v>
      </c>
    </row>
    <row r="91">
      <c r="A91" s="1" t="s">
        <v>207</v>
      </c>
      <c r="B91" s="1" t="s">
        <v>149</v>
      </c>
      <c r="C91" s="137" t="n">
        <f>VLOOKUP(A91, $A$2:$BQ$1048576, MATCH(_xlfn.CONCAT("Week ",Games!$A$7), Elo!$A$1:$BQ$1, 0), FALSE)</f>
        <v>1402.82738438965</v>
      </c>
      <c r="D91" s="137" t="n">
        <f t="shared" si="20"/>
        <v>90</v>
      </c>
      <c r="E91" s="137" t="n">
        <v>1402.82738438965</v>
      </c>
      <c r="F91" s="123" t="n">
        <v>90</v>
      </c>
      <c r="G91" s="137" t="n">
        <v>1402.82738438965</v>
      </c>
      <c r="H91" s="123" t="n">
        <v>90</v>
      </c>
      <c r="I91" s="137" t="n">
        <v>1402.82738438965</v>
      </c>
      <c r="J91" s="137" t="n">
        <f t="shared" si="26"/>
        <v>0</v>
      </c>
      <c r="K91" s="123" t="n">
        <f t="shared" si="21"/>
        <v>90</v>
      </c>
      <c r="L91" s="137" t="n">
        <f>IF(AND(COUNTIF(Games!$B$2:$B$101, Elo!$A91)=0,COUNTIF(Games!$C$2:$C$101, Elo!$A91)=0), I91, IF(COUNTIF(Games!$B$2:$B$101, Elo!$A91)&gt;0, VLOOKUP(Elo!$A91, Games!$B$2:$AN$101, MATCH("New Home Elo", Games!$B$1:$AN$1, 0), FALSE), IF(COUNTIF(Games!$C$2:$C$101, Elo!$A91)&gt;0, VLOOKUP(Elo!$A91, Games!$C$2:$AO$101, MATCH("New Away Elo", Games!$C$1:$AO$1, 0), FALSE), I91)))</f>
        <v>1394.2374982874921</v>
      </c>
      <c r="M91" s="137" t="n">
        <f t="shared" si="27"/>
        <v>-8.5898861021578341</v>
      </c>
      <c r="N91" s="123" t="n">
        <f t="shared" si="22"/>
        <v>94</v>
      </c>
      <c r="O91" s="137" t="n">
        <f>IF(AND(COUNTIF(Games!$B$2:$B$101, Elo!$A91)=0,COUNTIF(Games!$C$2:$C$101, Elo!$A91)=0), L91, IF(COUNTIF(Games!$B$2:$B$101, Elo!$A91)&gt;0, VLOOKUP(Elo!$A91, Games!$B$2:$AN$101, MATCH("New Home Elo", Games!$B$1:$AN$1, 0), FALSE), IF(COUNTIF(Games!$C$2:$C$101, Elo!$A91)&gt;0, VLOOKUP(Elo!$A91, Games!$C$2:$AO$101, MATCH("New Away Elo", Games!$C$1:$AO$1, 0), FALSE), L91)))</f>
        <v>1394.2374982874921</v>
      </c>
      <c r="P91" s="137" t="n">
        <f t="shared" si="28"/>
        <v>0</v>
      </c>
      <c r="Q91" s="123" t="n">
        <f t="shared" si="23"/>
        <v>94</v>
      </c>
      <c r="R91" s="137" t="n">
        <f>IF(AND(COUNTIF(Games!$B$2:$B$101, Elo!$A91)=0,COUNTIF(Games!$C$2:$C$101, Elo!$A91)=0), O91, IF(COUNTIF(Games!$B$2:$B$101, Elo!$A91)&gt;0, VLOOKUP(Elo!$A91, Games!$B$2:$AN$101, MATCH("New Home Elo", Games!$B$1:$AN$1, 0), FALSE), IF(COUNTIF(Games!$C$2:$C$101, Elo!$A91)&gt;0, VLOOKUP(Elo!$A91, Games!$C$2:$AO$101, MATCH("New Away Elo", Games!$C$1:$AO$1, 0), FALSE), O91)))</f>
        <v>1394.2374982874921</v>
      </c>
      <c r="S91" s="137" t="n">
        <f t="shared" si="29"/>
        <v>0</v>
      </c>
      <c r="T91" s="123" t="n">
        <f t="shared" si="24"/>
        <v>94</v>
      </c>
      <c r="U91" s="137" t="n">
        <f>IF(AND(COUNTIF(Games!$B$2:$B$101, Elo!$A91)=0,COUNTIF(Games!$C$2:$C$101, Elo!$A91)=0), R91, IF(COUNTIF(Games!$B$2:$B$101, Elo!$A91)&gt;0, VLOOKUP(Elo!$A91, Games!$B$2:$AN$101, MATCH("New Home Elo", Games!$B$1:$AN$1, 0), FALSE), IF(COUNTIF(Games!$C$2:$C$101, Elo!$A91)&gt;0, VLOOKUP(Elo!$A91, Games!$C$2:$AO$101, MATCH("New Away Elo", Games!$C$1:$AO$1, 0), FALSE), R91)))</f>
        <v>1394.2374982874921</v>
      </c>
      <c r="V91" s="137" t="n">
        <f t="shared" si="30"/>
        <v>0</v>
      </c>
      <c r="W91" s="123" t="n">
        <f t="shared" si="25"/>
        <v>94</v>
      </c>
    </row>
    <row r="92">
      <c r="A92" s="1" t="s">
        <v>208</v>
      </c>
      <c r="B92" s="1" t="s">
        <v>126</v>
      </c>
      <c r="C92" s="137" t="n">
        <f>VLOOKUP(A92, $A$2:$BQ$1048576, MATCH(_xlfn.CONCAT("Week ",Games!$A$7), Elo!$A$1:$BQ$1, 0), FALSE)</f>
        <v>1402.5080547847799</v>
      </c>
      <c r="D92" s="137" t="n">
        <f t="shared" si="20"/>
        <v>91</v>
      </c>
      <c r="E92" s="137" t="n">
        <v>1402.5080547847799</v>
      </c>
      <c r="F92" s="123" t="n">
        <v>91</v>
      </c>
      <c r="G92" s="137" t="n">
        <v>1402.5080547847799</v>
      </c>
      <c r="H92" s="123" t="n">
        <v>91</v>
      </c>
      <c r="I92" s="137" t="n">
        <v>1402.5080547847799</v>
      </c>
      <c r="J92" s="137" t="n">
        <f t="shared" si="26"/>
        <v>0</v>
      </c>
      <c r="K92" s="123" t="n">
        <f t="shared" si="21"/>
        <v>91</v>
      </c>
      <c r="L92" s="137" t="n">
        <f>IF(AND(COUNTIF(Games!$B$2:$B$101, Elo!$A92)=0,COUNTIF(Games!$C$2:$C$101, Elo!$A92)=0), I92, IF(COUNTIF(Games!$B$2:$B$101, Elo!$A92)&gt;0, VLOOKUP(Elo!$A92, Games!$B$2:$AN$101, MATCH("New Home Elo", Games!$B$1:$AN$1, 0), FALSE), IF(COUNTIF(Games!$C$2:$C$101, Elo!$A92)&gt;0, VLOOKUP(Elo!$A92, Games!$C$2:$AO$101, MATCH("New Away Elo", Games!$C$1:$AO$1, 0), FALSE), I92)))</f>
        <v>1415.0139895420107</v>
      </c>
      <c r="M92" s="137" t="n">
        <f t="shared" si="27"/>
        <v>12.505934757230762</v>
      </c>
      <c r="N92" s="123" t="n">
        <f t="shared" si="22"/>
        <v>90</v>
      </c>
      <c r="O92" s="137" t="n">
        <f>IF(AND(COUNTIF(Games!$B$2:$B$101, Elo!$A92)=0,COUNTIF(Games!$C$2:$C$101, Elo!$A92)=0), L92, IF(COUNTIF(Games!$B$2:$B$101, Elo!$A92)&gt;0, VLOOKUP(Elo!$A92, Games!$B$2:$AN$101, MATCH("New Home Elo", Games!$B$1:$AN$1, 0), FALSE), IF(COUNTIF(Games!$C$2:$C$101, Elo!$A92)&gt;0, VLOOKUP(Elo!$A92, Games!$C$2:$AO$101, MATCH("New Away Elo", Games!$C$1:$AO$1, 0), FALSE), L92)))</f>
        <v>1415.0139895420107</v>
      </c>
      <c r="P92" s="137" t="n">
        <f t="shared" si="28"/>
        <v>0</v>
      </c>
      <c r="Q92" s="123" t="n">
        <f t="shared" si="23"/>
        <v>90</v>
      </c>
      <c r="R92" s="137" t="n">
        <f>IF(AND(COUNTIF(Games!$B$2:$B$101, Elo!$A92)=0,COUNTIF(Games!$C$2:$C$101, Elo!$A92)=0), O92, IF(COUNTIF(Games!$B$2:$B$101, Elo!$A92)&gt;0, VLOOKUP(Elo!$A92, Games!$B$2:$AN$101, MATCH("New Home Elo", Games!$B$1:$AN$1, 0), FALSE), IF(COUNTIF(Games!$C$2:$C$101, Elo!$A92)&gt;0, VLOOKUP(Elo!$A92, Games!$C$2:$AO$101, MATCH("New Away Elo", Games!$C$1:$AO$1, 0), FALSE), O92)))</f>
        <v>1415.0139895420107</v>
      </c>
      <c r="S92" s="137" t="n">
        <f t="shared" si="29"/>
        <v>0</v>
      </c>
      <c r="T92" s="123" t="n">
        <f t="shared" si="24"/>
        <v>90</v>
      </c>
      <c r="U92" s="137" t="n">
        <f>IF(AND(COUNTIF(Games!$B$2:$B$101, Elo!$A92)=0,COUNTIF(Games!$C$2:$C$101, Elo!$A92)=0), R92, IF(COUNTIF(Games!$B$2:$B$101, Elo!$A92)&gt;0, VLOOKUP(Elo!$A92, Games!$B$2:$AN$101, MATCH("New Home Elo", Games!$B$1:$AN$1, 0), FALSE), IF(COUNTIF(Games!$C$2:$C$101, Elo!$A92)&gt;0, VLOOKUP(Elo!$A92, Games!$C$2:$AO$101, MATCH("New Away Elo", Games!$C$1:$AO$1, 0), FALSE), R92)))</f>
        <v>1415.0139895420107</v>
      </c>
      <c r="V92" s="137" t="n">
        <f t="shared" si="30"/>
        <v>0</v>
      </c>
      <c r="W92" s="123" t="n">
        <f t="shared" si="25"/>
        <v>90</v>
      </c>
    </row>
    <row r="93">
      <c r="A93" s="1" t="s">
        <v>209</v>
      </c>
      <c r="B93" s="1" t="s">
        <v>138</v>
      </c>
      <c r="C93" s="137" t="n">
        <f>VLOOKUP(A93, $A$2:$BQ$1048576, MATCH(_xlfn.CONCAT("Week ",Games!$A$7), Elo!$A$1:$BQ$1, 0), FALSE)</f>
        <v>1390.78250201623</v>
      </c>
      <c r="D93" s="137" t="n">
        <f t="shared" si="20"/>
        <v>92</v>
      </c>
      <c r="E93" s="137" t="n">
        <v>1390.78250201623</v>
      </c>
      <c r="F93" s="123" t="n">
        <v>92</v>
      </c>
      <c r="G93" s="137" t="n">
        <v>1390.78250201623</v>
      </c>
      <c r="H93" s="123" t="n">
        <v>92</v>
      </c>
      <c r="I93" s="137" t="n">
        <v>1390.78250201623</v>
      </c>
      <c r="J93" s="137" t="n">
        <f t="shared" si="26"/>
        <v>0</v>
      </c>
      <c r="K93" s="123" t="n">
        <f t="shared" si="21"/>
        <v>92</v>
      </c>
      <c r="L93" s="137" t="n">
        <f>IF(AND(COUNTIF(Games!$B$2:$B$101, Elo!$A93)=0,COUNTIF(Games!$C$2:$C$101, Elo!$A93)=0), I93, IF(COUNTIF(Games!$B$2:$B$101, Elo!$A93)&gt;0, VLOOKUP(Elo!$A93, Games!$B$2:$AN$101, MATCH("New Home Elo", Games!$B$1:$AN$1, 0), FALSE), IF(COUNTIF(Games!$C$2:$C$101, Elo!$A93)&gt;0, VLOOKUP(Elo!$A93, Games!$C$2:$AO$101, MATCH("New Away Elo", Games!$C$1:$AO$1, 0), FALSE), I93)))</f>
        <v>1345.694759760833</v>
      </c>
      <c r="M93" s="137" t="n">
        <f t="shared" si="27"/>
        <v>-45.087742255396961</v>
      </c>
      <c r="N93" s="123" t="n">
        <f t="shared" si="22"/>
        <v>104</v>
      </c>
      <c r="O93" s="137" t="n">
        <f>IF(AND(COUNTIF(Games!$B$2:$B$101, Elo!$A93)=0,COUNTIF(Games!$C$2:$C$101, Elo!$A93)=0), L93, IF(COUNTIF(Games!$B$2:$B$101, Elo!$A93)&gt;0, VLOOKUP(Elo!$A93, Games!$B$2:$AN$101, MATCH("New Home Elo", Games!$B$1:$AN$1, 0), FALSE), IF(COUNTIF(Games!$C$2:$C$101, Elo!$A93)&gt;0, VLOOKUP(Elo!$A93, Games!$C$2:$AO$101, MATCH("New Away Elo", Games!$C$1:$AO$1, 0), FALSE), L93)))</f>
        <v>1345.694759760833</v>
      </c>
      <c r="P93" s="137" t="n">
        <f t="shared" si="28"/>
        <v>0</v>
      </c>
      <c r="Q93" s="123" t="n">
        <f t="shared" si="23"/>
        <v>104</v>
      </c>
      <c r="R93" s="137" t="n">
        <f>IF(AND(COUNTIF(Games!$B$2:$B$101, Elo!$A93)=0,COUNTIF(Games!$C$2:$C$101, Elo!$A93)=0), O93, IF(COUNTIF(Games!$B$2:$B$101, Elo!$A93)&gt;0, VLOOKUP(Elo!$A93, Games!$B$2:$AN$101, MATCH("New Home Elo", Games!$B$1:$AN$1, 0), FALSE), IF(COUNTIF(Games!$C$2:$C$101, Elo!$A93)&gt;0, VLOOKUP(Elo!$A93, Games!$C$2:$AO$101, MATCH("New Away Elo", Games!$C$1:$AO$1, 0), FALSE), O93)))</f>
        <v>1345.694759760833</v>
      </c>
      <c r="S93" s="137" t="n">
        <f t="shared" si="29"/>
        <v>0</v>
      </c>
      <c r="T93" s="123" t="n">
        <f t="shared" si="24"/>
        <v>104</v>
      </c>
      <c r="U93" s="137" t="n">
        <f>IF(AND(COUNTIF(Games!$B$2:$B$101, Elo!$A93)=0,COUNTIF(Games!$C$2:$C$101, Elo!$A93)=0), R93, IF(COUNTIF(Games!$B$2:$B$101, Elo!$A93)&gt;0, VLOOKUP(Elo!$A93, Games!$B$2:$AN$101, MATCH("New Home Elo", Games!$B$1:$AN$1, 0), FALSE), IF(COUNTIF(Games!$C$2:$C$101, Elo!$A93)&gt;0, VLOOKUP(Elo!$A93, Games!$C$2:$AO$101, MATCH("New Away Elo", Games!$C$1:$AO$1, 0), FALSE), R93)))</f>
        <v>1345.694759760833</v>
      </c>
      <c r="V93" s="137" t="n">
        <f t="shared" si="30"/>
        <v>0</v>
      </c>
      <c r="W93" s="123" t="n">
        <f t="shared" si="25"/>
        <v>104</v>
      </c>
    </row>
    <row r="94">
      <c r="A94" s="1" t="s">
        <v>210</v>
      </c>
      <c r="B94" s="1" t="s">
        <v>111</v>
      </c>
      <c r="C94" s="137" t="n">
        <f>VLOOKUP(A94, $A$2:$BQ$1048576, MATCH(_xlfn.CONCAT("Week ",Games!$A$7), Elo!$A$1:$BQ$1, 0), FALSE)</f>
        <v>1389.0361708652699</v>
      </c>
      <c r="D94" s="137" t="n">
        <f t="shared" si="20"/>
        <v>93</v>
      </c>
      <c r="E94" s="137" t="n">
        <v>1389.0361708652699</v>
      </c>
      <c r="F94" s="123" t="n">
        <v>93</v>
      </c>
      <c r="G94" s="137" t="n">
        <v>1389.0361708652699</v>
      </c>
      <c r="H94" s="123" t="n">
        <v>93</v>
      </c>
      <c r="I94" s="137" t="n">
        <v>1389.0361708652699</v>
      </c>
      <c r="J94" s="137" t="n">
        <f t="shared" si="26"/>
        <v>0</v>
      </c>
      <c r="K94" s="123" t="n">
        <f t="shared" si="21"/>
        <v>93</v>
      </c>
      <c r="L94" s="137" t="n">
        <f>IF(AND(COUNTIF(Games!$B$2:$B$101, Elo!$A94)=0,COUNTIF(Games!$C$2:$C$101, Elo!$A94)=0), I94, IF(COUNTIF(Games!$B$2:$B$101, Elo!$A94)&gt;0, VLOOKUP(Elo!$A94, Games!$B$2:$AN$101, MATCH("New Home Elo", Games!$B$1:$AN$1, 0), FALSE), IF(COUNTIF(Games!$C$2:$C$101, Elo!$A94)&gt;0, VLOOKUP(Elo!$A94, Games!$C$2:$AO$101, MATCH("New Away Elo", Games!$C$1:$AO$1, 0), FALSE), I94)))</f>
        <v>1418.8530751487797</v>
      </c>
      <c r="M94" s="137" t="n">
        <f t="shared" si="27"/>
        <v>29.816904283509757</v>
      </c>
      <c r="N94" s="123" t="n">
        <f t="shared" si="22"/>
        <v>86</v>
      </c>
      <c r="O94" s="137" t="n">
        <f>IF(AND(COUNTIF(Games!$B$2:$B$101, Elo!$A94)=0,COUNTIF(Games!$C$2:$C$101, Elo!$A94)=0), L94, IF(COUNTIF(Games!$B$2:$B$101, Elo!$A94)&gt;0, VLOOKUP(Elo!$A94, Games!$B$2:$AN$101, MATCH("New Home Elo", Games!$B$1:$AN$1, 0), FALSE), IF(COUNTIF(Games!$C$2:$C$101, Elo!$A94)&gt;0, VLOOKUP(Elo!$A94, Games!$C$2:$AO$101, MATCH("New Away Elo", Games!$C$1:$AO$1, 0), FALSE), L94)))</f>
        <v>1418.8530751487797</v>
      </c>
      <c r="P94" s="137" t="n">
        <f t="shared" si="28"/>
        <v>0</v>
      </c>
      <c r="Q94" s="123" t="n">
        <f t="shared" si="23"/>
        <v>86</v>
      </c>
      <c r="R94" s="137" t="n">
        <f>IF(AND(COUNTIF(Games!$B$2:$B$101, Elo!$A94)=0,COUNTIF(Games!$C$2:$C$101, Elo!$A94)=0), O94, IF(COUNTIF(Games!$B$2:$B$101, Elo!$A94)&gt;0, VLOOKUP(Elo!$A94, Games!$B$2:$AN$101, MATCH("New Home Elo", Games!$B$1:$AN$1, 0), FALSE), IF(COUNTIF(Games!$C$2:$C$101, Elo!$A94)&gt;0, VLOOKUP(Elo!$A94, Games!$C$2:$AO$101, MATCH("New Away Elo", Games!$C$1:$AO$1, 0), FALSE), O94)))</f>
        <v>1418.8530751487797</v>
      </c>
      <c r="S94" s="137" t="n">
        <f t="shared" si="29"/>
        <v>0</v>
      </c>
      <c r="T94" s="123" t="n">
        <f t="shared" si="24"/>
        <v>86</v>
      </c>
      <c r="U94" s="137" t="n">
        <f>IF(AND(COUNTIF(Games!$B$2:$B$101, Elo!$A94)=0,COUNTIF(Games!$C$2:$C$101, Elo!$A94)=0), R94, IF(COUNTIF(Games!$B$2:$B$101, Elo!$A94)&gt;0, VLOOKUP(Elo!$A94, Games!$B$2:$AN$101, MATCH("New Home Elo", Games!$B$1:$AN$1, 0), FALSE), IF(COUNTIF(Games!$C$2:$C$101, Elo!$A94)&gt;0, VLOOKUP(Elo!$A94, Games!$C$2:$AO$101, MATCH("New Away Elo", Games!$C$1:$AO$1, 0), FALSE), R94)))</f>
        <v>1418.8530751487797</v>
      </c>
      <c r="V94" s="137" t="n">
        <f t="shared" si="30"/>
        <v>0</v>
      </c>
      <c r="W94" s="123" t="n">
        <f t="shared" si="25"/>
        <v>86</v>
      </c>
    </row>
    <row r="95">
      <c r="A95" s="1" t="s">
        <v>211</v>
      </c>
      <c r="B95" s="1" t="s">
        <v>141</v>
      </c>
      <c r="C95" s="137" t="n">
        <f>VLOOKUP(A95, $A$2:$BQ$1048576, MATCH(_xlfn.CONCAT("Week ",Games!$A$7), Elo!$A$1:$BQ$1, 0), FALSE)</f>
        <v>1385.28787775879</v>
      </c>
      <c r="D95" s="137" t="n">
        <f t="shared" si="20"/>
        <v>94</v>
      </c>
      <c r="E95" s="137" t="n">
        <v>1385.28787775879</v>
      </c>
      <c r="F95" s="123" t="n">
        <v>94</v>
      </c>
      <c r="G95" s="137" t="n">
        <v>1385.28787775879</v>
      </c>
      <c r="H95" s="123" t="n">
        <v>94</v>
      </c>
      <c r="I95" s="137" t="n">
        <v>1385.28787775879</v>
      </c>
      <c r="J95" s="137" t="n">
        <f t="shared" si="26"/>
        <v>0</v>
      </c>
      <c r="K95" s="123" t="n">
        <f t="shared" si="21"/>
        <v>94</v>
      </c>
      <c r="L95" s="137" t="n">
        <f>IF(AND(COUNTIF(Games!$B$2:$B$101, Elo!$A95)=0,COUNTIF(Games!$C$2:$C$101, Elo!$A95)=0), I95, IF(COUNTIF(Games!$B$2:$B$101, Elo!$A95)&gt;0, VLOOKUP(Elo!$A95, Games!$B$2:$AN$101, MATCH("New Home Elo", Games!$B$1:$AN$1, 0), FALSE), IF(COUNTIF(Games!$C$2:$C$101, Elo!$A95)&gt;0, VLOOKUP(Elo!$A95, Games!$C$2:$AO$101, MATCH("New Away Elo", Games!$C$1:$AO$1, 0), FALSE), I95)))</f>
        <v>1398.7740494981506</v>
      </c>
      <c r="M95" s="137" t="n">
        <f t="shared" si="27"/>
        <v>13.486171739360543</v>
      </c>
      <c r="N95" s="123" t="n">
        <f t="shared" si="22"/>
        <v>93</v>
      </c>
      <c r="O95" s="137" t="n">
        <f>IF(AND(COUNTIF(Games!$B$2:$B$101, Elo!$A95)=0,COUNTIF(Games!$C$2:$C$101, Elo!$A95)=0), L95, IF(COUNTIF(Games!$B$2:$B$101, Elo!$A95)&gt;0, VLOOKUP(Elo!$A95, Games!$B$2:$AN$101, MATCH("New Home Elo", Games!$B$1:$AN$1, 0), FALSE), IF(COUNTIF(Games!$C$2:$C$101, Elo!$A95)&gt;0, VLOOKUP(Elo!$A95, Games!$C$2:$AO$101, MATCH("New Away Elo", Games!$C$1:$AO$1, 0), FALSE), L95)))</f>
        <v>1398.7740494981506</v>
      </c>
      <c r="P95" s="137" t="n">
        <f t="shared" si="28"/>
        <v>0</v>
      </c>
      <c r="Q95" s="123" t="n">
        <f t="shared" si="23"/>
        <v>93</v>
      </c>
      <c r="R95" s="137" t="n">
        <f>IF(AND(COUNTIF(Games!$B$2:$B$101, Elo!$A95)=0,COUNTIF(Games!$C$2:$C$101, Elo!$A95)=0), O95, IF(COUNTIF(Games!$B$2:$B$101, Elo!$A95)&gt;0, VLOOKUP(Elo!$A95, Games!$B$2:$AN$101, MATCH("New Home Elo", Games!$B$1:$AN$1, 0), FALSE), IF(COUNTIF(Games!$C$2:$C$101, Elo!$A95)&gt;0, VLOOKUP(Elo!$A95, Games!$C$2:$AO$101, MATCH("New Away Elo", Games!$C$1:$AO$1, 0), FALSE), O95)))</f>
        <v>1398.7740494981506</v>
      </c>
      <c r="S95" s="137" t="n">
        <f t="shared" si="29"/>
        <v>0</v>
      </c>
      <c r="T95" s="123" t="n">
        <f t="shared" si="24"/>
        <v>93</v>
      </c>
      <c r="U95" s="137" t="n">
        <f>IF(AND(COUNTIF(Games!$B$2:$B$101, Elo!$A95)=0,COUNTIF(Games!$C$2:$C$101, Elo!$A95)=0), R95, IF(COUNTIF(Games!$B$2:$B$101, Elo!$A95)&gt;0, VLOOKUP(Elo!$A95, Games!$B$2:$AN$101, MATCH("New Home Elo", Games!$B$1:$AN$1, 0), FALSE), IF(COUNTIF(Games!$C$2:$C$101, Elo!$A95)&gt;0, VLOOKUP(Elo!$A95, Games!$C$2:$AO$101, MATCH("New Away Elo", Games!$C$1:$AO$1, 0), FALSE), R95)))</f>
        <v>1398.7740494981506</v>
      </c>
      <c r="V95" s="137" t="n">
        <f t="shared" si="30"/>
        <v>0</v>
      </c>
      <c r="W95" s="123" t="n">
        <f t="shared" si="25"/>
        <v>93</v>
      </c>
    </row>
    <row r="96">
      <c r="A96" s="1" t="s">
        <v>212</v>
      </c>
      <c r="B96" s="1" t="s">
        <v>111</v>
      </c>
      <c r="C96" s="137" t="n">
        <f>VLOOKUP(A96, $A$2:$BQ$1048576, MATCH(_xlfn.CONCAT("Week ",Games!$A$7), Elo!$A$1:$BQ$1, 0), FALSE)</f>
        <v>1372.8579962194201</v>
      </c>
      <c r="D96" s="137" t="n">
        <f t="shared" si="20"/>
        <v>95</v>
      </c>
      <c r="E96" s="137" t="n">
        <v>1372.8579962194201</v>
      </c>
      <c r="F96" s="123" t="n">
        <v>95</v>
      </c>
      <c r="G96" s="137" t="n">
        <v>1372.8579962194201</v>
      </c>
      <c r="H96" s="123" t="n">
        <v>95</v>
      </c>
      <c r="I96" s="137" t="n">
        <v>1372.8579962194201</v>
      </c>
      <c r="J96" s="137" t="n">
        <f t="shared" si="26"/>
        <v>0</v>
      </c>
      <c r="K96" s="123" t="n">
        <f t="shared" si="21"/>
        <v>95</v>
      </c>
      <c r="L96" s="137" t="n">
        <f>IF(AND(COUNTIF(Games!$B$2:$B$101, Elo!$A96)=0,COUNTIF(Games!$C$2:$C$101, Elo!$A96)=0), I96, IF(COUNTIF(Games!$B$2:$B$101, Elo!$A96)&gt;0, VLOOKUP(Elo!$A96, Games!$B$2:$AN$101, MATCH("New Home Elo", Games!$B$1:$AN$1, 0), FALSE), IF(COUNTIF(Games!$C$2:$C$101, Elo!$A96)&gt;0, VLOOKUP(Elo!$A96, Games!$C$2:$AO$101, MATCH("New Away Elo", Games!$C$1:$AO$1, 0), FALSE), I96)))</f>
        <v>1412.0312274232942</v>
      </c>
      <c r="M96" s="137" t="n">
        <f t="shared" si="27"/>
        <v>39.173231203874138</v>
      </c>
      <c r="N96" s="123" t="n">
        <f t="shared" si="22"/>
        <v>91</v>
      </c>
      <c r="O96" s="137" t="n">
        <f>IF(AND(COUNTIF(Games!$B$2:$B$101, Elo!$A96)=0,COUNTIF(Games!$C$2:$C$101, Elo!$A96)=0), L96, IF(COUNTIF(Games!$B$2:$B$101, Elo!$A96)&gt;0, VLOOKUP(Elo!$A96, Games!$B$2:$AN$101, MATCH("New Home Elo", Games!$B$1:$AN$1, 0), FALSE), IF(COUNTIF(Games!$C$2:$C$101, Elo!$A96)&gt;0, VLOOKUP(Elo!$A96, Games!$C$2:$AO$101, MATCH("New Away Elo", Games!$C$1:$AO$1, 0), FALSE), L96)))</f>
        <v>1412.0312274232942</v>
      </c>
      <c r="P96" s="137" t="n">
        <f t="shared" si="28"/>
        <v>0</v>
      </c>
      <c r="Q96" s="123" t="n">
        <f t="shared" si="23"/>
        <v>91</v>
      </c>
      <c r="R96" s="137" t="n">
        <f>IF(AND(COUNTIF(Games!$B$2:$B$101, Elo!$A96)=0,COUNTIF(Games!$C$2:$C$101, Elo!$A96)=0), O96, IF(COUNTIF(Games!$B$2:$B$101, Elo!$A96)&gt;0, VLOOKUP(Elo!$A96, Games!$B$2:$AN$101, MATCH("New Home Elo", Games!$B$1:$AN$1, 0), FALSE), IF(COUNTIF(Games!$C$2:$C$101, Elo!$A96)&gt;0, VLOOKUP(Elo!$A96, Games!$C$2:$AO$101, MATCH("New Away Elo", Games!$C$1:$AO$1, 0), FALSE), O96)))</f>
        <v>1412.0312274232942</v>
      </c>
      <c r="S96" s="137" t="n">
        <f t="shared" si="29"/>
        <v>0</v>
      </c>
      <c r="T96" s="123" t="n">
        <f t="shared" si="24"/>
        <v>91</v>
      </c>
      <c r="U96" s="137" t="n">
        <f>IF(AND(COUNTIF(Games!$B$2:$B$101, Elo!$A96)=0,COUNTIF(Games!$C$2:$C$101, Elo!$A96)=0), R96, IF(COUNTIF(Games!$B$2:$B$101, Elo!$A96)&gt;0, VLOOKUP(Elo!$A96, Games!$B$2:$AN$101, MATCH("New Home Elo", Games!$B$1:$AN$1, 0), FALSE), IF(COUNTIF(Games!$C$2:$C$101, Elo!$A96)&gt;0, VLOOKUP(Elo!$A96, Games!$C$2:$AO$101, MATCH("New Away Elo", Games!$C$1:$AO$1, 0), FALSE), R96)))</f>
        <v>1412.0312274232942</v>
      </c>
      <c r="V96" s="137" t="n">
        <f t="shared" si="30"/>
        <v>0</v>
      </c>
      <c r="W96" s="123" t="n">
        <f t="shared" si="25"/>
        <v>91</v>
      </c>
    </row>
    <row r="97">
      <c r="A97" s="1" t="s">
        <v>213</v>
      </c>
      <c r="B97" s="1" t="s">
        <v>135</v>
      </c>
      <c r="C97" s="137" t="n">
        <f>VLOOKUP(A97, $A$2:$BQ$1048576, MATCH(_xlfn.CONCAT("Week ",Games!$A$7), Elo!$A$1:$BQ$1, 0), FALSE)</f>
        <v>1370.9087134836</v>
      </c>
      <c r="D97" s="137" t="n">
        <f t="shared" si="20"/>
        <v>96</v>
      </c>
      <c r="E97" s="137" t="n">
        <v>1370.9087134836</v>
      </c>
      <c r="F97" s="123" t="n">
        <v>96</v>
      </c>
      <c r="G97" s="137" t="n">
        <v>1370.9087134836</v>
      </c>
      <c r="H97" s="123" t="n">
        <v>96</v>
      </c>
      <c r="I97" s="137" t="n">
        <v>1370.9087134836</v>
      </c>
      <c r="J97" s="137" t="n">
        <f t="shared" si="26"/>
        <v>0</v>
      </c>
      <c r="K97" s="123" t="n">
        <f t="shared" si="21"/>
        <v>96</v>
      </c>
      <c r="L97" s="137" t="n">
        <f>IF(AND(COUNTIF(Games!$B$2:$B$101, Elo!$A97)=0,COUNTIF(Games!$C$2:$C$101, Elo!$A97)=0), I97, IF(COUNTIF(Games!$B$2:$B$101, Elo!$A97)&gt;0, VLOOKUP(Elo!$A97, Games!$B$2:$AN$101, MATCH("New Home Elo", Games!$B$1:$AN$1, 0), FALSE), IF(COUNTIF(Games!$C$2:$C$101, Elo!$A97)&gt;0, VLOOKUP(Elo!$A97, Games!$C$2:$AO$101, MATCH("New Away Elo", Games!$C$1:$AO$1, 0), FALSE), I97)))</f>
        <v>1152.8335998623461</v>
      </c>
      <c r="M97" s="137" t="n">
        <f t="shared" si="27"/>
        <v>-218.07511362125388</v>
      </c>
      <c r="N97" s="123" t="n">
        <f t="shared" si="22"/>
        <v>128</v>
      </c>
      <c r="O97" s="137" t="n">
        <f>IF(AND(COUNTIF(Games!$B$2:$B$101, Elo!$A97)=0,COUNTIF(Games!$C$2:$C$101, Elo!$A97)=0), L97, IF(COUNTIF(Games!$B$2:$B$101, Elo!$A97)&gt;0, VLOOKUP(Elo!$A97, Games!$B$2:$AN$101, MATCH("New Home Elo", Games!$B$1:$AN$1, 0), FALSE), IF(COUNTIF(Games!$C$2:$C$101, Elo!$A97)&gt;0, VLOOKUP(Elo!$A97, Games!$C$2:$AO$101, MATCH("New Away Elo", Games!$C$1:$AO$1, 0), FALSE), L97)))</f>
        <v>1152.8335998623461</v>
      </c>
      <c r="P97" s="137" t="n">
        <f t="shared" si="28"/>
        <v>0</v>
      </c>
      <c r="Q97" s="123" t="n">
        <f t="shared" si="23"/>
        <v>128</v>
      </c>
      <c r="R97" s="137" t="n">
        <f>IF(AND(COUNTIF(Games!$B$2:$B$101, Elo!$A97)=0,COUNTIF(Games!$C$2:$C$101, Elo!$A97)=0), O97, IF(COUNTIF(Games!$B$2:$B$101, Elo!$A97)&gt;0, VLOOKUP(Elo!$A97, Games!$B$2:$AN$101, MATCH("New Home Elo", Games!$B$1:$AN$1, 0), FALSE), IF(COUNTIF(Games!$C$2:$C$101, Elo!$A97)&gt;0, VLOOKUP(Elo!$A97, Games!$C$2:$AO$101, MATCH("New Away Elo", Games!$C$1:$AO$1, 0), FALSE), O97)))</f>
        <v>1152.8335998623461</v>
      </c>
      <c r="S97" s="137" t="n">
        <f t="shared" si="29"/>
        <v>0</v>
      </c>
      <c r="T97" s="123" t="n">
        <f t="shared" si="24"/>
        <v>128</v>
      </c>
      <c r="U97" s="137" t="n">
        <f>IF(AND(COUNTIF(Games!$B$2:$B$101, Elo!$A97)=0,COUNTIF(Games!$C$2:$C$101, Elo!$A97)=0), R97, IF(COUNTIF(Games!$B$2:$B$101, Elo!$A97)&gt;0, VLOOKUP(Elo!$A97, Games!$B$2:$AN$101, MATCH("New Home Elo", Games!$B$1:$AN$1, 0), FALSE), IF(COUNTIF(Games!$C$2:$C$101, Elo!$A97)&gt;0, VLOOKUP(Elo!$A97, Games!$C$2:$AO$101, MATCH("New Away Elo", Games!$C$1:$AO$1, 0), FALSE), R97)))</f>
        <v>1152.8335998623461</v>
      </c>
      <c r="V97" s="137" t="n">
        <f t="shared" si="30"/>
        <v>0</v>
      </c>
      <c r="W97" s="123" t="n">
        <f t="shared" si="25"/>
        <v>128</v>
      </c>
    </row>
    <row r="98">
      <c r="A98" s="1" t="s">
        <v>214</v>
      </c>
      <c r="B98" s="1" t="s">
        <v>138</v>
      </c>
      <c r="C98" s="137" t="n">
        <f>VLOOKUP(A98, $A$2:$BQ$1048576, MATCH(_xlfn.CONCAT("Week ",Games!$A$7), Elo!$A$1:$BQ$1, 0), FALSE)</f>
        <v>1370.13403074644</v>
      </c>
      <c r="D98" s="137" t="n">
        <f t="shared" ref="D98:D129" si="31">F98</f>
        <v>97</v>
      </c>
      <c r="E98" s="137" t="n">
        <v>1370.13403074644</v>
      </c>
      <c r="F98" s="123" t="n">
        <v>97</v>
      </c>
      <c r="G98" s="137" t="n">
        <v>1370.13403074644</v>
      </c>
      <c r="H98" s="123" t="n">
        <v>97</v>
      </c>
      <c r="I98" s="137" t="n">
        <v>1370.13403074644</v>
      </c>
      <c r="J98" s="137" t="n">
        <f t="shared" si="26"/>
        <v>0</v>
      </c>
      <c r="K98" s="123" t="n">
        <f t="shared" ref="K98:K129" si="32">_xlfn.RANK.EQ(I98, I$2:I$134, 0)</f>
        <v>97</v>
      </c>
      <c r="L98" s="137" t="n">
        <f>IF(AND(COUNTIF(Games!$B$2:$B$101, Elo!$A98)=0,COUNTIF(Games!$C$2:$C$101, Elo!$A98)=0), I98, IF(COUNTIF(Games!$B$2:$B$101, Elo!$A98)&gt;0, VLOOKUP(Elo!$A98, Games!$B$2:$AN$101, MATCH("New Home Elo", Games!$B$1:$AN$1, 0), FALSE), IF(COUNTIF(Games!$C$2:$C$101, Elo!$A98)&gt;0, VLOOKUP(Elo!$A98, Games!$C$2:$AO$101, MATCH("New Away Elo", Games!$C$1:$AO$1, 0), FALSE), I98)))</f>
        <v>1342.5053101346396</v>
      </c>
      <c r="M98" s="137" t="n">
        <f t="shared" si="27"/>
        <v>-27.628720611800418</v>
      </c>
      <c r="N98" s="123" t="n">
        <f t="shared" ref="N98:N129" si="33">_xlfn.RANK.EQ(L98, L$2:L$134, 0)</f>
        <v>105</v>
      </c>
      <c r="O98" s="137" t="n">
        <f>IF(AND(COUNTIF(Games!$B$2:$B$101, Elo!$A98)=0,COUNTIF(Games!$C$2:$C$101, Elo!$A98)=0), L98, IF(COUNTIF(Games!$B$2:$B$101, Elo!$A98)&gt;0, VLOOKUP(Elo!$A98, Games!$B$2:$AN$101, MATCH("New Home Elo", Games!$B$1:$AN$1, 0), FALSE), IF(COUNTIF(Games!$C$2:$C$101, Elo!$A98)&gt;0, VLOOKUP(Elo!$A98, Games!$C$2:$AO$101, MATCH("New Away Elo", Games!$C$1:$AO$1, 0), FALSE), L98)))</f>
        <v>1342.5053101346396</v>
      </c>
      <c r="P98" s="137" t="n">
        <f t="shared" si="28"/>
        <v>0</v>
      </c>
      <c r="Q98" s="123" t="n">
        <f t="shared" si="23"/>
        <v>105</v>
      </c>
      <c r="R98" s="137" t="n">
        <f>IF(AND(COUNTIF(Games!$B$2:$B$101, Elo!$A98)=0,COUNTIF(Games!$C$2:$C$101, Elo!$A98)=0), O98, IF(COUNTIF(Games!$B$2:$B$101, Elo!$A98)&gt;0, VLOOKUP(Elo!$A98, Games!$B$2:$AN$101, MATCH("New Home Elo", Games!$B$1:$AN$1, 0), FALSE), IF(COUNTIF(Games!$C$2:$C$101, Elo!$A98)&gt;0, VLOOKUP(Elo!$A98, Games!$C$2:$AO$101, MATCH("New Away Elo", Games!$C$1:$AO$1, 0), FALSE), O98)))</f>
        <v>1342.5053101346396</v>
      </c>
      <c r="S98" s="137" t="n">
        <f t="shared" si="29"/>
        <v>0</v>
      </c>
      <c r="T98" s="123" t="n">
        <f t="shared" si="24"/>
        <v>105</v>
      </c>
      <c r="U98" s="137" t="n">
        <f>IF(AND(COUNTIF(Games!$B$2:$B$101, Elo!$A98)=0,COUNTIF(Games!$C$2:$C$101, Elo!$A98)=0), R98, IF(COUNTIF(Games!$B$2:$B$101, Elo!$A98)&gt;0, VLOOKUP(Elo!$A98, Games!$B$2:$AN$101, MATCH("New Home Elo", Games!$B$1:$AN$1, 0), FALSE), IF(COUNTIF(Games!$C$2:$C$101, Elo!$A98)&gt;0, VLOOKUP(Elo!$A98, Games!$C$2:$AO$101, MATCH("New Away Elo", Games!$C$1:$AO$1, 0), FALSE), R98)))</f>
        <v>1342.5053101346396</v>
      </c>
      <c r="V98" s="137" t="n">
        <f t="shared" si="30"/>
        <v>0</v>
      </c>
      <c r="W98" s="123" t="n">
        <f t="shared" si="25"/>
        <v>105</v>
      </c>
    </row>
    <row r="99">
      <c r="A99" s="1" t="s">
        <v>215</v>
      </c>
      <c r="B99" s="1" t="s">
        <v>122</v>
      </c>
      <c r="C99" s="137" t="n">
        <f>VLOOKUP(A99, $A$2:$BQ$1048576, MATCH(_xlfn.CONCAT("Week ",Games!$A$7), Elo!$A$1:$BQ$1, 0), FALSE)</f>
        <v>1361.62023418331</v>
      </c>
      <c r="D99" s="137" t="n">
        <f t="shared" si="31"/>
        <v>98</v>
      </c>
      <c r="E99" s="137" t="n">
        <v>1361.62023418331</v>
      </c>
      <c r="F99" s="123" t="n">
        <v>98</v>
      </c>
      <c r="G99" s="137" t="n">
        <v>1361.62023418331</v>
      </c>
      <c r="H99" s="123" t="n">
        <v>98</v>
      </c>
      <c r="I99" s="137" t="n">
        <v>1361.62023418331</v>
      </c>
      <c r="J99" s="137" t="n">
        <f t="shared" si="26"/>
        <v>0</v>
      </c>
      <c r="K99" s="123" t="n">
        <f t="shared" si="32"/>
        <v>98</v>
      </c>
      <c r="L99" s="137" t="n">
        <f>IF(AND(COUNTIF(Games!$B$2:$B$101, Elo!$A99)=0,COUNTIF(Games!$C$2:$C$101, Elo!$A99)=0), I99, IF(COUNTIF(Games!$B$2:$B$101, Elo!$A99)&gt;0, VLOOKUP(Elo!$A99, Games!$B$2:$AN$101, MATCH("New Home Elo", Games!$B$1:$AN$1, 0), FALSE), IF(COUNTIF(Games!$C$2:$C$101, Elo!$A99)&gt;0, VLOOKUP(Elo!$A99, Games!$C$2:$AO$101, MATCH("New Away Elo", Games!$C$1:$AO$1, 0), FALSE), I99)))</f>
        <v>1382.7363821551537</v>
      </c>
      <c r="M99" s="137" t="n">
        <f t="shared" si="27"/>
        <v>21.116147971843702</v>
      </c>
      <c r="N99" s="123" t="n">
        <f t="shared" si="33"/>
        <v>96</v>
      </c>
      <c r="O99" s="137" t="n">
        <f>IF(AND(COUNTIF(Games!$B$2:$B$101, Elo!$A99)=0,COUNTIF(Games!$C$2:$C$101, Elo!$A99)=0), L99, IF(COUNTIF(Games!$B$2:$B$101, Elo!$A99)&gt;0, VLOOKUP(Elo!$A99, Games!$B$2:$AN$101, MATCH("New Home Elo", Games!$B$1:$AN$1, 0), FALSE), IF(COUNTIF(Games!$C$2:$C$101, Elo!$A99)&gt;0, VLOOKUP(Elo!$A99, Games!$C$2:$AO$101, MATCH("New Away Elo", Games!$C$1:$AO$1, 0), FALSE), L99)))</f>
        <v>1382.7363821551537</v>
      </c>
      <c r="P99" s="137" t="n">
        <f t="shared" si="28"/>
        <v>0</v>
      </c>
      <c r="Q99" s="123" t="n">
        <f t="shared" si="23"/>
        <v>96</v>
      </c>
      <c r="R99" s="137" t="n">
        <f>IF(AND(COUNTIF(Games!$B$2:$B$101, Elo!$A99)=0,COUNTIF(Games!$C$2:$C$101, Elo!$A99)=0), O99, IF(COUNTIF(Games!$B$2:$B$101, Elo!$A99)&gt;0, VLOOKUP(Elo!$A99, Games!$B$2:$AN$101, MATCH("New Home Elo", Games!$B$1:$AN$1, 0), FALSE), IF(COUNTIF(Games!$C$2:$C$101, Elo!$A99)&gt;0, VLOOKUP(Elo!$A99, Games!$C$2:$AO$101, MATCH("New Away Elo", Games!$C$1:$AO$1, 0), FALSE), O99)))</f>
        <v>1382.7363821551537</v>
      </c>
      <c r="S99" s="137" t="n">
        <f t="shared" si="29"/>
        <v>0</v>
      </c>
      <c r="T99" s="123" t="n">
        <f t="shared" si="24"/>
        <v>96</v>
      </c>
      <c r="U99" s="137" t="n">
        <f>IF(AND(COUNTIF(Games!$B$2:$B$101, Elo!$A99)=0,COUNTIF(Games!$C$2:$C$101, Elo!$A99)=0), R99, IF(COUNTIF(Games!$B$2:$B$101, Elo!$A99)&gt;0, VLOOKUP(Elo!$A99, Games!$B$2:$AN$101, MATCH("New Home Elo", Games!$B$1:$AN$1, 0), FALSE), IF(COUNTIF(Games!$C$2:$C$101, Elo!$A99)&gt;0, VLOOKUP(Elo!$A99, Games!$C$2:$AO$101, MATCH("New Away Elo", Games!$C$1:$AO$1, 0), FALSE), R99)))</f>
        <v>1382.7363821551537</v>
      </c>
      <c r="V99" s="137" t="n">
        <f t="shared" si="30"/>
        <v>0</v>
      </c>
      <c r="W99" s="123" t="n">
        <f t="shared" si="25"/>
        <v>96</v>
      </c>
    </row>
    <row r="100">
      <c r="A100" s="1" t="s">
        <v>216</v>
      </c>
      <c r="B100" s="1" t="s">
        <v>138</v>
      </c>
      <c r="C100" s="137" t="n">
        <f>VLOOKUP(A100, $A$2:$BQ$1048576, MATCH(_xlfn.CONCAT("Week ",Games!$A$7), Elo!$A$1:$BQ$1, 0), FALSE)</f>
        <v>1360.90343762302</v>
      </c>
      <c r="D100" s="137" t="n">
        <f t="shared" si="31"/>
        <v>99</v>
      </c>
      <c r="E100" s="137" t="n">
        <v>1360.90343762302</v>
      </c>
      <c r="F100" s="123" t="n">
        <v>99</v>
      </c>
      <c r="G100" s="137" t="n">
        <v>1360.90343762302</v>
      </c>
      <c r="H100" s="123" t="n">
        <v>99</v>
      </c>
      <c r="I100" s="137" t="n">
        <v>1360.90343762302</v>
      </c>
      <c r="J100" s="137" t="n">
        <f t="shared" si="26"/>
        <v>0</v>
      </c>
      <c r="K100" s="123" t="n">
        <f t="shared" si="32"/>
        <v>99</v>
      </c>
      <c r="L100" s="137" t="n">
        <f>IF(AND(COUNTIF(Games!$B$2:$B$101, Elo!$A100)=0,COUNTIF(Games!$C$2:$C$101, Elo!$A100)=0), I100, IF(COUNTIF(Games!$B$2:$B$101, Elo!$A100)&gt;0, VLOOKUP(Elo!$A100, Games!$B$2:$AN$101, MATCH("New Home Elo", Games!$B$1:$AN$1, 0), FALSE), IF(COUNTIF(Games!$C$2:$C$101, Elo!$A100)&gt;0, VLOOKUP(Elo!$A100, Games!$C$2:$AO$101, MATCH("New Away Elo", Games!$C$1:$AO$1, 0), FALSE), I100)))</f>
        <v>1301.9287690033298</v>
      </c>
      <c r="M100" s="137" t="n">
        <f t="shared" si="27"/>
        <v>-58.974668619690192</v>
      </c>
      <c r="N100" s="123" t="n">
        <f t="shared" si="33"/>
        <v>111</v>
      </c>
      <c r="O100" s="137" t="n">
        <f>IF(AND(COUNTIF(Games!$B$2:$B$101, Elo!$A100)=0,COUNTIF(Games!$C$2:$C$101, Elo!$A100)=0), L100, IF(COUNTIF(Games!$B$2:$B$101, Elo!$A100)&gt;0, VLOOKUP(Elo!$A100, Games!$B$2:$AN$101, MATCH("New Home Elo", Games!$B$1:$AN$1, 0), FALSE), IF(COUNTIF(Games!$C$2:$C$101, Elo!$A100)&gt;0, VLOOKUP(Elo!$A100, Games!$C$2:$AO$101, MATCH("New Away Elo", Games!$C$1:$AO$1, 0), FALSE), L100)))</f>
        <v>1301.9287690033298</v>
      </c>
      <c r="P100" s="137" t="n">
        <f t="shared" si="28"/>
        <v>0</v>
      </c>
      <c r="Q100" s="123" t="n">
        <f t="shared" si="23"/>
        <v>111</v>
      </c>
      <c r="R100" s="137" t="n">
        <f>IF(AND(COUNTIF(Games!$B$2:$B$101, Elo!$A100)=0,COUNTIF(Games!$C$2:$C$101, Elo!$A100)=0), O100, IF(COUNTIF(Games!$B$2:$B$101, Elo!$A100)&gt;0, VLOOKUP(Elo!$A100, Games!$B$2:$AN$101, MATCH("New Home Elo", Games!$B$1:$AN$1, 0), FALSE), IF(COUNTIF(Games!$C$2:$C$101, Elo!$A100)&gt;0, VLOOKUP(Elo!$A100, Games!$C$2:$AO$101, MATCH("New Away Elo", Games!$C$1:$AO$1, 0), FALSE), O100)))</f>
        <v>1301.9287690033298</v>
      </c>
      <c r="S100" s="137" t="n">
        <f t="shared" si="29"/>
        <v>0</v>
      </c>
      <c r="T100" s="123" t="n">
        <f t="shared" si="24"/>
        <v>111</v>
      </c>
      <c r="U100" s="137" t="n">
        <f>IF(AND(COUNTIF(Games!$B$2:$B$101, Elo!$A100)=0,COUNTIF(Games!$C$2:$C$101, Elo!$A100)=0), R100, IF(COUNTIF(Games!$B$2:$B$101, Elo!$A100)&gt;0, VLOOKUP(Elo!$A100, Games!$B$2:$AN$101, MATCH("New Home Elo", Games!$B$1:$AN$1, 0), FALSE), IF(COUNTIF(Games!$C$2:$C$101, Elo!$A100)&gt;0, VLOOKUP(Elo!$A100, Games!$C$2:$AO$101, MATCH("New Away Elo", Games!$C$1:$AO$1, 0), FALSE), R100)))</f>
        <v>1301.9287690033298</v>
      </c>
      <c r="V100" s="137" t="n">
        <f t="shared" si="30"/>
        <v>0</v>
      </c>
      <c r="W100" s="123" t="n">
        <f t="shared" si="25"/>
        <v>111</v>
      </c>
    </row>
    <row r="101">
      <c r="A101" s="1" t="s">
        <v>217</v>
      </c>
      <c r="B101" s="1" t="s">
        <v>126</v>
      </c>
      <c r="C101" s="137" t="n">
        <f>VLOOKUP(A101, $A$2:$BQ$1048576, MATCH(_xlfn.CONCAT("Week ",Games!$A$7), Elo!$A$1:$BQ$1, 0), FALSE)</f>
        <v>1360.6232301903499</v>
      </c>
      <c r="D101" s="137" t="n">
        <f t="shared" si="31"/>
        <v>100</v>
      </c>
      <c r="E101" s="137" t="n">
        <v>1360.6232301903499</v>
      </c>
      <c r="F101" s="123" t="n">
        <v>100</v>
      </c>
      <c r="G101" s="137" t="n">
        <v>1360.6232301903499</v>
      </c>
      <c r="H101" s="123" t="n">
        <v>100</v>
      </c>
      <c r="I101" s="137" t="n">
        <v>1360.6232301903499</v>
      </c>
      <c r="J101" s="137" t="n">
        <f t="shared" si="26"/>
        <v>0</v>
      </c>
      <c r="K101" s="123" t="n">
        <f t="shared" si="32"/>
        <v>100</v>
      </c>
      <c r="L101" s="137" t="n">
        <f>IF(AND(COUNTIF(Games!$B$2:$B$101, Elo!$A101)=0,COUNTIF(Games!$C$2:$C$101, Elo!$A101)=0), I101, IF(COUNTIF(Games!$B$2:$B$101, Elo!$A101)&gt;0, VLOOKUP(Elo!$A101, Games!$B$2:$AN$101, MATCH("New Home Elo", Games!$B$1:$AN$1, 0), FALSE), IF(COUNTIF(Games!$C$2:$C$101, Elo!$A101)&gt;0, VLOOKUP(Elo!$A101, Games!$C$2:$AO$101, MATCH("New Away Elo", Games!$C$1:$AO$1, 0), FALSE), I101)))</f>
        <v>1615.6763344267897</v>
      </c>
      <c r="M101" s="137" t="n">
        <f t="shared" si="27"/>
        <v>255.05310423643982</v>
      </c>
      <c r="N101" s="123" t="n">
        <f t="shared" si="33"/>
        <v>42</v>
      </c>
      <c r="O101" s="137" t="n">
        <f>IF(AND(COUNTIF(Games!$B$2:$B$101, Elo!$A101)=0,COUNTIF(Games!$C$2:$C$101, Elo!$A101)=0), L101, IF(COUNTIF(Games!$B$2:$B$101, Elo!$A101)&gt;0, VLOOKUP(Elo!$A101, Games!$B$2:$AN$101, MATCH("New Home Elo", Games!$B$1:$AN$1, 0), FALSE), IF(COUNTIF(Games!$C$2:$C$101, Elo!$A101)&gt;0, VLOOKUP(Elo!$A101, Games!$C$2:$AO$101, MATCH("New Away Elo", Games!$C$1:$AO$1, 0), FALSE), L101)))</f>
        <v>1615.6763344267897</v>
      </c>
      <c r="P101" s="137" t="n">
        <f t="shared" si="28"/>
        <v>0</v>
      </c>
      <c r="Q101" s="123" t="n">
        <f t="shared" si="23"/>
        <v>42</v>
      </c>
      <c r="R101" s="137" t="n">
        <f>IF(AND(COUNTIF(Games!$B$2:$B$101, Elo!$A101)=0,COUNTIF(Games!$C$2:$C$101, Elo!$A101)=0), O101, IF(COUNTIF(Games!$B$2:$B$101, Elo!$A101)&gt;0, VLOOKUP(Elo!$A101, Games!$B$2:$AN$101, MATCH("New Home Elo", Games!$B$1:$AN$1, 0), FALSE), IF(COUNTIF(Games!$C$2:$C$101, Elo!$A101)&gt;0, VLOOKUP(Elo!$A101, Games!$C$2:$AO$101, MATCH("New Away Elo", Games!$C$1:$AO$1, 0), FALSE), O101)))</f>
        <v>1615.6763344267897</v>
      </c>
      <c r="S101" s="137" t="n">
        <f t="shared" si="29"/>
        <v>0</v>
      </c>
      <c r="T101" s="123" t="n">
        <f t="shared" si="24"/>
        <v>42</v>
      </c>
      <c r="U101" s="137" t="n">
        <f>IF(AND(COUNTIF(Games!$B$2:$B$101, Elo!$A101)=0,COUNTIF(Games!$C$2:$C$101, Elo!$A101)=0), R101, IF(COUNTIF(Games!$B$2:$B$101, Elo!$A101)&gt;0, VLOOKUP(Elo!$A101, Games!$B$2:$AN$101, MATCH("New Home Elo", Games!$B$1:$AN$1, 0), FALSE), IF(COUNTIF(Games!$C$2:$C$101, Elo!$A101)&gt;0, VLOOKUP(Elo!$A101, Games!$C$2:$AO$101, MATCH("New Away Elo", Games!$C$1:$AO$1, 0), FALSE), R101)))</f>
        <v>1615.6763344267897</v>
      </c>
      <c r="V101" s="137" t="n">
        <f t="shared" si="30"/>
        <v>0</v>
      </c>
      <c r="W101" s="123" t="n">
        <f t="shared" si="25"/>
        <v>42</v>
      </c>
    </row>
    <row r="102">
      <c r="A102" s="1" t="s">
        <v>218</v>
      </c>
      <c r="B102" s="1" t="s">
        <v>135</v>
      </c>
      <c r="C102" s="137" t="n">
        <f>VLOOKUP(A102, $A$2:$BQ$1048576, MATCH(_xlfn.CONCAT("Week ",Games!$A$7), Elo!$A$1:$BQ$1, 0), FALSE)</f>
        <v>1357.7995310553299</v>
      </c>
      <c r="D102" s="137" t="n">
        <f t="shared" si="31"/>
        <v>101</v>
      </c>
      <c r="E102" s="137" t="n">
        <v>1357.7995310553299</v>
      </c>
      <c r="F102" s="123" t="n">
        <v>101</v>
      </c>
      <c r="G102" s="137" t="n">
        <v>1357.7995310553299</v>
      </c>
      <c r="H102" s="123" t="n">
        <v>101</v>
      </c>
      <c r="I102" s="137" t="n">
        <v>1357.7995310553299</v>
      </c>
      <c r="J102" s="137" t="n">
        <f t="shared" si="26"/>
        <v>0</v>
      </c>
      <c r="K102" s="123" t="n">
        <f t="shared" si="32"/>
        <v>101</v>
      </c>
      <c r="L102" s="137" t="n">
        <f>IF(AND(COUNTIF(Games!$B$2:$B$101, Elo!$A102)=0,COUNTIF(Games!$C$2:$C$101, Elo!$A102)=0), I102, IF(COUNTIF(Games!$B$2:$B$101, Elo!$A102)&gt;0, VLOOKUP(Elo!$A102, Games!$B$2:$AN$101, MATCH("New Home Elo", Games!$B$1:$AN$1, 0), FALSE), IF(COUNTIF(Games!$C$2:$C$101, Elo!$A102)&gt;0, VLOOKUP(Elo!$A102, Games!$C$2:$AO$101, MATCH("New Away Elo", Games!$C$1:$AO$1, 0), FALSE), I102)))</f>
        <v>1595.5568190543818</v>
      </c>
      <c r="M102" s="137" t="n">
        <f t="shared" si="27"/>
        <v>237.75728799905187</v>
      </c>
      <c r="N102" s="123" t="n">
        <f t="shared" si="33"/>
        <v>49</v>
      </c>
      <c r="O102" s="137" t="n">
        <f>IF(AND(COUNTIF(Games!$B$2:$B$101, Elo!$A102)=0,COUNTIF(Games!$C$2:$C$101, Elo!$A102)=0), L102, IF(COUNTIF(Games!$B$2:$B$101, Elo!$A102)&gt;0, VLOOKUP(Elo!$A102, Games!$B$2:$AN$101, MATCH("New Home Elo", Games!$B$1:$AN$1, 0), FALSE), IF(COUNTIF(Games!$C$2:$C$101, Elo!$A102)&gt;0, VLOOKUP(Elo!$A102, Games!$C$2:$AO$101, MATCH("New Away Elo", Games!$C$1:$AO$1, 0), FALSE), L102)))</f>
        <v>1595.5568190543818</v>
      </c>
      <c r="P102" s="137" t="n">
        <f t="shared" si="28"/>
        <v>0</v>
      </c>
      <c r="Q102" s="123" t="n">
        <f t="shared" si="23"/>
        <v>49</v>
      </c>
      <c r="R102" s="137" t="n">
        <f>IF(AND(COUNTIF(Games!$B$2:$B$101, Elo!$A102)=0,COUNTIF(Games!$C$2:$C$101, Elo!$A102)=0), O102, IF(COUNTIF(Games!$B$2:$B$101, Elo!$A102)&gt;0, VLOOKUP(Elo!$A102, Games!$B$2:$AN$101, MATCH("New Home Elo", Games!$B$1:$AN$1, 0), FALSE), IF(COUNTIF(Games!$C$2:$C$101, Elo!$A102)&gt;0, VLOOKUP(Elo!$A102, Games!$C$2:$AO$101, MATCH("New Away Elo", Games!$C$1:$AO$1, 0), FALSE), O102)))</f>
        <v>1595.5568190543818</v>
      </c>
      <c r="S102" s="137" t="n">
        <f t="shared" si="29"/>
        <v>0</v>
      </c>
      <c r="T102" s="123" t="n">
        <f t="shared" si="24"/>
        <v>49</v>
      </c>
      <c r="U102" s="137" t="n">
        <f>IF(AND(COUNTIF(Games!$B$2:$B$101, Elo!$A102)=0,COUNTIF(Games!$C$2:$C$101, Elo!$A102)=0), R102, IF(COUNTIF(Games!$B$2:$B$101, Elo!$A102)&gt;0, VLOOKUP(Elo!$A102, Games!$B$2:$AN$101, MATCH("New Home Elo", Games!$B$1:$AN$1, 0), FALSE), IF(COUNTIF(Games!$C$2:$C$101, Elo!$A102)&gt;0, VLOOKUP(Elo!$A102, Games!$C$2:$AO$101, MATCH("New Away Elo", Games!$C$1:$AO$1, 0), FALSE), R102)))</f>
        <v>1595.5568190543818</v>
      </c>
      <c r="V102" s="137" t="n">
        <f t="shared" si="30"/>
        <v>0</v>
      </c>
      <c r="W102" s="123" t="n">
        <f t="shared" si="25"/>
        <v>49</v>
      </c>
    </row>
    <row r="103">
      <c r="A103" s="1" t="s">
        <v>219</v>
      </c>
      <c r="B103" s="1" t="s">
        <v>122</v>
      </c>
      <c r="C103" s="137" t="n">
        <f>VLOOKUP(A103, $A$2:$BQ$1048576, MATCH(_xlfn.CONCAT("Week ",Games!$A$7), Elo!$A$1:$BQ$1, 0), FALSE)</f>
        <v>1354.1941274865201</v>
      </c>
      <c r="D103" s="137" t="n">
        <f t="shared" si="31"/>
        <v>102</v>
      </c>
      <c r="E103" s="137" t="n">
        <v>1354.1941274865201</v>
      </c>
      <c r="F103" s="123" t="n">
        <v>102</v>
      </c>
      <c r="G103" s="137" t="n">
        <v>1354.1941274865201</v>
      </c>
      <c r="H103" s="123" t="n">
        <v>102</v>
      </c>
      <c r="I103" s="137" t="n">
        <v>1354.1941274865201</v>
      </c>
      <c r="J103" s="137" t="n">
        <f t="shared" si="26"/>
        <v>0</v>
      </c>
      <c r="K103" s="123" t="n">
        <f t="shared" si="32"/>
        <v>102</v>
      </c>
      <c r="L103" s="137" t="n">
        <f>IF(AND(COUNTIF(Games!$B$2:$B$101, Elo!$A103)=0,COUNTIF(Games!$C$2:$C$101, Elo!$A103)=0), I103, IF(COUNTIF(Games!$B$2:$B$101, Elo!$A103)&gt;0, VLOOKUP(Elo!$A103, Games!$B$2:$AN$101, MATCH("New Home Elo", Games!$B$1:$AN$1, 0), FALSE), IF(COUNTIF(Games!$C$2:$C$101, Elo!$A103)&gt;0, VLOOKUP(Elo!$A103, Games!$C$2:$AO$101, MATCH("New Away Elo", Games!$C$1:$AO$1, 0), FALSE), I103)))</f>
        <v>1489.1944162624015</v>
      </c>
      <c r="M103" s="137" t="n">
        <f t="shared" si="27"/>
        <v>135.00028877588147</v>
      </c>
      <c r="N103" s="123" t="n">
        <f t="shared" si="33"/>
        <v>68</v>
      </c>
      <c r="O103" s="137" t="n">
        <f>IF(AND(COUNTIF(Games!$B$2:$B$101, Elo!$A103)=0,COUNTIF(Games!$C$2:$C$101, Elo!$A103)=0), L103, IF(COUNTIF(Games!$B$2:$B$101, Elo!$A103)&gt;0, VLOOKUP(Elo!$A103, Games!$B$2:$AN$101, MATCH("New Home Elo", Games!$B$1:$AN$1, 0), FALSE), IF(COUNTIF(Games!$C$2:$C$101, Elo!$A103)&gt;0, VLOOKUP(Elo!$A103, Games!$C$2:$AO$101, MATCH("New Away Elo", Games!$C$1:$AO$1, 0), FALSE), L103)))</f>
        <v>1489.1944162624015</v>
      </c>
      <c r="P103" s="137" t="n">
        <f t="shared" si="28"/>
        <v>0</v>
      </c>
      <c r="Q103" s="123" t="n">
        <f t="shared" si="23"/>
        <v>68</v>
      </c>
      <c r="R103" s="137" t="n">
        <f>IF(AND(COUNTIF(Games!$B$2:$B$101, Elo!$A103)=0,COUNTIF(Games!$C$2:$C$101, Elo!$A103)=0), O103, IF(COUNTIF(Games!$B$2:$B$101, Elo!$A103)&gt;0, VLOOKUP(Elo!$A103, Games!$B$2:$AN$101, MATCH("New Home Elo", Games!$B$1:$AN$1, 0), FALSE), IF(COUNTIF(Games!$C$2:$C$101, Elo!$A103)&gt;0, VLOOKUP(Elo!$A103, Games!$C$2:$AO$101, MATCH("New Away Elo", Games!$C$1:$AO$1, 0), FALSE), O103)))</f>
        <v>1489.1944162624015</v>
      </c>
      <c r="S103" s="137" t="n">
        <f t="shared" si="29"/>
        <v>0</v>
      </c>
      <c r="T103" s="123" t="n">
        <f t="shared" si="24"/>
        <v>68</v>
      </c>
      <c r="U103" s="137" t="n">
        <f>IF(AND(COUNTIF(Games!$B$2:$B$101, Elo!$A103)=0,COUNTIF(Games!$C$2:$C$101, Elo!$A103)=0), R103, IF(COUNTIF(Games!$B$2:$B$101, Elo!$A103)&gt;0, VLOOKUP(Elo!$A103, Games!$B$2:$AN$101, MATCH("New Home Elo", Games!$B$1:$AN$1, 0), FALSE), IF(COUNTIF(Games!$C$2:$C$101, Elo!$A103)&gt;0, VLOOKUP(Elo!$A103, Games!$C$2:$AO$101, MATCH("New Away Elo", Games!$C$1:$AO$1, 0), FALSE), R103)))</f>
        <v>1489.1944162624015</v>
      </c>
      <c r="V103" s="137" t="n">
        <f t="shared" si="30"/>
        <v>0</v>
      </c>
      <c r="W103" s="123" t="n">
        <f t="shared" si="25"/>
        <v>68</v>
      </c>
    </row>
    <row r="104">
      <c r="A104" s="1" t="s">
        <v>220</v>
      </c>
      <c r="B104" s="1" t="s">
        <v>149</v>
      </c>
      <c r="C104" s="137" t="n">
        <f>VLOOKUP(A104, $A$2:$BQ$1048576, MATCH(_xlfn.CONCAT("Week ",Games!$A$7), Elo!$A$1:$BQ$1, 0), FALSE)</f>
        <v>1349.13702288787</v>
      </c>
      <c r="D104" s="137" t="n">
        <f t="shared" si="31"/>
        <v>103</v>
      </c>
      <c r="E104" s="137" t="n">
        <v>1349.13702288787</v>
      </c>
      <c r="F104" s="123" t="n">
        <v>103</v>
      </c>
      <c r="G104" s="137" t="n">
        <v>1349.13702288787</v>
      </c>
      <c r="H104" s="123" t="n">
        <v>103</v>
      </c>
      <c r="I104" s="137" t="n">
        <v>1349.13702288787</v>
      </c>
      <c r="J104" s="137" t="n">
        <f t="shared" si="26"/>
        <v>0</v>
      </c>
      <c r="K104" s="123" t="n">
        <f t="shared" si="32"/>
        <v>103</v>
      </c>
      <c r="L104" s="137" t="n">
        <f>IF(AND(COUNTIF(Games!$B$2:$B$101, Elo!$A104)=0,COUNTIF(Games!$C$2:$C$101, Elo!$A104)=0), I104, IF(COUNTIF(Games!$B$2:$B$101, Elo!$A104)&gt;0, VLOOKUP(Elo!$A104, Games!$B$2:$AN$101, MATCH("New Home Elo", Games!$B$1:$AN$1, 0), FALSE), IF(COUNTIF(Games!$C$2:$C$101, Elo!$A104)&gt;0, VLOOKUP(Elo!$A104, Games!$C$2:$AO$101, MATCH("New Away Elo", Games!$C$1:$AO$1, 0), FALSE), I104)))</f>
        <v>1382.7338496550346</v>
      </c>
      <c r="M104" s="137" t="n">
        <f t="shared" si="27"/>
        <v>33.596826767164657</v>
      </c>
      <c r="N104" s="123" t="n">
        <f t="shared" si="33"/>
        <v>97</v>
      </c>
      <c r="O104" s="137" t="n">
        <f>IF(AND(COUNTIF(Games!$B$2:$B$101, Elo!$A104)=0,COUNTIF(Games!$C$2:$C$101, Elo!$A104)=0), L104, IF(COUNTIF(Games!$B$2:$B$101, Elo!$A104)&gt;0, VLOOKUP(Elo!$A104, Games!$B$2:$AN$101, MATCH("New Home Elo", Games!$B$1:$AN$1, 0), FALSE), IF(COUNTIF(Games!$C$2:$C$101, Elo!$A104)&gt;0, VLOOKUP(Elo!$A104, Games!$C$2:$AO$101, MATCH("New Away Elo", Games!$C$1:$AO$1, 0), FALSE), L104)))</f>
        <v>1382.7338496550346</v>
      </c>
      <c r="P104" s="137" t="n">
        <f t="shared" si="28"/>
        <v>0</v>
      </c>
      <c r="Q104" s="123" t="n">
        <f t="shared" si="23"/>
        <v>97</v>
      </c>
      <c r="R104" s="137" t="n">
        <f>IF(AND(COUNTIF(Games!$B$2:$B$101, Elo!$A104)=0,COUNTIF(Games!$C$2:$C$101, Elo!$A104)=0), O104, IF(COUNTIF(Games!$B$2:$B$101, Elo!$A104)&gt;0, VLOOKUP(Elo!$A104, Games!$B$2:$AN$101, MATCH("New Home Elo", Games!$B$1:$AN$1, 0), FALSE), IF(COUNTIF(Games!$C$2:$C$101, Elo!$A104)&gt;0, VLOOKUP(Elo!$A104, Games!$C$2:$AO$101, MATCH("New Away Elo", Games!$C$1:$AO$1, 0), FALSE), O104)))</f>
        <v>1382.7338496550346</v>
      </c>
      <c r="S104" s="137" t="n">
        <f t="shared" si="29"/>
        <v>0</v>
      </c>
      <c r="T104" s="123" t="n">
        <f t="shared" si="24"/>
        <v>97</v>
      </c>
      <c r="U104" s="137" t="n">
        <f>IF(AND(COUNTIF(Games!$B$2:$B$101, Elo!$A104)=0,COUNTIF(Games!$C$2:$C$101, Elo!$A104)=0), R104, IF(COUNTIF(Games!$B$2:$B$101, Elo!$A104)&gt;0, VLOOKUP(Elo!$A104, Games!$B$2:$AN$101, MATCH("New Home Elo", Games!$B$1:$AN$1, 0), FALSE), IF(COUNTIF(Games!$C$2:$C$101, Elo!$A104)&gt;0, VLOOKUP(Elo!$A104, Games!$C$2:$AO$101, MATCH("New Away Elo", Games!$C$1:$AO$1, 0), FALSE), R104)))</f>
        <v>1382.7338496550346</v>
      </c>
      <c r="V104" s="137" t="n">
        <f t="shared" si="30"/>
        <v>0</v>
      </c>
      <c r="W104" s="123" t="n">
        <f t="shared" si="25"/>
        <v>97</v>
      </c>
    </row>
    <row r="105">
      <c r="A105" s="1" t="s">
        <v>221</v>
      </c>
      <c r="B105" s="1" t="s">
        <v>122</v>
      </c>
      <c r="C105" s="137" t="n">
        <f>VLOOKUP(A105, $A$2:$BQ$1048576, MATCH(_xlfn.CONCAT("Week ",Games!$A$7), Elo!$A$1:$BQ$1, 0), FALSE)</f>
        <v>1348.9438646440799</v>
      </c>
      <c r="D105" s="137" t="n">
        <f t="shared" si="31"/>
        <v>104</v>
      </c>
      <c r="E105" s="137" t="n">
        <v>1348.9438646440799</v>
      </c>
      <c r="F105" s="123" t="n">
        <v>104</v>
      </c>
      <c r="G105" s="137" t="n">
        <v>1348.9438646440799</v>
      </c>
      <c r="H105" s="123" t="n">
        <v>104</v>
      </c>
      <c r="I105" s="137" t="n">
        <v>1348.9438646440799</v>
      </c>
      <c r="J105" s="137" t="n">
        <f t="shared" si="26"/>
        <v>0</v>
      </c>
      <c r="K105" s="123" t="n">
        <f t="shared" si="32"/>
        <v>104</v>
      </c>
      <c r="L105" s="137" t="n">
        <f>IF(AND(COUNTIF(Games!$B$2:$B$101, Elo!$A105)=0,COUNTIF(Games!$C$2:$C$101, Elo!$A105)=0), I105, IF(COUNTIF(Games!$B$2:$B$101, Elo!$A105)&gt;0, VLOOKUP(Elo!$A105, Games!$B$2:$AN$101, MATCH("New Home Elo", Games!$B$1:$AN$1, 0), FALSE), IF(COUNTIF(Games!$C$2:$C$101, Elo!$A105)&gt;0, VLOOKUP(Elo!$A105, Games!$C$2:$AO$101, MATCH("New Away Elo", Games!$C$1:$AO$1, 0), FALSE), I105)))</f>
        <v>1329.8826888560429</v>
      </c>
      <c r="M105" s="137" t="n">
        <f t="shared" si="27"/>
        <v>-19.061175788036962</v>
      </c>
      <c r="N105" s="123" t="n">
        <f t="shared" si="33"/>
        <v>107</v>
      </c>
      <c r="O105" s="137" t="n">
        <f>IF(AND(COUNTIF(Games!$B$2:$B$101, Elo!$A105)=0,COUNTIF(Games!$C$2:$C$101, Elo!$A105)=0), L105, IF(COUNTIF(Games!$B$2:$B$101, Elo!$A105)&gt;0, VLOOKUP(Elo!$A105, Games!$B$2:$AN$101, MATCH("New Home Elo", Games!$B$1:$AN$1, 0), FALSE), IF(COUNTIF(Games!$C$2:$C$101, Elo!$A105)&gt;0, VLOOKUP(Elo!$A105, Games!$C$2:$AO$101, MATCH("New Away Elo", Games!$C$1:$AO$1, 0), FALSE), L105)))</f>
        <v>1329.8826888560429</v>
      </c>
      <c r="P105" s="137" t="n">
        <f t="shared" si="28"/>
        <v>0</v>
      </c>
      <c r="Q105" s="123" t="n">
        <f t="shared" si="23"/>
        <v>107</v>
      </c>
      <c r="R105" s="137" t="n">
        <f>IF(AND(COUNTIF(Games!$B$2:$B$101, Elo!$A105)=0,COUNTIF(Games!$C$2:$C$101, Elo!$A105)=0), O105, IF(COUNTIF(Games!$B$2:$B$101, Elo!$A105)&gt;0, VLOOKUP(Elo!$A105, Games!$B$2:$AN$101, MATCH("New Home Elo", Games!$B$1:$AN$1, 0), FALSE), IF(COUNTIF(Games!$C$2:$C$101, Elo!$A105)&gt;0, VLOOKUP(Elo!$A105, Games!$C$2:$AO$101, MATCH("New Away Elo", Games!$C$1:$AO$1, 0), FALSE), O105)))</f>
        <v>1329.8826888560429</v>
      </c>
      <c r="S105" s="137" t="n">
        <f t="shared" si="29"/>
        <v>0</v>
      </c>
      <c r="T105" s="123" t="n">
        <f t="shared" si="24"/>
        <v>107</v>
      </c>
      <c r="U105" s="137" t="n">
        <f>IF(AND(COUNTIF(Games!$B$2:$B$101, Elo!$A105)=0,COUNTIF(Games!$C$2:$C$101, Elo!$A105)=0), R105, IF(COUNTIF(Games!$B$2:$B$101, Elo!$A105)&gt;0, VLOOKUP(Elo!$A105, Games!$B$2:$AN$101, MATCH("New Home Elo", Games!$B$1:$AN$1, 0), FALSE), IF(COUNTIF(Games!$C$2:$C$101, Elo!$A105)&gt;0, VLOOKUP(Elo!$A105, Games!$C$2:$AO$101, MATCH("New Away Elo", Games!$C$1:$AO$1, 0), FALSE), R105)))</f>
        <v>1329.8826888560429</v>
      </c>
      <c r="V105" s="137" t="n">
        <f t="shared" si="30"/>
        <v>0</v>
      </c>
      <c r="W105" s="123" t="n">
        <f t="shared" si="25"/>
        <v>107</v>
      </c>
    </row>
    <row r="106">
      <c r="A106" s="1" t="s">
        <v>222</v>
      </c>
      <c r="B106" s="1" t="s">
        <v>138</v>
      </c>
      <c r="C106" s="137" t="n">
        <f>VLOOKUP(A106, $A$2:$BQ$1048576, MATCH(_xlfn.CONCAT("Week ",Games!$A$7), Elo!$A$1:$BQ$1, 0), FALSE)</f>
        <v>1348.9431632113999</v>
      </c>
      <c r="D106" s="137" t="n">
        <f t="shared" si="31"/>
        <v>105</v>
      </c>
      <c r="E106" s="137" t="n">
        <v>1348.9431632113999</v>
      </c>
      <c r="F106" s="123" t="n">
        <v>105</v>
      </c>
      <c r="G106" s="137" t="n">
        <v>1348.9431632113999</v>
      </c>
      <c r="H106" s="123" t="n">
        <v>105</v>
      </c>
      <c r="I106" s="137" t="n">
        <v>1348.9431632113999</v>
      </c>
      <c r="J106" s="137" t="n">
        <f t="shared" si="26"/>
        <v>0</v>
      </c>
      <c r="K106" s="123" t="n">
        <f t="shared" si="32"/>
        <v>105</v>
      </c>
      <c r="L106" s="137" t="n">
        <f>IF(AND(COUNTIF(Games!$B$2:$B$101, Elo!$A106)=0,COUNTIF(Games!$C$2:$C$101, Elo!$A106)=0), I106, IF(COUNTIF(Games!$B$2:$B$101, Elo!$A106)&gt;0, VLOOKUP(Elo!$A106, Games!$B$2:$AN$101, MATCH("New Home Elo", Games!$B$1:$AN$1, 0), FALSE), IF(COUNTIF(Games!$C$2:$C$101, Elo!$A106)&gt;0, VLOOKUP(Elo!$A106, Games!$C$2:$AO$101, MATCH("New Away Elo", Games!$C$1:$AO$1, 0), FALSE), I106)))</f>
        <v>1376.2445902877942</v>
      </c>
      <c r="M106" s="137" t="n">
        <f t="shared" si="27"/>
        <v>27.301427076394248</v>
      </c>
      <c r="N106" s="123" t="n">
        <f t="shared" si="33"/>
        <v>98</v>
      </c>
      <c r="O106" s="137" t="n">
        <f>IF(AND(COUNTIF(Games!$B$2:$B$101, Elo!$A106)=0,COUNTIF(Games!$C$2:$C$101, Elo!$A106)=0), L106, IF(COUNTIF(Games!$B$2:$B$101, Elo!$A106)&gt;0, VLOOKUP(Elo!$A106, Games!$B$2:$AN$101, MATCH("New Home Elo", Games!$B$1:$AN$1, 0), FALSE), IF(COUNTIF(Games!$C$2:$C$101, Elo!$A106)&gt;0, VLOOKUP(Elo!$A106, Games!$C$2:$AO$101, MATCH("New Away Elo", Games!$C$1:$AO$1, 0), FALSE), L106)))</f>
        <v>1376.2445902877942</v>
      </c>
      <c r="P106" s="137" t="n">
        <f t="shared" si="28"/>
        <v>0</v>
      </c>
      <c r="Q106" s="123" t="n">
        <f t="shared" si="23"/>
        <v>98</v>
      </c>
      <c r="R106" s="137" t="n">
        <f>IF(AND(COUNTIF(Games!$B$2:$B$101, Elo!$A106)=0,COUNTIF(Games!$C$2:$C$101, Elo!$A106)=0), O106, IF(COUNTIF(Games!$B$2:$B$101, Elo!$A106)&gt;0, VLOOKUP(Elo!$A106, Games!$B$2:$AN$101, MATCH("New Home Elo", Games!$B$1:$AN$1, 0), FALSE), IF(COUNTIF(Games!$C$2:$C$101, Elo!$A106)&gt;0, VLOOKUP(Elo!$A106, Games!$C$2:$AO$101, MATCH("New Away Elo", Games!$C$1:$AO$1, 0), FALSE), O106)))</f>
        <v>1376.2445902877942</v>
      </c>
      <c r="S106" s="137" t="n">
        <f t="shared" si="29"/>
        <v>0</v>
      </c>
      <c r="T106" s="123" t="n">
        <f t="shared" si="24"/>
        <v>98</v>
      </c>
      <c r="U106" s="137" t="n">
        <f>IF(AND(COUNTIF(Games!$B$2:$B$101, Elo!$A106)=0,COUNTIF(Games!$C$2:$C$101, Elo!$A106)=0), R106, IF(COUNTIF(Games!$B$2:$B$101, Elo!$A106)&gt;0, VLOOKUP(Elo!$A106, Games!$B$2:$AN$101, MATCH("New Home Elo", Games!$B$1:$AN$1, 0), FALSE), IF(COUNTIF(Games!$C$2:$C$101, Elo!$A106)&gt;0, VLOOKUP(Elo!$A106, Games!$C$2:$AO$101, MATCH("New Away Elo", Games!$C$1:$AO$1, 0), FALSE), R106)))</f>
        <v>1376.2445902877942</v>
      </c>
      <c r="V106" s="137" t="n">
        <f t="shared" si="30"/>
        <v>0</v>
      </c>
      <c r="W106" s="123" t="n">
        <f t="shared" si="25"/>
        <v>98</v>
      </c>
    </row>
    <row r="107">
      <c r="A107" s="1" t="s">
        <v>223</v>
      </c>
      <c r="B107" s="1" t="s">
        <v>135</v>
      </c>
      <c r="C107" s="137" t="n">
        <f>VLOOKUP(A107, $A$2:$BQ$1048576, MATCH(_xlfn.CONCAT("Week ",Games!$A$7), Elo!$A$1:$BQ$1, 0), FALSE)</f>
        <v>1339.2165012668099</v>
      </c>
      <c r="D107" s="137" t="n">
        <f t="shared" si="31"/>
        <v>106</v>
      </c>
      <c r="E107" s="137" t="n">
        <v>1339.2165012668099</v>
      </c>
      <c r="F107" s="123" t="n">
        <v>106</v>
      </c>
      <c r="G107" s="137" t="n">
        <v>1339.2165012668099</v>
      </c>
      <c r="H107" s="123" t="n">
        <v>106</v>
      </c>
      <c r="I107" s="137" t="n">
        <v>1339.2165012668099</v>
      </c>
      <c r="J107" s="137" t="n">
        <f t="shared" si="26"/>
        <v>0</v>
      </c>
      <c r="K107" s="123" t="n">
        <f t="shared" si="32"/>
        <v>106</v>
      </c>
      <c r="L107" s="137" t="n">
        <f>IF(AND(COUNTIF(Games!$B$2:$B$101, Elo!$A107)=0,COUNTIF(Games!$C$2:$C$101, Elo!$A107)=0), I107, IF(COUNTIF(Games!$B$2:$B$101, Elo!$A107)&gt;0, VLOOKUP(Elo!$A107, Games!$B$2:$AN$101, MATCH("New Home Elo", Games!$B$1:$AN$1, 0), FALSE), IF(COUNTIF(Games!$C$2:$C$101, Elo!$A107)&gt;0, VLOOKUP(Elo!$A107, Games!$C$2:$AO$101, MATCH("New Away Elo", Games!$C$1:$AO$1, 0), FALSE), I107)))</f>
        <v>1368.4167096890274</v>
      </c>
      <c r="M107" s="137" t="n">
        <f t="shared" si="27"/>
        <v>29.200208422217429</v>
      </c>
      <c r="N107" s="123" t="n">
        <f t="shared" si="33"/>
        <v>99</v>
      </c>
      <c r="O107" s="137" t="n">
        <f>IF(AND(COUNTIF(Games!$B$2:$B$101, Elo!$A107)=0,COUNTIF(Games!$C$2:$C$101, Elo!$A107)=0), L107, IF(COUNTIF(Games!$B$2:$B$101, Elo!$A107)&gt;0, VLOOKUP(Elo!$A107, Games!$B$2:$AN$101, MATCH("New Home Elo", Games!$B$1:$AN$1, 0), FALSE), IF(COUNTIF(Games!$C$2:$C$101, Elo!$A107)&gt;0, VLOOKUP(Elo!$A107, Games!$C$2:$AO$101, MATCH("New Away Elo", Games!$C$1:$AO$1, 0), FALSE), L107)))</f>
        <v>1368.4167096890274</v>
      </c>
      <c r="P107" s="137" t="n">
        <f t="shared" si="28"/>
        <v>0</v>
      </c>
      <c r="Q107" s="123" t="n">
        <f t="shared" si="23"/>
        <v>99</v>
      </c>
      <c r="R107" s="137" t="n">
        <f>IF(AND(COUNTIF(Games!$B$2:$B$101, Elo!$A107)=0,COUNTIF(Games!$C$2:$C$101, Elo!$A107)=0), O107, IF(COUNTIF(Games!$B$2:$B$101, Elo!$A107)&gt;0, VLOOKUP(Elo!$A107, Games!$B$2:$AN$101, MATCH("New Home Elo", Games!$B$1:$AN$1, 0), FALSE), IF(COUNTIF(Games!$C$2:$C$101, Elo!$A107)&gt;0, VLOOKUP(Elo!$A107, Games!$C$2:$AO$101, MATCH("New Away Elo", Games!$C$1:$AO$1, 0), FALSE), O107)))</f>
        <v>1368.4167096890274</v>
      </c>
      <c r="S107" s="137" t="n">
        <f t="shared" si="29"/>
        <v>0</v>
      </c>
      <c r="T107" s="123" t="n">
        <f t="shared" si="24"/>
        <v>99</v>
      </c>
      <c r="U107" s="137" t="n">
        <f>IF(AND(COUNTIF(Games!$B$2:$B$101, Elo!$A107)=0,COUNTIF(Games!$C$2:$C$101, Elo!$A107)=0), R107, IF(COUNTIF(Games!$B$2:$B$101, Elo!$A107)&gt;0, VLOOKUP(Elo!$A107, Games!$B$2:$AN$101, MATCH("New Home Elo", Games!$B$1:$AN$1, 0), FALSE), IF(COUNTIF(Games!$C$2:$C$101, Elo!$A107)&gt;0, VLOOKUP(Elo!$A107, Games!$C$2:$AO$101, MATCH("New Away Elo", Games!$C$1:$AO$1, 0), FALSE), R107)))</f>
        <v>1368.4167096890274</v>
      </c>
      <c r="V107" s="137" t="n">
        <f t="shared" si="30"/>
        <v>0</v>
      </c>
      <c r="W107" s="123" t="n">
        <f t="shared" si="25"/>
        <v>99</v>
      </c>
    </row>
    <row r="108">
      <c r="A108" s="1" t="s">
        <v>224</v>
      </c>
      <c r="B108" s="1" t="s">
        <v>135</v>
      </c>
      <c r="C108" s="137" t="n">
        <f>VLOOKUP(A108, $A$2:$BQ$1048576, MATCH(_xlfn.CONCAT("Week ",Games!$A$7), Elo!$A$1:$BQ$1, 0), FALSE)</f>
        <v>1333.3439284415699</v>
      </c>
      <c r="D108" s="137" t="n">
        <f t="shared" si="31"/>
        <v>107</v>
      </c>
      <c r="E108" s="137" t="n">
        <v>1333.3439284415699</v>
      </c>
      <c r="F108" s="123" t="n">
        <v>107</v>
      </c>
      <c r="G108" s="137" t="n">
        <v>1333.3439284415699</v>
      </c>
      <c r="H108" s="123" t="n">
        <v>107</v>
      </c>
      <c r="I108" s="137" t="n">
        <v>1333.3439284415699</v>
      </c>
      <c r="J108" s="137" t="n">
        <f t="shared" si="26"/>
        <v>0</v>
      </c>
      <c r="K108" s="123" t="n">
        <f t="shared" si="32"/>
        <v>107</v>
      </c>
      <c r="L108" s="137" t="n">
        <f>IF(AND(COUNTIF(Games!$B$2:$B$101, Elo!$A108)=0,COUNTIF(Games!$C$2:$C$101, Elo!$A108)=0), I108, IF(COUNTIF(Games!$B$2:$B$101, Elo!$A108)&gt;0, VLOOKUP(Elo!$A108, Games!$B$2:$AN$101, MATCH("New Home Elo", Games!$B$1:$AN$1, 0), FALSE), IF(COUNTIF(Games!$C$2:$C$101, Elo!$A108)&gt;0, VLOOKUP(Elo!$A108, Games!$C$2:$AO$101, MATCH("New Away Elo", Games!$C$1:$AO$1, 0), FALSE), I108)))</f>
        <v>1350.3143874020811</v>
      </c>
      <c r="M108" s="137" t="n">
        <f t="shared" si="27"/>
        <v>16.970458960511223</v>
      </c>
      <c r="N108" s="123" t="n">
        <f t="shared" si="33"/>
        <v>101</v>
      </c>
      <c r="O108" s="137" t="n">
        <f>IF(AND(COUNTIF(Games!$B$2:$B$101, Elo!$A108)=0,COUNTIF(Games!$C$2:$C$101, Elo!$A108)=0), L108, IF(COUNTIF(Games!$B$2:$B$101, Elo!$A108)&gt;0, VLOOKUP(Elo!$A108, Games!$B$2:$AN$101, MATCH("New Home Elo", Games!$B$1:$AN$1, 0), FALSE), IF(COUNTIF(Games!$C$2:$C$101, Elo!$A108)&gt;0, VLOOKUP(Elo!$A108, Games!$C$2:$AO$101, MATCH("New Away Elo", Games!$C$1:$AO$1, 0), FALSE), L108)))</f>
        <v>1350.3143874020811</v>
      </c>
      <c r="P108" s="137" t="n">
        <f t="shared" si="28"/>
        <v>0</v>
      </c>
      <c r="Q108" s="123" t="n">
        <f t="shared" si="23"/>
        <v>101</v>
      </c>
      <c r="R108" s="137" t="n">
        <f>IF(AND(COUNTIF(Games!$B$2:$B$101, Elo!$A108)=0,COUNTIF(Games!$C$2:$C$101, Elo!$A108)=0), O108, IF(COUNTIF(Games!$B$2:$B$101, Elo!$A108)&gt;0, VLOOKUP(Elo!$A108, Games!$B$2:$AN$101, MATCH("New Home Elo", Games!$B$1:$AN$1, 0), FALSE), IF(COUNTIF(Games!$C$2:$C$101, Elo!$A108)&gt;0, VLOOKUP(Elo!$A108, Games!$C$2:$AO$101, MATCH("New Away Elo", Games!$C$1:$AO$1, 0), FALSE), O108)))</f>
        <v>1350.3143874020811</v>
      </c>
      <c r="S108" s="137" t="n">
        <f t="shared" si="29"/>
        <v>0</v>
      </c>
      <c r="T108" s="123" t="n">
        <f t="shared" si="24"/>
        <v>101</v>
      </c>
      <c r="U108" s="137" t="n">
        <f>IF(AND(COUNTIF(Games!$B$2:$B$101, Elo!$A108)=0,COUNTIF(Games!$C$2:$C$101, Elo!$A108)=0), R108, IF(COUNTIF(Games!$B$2:$B$101, Elo!$A108)&gt;0, VLOOKUP(Elo!$A108, Games!$B$2:$AN$101, MATCH("New Home Elo", Games!$B$1:$AN$1, 0), FALSE), IF(COUNTIF(Games!$C$2:$C$101, Elo!$A108)&gt;0, VLOOKUP(Elo!$A108, Games!$C$2:$AO$101, MATCH("New Away Elo", Games!$C$1:$AO$1, 0), FALSE), R108)))</f>
        <v>1350.3143874020811</v>
      </c>
      <c r="V108" s="137" t="n">
        <f t="shared" si="30"/>
        <v>0</v>
      </c>
      <c r="W108" s="123" t="n">
        <f t="shared" si="25"/>
        <v>101</v>
      </c>
    </row>
    <row r="109">
      <c r="A109" s="1" t="s">
        <v>225</v>
      </c>
      <c r="B109" s="1" t="s">
        <v>149</v>
      </c>
      <c r="C109" s="137" t="n">
        <f>VLOOKUP(A109, $A$2:$BQ$1048576, MATCH(_xlfn.CONCAT("Week ",Games!$A$7), Elo!$A$1:$BQ$1, 0), FALSE)</f>
        <v>1331.4892235140201</v>
      </c>
      <c r="D109" s="137" t="n">
        <f t="shared" si="31"/>
        <v>108</v>
      </c>
      <c r="E109" s="137" t="n">
        <v>1331.4892235140201</v>
      </c>
      <c r="F109" s="123" t="n">
        <v>108</v>
      </c>
      <c r="G109" s="137" t="n">
        <v>1331.4892235140201</v>
      </c>
      <c r="H109" s="123" t="n">
        <v>108</v>
      </c>
      <c r="I109" s="137" t="n">
        <v>1331.4892235140201</v>
      </c>
      <c r="J109" s="137" t="n">
        <f t="shared" si="26"/>
        <v>0</v>
      </c>
      <c r="K109" s="123" t="n">
        <f t="shared" si="32"/>
        <v>108</v>
      </c>
      <c r="L109" s="137" t="n">
        <f>IF(AND(COUNTIF(Games!$B$2:$B$101, Elo!$A109)=0,COUNTIF(Games!$C$2:$C$101, Elo!$A109)=0), I109, IF(COUNTIF(Games!$B$2:$B$101, Elo!$A109)&gt;0, VLOOKUP(Elo!$A109, Games!$B$2:$AN$101, MATCH("New Home Elo", Games!$B$1:$AN$1, 0), FALSE), IF(COUNTIF(Games!$C$2:$C$101, Elo!$A109)&gt;0, VLOOKUP(Elo!$A109, Games!$C$2:$AO$101, MATCH("New Away Elo", Games!$C$1:$AO$1, 0), FALSE), I109)))</f>
        <v>1348.1290929568459</v>
      </c>
      <c r="M109" s="137" t="n">
        <f t="shared" si="27"/>
        <v>16.639869442825784</v>
      </c>
      <c r="N109" s="123" t="n">
        <f t="shared" si="33"/>
        <v>103</v>
      </c>
      <c r="O109" s="137" t="n">
        <f>IF(AND(COUNTIF(Games!$B$2:$B$101, Elo!$A109)=0,COUNTIF(Games!$C$2:$C$101, Elo!$A109)=0), L109, IF(COUNTIF(Games!$B$2:$B$101, Elo!$A109)&gt;0, VLOOKUP(Elo!$A109, Games!$B$2:$AN$101, MATCH("New Home Elo", Games!$B$1:$AN$1, 0), FALSE), IF(COUNTIF(Games!$C$2:$C$101, Elo!$A109)&gt;0, VLOOKUP(Elo!$A109, Games!$C$2:$AO$101, MATCH("New Away Elo", Games!$C$1:$AO$1, 0), FALSE), L109)))</f>
        <v>1348.1290929568459</v>
      </c>
      <c r="P109" s="137" t="n">
        <f t="shared" si="28"/>
        <v>0</v>
      </c>
      <c r="Q109" s="123" t="n">
        <f t="shared" si="23"/>
        <v>103</v>
      </c>
      <c r="R109" s="137" t="n">
        <f>IF(AND(COUNTIF(Games!$B$2:$B$101, Elo!$A109)=0,COUNTIF(Games!$C$2:$C$101, Elo!$A109)=0), O109, IF(COUNTIF(Games!$B$2:$B$101, Elo!$A109)&gt;0, VLOOKUP(Elo!$A109, Games!$B$2:$AN$101, MATCH("New Home Elo", Games!$B$1:$AN$1, 0), FALSE), IF(COUNTIF(Games!$C$2:$C$101, Elo!$A109)&gt;0, VLOOKUP(Elo!$A109, Games!$C$2:$AO$101, MATCH("New Away Elo", Games!$C$1:$AO$1, 0), FALSE), O109)))</f>
        <v>1348.1290929568459</v>
      </c>
      <c r="S109" s="137" t="n">
        <f t="shared" si="29"/>
        <v>0</v>
      </c>
      <c r="T109" s="123" t="n">
        <f t="shared" si="24"/>
        <v>103</v>
      </c>
      <c r="U109" s="137" t="n">
        <f>IF(AND(COUNTIF(Games!$B$2:$B$101, Elo!$A109)=0,COUNTIF(Games!$C$2:$C$101, Elo!$A109)=0), R109, IF(COUNTIF(Games!$B$2:$B$101, Elo!$A109)&gt;0, VLOOKUP(Elo!$A109, Games!$B$2:$AN$101, MATCH("New Home Elo", Games!$B$1:$AN$1, 0), FALSE), IF(COUNTIF(Games!$C$2:$C$101, Elo!$A109)&gt;0, VLOOKUP(Elo!$A109, Games!$C$2:$AO$101, MATCH("New Away Elo", Games!$C$1:$AO$1, 0), FALSE), R109)))</f>
        <v>1348.1290929568459</v>
      </c>
      <c r="V109" s="137" t="n">
        <f t="shared" si="30"/>
        <v>0</v>
      </c>
      <c r="W109" s="123" t="n">
        <f t="shared" si="25"/>
        <v>103</v>
      </c>
    </row>
    <row r="110">
      <c r="A110" s="1" t="s">
        <v>226</v>
      </c>
      <c r="B110" s="1" t="s">
        <v>135</v>
      </c>
      <c r="C110" s="137" t="n">
        <f>VLOOKUP(A110, $A$2:$BQ$1048576, MATCH(_xlfn.CONCAT("Week ",Games!$A$7), Elo!$A$1:$BQ$1, 0), FALSE)</f>
        <v>1328.02060715938</v>
      </c>
      <c r="D110" s="137" t="n">
        <f t="shared" si="31"/>
        <v>109</v>
      </c>
      <c r="E110" s="137" t="n">
        <v>1328.02060715938</v>
      </c>
      <c r="F110" s="123" t="n">
        <v>109</v>
      </c>
      <c r="G110" s="137" t="n">
        <v>1328.02060715938</v>
      </c>
      <c r="H110" s="123" t="n">
        <v>109</v>
      </c>
      <c r="I110" s="137" t="n">
        <v>1328.02060715938</v>
      </c>
      <c r="J110" s="137" t="n">
        <f t="shared" si="26"/>
        <v>0</v>
      </c>
      <c r="K110" s="123" t="n">
        <f t="shared" si="32"/>
        <v>110</v>
      </c>
      <c r="L110" s="137" t="n">
        <f>IF(AND(COUNTIF(Games!$B$2:$B$101, Elo!$A110)=0,COUNTIF(Games!$C$2:$C$101, Elo!$A110)=0), I110, IF(COUNTIF(Games!$B$2:$B$101, Elo!$A110)&gt;0, VLOOKUP(Elo!$A110, Games!$B$2:$AN$101, MATCH("New Home Elo", Games!$B$1:$AN$1, 0), FALSE), IF(COUNTIF(Games!$C$2:$C$101, Elo!$A110)&gt;0, VLOOKUP(Elo!$A110, Games!$C$2:$AO$101, MATCH("New Away Elo", Games!$C$1:$AO$1, 0), FALSE), I110)))</f>
        <v>1288.8473759555059</v>
      </c>
      <c r="M110" s="137" t="n">
        <f t="shared" si="27"/>
        <v>-39.173231203874138</v>
      </c>
      <c r="N110" s="123" t="n">
        <f t="shared" si="33"/>
        <v>114</v>
      </c>
      <c r="O110" s="137" t="n">
        <f>IF(AND(COUNTIF(Games!$B$2:$B$101, Elo!$A110)=0,COUNTIF(Games!$C$2:$C$101, Elo!$A110)=0), L110, IF(COUNTIF(Games!$B$2:$B$101, Elo!$A110)&gt;0, VLOOKUP(Elo!$A110, Games!$B$2:$AN$101, MATCH("New Home Elo", Games!$B$1:$AN$1, 0), FALSE), IF(COUNTIF(Games!$C$2:$C$101, Elo!$A110)&gt;0, VLOOKUP(Elo!$A110, Games!$C$2:$AO$101, MATCH("New Away Elo", Games!$C$1:$AO$1, 0), FALSE), L110)))</f>
        <v>1288.8473759555059</v>
      </c>
      <c r="P110" s="137" t="n">
        <f t="shared" si="28"/>
        <v>0</v>
      </c>
      <c r="Q110" s="123" t="n">
        <f t="shared" si="23"/>
        <v>114</v>
      </c>
      <c r="R110" s="137" t="n">
        <f>IF(AND(COUNTIF(Games!$B$2:$B$101, Elo!$A110)=0,COUNTIF(Games!$C$2:$C$101, Elo!$A110)=0), O110, IF(COUNTIF(Games!$B$2:$B$101, Elo!$A110)&gt;0, VLOOKUP(Elo!$A110, Games!$B$2:$AN$101, MATCH("New Home Elo", Games!$B$1:$AN$1, 0), FALSE), IF(COUNTIF(Games!$C$2:$C$101, Elo!$A110)&gt;0, VLOOKUP(Elo!$A110, Games!$C$2:$AO$101, MATCH("New Away Elo", Games!$C$1:$AO$1, 0), FALSE), O110)))</f>
        <v>1288.8473759555059</v>
      </c>
      <c r="S110" s="137" t="n">
        <f t="shared" si="29"/>
        <v>0</v>
      </c>
      <c r="T110" s="123" t="n">
        <f t="shared" si="24"/>
        <v>114</v>
      </c>
      <c r="U110" s="137" t="n">
        <f>IF(AND(COUNTIF(Games!$B$2:$B$101, Elo!$A110)=0,COUNTIF(Games!$C$2:$C$101, Elo!$A110)=0), R110, IF(COUNTIF(Games!$B$2:$B$101, Elo!$A110)&gt;0, VLOOKUP(Elo!$A110, Games!$B$2:$AN$101, MATCH("New Home Elo", Games!$B$1:$AN$1, 0), FALSE), IF(COUNTIF(Games!$C$2:$C$101, Elo!$A110)&gt;0, VLOOKUP(Elo!$A110, Games!$C$2:$AO$101, MATCH("New Away Elo", Games!$C$1:$AO$1, 0), FALSE), R110)))</f>
        <v>1288.8473759555059</v>
      </c>
      <c r="V110" s="137" t="n">
        <f t="shared" si="30"/>
        <v>0</v>
      </c>
      <c r="W110" s="123" t="n">
        <f t="shared" si="25"/>
        <v>114</v>
      </c>
    </row>
    <row r="111">
      <c r="A111" s="1" t="s">
        <v>227</v>
      </c>
      <c r="B111" s="1" t="s">
        <v>141</v>
      </c>
      <c r="C111" s="137" t="n">
        <f>VLOOKUP(A111, $A$2:$BQ$1048576, MATCH(_xlfn.CONCAT("Week ",Games!$A$7), Elo!$A$1:$BQ$1, 0), FALSE)</f>
        <v>1325.7786244874501</v>
      </c>
      <c r="D111" s="137" t="n">
        <f t="shared" si="31"/>
        <v>110</v>
      </c>
      <c r="E111" s="137" t="n">
        <v>1325.7786244874501</v>
      </c>
      <c r="F111" s="123" t="n">
        <v>110</v>
      </c>
      <c r="G111" s="137" t="n">
        <v>1325.7786244874501</v>
      </c>
      <c r="H111" s="123" t="n">
        <v>110</v>
      </c>
      <c r="I111" s="137" t="n">
        <v>1325.7786244874501</v>
      </c>
      <c r="J111" s="137" t="n">
        <f t="shared" si="26"/>
        <v>0</v>
      </c>
      <c r="K111" s="123" t="n">
        <f t="shared" si="32"/>
        <v>111</v>
      </c>
      <c r="L111" s="137" t="n">
        <f>IF(AND(COUNTIF(Games!$B$2:$B$101, Elo!$A111)=0,COUNTIF(Games!$C$2:$C$101, Elo!$A111)=0), I111, IF(COUNTIF(Games!$B$2:$B$101, Elo!$A111)&gt;0, VLOOKUP(Elo!$A111, Games!$B$2:$AN$101, MATCH("New Home Elo", Games!$B$1:$AN$1, 0), FALSE), IF(COUNTIF(Games!$C$2:$C$101, Elo!$A111)&gt;0, VLOOKUP(Elo!$A111, Games!$C$2:$AO$101, MATCH("New Away Elo", Games!$C$1:$AO$1, 0), FALSE), I111)))</f>
        <v>1348.9359958811367</v>
      </c>
      <c r="M111" s="137" t="n">
        <f t="shared" si="27"/>
        <v>23.157371393686617</v>
      </c>
      <c r="N111" s="123" t="n">
        <f t="shared" si="33"/>
        <v>102</v>
      </c>
      <c r="O111" s="137" t="n">
        <f>IF(AND(COUNTIF(Games!$B$2:$B$101, Elo!$A111)=0,COUNTIF(Games!$C$2:$C$101, Elo!$A111)=0), L111, IF(COUNTIF(Games!$B$2:$B$101, Elo!$A111)&gt;0, VLOOKUP(Elo!$A111, Games!$B$2:$AN$101, MATCH("New Home Elo", Games!$B$1:$AN$1, 0), FALSE), IF(COUNTIF(Games!$C$2:$C$101, Elo!$A111)&gt;0, VLOOKUP(Elo!$A111, Games!$C$2:$AO$101, MATCH("New Away Elo", Games!$C$1:$AO$1, 0), FALSE), L111)))</f>
        <v>1348.9359958811367</v>
      </c>
      <c r="P111" s="137" t="n">
        <f t="shared" si="28"/>
        <v>0</v>
      </c>
      <c r="Q111" s="123" t="n">
        <f t="shared" si="23"/>
        <v>102</v>
      </c>
      <c r="R111" s="137" t="n">
        <f>IF(AND(COUNTIF(Games!$B$2:$B$101, Elo!$A111)=0,COUNTIF(Games!$C$2:$C$101, Elo!$A111)=0), O111, IF(COUNTIF(Games!$B$2:$B$101, Elo!$A111)&gt;0, VLOOKUP(Elo!$A111, Games!$B$2:$AN$101, MATCH("New Home Elo", Games!$B$1:$AN$1, 0), FALSE), IF(COUNTIF(Games!$C$2:$C$101, Elo!$A111)&gt;0, VLOOKUP(Elo!$A111, Games!$C$2:$AO$101, MATCH("New Away Elo", Games!$C$1:$AO$1, 0), FALSE), O111)))</f>
        <v>1348.9359958811367</v>
      </c>
      <c r="S111" s="137" t="n">
        <f t="shared" si="29"/>
        <v>0</v>
      </c>
      <c r="T111" s="123" t="n">
        <f t="shared" si="24"/>
        <v>102</v>
      </c>
      <c r="U111" s="137" t="n">
        <f>IF(AND(COUNTIF(Games!$B$2:$B$101, Elo!$A111)=0,COUNTIF(Games!$C$2:$C$101, Elo!$A111)=0), R111, IF(COUNTIF(Games!$B$2:$B$101, Elo!$A111)&gt;0, VLOOKUP(Elo!$A111, Games!$B$2:$AN$101, MATCH("New Home Elo", Games!$B$1:$AN$1, 0), FALSE), IF(COUNTIF(Games!$C$2:$C$101, Elo!$A111)&gt;0, VLOOKUP(Elo!$A111, Games!$C$2:$AO$101, MATCH("New Away Elo", Games!$C$1:$AO$1, 0), FALSE), R111)))</f>
        <v>1348.9359958811367</v>
      </c>
      <c r="V111" s="137" t="n">
        <f t="shared" si="30"/>
        <v>0</v>
      </c>
      <c r="W111" s="123" t="n">
        <f t="shared" si="25"/>
        <v>102</v>
      </c>
    </row>
    <row r="112">
      <c r="A112" s="1" t="s">
        <v>228</v>
      </c>
      <c r="B112" s="1" t="s">
        <v>149</v>
      </c>
      <c r="C112" s="137" t="n">
        <f>VLOOKUP(A112, $A$2:$BQ$1048576, MATCH(_xlfn.CONCAT("Week ",Games!$A$7), Elo!$A$1:$BQ$1, 0), FALSE)</f>
        <v>1331.2435756063926</v>
      </c>
      <c r="D112" s="137" t="n">
        <f t="shared" si="31"/>
        <v>111</v>
      </c>
      <c r="E112" s="137" t="n">
        <v>1321.8822659190701</v>
      </c>
      <c r="F112" s="123" t="n">
        <v>111</v>
      </c>
      <c r="G112" s="137" t="n">
        <v>1321.8822659190701</v>
      </c>
      <c r="H112" s="123" t="n">
        <v>111</v>
      </c>
      <c r="I112" s="137" t="n">
        <v>1331.2435756063926</v>
      </c>
      <c r="J112" s="137" t="n">
        <f t="shared" si="26"/>
        <v>9.3613096873225459</v>
      </c>
      <c r="K112" s="123" t="n">
        <f t="shared" si="32"/>
        <v>109</v>
      </c>
      <c r="L112" s="137" t="n">
        <f>IF(AND(COUNTIF(Games!$B$2:$B$101, Elo!$A112)=0,COUNTIF(Games!$C$2:$C$101, Elo!$A112)=0), I112, IF(COUNTIF(Games!$B$2:$B$101, Elo!$A112)&gt;0, VLOOKUP(Elo!$A112, Games!$B$2:$AN$101, MATCH("New Home Elo", Games!$B$1:$AN$1, 0), FALSE), IF(COUNTIF(Games!$C$2:$C$101, Elo!$A112)&gt;0, VLOOKUP(Elo!$A112, Games!$C$2:$AO$101, MATCH("New Away Elo", Games!$C$1:$AO$1, 0), FALSE), I112)))</f>
        <v>1331.2435756063926</v>
      </c>
      <c r="M112" s="137" t="n">
        <f t="shared" si="27"/>
        <v>0</v>
      </c>
      <c r="N112" s="123" t="n">
        <f t="shared" si="33"/>
        <v>106</v>
      </c>
      <c r="O112" s="137" t="n">
        <f>IF(AND(COUNTIF(Games!$B$2:$B$101, Elo!$A112)=0,COUNTIF(Games!$C$2:$C$101, Elo!$A112)=0), L112, IF(COUNTIF(Games!$B$2:$B$101, Elo!$A112)&gt;0, VLOOKUP(Elo!$A112, Games!$B$2:$AN$101, MATCH("New Home Elo", Games!$B$1:$AN$1, 0), FALSE), IF(COUNTIF(Games!$C$2:$C$101, Elo!$A112)&gt;0, VLOOKUP(Elo!$A112, Games!$C$2:$AO$101, MATCH("New Away Elo", Games!$C$1:$AO$1, 0), FALSE), L112)))</f>
        <v>1331.2435756063926</v>
      </c>
      <c r="P112" s="137" t="n">
        <f t="shared" si="28"/>
        <v>0</v>
      </c>
      <c r="Q112" s="123" t="n">
        <f t="shared" si="23"/>
        <v>106</v>
      </c>
      <c r="R112" s="137" t="n">
        <f>IF(AND(COUNTIF(Games!$B$2:$B$101, Elo!$A112)=0,COUNTIF(Games!$C$2:$C$101, Elo!$A112)=0), O112, IF(COUNTIF(Games!$B$2:$B$101, Elo!$A112)&gt;0, VLOOKUP(Elo!$A112, Games!$B$2:$AN$101, MATCH("New Home Elo", Games!$B$1:$AN$1, 0), FALSE), IF(COUNTIF(Games!$C$2:$C$101, Elo!$A112)&gt;0, VLOOKUP(Elo!$A112, Games!$C$2:$AO$101, MATCH("New Away Elo", Games!$C$1:$AO$1, 0), FALSE), O112)))</f>
        <v>1331.2435756063926</v>
      </c>
      <c r="S112" s="137" t="n">
        <f t="shared" si="29"/>
        <v>0</v>
      </c>
      <c r="T112" s="123" t="n">
        <f t="shared" si="24"/>
        <v>106</v>
      </c>
      <c r="U112" s="137" t="n">
        <f>IF(AND(COUNTIF(Games!$B$2:$B$101, Elo!$A112)=0,COUNTIF(Games!$C$2:$C$101, Elo!$A112)=0), R112, IF(COUNTIF(Games!$B$2:$B$101, Elo!$A112)&gt;0, VLOOKUP(Elo!$A112, Games!$B$2:$AN$101, MATCH("New Home Elo", Games!$B$1:$AN$1, 0), FALSE), IF(COUNTIF(Games!$C$2:$C$101, Elo!$A112)&gt;0, VLOOKUP(Elo!$A112, Games!$C$2:$AO$101, MATCH("New Away Elo", Games!$C$1:$AO$1, 0), FALSE), R112)))</f>
        <v>1331.2435756063926</v>
      </c>
      <c r="V112" s="137" t="n">
        <f t="shared" si="30"/>
        <v>0</v>
      </c>
      <c r="W112" s="123" t="n">
        <f t="shared" si="25"/>
        <v>106</v>
      </c>
    </row>
    <row r="113">
      <c r="A113" s="1" t="s">
        <v>229</v>
      </c>
      <c r="B113" s="1" t="s">
        <v>170</v>
      </c>
      <c r="C113" s="137" t="n">
        <f>VLOOKUP(A113, $A$2:$BQ$1048576, MATCH(_xlfn.CONCAT("Week ",Games!$A$7), Elo!$A$1:$BQ$1, 0), FALSE)</f>
        <v>1315.8899863695499</v>
      </c>
      <c r="D113" s="137" t="n">
        <f t="shared" si="31"/>
        <v>112</v>
      </c>
      <c r="E113" s="137" t="n">
        <v>1315.8899863695499</v>
      </c>
      <c r="F113" s="123" t="n">
        <v>112</v>
      </c>
      <c r="G113" s="137" t="n">
        <v>1315.8899863695499</v>
      </c>
      <c r="H113" s="123" t="n">
        <v>112</v>
      </c>
      <c r="I113" s="137" t="n">
        <v>1315.8899863695499</v>
      </c>
      <c r="J113" s="137" t="n">
        <f t="shared" si="26"/>
        <v>0</v>
      </c>
      <c r="K113" s="123" t="n">
        <f t="shared" si="32"/>
        <v>112</v>
      </c>
      <c r="L113" s="137" t="n">
        <f>IF(AND(COUNTIF(Games!$B$2:$B$101, Elo!$A113)=0,COUNTIF(Games!$C$2:$C$101, Elo!$A113)=0), I113, IF(COUNTIF(Games!$B$2:$B$101, Elo!$A113)&gt;0, VLOOKUP(Elo!$A113, Games!$B$2:$AN$101, MATCH("New Home Elo", Games!$B$1:$AN$1, 0), FALSE), IF(COUNTIF(Games!$C$2:$C$101, Elo!$A113)&gt;0, VLOOKUP(Elo!$A113, Games!$C$2:$AO$101, MATCH("New Away Elo", Games!$C$1:$AO$1, 0), FALSE), I113)))</f>
        <v>1299.6194611311</v>
      </c>
      <c r="M113" s="137" t="n">
        <f t="shared" si="27"/>
        <v>-16.270525238449864</v>
      </c>
      <c r="N113" s="123" t="n">
        <f t="shared" si="33"/>
        <v>113</v>
      </c>
      <c r="O113" s="137" t="n">
        <f>IF(AND(COUNTIF(Games!$B$2:$B$101, Elo!$A113)=0,COUNTIF(Games!$C$2:$C$101, Elo!$A113)=0), L113, IF(COUNTIF(Games!$B$2:$B$101, Elo!$A113)&gt;0, VLOOKUP(Elo!$A113, Games!$B$2:$AN$101, MATCH("New Home Elo", Games!$B$1:$AN$1, 0), FALSE), IF(COUNTIF(Games!$C$2:$C$101, Elo!$A113)&gt;0, VLOOKUP(Elo!$A113, Games!$C$2:$AO$101, MATCH("New Away Elo", Games!$C$1:$AO$1, 0), FALSE), L113)))</f>
        <v>1299.6194611311</v>
      </c>
      <c r="P113" s="137" t="n">
        <f t="shared" si="28"/>
        <v>0</v>
      </c>
      <c r="Q113" s="123" t="n">
        <f t="shared" si="23"/>
        <v>113</v>
      </c>
      <c r="R113" s="137" t="n">
        <f>IF(AND(COUNTIF(Games!$B$2:$B$101, Elo!$A113)=0,COUNTIF(Games!$C$2:$C$101, Elo!$A113)=0), O113, IF(COUNTIF(Games!$B$2:$B$101, Elo!$A113)&gt;0, VLOOKUP(Elo!$A113, Games!$B$2:$AN$101, MATCH("New Home Elo", Games!$B$1:$AN$1, 0), FALSE), IF(COUNTIF(Games!$C$2:$C$101, Elo!$A113)&gt;0, VLOOKUP(Elo!$A113, Games!$C$2:$AO$101, MATCH("New Away Elo", Games!$C$1:$AO$1, 0), FALSE), O113)))</f>
        <v>1299.6194611311</v>
      </c>
      <c r="S113" s="137" t="n">
        <f t="shared" si="29"/>
        <v>0</v>
      </c>
      <c r="T113" s="123" t="n">
        <f t="shared" si="24"/>
        <v>113</v>
      </c>
      <c r="U113" s="137" t="n">
        <f>IF(AND(COUNTIF(Games!$B$2:$B$101, Elo!$A113)=0,COUNTIF(Games!$C$2:$C$101, Elo!$A113)=0), R113, IF(COUNTIF(Games!$B$2:$B$101, Elo!$A113)&gt;0, VLOOKUP(Elo!$A113, Games!$B$2:$AN$101, MATCH("New Home Elo", Games!$B$1:$AN$1, 0), FALSE), IF(COUNTIF(Games!$C$2:$C$101, Elo!$A113)&gt;0, VLOOKUP(Elo!$A113, Games!$C$2:$AO$101, MATCH("New Away Elo", Games!$C$1:$AO$1, 0), FALSE), R113)))</f>
        <v>1299.6194611311</v>
      </c>
      <c r="V113" s="137" t="n">
        <f t="shared" si="30"/>
        <v>0</v>
      </c>
      <c r="W113" s="123" t="n">
        <f t="shared" si="25"/>
        <v>113</v>
      </c>
    </row>
    <row r="114">
      <c r="A114" s="1" t="s">
        <v>230</v>
      </c>
      <c r="B114" s="1" t="s">
        <v>170</v>
      </c>
      <c r="C114" s="137" t="n">
        <f>VLOOKUP(A114, $A$2:$BQ$1048576, MATCH(_xlfn.CONCAT("Week ",Games!$A$7), Elo!$A$1:$BQ$1, 0), FALSE)</f>
        <v>1306.12169209277</v>
      </c>
      <c r="D114" s="137" t="n">
        <f t="shared" si="31"/>
        <v>113</v>
      </c>
      <c r="E114" s="137" t="n">
        <v>1306.12169209277</v>
      </c>
      <c r="F114" s="123" t="n">
        <v>113</v>
      </c>
      <c r="G114" s="137" t="n">
        <v>1306.12169209277</v>
      </c>
      <c r="H114" s="123" t="n">
        <v>113</v>
      </c>
      <c r="I114" s="137" t="n">
        <v>1306.12169209277</v>
      </c>
      <c r="J114" s="137" t="n">
        <f t="shared" si="26"/>
        <v>0</v>
      </c>
      <c r="K114" s="123" t="n">
        <f t="shared" si="32"/>
        <v>113</v>
      </c>
      <c r="L114" s="137" t="n">
        <f>IF(AND(COUNTIF(Games!$B$2:$B$101, Elo!$A114)=0,COUNTIF(Games!$C$2:$C$101, Elo!$A114)=0), I114, IF(COUNTIF(Games!$B$2:$B$101, Elo!$A114)&gt;0, VLOOKUP(Elo!$A114, Games!$B$2:$AN$101, MATCH("New Home Elo", Games!$B$1:$AN$1, 0), FALSE), IF(COUNTIF(Games!$C$2:$C$101, Elo!$A114)&gt;0, VLOOKUP(Elo!$A114, Games!$C$2:$AO$101, MATCH("New Away Elo", Games!$C$1:$AO$1, 0), FALSE), I114)))</f>
        <v>1320.6942621279366</v>
      </c>
      <c r="M114" s="137" t="n">
        <f t="shared" si="27"/>
        <v>14.572570035166564</v>
      </c>
      <c r="N114" s="123" t="n">
        <f t="shared" si="33"/>
        <v>108</v>
      </c>
      <c r="O114" s="137" t="n">
        <f>IF(AND(COUNTIF(Games!$B$2:$B$101, Elo!$A114)=0,COUNTIF(Games!$C$2:$C$101, Elo!$A114)=0), L114, IF(COUNTIF(Games!$B$2:$B$101, Elo!$A114)&gt;0, VLOOKUP(Elo!$A114, Games!$B$2:$AN$101, MATCH("New Home Elo", Games!$B$1:$AN$1, 0), FALSE), IF(COUNTIF(Games!$C$2:$C$101, Elo!$A114)&gt;0, VLOOKUP(Elo!$A114, Games!$C$2:$AO$101, MATCH("New Away Elo", Games!$C$1:$AO$1, 0), FALSE), L114)))</f>
        <v>1320.6942621279366</v>
      </c>
      <c r="P114" s="137" t="n">
        <f t="shared" si="28"/>
        <v>0</v>
      </c>
      <c r="Q114" s="123" t="n">
        <f t="shared" si="23"/>
        <v>108</v>
      </c>
      <c r="R114" s="137" t="n">
        <f>IF(AND(COUNTIF(Games!$B$2:$B$101, Elo!$A114)=0,COUNTIF(Games!$C$2:$C$101, Elo!$A114)=0), O114, IF(COUNTIF(Games!$B$2:$B$101, Elo!$A114)&gt;0, VLOOKUP(Elo!$A114, Games!$B$2:$AN$101, MATCH("New Home Elo", Games!$B$1:$AN$1, 0), FALSE), IF(COUNTIF(Games!$C$2:$C$101, Elo!$A114)&gt;0, VLOOKUP(Elo!$A114, Games!$C$2:$AO$101, MATCH("New Away Elo", Games!$C$1:$AO$1, 0), FALSE), O114)))</f>
        <v>1320.6942621279366</v>
      </c>
      <c r="S114" s="137" t="n">
        <f t="shared" si="29"/>
        <v>0</v>
      </c>
      <c r="T114" s="123" t="n">
        <f t="shared" si="24"/>
        <v>108</v>
      </c>
      <c r="U114" s="137" t="n">
        <f>IF(AND(COUNTIF(Games!$B$2:$B$101, Elo!$A114)=0,COUNTIF(Games!$C$2:$C$101, Elo!$A114)=0), R114, IF(COUNTIF(Games!$B$2:$B$101, Elo!$A114)&gt;0, VLOOKUP(Elo!$A114, Games!$B$2:$AN$101, MATCH("New Home Elo", Games!$B$1:$AN$1, 0), FALSE), IF(COUNTIF(Games!$C$2:$C$101, Elo!$A114)&gt;0, VLOOKUP(Elo!$A114, Games!$C$2:$AO$101, MATCH("New Away Elo", Games!$C$1:$AO$1, 0), FALSE), R114)))</f>
        <v>1320.6942621279366</v>
      </c>
      <c r="V114" s="137" t="n">
        <f t="shared" si="30"/>
        <v>0</v>
      </c>
      <c r="W114" s="123" t="n">
        <f t="shared" si="25"/>
        <v>108</v>
      </c>
    </row>
    <row r="115">
      <c r="A115" s="1" t="s">
        <v>231</v>
      </c>
      <c r="B115" s="1" t="s">
        <v>141</v>
      </c>
      <c r="C115" s="137" t="n">
        <f>VLOOKUP(A115, $A$2:$BQ$1048576, MATCH(_xlfn.CONCAT("Week ",Games!$A$7), Elo!$A$1:$BQ$1, 0), FALSE)</f>
        <v>1304.4626563869101</v>
      </c>
      <c r="D115" s="137" t="n">
        <f t="shared" si="31"/>
        <v>114</v>
      </c>
      <c r="E115" s="137" t="n">
        <v>1304.4626563869101</v>
      </c>
      <c r="F115" s="123" t="n">
        <v>114</v>
      </c>
      <c r="G115" s="137" t="n">
        <v>1304.4626563869101</v>
      </c>
      <c r="H115" s="123" t="n">
        <v>114</v>
      </c>
      <c r="I115" s="137" t="n">
        <v>1304.4626563869101</v>
      </c>
      <c r="J115" s="137" t="n">
        <f t="shared" si="26"/>
        <v>0</v>
      </c>
      <c r="K115" s="123" t="n">
        <f t="shared" si="32"/>
        <v>114</v>
      </c>
      <c r="L115" s="137" t="n">
        <f>IF(AND(COUNTIF(Games!$B$2:$B$101, Elo!$A115)=0,COUNTIF(Games!$C$2:$C$101, Elo!$A115)=0), I115, IF(COUNTIF(Games!$B$2:$B$101, Elo!$A115)&gt;0, VLOOKUP(Elo!$A115, Games!$B$2:$AN$101, MATCH("New Home Elo", Games!$B$1:$AN$1, 0), FALSE), IF(COUNTIF(Games!$C$2:$C$101, Elo!$A115)&gt;0, VLOOKUP(Elo!$A115, Games!$C$2:$AO$101, MATCH("New Away Elo", Games!$C$1:$AO$1, 0), FALSE), I115)))</f>
        <v>1522.537770008164</v>
      </c>
      <c r="M115" s="137" t="n">
        <f t="shared" si="27"/>
        <v>218.07511362125388</v>
      </c>
      <c r="N115" s="123" t="n">
        <f t="shared" si="33"/>
        <v>63</v>
      </c>
      <c r="O115" s="137" t="n">
        <f>IF(AND(COUNTIF(Games!$B$2:$B$101, Elo!$A115)=0,COUNTIF(Games!$C$2:$C$101, Elo!$A115)=0), L115, IF(COUNTIF(Games!$B$2:$B$101, Elo!$A115)&gt;0, VLOOKUP(Elo!$A115, Games!$B$2:$AN$101, MATCH("New Home Elo", Games!$B$1:$AN$1, 0), FALSE), IF(COUNTIF(Games!$C$2:$C$101, Elo!$A115)&gt;0, VLOOKUP(Elo!$A115, Games!$C$2:$AO$101, MATCH("New Away Elo", Games!$C$1:$AO$1, 0), FALSE), L115)))</f>
        <v>1522.537770008164</v>
      </c>
      <c r="P115" s="137" t="n">
        <f t="shared" si="28"/>
        <v>0</v>
      </c>
      <c r="Q115" s="123" t="n">
        <f t="shared" si="23"/>
        <v>63</v>
      </c>
      <c r="R115" s="137" t="n">
        <f>IF(AND(COUNTIF(Games!$B$2:$B$101, Elo!$A115)=0,COUNTIF(Games!$C$2:$C$101, Elo!$A115)=0), O115, IF(COUNTIF(Games!$B$2:$B$101, Elo!$A115)&gt;0, VLOOKUP(Elo!$A115, Games!$B$2:$AN$101, MATCH("New Home Elo", Games!$B$1:$AN$1, 0), FALSE), IF(COUNTIF(Games!$C$2:$C$101, Elo!$A115)&gt;0, VLOOKUP(Elo!$A115, Games!$C$2:$AO$101, MATCH("New Away Elo", Games!$C$1:$AO$1, 0), FALSE), O115)))</f>
        <v>1522.537770008164</v>
      </c>
      <c r="S115" s="137" t="n">
        <f t="shared" si="29"/>
        <v>0</v>
      </c>
      <c r="T115" s="123" t="n">
        <f t="shared" si="24"/>
        <v>63</v>
      </c>
      <c r="U115" s="137" t="n">
        <f>IF(AND(COUNTIF(Games!$B$2:$B$101, Elo!$A115)=0,COUNTIF(Games!$C$2:$C$101, Elo!$A115)=0), R115, IF(COUNTIF(Games!$B$2:$B$101, Elo!$A115)&gt;0, VLOOKUP(Elo!$A115, Games!$B$2:$AN$101, MATCH("New Home Elo", Games!$B$1:$AN$1, 0), FALSE), IF(COUNTIF(Games!$C$2:$C$101, Elo!$A115)&gt;0, VLOOKUP(Elo!$A115, Games!$C$2:$AO$101, MATCH("New Away Elo", Games!$C$1:$AO$1, 0), FALSE), R115)))</f>
        <v>1522.537770008164</v>
      </c>
      <c r="V115" s="137" t="n">
        <f t="shared" si="30"/>
        <v>0</v>
      </c>
      <c r="W115" s="123" t="n">
        <f t="shared" si="25"/>
        <v>63</v>
      </c>
    </row>
    <row r="116">
      <c r="A116" s="1" t="s">
        <v>232</v>
      </c>
      <c r="B116" s="1" t="s">
        <v>135</v>
      </c>
      <c r="C116" s="137" t="n">
        <f>VLOOKUP(A116, $A$2:$BQ$1048576, MATCH(_xlfn.CONCAT("Week ",Games!$A$7), Elo!$A$1:$BQ$1, 0), FALSE)</f>
        <v>1298.3555528857701</v>
      </c>
      <c r="D116" s="137" t="n">
        <f t="shared" si="31"/>
        <v>115</v>
      </c>
      <c r="E116" s="137" t="n">
        <v>1298.3555528857701</v>
      </c>
      <c r="F116" s="123" t="n">
        <v>115</v>
      </c>
      <c r="G116" s="137" t="n">
        <v>1298.3555528857701</v>
      </c>
      <c r="H116" s="123" t="n">
        <v>115</v>
      </c>
      <c r="I116" s="137" t="n">
        <v>1298.3555528857701</v>
      </c>
      <c r="J116" s="137" t="n">
        <f t="shared" si="26"/>
        <v>0</v>
      </c>
      <c r="K116" s="123" t="n">
        <f t="shared" si="32"/>
        <v>115</v>
      </c>
      <c r="L116" s="137" t="n">
        <f>IF(AND(COUNTIF(Games!$B$2:$B$101, Elo!$A116)=0,COUNTIF(Games!$C$2:$C$101, Elo!$A116)=0), I116, IF(COUNTIF(Games!$B$2:$B$101, Elo!$A116)&gt;0, VLOOKUP(Elo!$A116, Games!$B$2:$AN$101, MATCH("New Home Elo", Games!$B$1:$AN$1, 0), FALSE), IF(COUNTIF(Games!$C$2:$C$101, Elo!$A116)&gt;0, VLOOKUP(Elo!$A116, Games!$C$2:$AO$101, MATCH("New Away Elo", Games!$C$1:$AO$1, 0), FALSE), I116)))</f>
        <v>1314.6997555011808</v>
      </c>
      <c r="M116" s="137" t="n">
        <f t="shared" si="27"/>
        <v>16.344202615410723</v>
      </c>
      <c r="N116" s="123" t="n">
        <f t="shared" si="33"/>
        <v>110</v>
      </c>
      <c r="O116" s="137" t="n">
        <f>IF(AND(COUNTIF(Games!$B$2:$B$101, Elo!$A116)=0,COUNTIF(Games!$C$2:$C$101, Elo!$A116)=0), L116, IF(COUNTIF(Games!$B$2:$B$101, Elo!$A116)&gt;0, VLOOKUP(Elo!$A116, Games!$B$2:$AN$101, MATCH("New Home Elo", Games!$B$1:$AN$1, 0), FALSE), IF(COUNTIF(Games!$C$2:$C$101, Elo!$A116)&gt;0, VLOOKUP(Elo!$A116, Games!$C$2:$AO$101, MATCH("New Away Elo", Games!$C$1:$AO$1, 0), FALSE), L116)))</f>
        <v>1314.6997555011808</v>
      </c>
      <c r="P116" s="137" t="n">
        <f t="shared" si="28"/>
        <v>0</v>
      </c>
      <c r="Q116" s="123" t="n">
        <f t="shared" si="23"/>
        <v>110</v>
      </c>
      <c r="R116" s="137" t="n">
        <f>IF(AND(COUNTIF(Games!$B$2:$B$101, Elo!$A116)=0,COUNTIF(Games!$C$2:$C$101, Elo!$A116)=0), O116, IF(COUNTIF(Games!$B$2:$B$101, Elo!$A116)&gt;0, VLOOKUP(Elo!$A116, Games!$B$2:$AN$101, MATCH("New Home Elo", Games!$B$1:$AN$1, 0), FALSE), IF(COUNTIF(Games!$C$2:$C$101, Elo!$A116)&gt;0, VLOOKUP(Elo!$A116, Games!$C$2:$AO$101, MATCH("New Away Elo", Games!$C$1:$AO$1, 0), FALSE), O116)))</f>
        <v>1314.6997555011808</v>
      </c>
      <c r="S116" s="137" t="n">
        <f t="shared" si="29"/>
        <v>0</v>
      </c>
      <c r="T116" s="123" t="n">
        <f t="shared" si="24"/>
        <v>110</v>
      </c>
      <c r="U116" s="137" t="n">
        <f>IF(AND(COUNTIF(Games!$B$2:$B$101, Elo!$A116)=0,COUNTIF(Games!$C$2:$C$101, Elo!$A116)=0), R116, IF(COUNTIF(Games!$B$2:$B$101, Elo!$A116)&gt;0, VLOOKUP(Elo!$A116, Games!$B$2:$AN$101, MATCH("New Home Elo", Games!$B$1:$AN$1, 0), FALSE), IF(COUNTIF(Games!$C$2:$C$101, Elo!$A116)&gt;0, VLOOKUP(Elo!$A116, Games!$C$2:$AO$101, MATCH("New Away Elo", Games!$C$1:$AO$1, 0), FALSE), R116)))</f>
        <v>1314.6997555011808</v>
      </c>
      <c r="V116" s="137" t="n">
        <f t="shared" si="30"/>
        <v>0</v>
      </c>
      <c r="W116" s="123" t="n">
        <f t="shared" si="25"/>
        <v>110</v>
      </c>
    </row>
    <row r="117">
      <c r="A117" s="1" t="s">
        <v>233</v>
      </c>
      <c r="B117" s="1" t="s">
        <v>170</v>
      </c>
      <c r="C117" s="137" t="n">
        <f>VLOOKUP(A117, $A$2:$BQ$1048576, MATCH(_xlfn.CONCAT("Week ",Games!$A$7), Elo!$A$1:$BQ$1, 0), FALSE)</f>
        <v>1286.2439269249601</v>
      </c>
      <c r="D117" s="137" t="n">
        <f t="shared" si="31"/>
        <v>116</v>
      </c>
      <c r="E117" s="137" t="n">
        <v>1286.2439269249601</v>
      </c>
      <c r="F117" s="123" t="n">
        <v>116</v>
      </c>
      <c r="G117" s="137" t="n">
        <v>1286.2439269249601</v>
      </c>
      <c r="H117" s="123" t="n">
        <v>116</v>
      </c>
      <c r="I117" s="137" t="n">
        <v>1286.2439269249601</v>
      </c>
      <c r="J117" s="137" t="n">
        <f t="shared" si="26"/>
        <v>0</v>
      </c>
      <c r="K117" s="123" t="n">
        <f t="shared" si="32"/>
        <v>116</v>
      </c>
      <c r="L117" s="137" t="n">
        <f>IF(AND(COUNTIF(Games!$B$2:$B$101, Elo!$A117)=0,COUNTIF(Games!$C$2:$C$101, Elo!$A117)=0), I117, IF(COUNTIF(Games!$B$2:$B$101, Elo!$A117)&gt;0, VLOOKUP(Elo!$A117, Games!$B$2:$AN$101, MATCH("New Home Elo", Games!$B$1:$AN$1, 0), FALSE), IF(COUNTIF(Games!$C$2:$C$101, Elo!$A117)&gt;0, VLOOKUP(Elo!$A117, Games!$C$2:$AO$101, MATCH("New Away Elo", Games!$C$1:$AO$1, 0), FALSE), I117)))</f>
        <v>1286.2439269249601</v>
      </c>
      <c r="M117" s="137" t="n">
        <f>L117-I117</f>
        <v>0</v>
      </c>
      <c r="N117" s="123" t="n">
        <f t="shared" si="33"/>
        <v>115</v>
      </c>
      <c r="O117" s="137" t="n">
        <f>IF(AND(COUNTIF(Games!$B$2:$B$101, Elo!$A117)=0,COUNTIF(Games!$C$2:$C$101, Elo!$A117)=0), L117, IF(COUNTIF(Games!$B$2:$B$101, Elo!$A117)&gt;0, VLOOKUP(Elo!$A117, Games!$B$2:$AN$101, MATCH("New Home Elo", Games!$B$1:$AN$1, 0), FALSE), IF(COUNTIF(Games!$C$2:$C$101, Elo!$A117)&gt;0, VLOOKUP(Elo!$A117, Games!$C$2:$AO$101, MATCH("New Away Elo", Games!$C$1:$AO$1, 0), FALSE), L117)))</f>
        <v>1286.2439269249601</v>
      </c>
      <c r="P117" s="137" t="n">
        <f>O117-L117</f>
        <v>0</v>
      </c>
      <c r="Q117" s="123" t="n">
        <f t="shared" si="23"/>
        <v>115</v>
      </c>
      <c r="R117" s="137" t="n">
        <f>IF(AND(COUNTIF(Games!$B$2:$B$101, Elo!$A117)=0,COUNTIF(Games!$C$2:$C$101, Elo!$A117)=0), O117, IF(COUNTIF(Games!$B$2:$B$101, Elo!$A117)&gt;0, VLOOKUP(Elo!$A117, Games!$B$2:$AN$101, MATCH("New Home Elo", Games!$B$1:$AN$1, 0), FALSE), IF(COUNTIF(Games!$C$2:$C$101, Elo!$A117)&gt;0, VLOOKUP(Elo!$A117, Games!$C$2:$AO$101, MATCH("New Away Elo", Games!$C$1:$AO$1, 0), FALSE), O117)))</f>
        <v>1286.2439269249601</v>
      </c>
      <c r="S117" s="137" t="n">
        <f>R117-O117</f>
        <v>0</v>
      </c>
      <c r="T117" s="123" t="n">
        <f t="shared" si="24"/>
        <v>115</v>
      </c>
      <c r="U117" s="137" t="n">
        <f>IF(AND(COUNTIF(Games!$B$2:$B$101, Elo!$A117)=0,COUNTIF(Games!$C$2:$C$101, Elo!$A117)=0), R117, IF(COUNTIF(Games!$B$2:$B$101, Elo!$A117)&gt;0, VLOOKUP(Elo!$A117, Games!$B$2:$AN$101, MATCH("New Home Elo", Games!$B$1:$AN$1, 0), FALSE), IF(COUNTIF(Games!$C$2:$C$101, Elo!$A117)&gt;0, VLOOKUP(Elo!$A117, Games!$C$2:$AO$101, MATCH("New Away Elo", Games!$C$1:$AO$1, 0), FALSE), R117)))</f>
        <v>1286.2439269249601</v>
      </c>
      <c r="V117" s="137" t="n">
        <f>U117-R117</f>
        <v>0</v>
      </c>
      <c r="W117" s="123" t="n">
        <f t="shared" si="25"/>
        <v>115</v>
      </c>
    </row>
    <row r="118">
      <c r="A118" s="1" t="s">
        <v>234</v>
      </c>
      <c r="B118" s="1" t="s">
        <v>109</v>
      </c>
      <c r="C118" s="137" t="n">
        <f>VLOOKUP(A118, $A$2:$BQ$1048576, MATCH(_xlfn.CONCAT("Week ",Games!$A$7), Elo!$A$1:$BQ$1, 0), FALSE)</f>
        <v>1260.6792465635599</v>
      </c>
      <c r="D118" s="137" t="n">
        <f t="shared" si="31"/>
        <v>117</v>
      </c>
      <c r="E118" s="137" t="n">
        <v>1260.6792465635599</v>
      </c>
      <c r="F118" s="123" t="n">
        <v>117</v>
      </c>
      <c r="G118" s="137" t="n">
        <v>1260.6792465635599</v>
      </c>
      <c r="H118" s="123" t="n">
        <v>117</v>
      </c>
      <c r="I118" s="137" t="n">
        <v>1260.6792465635599</v>
      </c>
      <c r="J118" s="137" t="n">
        <f t="shared" si="26"/>
        <v>0</v>
      </c>
      <c r="K118" s="123" t="n">
        <f t="shared" si="32"/>
        <v>117</v>
      </c>
      <c r="L118" s="137" t="n">
        <f>IF(AND(COUNTIF(Games!$B$2:$B$101, Elo!$A118)=0,COUNTIF(Games!$C$2:$C$101, Elo!$A118)=0), I118, IF(COUNTIF(Games!$B$2:$B$101, Elo!$A118)&gt;0, VLOOKUP(Elo!$A118, Games!$B$2:$AN$101, MATCH("New Home Elo", Games!$B$1:$AN$1, 0), FALSE), IF(COUNTIF(Games!$C$2:$C$101, Elo!$A118)&gt;0, VLOOKUP(Elo!$A118, Games!$C$2:$AO$101, MATCH("New Away Elo", Games!$C$1:$AO$1, 0), FALSE), I118)))</f>
        <v>1415.6339517454926</v>
      </c>
      <c r="M118" s="137" t="n">
        <f t="shared" si="27"/>
        <v>154.9547051819327</v>
      </c>
      <c r="N118" s="123" t="n">
        <f t="shared" si="33"/>
        <v>89</v>
      </c>
      <c r="O118" s="137" t="n">
        <f>IF(AND(COUNTIF(Games!$B$2:$B$101, Elo!$A118)=0,COUNTIF(Games!$C$2:$C$101, Elo!$A118)=0), L118, IF(COUNTIF(Games!$B$2:$B$101, Elo!$A118)&gt;0, VLOOKUP(Elo!$A118, Games!$B$2:$AN$101, MATCH("New Home Elo", Games!$B$1:$AN$1, 0), FALSE), IF(COUNTIF(Games!$C$2:$C$101, Elo!$A118)&gt;0, VLOOKUP(Elo!$A118, Games!$C$2:$AO$101, MATCH("New Away Elo", Games!$C$1:$AO$1, 0), FALSE), L118)))</f>
        <v>1415.6339517454926</v>
      </c>
      <c r="P118" s="137" t="n">
        <f t="shared" ref="P118:P135" si="34">O118-L118</f>
        <v>0</v>
      </c>
      <c r="Q118" s="123" t="n">
        <f t="shared" si="23"/>
        <v>89</v>
      </c>
      <c r="R118" s="137" t="n">
        <f>IF(AND(COUNTIF(Games!$B$2:$B$101, Elo!$A118)=0,COUNTIF(Games!$C$2:$C$101, Elo!$A118)=0), O118, IF(COUNTIF(Games!$B$2:$B$101, Elo!$A118)&gt;0, VLOOKUP(Elo!$A118, Games!$B$2:$AN$101, MATCH("New Home Elo", Games!$B$1:$AN$1, 0), FALSE), IF(COUNTIF(Games!$C$2:$C$101, Elo!$A118)&gt;0, VLOOKUP(Elo!$A118, Games!$C$2:$AO$101, MATCH("New Away Elo", Games!$C$1:$AO$1, 0), FALSE), O118)))</f>
        <v>1415.6339517454926</v>
      </c>
      <c r="S118" s="137" t="n">
        <f t="shared" ref="S118:S135" si="35">R118-O118</f>
        <v>0</v>
      </c>
      <c r="T118" s="123" t="n">
        <f t="shared" si="24"/>
        <v>89</v>
      </c>
      <c r="U118" s="137" t="n">
        <f>IF(AND(COUNTIF(Games!$B$2:$B$101, Elo!$A118)=0,COUNTIF(Games!$C$2:$C$101, Elo!$A118)=0), R118, IF(COUNTIF(Games!$B$2:$B$101, Elo!$A118)&gt;0, VLOOKUP(Elo!$A118, Games!$B$2:$AN$101, MATCH("New Home Elo", Games!$B$1:$AN$1, 0), FALSE), IF(COUNTIF(Games!$C$2:$C$101, Elo!$A118)&gt;0, VLOOKUP(Elo!$A118, Games!$C$2:$AO$101, MATCH("New Away Elo", Games!$C$1:$AO$1, 0), FALSE), R118)))</f>
        <v>1415.6339517454926</v>
      </c>
      <c r="V118" s="137" t="n">
        <f t="shared" ref="V118:V135" si="36">U118-R118</f>
        <v>0</v>
      </c>
      <c r="W118" s="123" t="n">
        <f t="shared" si="25"/>
        <v>89</v>
      </c>
    </row>
    <row r="119">
      <c r="A119" s="1" t="s">
        <v>235</v>
      </c>
      <c r="B119" s="1" t="s">
        <v>149</v>
      </c>
      <c r="C119" s="137" t="n">
        <f>VLOOKUP(A119, $A$2:$BQ$1048576, MATCH(_xlfn.CONCAT("Week ",Games!$A$7), Elo!$A$1:$BQ$1, 0), FALSE)</f>
        <v>1173.6924025744236</v>
      </c>
      <c r="D119" s="137" t="n">
        <f t="shared" si="31"/>
        <v>118</v>
      </c>
      <c r="E119" s="137" t="n">
        <v>1254.6163109203801</v>
      </c>
      <c r="F119" s="123" t="n">
        <v>118</v>
      </c>
      <c r="G119" s="137" t="n">
        <v>1254.6163109203801</v>
      </c>
      <c r="H119" s="123" t="n">
        <v>118</v>
      </c>
      <c r="I119" s="137" t="n">
        <v>1173.6924025744236</v>
      </c>
      <c r="J119" s="137" t="n">
        <f t="shared" si="26"/>
        <v>-80.923908345956534</v>
      </c>
      <c r="K119" s="123" t="n">
        <f t="shared" si="32"/>
        <v>127</v>
      </c>
      <c r="L119" s="137" t="n">
        <f>IF(AND(COUNTIF(Games!$B$2:$B$101, Elo!$A119)=0,COUNTIF(Games!$C$2:$C$101, Elo!$A119)=0), I119, IF(COUNTIF(Games!$B$2:$B$101, Elo!$A119)&gt;0, VLOOKUP(Elo!$A119, Games!$B$2:$AN$101, MATCH("New Home Elo", Games!$B$1:$AN$1, 0), FALSE), IF(COUNTIF(Games!$C$2:$C$101, Elo!$A119)&gt;0, VLOOKUP(Elo!$A119, Games!$C$2:$AO$101, MATCH("New Away Elo", Games!$C$1:$AO$1, 0), FALSE), I119)))</f>
        <v>1173.6924025744236</v>
      </c>
      <c r="M119" s="137" t="n">
        <f t="shared" si="27"/>
        <v>0</v>
      </c>
      <c r="N119" s="123" t="n">
        <f t="shared" si="33"/>
        <v>124</v>
      </c>
      <c r="O119" s="137" t="n">
        <f>IF(AND(COUNTIF(Games!$B$2:$B$101, Elo!$A119)=0,COUNTIF(Games!$C$2:$C$101, Elo!$A119)=0), L119, IF(COUNTIF(Games!$B$2:$B$101, Elo!$A119)&gt;0, VLOOKUP(Elo!$A119, Games!$B$2:$AN$101, MATCH("New Home Elo", Games!$B$1:$AN$1, 0), FALSE), IF(COUNTIF(Games!$C$2:$C$101, Elo!$A119)&gt;0, VLOOKUP(Elo!$A119, Games!$C$2:$AO$101, MATCH("New Away Elo", Games!$C$1:$AO$1, 0), FALSE), L119)))</f>
        <v>1173.6924025744236</v>
      </c>
      <c r="P119" s="137" t="n">
        <f t="shared" si="34"/>
        <v>0</v>
      </c>
      <c r="Q119" s="123" t="n">
        <f t="shared" si="23"/>
        <v>124</v>
      </c>
      <c r="R119" s="137" t="n">
        <f>IF(AND(COUNTIF(Games!$B$2:$B$101, Elo!$A119)=0,COUNTIF(Games!$C$2:$C$101, Elo!$A119)=0), O119, IF(COUNTIF(Games!$B$2:$B$101, Elo!$A119)&gt;0, VLOOKUP(Elo!$A119, Games!$B$2:$AN$101, MATCH("New Home Elo", Games!$B$1:$AN$1, 0), FALSE), IF(COUNTIF(Games!$C$2:$C$101, Elo!$A119)&gt;0, VLOOKUP(Elo!$A119, Games!$C$2:$AO$101, MATCH("New Away Elo", Games!$C$1:$AO$1, 0), FALSE), O119)))</f>
        <v>1173.6924025744236</v>
      </c>
      <c r="S119" s="137" t="n">
        <f t="shared" si="35"/>
        <v>0</v>
      </c>
      <c r="T119" s="123" t="n">
        <f t="shared" si="24"/>
        <v>124</v>
      </c>
      <c r="U119" s="137" t="n">
        <f>IF(AND(COUNTIF(Games!$B$2:$B$101, Elo!$A119)=0,COUNTIF(Games!$C$2:$C$101, Elo!$A119)=0), R119, IF(COUNTIF(Games!$B$2:$B$101, Elo!$A119)&gt;0, VLOOKUP(Elo!$A119, Games!$B$2:$AN$101, MATCH("New Home Elo", Games!$B$1:$AN$1, 0), FALSE), IF(COUNTIF(Games!$C$2:$C$101, Elo!$A119)&gt;0, VLOOKUP(Elo!$A119, Games!$C$2:$AO$101, MATCH("New Away Elo", Games!$C$1:$AO$1, 0), FALSE), R119)))</f>
        <v>1173.6924025744236</v>
      </c>
      <c r="V119" s="137" t="n">
        <f t="shared" si="36"/>
        <v>0</v>
      </c>
      <c r="W119" s="123" t="n">
        <f t="shared" si="25"/>
        <v>124</v>
      </c>
    </row>
    <row r="120">
      <c r="A120" s="1" t="s">
        <v>236</v>
      </c>
      <c r="B120" s="1" t="s">
        <v>170</v>
      </c>
      <c r="C120" s="137" t="n">
        <f>VLOOKUP(A120, $A$2:$BQ$1048576, MATCH(_xlfn.CONCAT("Week ",Games!$A$7), Elo!$A$1:$BQ$1, 0), FALSE)</f>
        <v>1253.57271011082</v>
      </c>
      <c r="D120" s="137" t="n">
        <f t="shared" si="31"/>
        <v>119</v>
      </c>
      <c r="E120" s="137" t="n">
        <v>1253.57271011082</v>
      </c>
      <c r="F120" s="123" t="n">
        <v>119</v>
      </c>
      <c r="G120" s="137" t="n">
        <v>1253.57271011082</v>
      </c>
      <c r="H120" s="123" t="n">
        <v>119</v>
      </c>
      <c r="I120" s="137" t="n">
        <v>1253.57271011082</v>
      </c>
      <c r="J120" s="137" t="n">
        <f t="shared" si="26"/>
        <v>0</v>
      </c>
      <c r="K120" s="123" t="n">
        <f t="shared" si="32"/>
        <v>118</v>
      </c>
      <c r="L120" s="137" t="n">
        <f>IF(AND(COUNTIF(Games!$B$2:$B$101, Elo!$A120)=0,COUNTIF(Games!$C$2:$C$101, Elo!$A120)=0), I120, IF(COUNTIF(Games!$B$2:$B$101, Elo!$A120)&gt;0, VLOOKUP(Elo!$A120, Games!$B$2:$AN$101, MATCH("New Home Elo", Games!$B$1:$AN$1, 0), FALSE), IF(COUNTIF(Games!$C$2:$C$101, Elo!$A120)&gt;0, VLOOKUP(Elo!$A120, Games!$C$2:$AO$101, MATCH("New Away Elo", Games!$C$1:$AO$1, 0), FALSE), I120)))</f>
        <v>1267.7993503042876</v>
      </c>
      <c r="M120" s="137" t="n">
        <f t="shared" si="27"/>
        <v>14.226640193467574</v>
      </c>
      <c r="N120" s="123" t="n">
        <f t="shared" si="33"/>
        <v>118</v>
      </c>
      <c r="O120" s="137" t="n">
        <f>IF(AND(COUNTIF(Games!$B$2:$B$101, Elo!$A120)=0,COUNTIF(Games!$C$2:$C$101, Elo!$A120)=0), L120, IF(COUNTIF(Games!$B$2:$B$101, Elo!$A120)&gt;0, VLOOKUP(Elo!$A120, Games!$B$2:$AN$101, MATCH("New Home Elo", Games!$B$1:$AN$1, 0), FALSE), IF(COUNTIF(Games!$C$2:$C$101, Elo!$A120)&gt;0, VLOOKUP(Elo!$A120, Games!$C$2:$AO$101, MATCH("New Away Elo", Games!$C$1:$AO$1, 0), FALSE), L120)))</f>
        <v>1267.7993503042876</v>
      </c>
      <c r="P120" s="137" t="n">
        <f t="shared" si="34"/>
        <v>0</v>
      </c>
      <c r="Q120" s="123" t="n">
        <f t="shared" si="23"/>
        <v>118</v>
      </c>
      <c r="R120" s="137" t="n">
        <f>IF(AND(COUNTIF(Games!$B$2:$B$101, Elo!$A120)=0,COUNTIF(Games!$C$2:$C$101, Elo!$A120)=0), O120, IF(COUNTIF(Games!$B$2:$B$101, Elo!$A120)&gt;0, VLOOKUP(Elo!$A120, Games!$B$2:$AN$101, MATCH("New Home Elo", Games!$B$1:$AN$1, 0), FALSE), IF(COUNTIF(Games!$C$2:$C$101, Elo!$A120)&gt;0, VLOOKUP(Elo!$A120, Games!$C$2:$AO$101, MATCH("New Away Elo", Games!$C$1:$AO$1, 0), FALSE), O120)))</f>
        <v>1267.7993503042876</v>
      </c>
      <c r="S120" s="137" t="n">
        <f t="shared" si="35"/>
        <v>0</v>
      </c>
      <c r="T120" s="123" t="n">
        <f t="shared" si="24"/>
        <v>118</v>
      </c>
      <c r="U120" s="137" t="n">
        <f>IF(AND(COUNTIF(Games!$B$2:$B$101, Elo!$A120)=0,COUNTIF(Games!$C$2:$C$101, Elo!$A120)=0), R120, IF(COUNTIF(Games!$B$2:$B$101, Elo!$A120)&gt;0, VLOOKUP(Elo!$A120, Games!$B$2:$AN$101, MATCH("New Home Elo", Games!$B$1:$AN$1, 0), FALSE), IF(COUNTIF(Games!$C$2:$C$101, Elo!$A120)&gt;0, VLOOKUP(Elo!$A120, Games!$C$2:$AO$101, MATCH("New Away Elo", Games!$C$1:$AO$1, 0), FALSE), R120)))</f>
        <v>1267.7993503042876</v>
      </c>
      <c r="V120" s="137" t="n">
        <f t="shared" si="36"/>
        <v>0</v>
      </c>
      <c r="W120" s="123" t="n">
        <f t="shared" si="25"/>
        <v>118</v>
      </c>
    </row>
    <row r="121">
      <c r="A121" s="1" t="s">
        <v>237</v>
      </c>
      <c r="B121" s="1" t="s">
        <v>135</v>
      </c>
      <c r="C121" s="137" t="n">
        <f>VLOOKUP(A121, $A$2:$BQ$1048576, MATCH(_xlfn.CONCAT("Week ",Games!$A$7), Elo!$A$1:$BQ$1, 0), FALSE)</f>
        <v>1249.7733184091001</v>
      </c>
      <c r="D121" s="137" t="n">
        <f t="shared" si="31"/>
        <v>120</v>
      </c>
      <c r="E121" s="137" t="n">
        <v>1249.7733184091001</v>
      </c>
      <c r="F121" s="123" t="n">
        <v>120</v>
      </c>
      <c r="G121" s="137" t="n">
        <v>1249.7733184091001</v>
      </c>
      <c r="H121" s="123" t="n">
        <v>120</v>
      </c>
      <c r="I121" s="137" t="n">
        <v>1249.7733184091001</v>
      </c>
      <c r="J121" s="137" t="n">
        <f t="shared" si="26"/>
        <v>0</v>
      </c>
      <c r="K121" s="123" t="n">
        <f t="shared" si="32"/>
        <v>119</v>
      </c>
      <c r="L121" s="137" t="n">
        <f>IF(AND(COUNTIF(Games!$B$2:$B$101, Elo!$A121)=0,COUNTIF(Games!$C$2:$C$101, Elo!$A121)=0), I121, IF(COUNTIF(Games!$B$2:$B$101, Elo!$A121)&gt;0, VLOOKUP(Elo!$A121, Games!$B$2:$AN$101, MATCH("New Home Elo", Games!$B$1:$AN$1, 0), FALSE), IF(COUNTIF(Games!$C$2:$C$101, Elo!$A121)&gt;0, VLOOKUP(Elo!$A121, Games!$C$2:$AO$101, MATCH("New Away Elo", Games!$C$1:$AO$1, 0), FALSE), I121)))</f>
        <v>1281.7678190560309</v>
      </c>
      <c r="M121" s="137" t="n">
        <f t="shared" si="27"/>
        <v>31.994500646930874</v>
      </c>
      <c r="N121" s="123" t="n">
        <f t="shared" si="33"/>
        <v>117</v>
      </c>
      <c r="O121" s="137" t="n">
        <f>IF(AND(COUNTIF(Games!$B$2:$B$101, Elo!$A121)=0,COUNTIF(Games!$C$2:$C$101, Elo!$A121)=0), L121, IF(COUNTIF(Games!$B$2:$B$101, Elo!$A121)&gt;0, VLOOKUP(Elo!$A121, Games!$B$2:$AN$101, MATCH("New Home Elo", Games!$B$1:$AN$1, 0), FALSE), IF(COUNTIF(Games!$C$2:$C$101, Elo!$A121)&gt;0, VLOOKUP(Elo!$A121, Games!$C$2:$AO$101, MATCH("New Away Elo", Games!$C$1:$AO$1, 0), FALSE), L121)))</f>
        <v>1281.7678190560309</v>
      </c>
      <c r="P121" s="137" t="n">
        <f t="shared" si="34"/>
        <v>0</v>
      </c>
      <c r="Q121" s="123" t="n">
        <f t="shared" si="23"/>
        <v>117</v>
      </c>
      <c r="R121" s="137" t="n">
        <f>IF(AND(COUNTIF(Games!$B$2:$B$101, Elo!$A121)=0,COUNTIF(Games!$C$2:$C$101, Elo!$A121)=0), O121, IF(COUNTIF(Games!$B$2:$B$101, Elo!$A121)&gt;0, VLOOKUP(Elo!$A121, Games!$B$2:$AN$101, MATCH("New Home Elo", Games!$B$1:$AN$1, 0), FALSE), IF(COUNTIF(Games!$C$2:$C$101, Elo!$A121)&gt;0, VLOOKUP(Elo!$A121, Games!$C$2:$AO$101, MATCH("New Away Elo", Games!$C$1:$AO$1, 0), FALSE), O121)))</f>
        <v>1281.7678190560309</v>
      </c>
      <c r="S121" s="137" t="n">
        <f t="shared" si="35"/>
        <v>0</v>
      </c>
      <c r="T121" s="123" t="n">
        <f t="shared" si="24"/>
        <v>117</v>
      </c>
      <c r="U121" s="137" t="n">
        <f>IF(AND(COUNTIF(Games!$B$2:$B$101, Elo!$A121)=0,COUNTIF(Games!$C$2:$C$101, Elo!$A121)=0), R121, IF(COUNTIF(Games!$B$2:$B$101, Elo!$A121)&gt;0, VLOOKUP(Elo!$A121, Games!$B$2:$AN$101, MATCH("New Home Elo", Games!$B$1:$AN$1, 0), FALSE), IF(COUNTIF(Games!$C$2:$C$101, Elo!$A121)&gt;0, VLOOKUP(Elo!$A121, Games!$C$2:$AO$101, MATCH("New Away Elo", Games!$C$1:$AO$1, 0), FALSE), R121)))</f>
        <v>1281.7678190560309</v>
      </c>
      <c r="V121" s="137" t="n">
        <f t="shared" si="36"/>
        <v>0</v>
      </c>
      <c r="W121" s="123" t="n">
        <f t="shared" si="25"/>
        <v>117</v>
      </c>
    </row>
    <row r="122">
      <c r="A122" s="1" t="s">
        <v>238</v>
      </c>
      <c r="B122" s="1" t="s">
        <v>141</v>
      </c>
      <c r="C122" s="137" t="n">
        <f>VLOOKUP(A122, $A$2:$BQ$1048576, MATCH(_xlfn.CONCAT("Week ",Games!$A$7), Elo!$A$1:$BQ$1, 0), FALSE)</f>
        <v>1243.95606044638</v>
      </c>
      <c r="D122" s="137" t="n">
        <f t="shared" si="31"/>
        <v>121</v>
      </c>
      <c r="E122" s="137" t="n">
        <v>1243.95606044638</v>
      </c>
      <c r="F122" s="123" t="n">
        <v>121</v>
      </c>
      <c r="G122" s="137" t="n">
        <v>1243.95606044638</v>
      </c>
      <c r="H122" s="123" t="n">
        <v>121</v>
      </c>
      <c r="I122" s="137" t="n">
        <v>1243.95606044638</v>
      </c>
      <c r="J122" s="137" t="n">
        <f t="shared" si="26"/>
        <v>0</v>
      </c>
      <c r="K122" s="123" t="n">
        <f t="shared" si="32"/>
        <v>120</v>
      </c>
      <c r="L122" s="137" t="n">
        <f>IF(AND(COUNTIF(Games!$B$2:$B$101, Elo!$A122)=0,COUNTIF(Games!$C$2:$C$101, Elo!$A122)=0), I122, IF(COUNTIF(Games!$B$2:$B$101, Elo!$A122)&gt;0, VLOOKUP(Elo!$A122, Games!$B$2:$AN$101, MATCH("New Home Elo", Games!$B$1:$AN$1, 0), FALSE), IF(COUNTIF(Games!$C$2:$C$101, Elo!$A122)&gt;0, VLOOKUP(Elo!$A122, Games!$C$2:$AO$101, MATCH("New Away Elo", Games!$C$1:$AO$1, 0), FALSE), I122)))</f>
        <v>1212.2925929185822</v>
      </c>
      <c r="M122" s="137" t="n">
        <f t="shared" si="27"/>
        <v>-31.66346752779782</v>
      </c>
      <c r="N122" s="123" t="n">
        <f t="shared" si="33"/>
        <v>120</v>
      </c>
      <c r="O122" s="137" t="n">
        <f>IF(AND(COUNTIF(Games!$B$2:$B$101, Elo!$A122)=0,COUNTIF(Games!$C$2:$C$101, Elo!$A122)=0), L122, IF(COUNTIF(Games!$B$2:$B$101, Elo!$A122)&gt;0, VLOOKUP(Elo!$A122, Games!$B$2:$AN$101, MATCH("New Home Elo", Games!$B$1:$AN$1, 0), FALSE), IF(COUNTIF(Games!$C$2:$C$101, Elo!$A122)&gt;0, VLOOKUP(Elo!$A122, Games!$C$2:$AO$101, MATCH("New Away Elo", Games!$C$1:$AO$1, 0), FALSE), L122)))</f>
        <v>1212.2925929185822</v>
      </c>
      <c r="P122" s="137" t="n">
        <f t="shared" si="34"/>
        <v>0</v>
      </c>
      <c r="Q122" s="123" t="n">
        <f t="shared" si="23"/>
        <v>120</v>
      </c>
      <c r="R122" s="137" t="n">
        <f>IF(AND(COUNTIF(Games!$B$2:$B$101, Elo!$A122)=0,COUNTIF(Games!$C$2:$C$101, Elo!$A122)=0), O122, IF(COUNTIF(Games!$B$2:$B$101, Elo!$A122)&gt;0, VLOOKUP(Elo!$A122, Games!$B$2:$AN$101, MATCH("New Home Elo", Games!$B$1:$AN$1, 0), FALSE), IF(COUNTIF(Games!$C$2:$C$101, Elo!$A122)&gt;0, VLOOKUP(Elo!$A122, Games!$C$2:$AO$101, MATCH("New Away Elo", Games!$C$1:$AO$1, 0), FALSE), O122)))</f>
        <v>1212.2925929185822</v>
      </c>
      <c r="S122" s="137" t="n">
        <f t="shared" si="35"/>
        <v>0</v>
      </c>
      <c r="T122" s="123" t="n">
        <f t="shared" si="24"/>
        <v>120</v>
      </c>
      <c r="U122" s="137" t="n">
        <f>IF(AND(COUNTIF(Games!$B$2:$B$101, Elo!$A122)=0,COUNTIF(Games!$C$2:$C$101, Elo!$A122)=0), R122, IF(COUNTIF(Games!$B$2:$B$101, Elo!$A122)&gt;0, VLOOKUP(Elo!$A122, Games!$B$2:$AN$101, MATCH("New Home Elo", Games!$B$1:$AN$1, 0), FALSE), IF(COUNTIF(Games!$C$2:$C$101, Elo!$A122)&gt;0, VLOOKUP(Elo!$A122, Games!$C$2:$AO$101, MATCH("New Away Elo", Games!$C$1:$AO$1, 0), FALSE), R122)))</f>
        <v>1212.2925929185822</v>
      </c>
      <c r="V122" s="137" t="n">
        <f t="shared" si="36"/>
        <v>0</v>
      </c>
      <c r="W122" s="123" t="n">
        <f t="shared" si="25"/>
        <v>120</v>
      </c>
    </row>
    <row r="123">
      <c r="A123" s="1" t="s">
        <v>239</v>
      </c>
      <c r="B123" s="1" t="s">
        <v>138</v>
      </c>
      <c r="C123" s="137" t="n">
        <f>VLOOKUP(A123, $A$2:$BQ$1048576, MATCH(_xlfn.CONCAT("Week ",Games!$A$7), Elo!$A$1:$BQ$1, 0), FALSE)</f>
        <v>1224.3377989669</v>
      </c>
      <c r="D123" s="137" t="n">
        <f t="shared" si="31"/>
        <v>122</v>
      </c>
      <c r="E123" s="137" t="n">
        <v>1224.3377989669</v>
      </c>
      <c r="F123" s="123" t="n">
        <v>122</v>
      </c>
      <c r="G123" s="137" t="n">
        <v>1224.3377989669</v>
      </c>
      <c r="H123" s="123" t="n">
        <v>122</v>
      </c>
      <c r="I123" s="137" t="n">
        <v>1224.3377989669</v>
      </c>
      <c r="J123" s="137" t="n">
        <f t="shared" si="26"/>
        <v>0</v>
      </c>
      <c r="K123" s="123" t="n">
        <f t="shared" si="32"/>
        <v>121</v>
      </c>
      <c r="L123" s="137" t="n">
        <f>IF(AND(COUNTIF(Games!$B$2:$B$101, Elo!$A123)=0,COUNTIF(Games!$C$2:$C$101, Elo!$A123)=0), I123, IF(COUNTIF(Games!$B$2:$B$101, Elo!$A123)&gt;0, VLOOKUP(Elo!$A123, Games!$B$2:$AN$101, MATCH("New Home Elo", Games!$B$1:$AN$1, 0), FALSE), IF(COUNTIF(Games!$C$2:$C$101, Elo!$A123)&gt;0, VLOOKUP(Elo!$A123, Games!$C$2:$AO$101, MATCH("New Away Elo", Games!$C$1:$AO$1, 0), FALSE), I123)))</f>
        <v>1198.3178236614299</v>
      </c>
      <c r="M123" s="137" t="n">
        <f t="shared" si="27"/>
        <v>-26.019975305470098</v>
      </c>
      <c r="N123" s="123" t="n">
        <f t="shared" si="33"/>
        <v>121</v>
      </c>
      <c r="O123" s="137" t="n">
        <f>IF(AND(COUNTIF(Games!$B$2:$B$101, Elo!$A123)=0,COUNTIF(Games!$C$2:$C$101, Elo!$A123)=0), L123, IF(COUNTIF(Games!$B$2:$B$101, Elo!$A123)&gt;0, VLOOKUP(Elo!$A123, Games!$B$2:$AN$101, MATCH("New Home Elo", Games!$B$1:$AN$1, 0), FALSE), IF(COUNTIF(Games!$C$2:$C$101, Elo!$A123)&gt;0, VLOOKUP(Elo!$A123, Games!$C$2:$AO$101, MATCH("New Away Elo", Games!$C$1:$AO$1, 0), FALSE), L123)))</f>
        <v>1198.3178236614299</v>
      </c>
      <c r="P123" s="137" t="n">
        <f t="shared" si="34"/>
        <v>0</v>
      </c>
      <c r="Q123" s="123" t="n">
        <f t="shared" si="23"/>
        <v>121</v>
      </c>
      <c r="R123" s="137" t="n">
        <f>IF(AND(COUNTIF(Games!$B$2:$B$101, Elo!$A123)=0,COUNTIF(Games!$C$2:$C$101, Elo!$A123)=0), O123, IF(COUNTIF(Games!$B$2:$B$101, Elo!$A123)&gt;0, VLOOKUP(Elo!$A123, Games!$B$2:$AN$101, MATCH("New Home Elo", Games!$B$1:$AN$1, 0), FALSE), IF(COUNTIF(Games!$C$2:$C$101, Elo!$A123)&gt;0, VLOOKUP(Elo!$A123, Games!$C$2:$AO$101, MATCH("New Away Elo", Games!$C$1:$AO$1, 0), FALSE), O123)))</f>
        <v>1198.3178236614299</v>
      </c>
      <c r="S123" s="137" t="n">
        <f t="shared" si="35"/>
        <v>0</v>
      </c>
      <c r="T123" s="123" t="n">
        <f t="shared" si="24"/>
        <v>121</v>
      </c>
      <c r="U123" s="137" t="n">
        <f>IF(AND(COUNTIF(Games!$B$2:$B$101, Elo!$A123)=0,COUNTIF(Games!$C$2:$C$101, Elo!$A123)=0), R123, IF(COUNTIF(Games!$B$2:$B$101, Elo!$A123)&gt;0, VLOOKUP(Elo!$A123, Games!$B$2:$AN$101, MATCH("New Home Elo", Games!$B$1:$AN$1, 0), FALSE), IF(COUNTIF(Games!$C$2:$C$101, Elo!$A123)&gt;0, VLOOKUP(Elo!$A123, Games!$C$2:$AO$101, MATCH("New Away Elo", Games!$C$1:$AO$1, 0), FALSE), R123)))</f>
        <v>1198.3178236614299</v>
      </c>
      <c r="V123" s="137" t="n">
        <f t="shared" si="36"/>
        <v>0</v>
      </c>
      <c r="W123" s="123" t="n">
        <f t="shared" si="25"/>
        <v>121</v>
      </c>
    </row>
    <row r="124">
      <c r="A124" s="1" t="s">
        <v>240</v>
      </c>
      <c r="B124" s="1" t="s">
        <v>170</v>
      </c>
      <c r="C124" s="137" t="n">
        <f>VLOOKUP(A124, $A$2:$BQ$1048576, MATCH(_xlfn.CONCAT("Week ",Games!$A$7), Elo!$A$1:$BQ$1, 0), FALSE)</f>
        <v>1199.42098005189</v>
      </c>
      <c r="D124" s="137" t="n">
        <f t="shared" si="31"/>
        <v>123</v>
      </c>
      <c r="E124" s="137" t="n">
        <v>1199.42098005189</v>
      </c>
      <c r="F124" s="123" t="n">
        <v>123</v>
      </c>
      <c r="G124" s="137" t="n">
        <v>1199.42098005189</v>
      </c>
      <c r="H124" s="123" t="n">
        <v>123</v>
      </c>
      <c r="I124" s="137" t="n">
        <v>1199.42098005189</v>
      </c>
      <c r="J124" s="137" t="n">
        <f t="shared" si="26"/>
        <v>0</v>
      </c>
      <c r="K124" s="123" t="n">
        <f t="shared" si="32"/>
        <v>122</v>
      </c>
      <c r="L124" s="137" t="n">
        <f>IF(AND(COUNTIF(Games!$B$2:$B$101, Elo!$A124)=0,COUNTIF(Games!$C$2:$C$101, Elo!$A124)=0), I124, IF(COUNTIF(Games!$B$2:$B$101, Elo!$A124)&gt;0, VLOOKUP(Elo!$A124, Games!$B$2:$AN$101, MATCH("New Home Elo", Games!$B$1:$AN$1, 0), FALSE), IF(COUNTIF(Games!$C$2:$C$101, Elo!$A124)&gt;0, VLOOKUP(Elo!$A124, Games!$C$2:$AO$101, MATCH("New Away Elo", Games!$C$1:$AO$1, 0), FALSE), I124)))</f>
        <v>1285.4166892143644</v>
      </c>
      <c r="M124" s="137" t="n">
        <f t="shared" si="27"/>
        <v>85.995709162474441</v>
      </c>
      <c r="N124" s="123" t="n">
        <f t="shared" si="33"/>
        <v>116</v>
      </c>
      <c r="O124" s="137" t="n">
        <f>IF(AND(COUNTIF(Games!$B$2:$B$101, Elo!$A124)=0,COUNTIF(Games!$C$2:$C$101, Elo!$A124)=0), L124, IF(COUNTIF(Games!$B$2:$B$101, Elo!$A124)&gt;0, VLOOKUP(Elo!$A124, Games!$B$2:$AN$101, MATCH("New Home Elo", Games!$B$1:$AN$1, 0), FALSE), IF(COUNTIF(Games!$C$2:$C$101, Elo!$A124)&gt;0, VLOOKUP(Elo!$A124, Games!$C$2:$AO$101, MATCH("New Away Elo", Games!$C$1:$AO$1, 0), FALSE), L124)))</f>
        <v>1285.4166892143644</v>
      </c>
      <c r="P124" s="137" t="n">
        <f t="shared" si="34"/>
        <v>0</v>
      </c>
      <c r="Q124" s="123" t="n">
        <f t="shared" si="23"/>
        <v>116</v>
      </c>
      <c r="R124" s="137" t="n">
        <f>IF(AND(COUNTIF(Games!$B$2:$B$101, Elo!$A124)=0,COUNTIF(Games!$C$2:$C$101, Elo!$A124)=0), O124, IF(COUNTIF(Games!$B$2:$B$101, Elo!$A124)&gt;0, VLOOKUP(Elo!$A124, Games!$B$2:$AN$101, MATCH("New Home Elo", Games!$B$1:$AN$1, 0), FALSE), IF(COUNTIF(Games!$C$2:$C$101, Elo!$A124)&gt;0, VLOOKUP(Elo!$A124, Games!$C$2:$AO$101, MATCH("New Away Elo", Games!$C$1:$AO$1, 0), FALSE), O124)))</f>
        <v>1285.4166892143644</v>
      </c>
      <c r="S124" s="137" t="n">
        <f t="shared" si="35"/>
        <v>0</v>
      </c>
      <c r="T124" s="123" t="n">
        <f t="shared" si="24"/>
        <v>116</v>
      </c>
      <c r="U124" s="137" t="n">
        <f>IF(AND(COUNTIF(Games!$B$2:$B$101, Elo!$A124)=0,COUNTIF(Games!$C$2:$C$101, Elo!$A124)=0), R124, IF(COUNTIF(Games!$B$2:$B$101, Elo!$A124)&gt;0, VLOOKUP(Elo!$A124, Games!$B$2:$AN$101, MATCH("New Home Elo", Games!$B$1:$AN$1, 0), FALSE), IF(COUNTIF(Games!$C$2:$C$101, Elo!$A124)&gt;0, VLOOKUP(Elo!$A124, Games!$C$2:$AO$101, MATCH("New Away Elo", Games!$C$1:$AO$1, 0), FALSE), R124)))</f>
        <v>1285.4166892143644</v>
      </c>
      <c r="V124" s="137" t="n">
        <f t="shared" si="36"/>
        <v>0</v>
      </c>
      <c r="W124" s="123" t="n">
        <f t="shared" si="25"/>
        <v>116</v>
      </c>
    </row>
    <row r="125">
      <c r="A125" s="1" t="s">
        <v>241</v>
      </c>
      <c r="B125" s="1" t="s">
        <v>135</v>
      </c>
      <c r="C125" s="137" t="n">
        <f>VLOOKUP(A125, $A$2:$BQ$1048576, MATCH(_xlfn.CONCAT("Week ",Games!$A$7), Elo!$A$1:$BQ$1, 0), FALSE)</f>
        <v>1199.0900403527401</v>
      </c>
      <c r="D125" s="137" t="n">
        <f t="shared" si="31"/>
        <v>124</v>
      </c>
      <c r="E125" s="137" t="n">
        <v>1199.0900403527401</v>
      </c>
      <c r="F125" s="123" t="n">
        <v>124</v>
      </c>
      <c r="G125" s="137" t="n">
        <v>1199.0900403527401</v>
      </c>
      <c r="H125" s="123" t="n">
        <v>124</v>
      </c>
      <c r="I125" s="137" t="n">
        <v>1199.0900403527401</v>
      </c>
      <c r="J125" s="137" t="n">
        <f t="shared" si="26"/>
        <v>0</v>
      </c>
      <c r="K125" s="123" t="n">
        <f t="shared" si="32"/>
        <v>123</v>
      </c>
      <c r="L125" s="137" t="n">
        <f>IF(AND(COUNTIF(Games!$B$2:$B$101, Elo!$A125)=0,COUNTIF(Games!$C$2:$C$101, Elo!$A125)=0), I125, IF(COUNTIF(Games!$B$2:$B$101, Elo!$A125)&gt;0, VLOOKUP(Elo!$A125, Games!$B$2:$AN$101, MATCH("New Home Elo", Games!$B$1:$AN$1, 0), FALSE), IF(COUNTIF(Games!$C$2:$C$101, Elo!$A125)&gt;0, VLOOKUP(Elo!$A125, Games!$C$2:$AO$101, MATCH("New Away Elo", Games!$C$1:$AO$1, 0), FALSE), I125)))</f>
        <v>1157.0435412107315</v>
      </c>
      <c r="M125" s="137" t="n">
        <f t="shared" si="27"/>
        <v>-42.046499142008543</v>
      </c>
      <c r="N125" s="123" t="n">
        <f t="shared" si="33"/>
        <v>127</v>
      </c>
      <c r="O125" s="137" t="n">
        <f>IF(AND(COUNTIF(Games!$B$2:$B$101, Elo!$A125)=0,COUNTIF(Games!$C$2:$C$101, Elo!$A125)=0), L125, IF(COUNTIF(Games!$B$2:$B$101, Elo!$A125)&gt;0, VLOOKUP(Elo!$A125, Games!$B$2:$AN$101, MATCH("New Home Elo", Games!$B$1:$AN$1, 0), FALSE), IF(COUNTIF(Games!$C$2:$C$101, Elo!$A125)&gt;0, VLOOKUP(Elo!$A125, Games!$C$2:$AO$101, MATCH("New Away Elo", Games!$C$1:$AO$1, 0), FALSE), L125)))</f>
        <v>1157.0435412107315</v>
      </c>
      <c r="P125" s="137" t="n">
        <f t="shared" si="34"/>
        <v>0</v>
      </c>
      <c r="Q125" s="123" t="n">
        <f t="shared" si="23"/>
        <v>127</v>
      </c>
      <c r="R125" s="137" t="n">
        <f>IF(AND(COUNTIF(Games!$B$2:$B$101, Elo!$A125)=0,COUNTIF(Games!$C$2:$C$101, Elo!$A125)=0), O125, IF(COUNTIF(Games!$B$2:$B$101, Elo!$A125)&gt;0, VLOOKUP(Elo!$A125, Games!$B$2:$AN$101, MATCH("New Home Elo", Games!$B$1:$AN$1, 0), FALSE), IF(COUNTIF(Games!$C$2:$C$101, Elo!$A125)&gt;0, VLOOKUP(Elo!$A125, Games!$C$2:$AO$101, MATCH("New Away Elo", Games!$C$1:$AO$1, 0), FALSE), O125)))</f>
        <v>1157.0435412107315</v>
      </c>
      <c r="S125" s="137" t="n">
        <f t="shared" si="35"/>
        <v>0</v>
      </c>
      <c r="T125" s="123" t="n">
        <f t="shared" si="24"/>
        <v>127</v>
      </c>
      <c r="U125" s="137" t="n">
        <f>IF(AND(COUNTIF(Games!$B$2:$B$101, Elo!$A125)=0,COUNTIF(Games!$C$2:$C$101, Elo!$A125)=0), R125, IF(COUNTIF(Games!$B$2:$B$101, Elo!$A125)&gt;0, VLOOKUP(Elo!$A125, Games!$B$2:$AN$101, MATCH("New Home Elo", Games!$B$1:$AN$1, 0), FALSE), IF(COUNTIF(Games!$C$2:$C$101, Elo!$A125)&gt;0, VLOOKUP(Elo!$A125, Games!$C$2:$AO$101, MATCH("New Away Elo", Games!$C$1:$AO$1, 0), FALSE), R125)))</f>
        <v>1157.0435412107315</v>
      </c>
      <c r="V125" s="137" t="n">
        <f t="shared" si="36"/>
        <v>0</v>
      </c>
      <c r="W125" s="123" t="n">
        <f t="shared" si="25"/>
        <v>127</v>
      </c>
    </row>
    <row r="126">
      <c r="A126" s="1" t="s">
        <v>242</v>
      </c>
      <c r="B126" s="1" t="s">
        <v>141</v>
      </c>
      <c r="C126" s="137" t="n">
        <f>VLOOKUP(A126, $A$2:$BQ$1048576, MATCH(_xlfn.CONCAT("Week ",Games!$A$7), Elo!$A$1:$BQ$1, 0), FALSE)</f>
        <v>1197.6726229993899</v>
      </c>
      <c r="D126" s="137" t="n">
        <f t="shared" si="31"/>
        <v>125</v>
      </c>
      <c r="E126" s="137" t="n">
        <v>1197.6726229993899</v>
      </c>
      <c r="F126" s="123" t="n">
        <v>125</v>
      </c>
      <c r="G126" s="137" t="n">
        <v>1197.6726229993899</v>
      </c>
      <c r="H126" s="123" t="n">
        <v>125</v>
      </c>
      <c r="I126" s="137" t="n">
        <v>1197.6726229993899</v>
      </c>
      <c r="J126" s="137" t="n">
        <f t="shared" si="26"/>
        <v>0</v>
      </c>
      <c r="K126" s="123" t="n">
        <f t="shared" si="32"/>
        <v>124</v>
      </c>
      <c r="L126" s="137" t="n">
        <f>IF(AND(COUNTIF(Games!$B$2:$B$101, Elo!$A126)=0,COUNTIF(Games!$C$2:$C$101, Elo!$A126)=0), I126, IF(COUNTIF(Games!$B$2:$B$101, Elo!$A126)&gt;0, VLOOKUP(Elo!$A126, Games!$B$2:$AN$101, MATCH("New Home Elo", Games!$B$1:$AN$1, 0), FALSE), IF(COUNTIF(Games!$C$2:$C$101, Elo!$A126)&gt;0, VLOOKUP(Elo!$A126, Games!$C$2:$AO$101, MATCH("New Away Elo", Games!$C$1:$AO$1, 0), FALSE), I126)))</f>
        <v>1244.550470185819</v>
      </c>
      <c r="M126" s="137" t="n">
        <f t="shared" si="27"/>
        <v>46.877847186429108</v>
      </c>
      <c r="N126" s="123" t="n">
        <f t="shared" si="33"/>
        <v>119</v>
      </c>
      <c r="O126" s="137" t="n">
        <f>IF(AND(COUNTIF(Games!$B$2:$B$101, Elo!$A126)=0,COUNTIF(Games!$C$2:$C$101, Elo!$A126)=0), L126, IF(COUNTIF(Games!$B$2:$B$101, Elo!$A126)&gt;0, VLOOKUP(Elo!$A126, Games!$B$2:$AN$101, MATCH("New Home Elo", Games!$B$1:$AN$1, 0), FALSE), IF(COUNTIF(Games!$C$2:$C$101, Elo!$A126)&gt;0, VLOOKUP(Elo!$A126, Games!$C$2:$AO$101, MATCH("New Away Elo", Games!$C$1:$AO$1, 0), FALSE), L126)))</f>
        <v>1244.550470185819</v>
      </c>
      <c r="P126" s="137" t="n">
        <f t="shared" si="34"/>
        <v>0</v>
      </c>
      <c r="Q126" s="123" t="n">
        <f t="shared" si="23"/>
        <v>119</v>
      </c>
      <c r="R126" s="137" t="n">
        <f>IF(AND(COUNTIF(Games!$B$2:$B$101, Elo!$A126)=0,COUNTIF(Games!$C$2:$C$101, Elo!$A126)=0), O126, IF(COUNTIF(Games!$B$2:$B$101, Elo!$A126)&gt;0, VLOOKUP(Elo!$A126, Games!$B$2:$AN$101, MATCH("New Home Elo", Games!$B$1:$AN$1, 0), FALSE), IF(COUNTIF(Games!$C$2:$C$101, Elo!$A126)&gt;0, VLOOKUP(Elo!$A126, Games!$C$2:$AO$101, MATCH("New Away Elo", Games!$C$1:$AO$1, 0), FALSE), O126)))</f>
        <v>1244.550470185819</v>
      </c>
      <c r="S126" s="137" t="n">
        <f t="shared" si="35"/>
        <v>0</v>
      </c>
      <c r="T126" s="123" t="n">
        <f t="shared" si="24"/>
        <v>119</v>
      </c>
      <c r="U126" s="137" t="n">
        <f>IF(AND(COUNTIF(Games!$B$2:$B$101, Elo!$A126)=0,COUNTIF(Games!$C$2:$C$101, Elo!$A126)=0), R126, IF(COUNTIF(Games!$B$2:$B$101, Elo!$A126)&gt;0, VLOOKUP(Elo!$A126, Games!$B$2:$AN$101, MATCH("New Home Elo", Games!$B$1:$AN$1, 0), FALSE), IF(COUNTIF(Games!$C$2:$C$101, Elo!$A126)&gt;0, VLOOKUP(Elo!$A126, Games!$C$2:$AO$101, MATCH("New Away Elo", Games!$C$1:$AO$1, 0), FALSE), R126)))</f>
        <v>1244.550470185819</v>
      </c>
      <c r="V126" s="137" t="n">
        <f t="shared" si="36"/>
        <v>0</v>
      </c>
      <c r="W126" s="123" t="n">
        <f t="shared" si="25"/>
        <v>119</v>
      </c>
    </row>
    <row r="127">
      <c r="A127" s="1" t="s">
        <v>243</v>
      </c>
      <c r="B127" s="1" t="s">
        <v>170</v>
      </c>
      <c r="C127" s="137" t="n">
        <f>VLOOKUP(A127, $A$2:$BQ$1048576, MATCH(_xlfn.CONCAT("Week ",Games!$A$7), Elo!$A$1:$BQ$1, 0), FALSE)</f>
        <v>1187.9013852286</v>
      </c>
      <c r="D127" s="137" t="n">
        <f t="shared" si="31"/>
        <v>126</v>
      </c>
      <c r="E127" s="137" t="n">
        <v>1187.9013852286</v>
      </c>
      <c r="F127" s="123" t="n">
        <v>126</v>
      </c>
      <c r="G127" s="137" t="n">
        <v>1187.9013852286</v>
      </c>
      <c r="H127" s="123" t="n">
        <v>126</v>
      </c>
      <c r="I127" s="137" t="n">
        <v>1187.9013852286</v>
      </c>
      <c r="J127" s="137" t="n">
        <f t="shared" si="26"/>
        <v>0</v>
      </c>
      <c r="K127" s="123" t="n">
        <f t="shared" si="32"/>
        <v>125</v>
      </c>
      <c r="L127" s="137" t="n">
        <f>IF(AND(COUNTIF(Games!$B$2:$B$101, Elo!$A127)=0,COUNTIF(Games!$C$2:$C$101, Elo!$A127)=0), I127, IF(COUNTIF(Games!$B$2:$B$101, Elo!$A127)&gt;0, VLOOKUP(Elo!$A127, Games!$B$2:$AN$101, MATCH("New Home Elo", Games!$B$1:$AN$1, 0), FALSE), IF(COUNTIF(Games!$C$2:$C$101, Elo!$A127)&gt;0, VLOOKUP(Elo!$A127, Games!$C$2:$AO$101, MATCH("New Away Elo", Games!$C$1:$AO$1, 0), FALSE), I127)))</f>
        <v>1185.1257516832404</v>
      </c>
      <c r="M127" s="137" t="n">
        <f t="shared" si="27"/>
        <v>-2.7756335453595966</v>
      </c>
      <c r="N127" s="123" t="n">
        <f t="shared" si="33"/>
        <v>122</v>
      </c>
      <c r="O127" s="137" t="n">
        <f>IF(AND(COUNTIF(Games!$B$2:$B$101, Elo!$A127)=0,COUNTIF(Games!$C$2:$C$101, Elo!$A127)=0), L127, IF(COUNTIF(Games!$B$2:$B$101, Elo!$A127)&gt;0, VLOOKUP(Elo!$A127, Games!$B$2:$AN$101, MATCH("New Home Elo", Games!$B$1:$AN$1, 0), FALSE), IF(COUNTIF(Games!$C$2:$C$101, Elo!$A127)&gt;0, VLOOKUP(Elo!$A127, Games!$C$2:$AO$101, MATCH("New Away Elo", Games!$C$1:$AO$1, 0), FALSE), L127)))</f>
        <v>1185.1257516832404</v>
      </c>
      <c r="P127" s="137" t="n">
        <f t="shared" si="34"/>
        <v>0</v>
      </c>
      <c r="Q127" s="123" t="n">
        <f t="shared" si="23"/>
        <v>122</v>
      </c>
      <c r="R127" s="137" t="n">
        <f>IF(AND(COUNTIF(Games!$B$2:$B$101, Elo!$A127)=0,COUNTIF(Games!$C$2:$C$101, Elo!$A127)=0), O127, IF(COUNTIF(Games!$B$2:$B$101, Elo!$A127)&gt;0, VLOOKUP(Elo!$A127, Games!$B$2:$AN$101, MATCH("New Home Elo", Games!$B$1:$AN$1, 0), FALSE), IF(COUNTIF(Games!$C$2:$C$101, Elo!$A127)&gt;0, VLOOKUP(Elo!$A127, Games!$C$2:$AO$101, MATCH("New Away Elo", Games!$C$1:$AO$1, 0), FALSE), O127)))</f>
        <v>1185.1257516832404</v>
      </c>
      <c r="S127" s="137" t="n">
        <f t="shared" si="35"/>
        <v>0</v>
      </c>
      <c r="T127" s="123" t="n">
        <f t="shared" si="24"/>
        <v>122</v>
      </c>
      <c r="U127" s="137" t="n">
        <f>IF(AND(COUNTIF(Games!$B$2:$B$101, Elo!$A127)=0,COUNTIF(Games!$C$2:$C$101, Elo!$A127)=0), R127, IF(COUNTIF(Games!$B$2:$B$101, Elo!$A127)&gt;0, VLOOKUP(Elo!$A127, Games!$B$2:$AN$101, MATCH("New Home Elo", Games!$B$1:$AN$1, 0), FALSE), IF(COUNTIF(Games!$C$2:$C$101, Elo!$A127)&gt;0, VLOOKUP(Elo!$A127, Games!$C$2:$AO$101, MATCH("New Away Elo", Games!$C$1:$AO$1, 0), FALSE), R127)))</f>
        <v>1185.1257516832404</v>
      </c>
      <c r="V127" s="137" t="n">
        <f t="shared" si="36"/>
        <v>0</v>
      </c>
      <c r="W127" s="123" t="n">
        <f t="shared" si="25"/>
        <v>122</v>
      </c>
    </row>
    <row r="128">
      <c r="A128" s="1" t="s">
        <v>244</v>
      </c>
      <c r="B128" s="1" t="s">
        <v>117</v>
      </c>
      <c r="C128" s="137" t="n">
        <f>VLOOKUP(A128, $A$2:$BQ$1048576, MATCH(_xlfn.CONCAT("Week ",Games!$A$7), Elo!$A$1:$BQ$1, 0), FALSE)</f>
        <v>1179.0470355012101</v>
      </c>
      <c r="D128" s="137" t="n">
        <f t="shared" si="31"/>
        <v>127</v>
      </c>
      <c r="E128" s="137" t="n">
        <v>1179.0470355012101</v>
      </c>
      <c r="F128" s="123" t="n">
        <v>127</v>
      </c>
      <c r="G128" s="137" t="n">
        <v>1179.0470355012101</v>
      </c>
      <c r="H128" s="123" t="n">
        <v>127</v>
      </c>
      <c r="I128" s="137" t="n">
        <v>1179.0470355012101</v>
      </c>
      <c r="J128" s="137" t="n">
        <f t="shared" si="26"/>
        <v>0</v>
      </c>
      <c r="K128" s="123" t="n">
        <f t="shared" si="32"/>
        <v>126</v>
      </c>
      <c r="L128" s="137" t="n">
        <f>IF(AND(COUNTIF(Games!$B$2:$B$101, Elo!$A128)=0,COUNTIF(Games!$C$2:$C$101, Elo!$A128)=0), I128, IF(COUNTIF(Games!$B$2:$B$101, Elo!$A128)&gt;0, VLOOKUP(Elo!$A128, Games!$B$2:$AN$101, MATCH("New Home Elo", Games!$B$1:$AN$1, 0), FALSE), IF(COUNTIF(Games!$C$2:$C$101, Elo!$A128)&gt;0, VLOOKUP(Elo!$A128, Games!$C$2:$AO$101, MATCH("New Away Elo", Games!$C$1:$AO$1, 0), FALSE), I128)))</f>
        <v>1169.4672503607574</v>
      </c>
      <c r="M128" s="137" t="n">
        <f t="shared" si="27"/>
        <v>-9.5797851404527137</v>
      </c>
      <c r="N128" s="123" t="n">
        <f t="shared" si="33"/>
        <v>125</v>
      </c>
      <c r="O128" s="137" t="n">
        <f>IF(AND(COUNTIF(Games!$B$2:$B$101, Elo!$A128)=0,COUNTIF(Games!$C$2:$C$101, Elo!$A128)=0), L128, IF(COUNTIF(Games!$B$2:$B$101, Elo!$A128)&gt;0, VLOOKUP(Elo!$A128, Games!$B$2:$AN$101, MATCH("New Home Elo", Games!$B$1:$AN$1, 0), FALSE), IF(COUNTIF(Games!$C$2:$C$101, Elo!$A128)&gt;0, VLOOKUP(Elo!$A128, Games!$C$2:$AO$101, MATCH("New Away Elo", Games!$C$1:$AO$1, 0), FALSE), L128)))</f>
        <v>1169.4672503607574</v>
      </c>
      <c r="P128" s="137" t="n">
        <f t="shared" si="34"/>
        <v>0</v>
      </c>
      <c r="Q128" s="123" t="n">
        <f t="shared" si="23"/>
        <v>125</v>
      </c>
      <c r="R128" s="137" t="n">
        <f>IF(AND(COUNTIF(Games!$B$2:$B$101, Elo!$A128)=0,COUNTIF(Games!$C$2:$C$101, Elo!$A128)=0), O128, IF(COUNTIF(Games!$B$2:$B$101, Elo!$A128)&gt;0, VLOOKUP(Elo!$A128, Games!$B$2:$AN$101, MATCH("New Home Elo", Games!$B$1:$AN$1, 0), FALSE), IF(COUNTIF(Games!$C$2:$C$101, Elo!$A128)&gt;0, VLOOKUP(Elo!$A128, Games!$C$2:$AO$101, MATCH("New Away Elo", Games!$C$1:$AO$1, 0), FALSE), O128)))</f>
        <v>1169.4672503607574</v>
      </c>
      <c r="S128" s="137" t="n">
        <f t="shared" si="35"/>
        <v>0</v>
      </c>
      <c r="T128" s="123" t="n">
        <f t="shared" si="24"/>
        <v>125</v>
      </c>
      <c r="U128" s="137" t="n">
        <f>IF(AND(COUNTIF(Games!$B$2:$B$101, Elo!$A128)=0,COUNTIF(Games!$C$2:$C$101, Elo!$A128)=0), R128, IF(COUNTIF(Games!$B$2:$B$101, Elo!$A128)&gt;0, VLOOKUP(Elo!$A128, Games!$B$2:$AN$101, MATCH("New Home Elo", Games!$B$1:$AN$1, 0), FALSE), IF(COUNTIF(Games!$C$2:$C$101, Elo!$A128)&gt;0, VLOOKUP(Elo!$A128, Games!$C$2:$AO$101, MATCH("New Away Elo", Games!$C$1:$AO$1, 0), FALSE), R128)))</f>
        <v>1169.4672503607574</v>
      </c>
      <c r="V128" s="137" t="n">
        <f t="shared" si="36"/>
        <v>0</v>
      </c>
      <c r="W128" s="123" t="n">
        <f t="shared" si="25"/>
        <v>125</v>
      </c>
    </row>
    <row r="129">
      <c r="A129" s="1" t="s">
        <v>245</v>
      </c>
      <c r="B129" s="1" t="s">
        <v>149</v>
      </c>
      <c r="C129" s="137" t="n">
        <f>VLOOKUP(A129, $A$2:$BQ$1048576, MATCH(_xlfn.CONCAT("Week ",Games!$A$7), Elo!$A$1:$BQ$1, 0), FALSE)</f>
        <v>1162.1087083107443</v>
      </c>
      <c r="D129" s="137" t="n">
        <f t="shared" si="31"/>
        <v>128</v>
      </c>
      <c r="E129" s="137" t="n">
        <v>1163.17171735089</v>
      </c>
      <c r="F129" s="123" t="n">
        <v>128</v>
      </c>
      <c r="G129" s="137" t="n">
        <v>1163.17171735089</v>
      </c>
      <c r="H129" s="123" t="n">
        <v>128</v>
      </c>
      <c r="I129" s="137" t="n">
        <v>1162.1087083107443</v>
      </c>
      <c r="J129" s="137" t="n">
        <f t="shared" si="26"/>
        <v>-1.0630090401457437</v>
      </c>
      <c r="K129" s="123" t="n">
        <f t="shared" si="32"/>
        <v>128</v>
      </c>
      <c r="L129" s="137" t="n">
        <f>IF(AND(COUNTIF(Games!$B$2:$B$101, Elo!$A129)=0,COUNTIF(Games!$C$2:$C$101, Elo!$A129)=0), I129, IF(COUNTIF(Games!$B$2:$B$101, Elo!$A129)&gt;0, VLOOKUP(Elo!$A129, Games!$B$2:$AN$101, MATCH("New Home Elo", Games!$B$1:$AN$1, 0), FALSE), IF(COUNTIF(Games!$C$2:$C$101, Elo!$A129)&gt;0, VLOOKUP(Elo!$A129, Games!$C$2:$AO$101, MATCH("New Away Elo", Games!$C$1:$AO$1, 0), FALSE), I129)))</f>
        <v>1162.1087083107443</v>
      </c>
      <c r="M129" s="137" t="n">
        <f t="shared" si="27"/>
        <v>0</v>
      </c>
      <c r="N129" s="123" t="n">
        <f t="shared" si="33"/>
        <v>126</v>
      </c>
      <c r="O129" s="137" t="n">
        <f>IF(AND(COUNTIF(Games!$B$2:$B$101, Elo!$A129)=0,COUNTIF(Games!$C$2:$C$101, Elo!$A129)=0), L129, IF(COUNTIF(Games!$B$2:$B$101, Elo!$A129)&gt;0, VLOOKUP(Elo!$A129, Games!$B$2:$AN$101, MATCH("New Home Elo", Games!$B$1:$AN$1, 0), FALSE), IF(COUNTIF(Games!$C$2:$C$101, Elo!$A129)&gt;0, VLOOKUP(Elo!$A129, Games!$C$2:$AO$101, MATCH("New Away Elo", Games!$C$1:$AO$1, 0), FALSE), L129)))</f>
        <v>1162.1087083107443</v>
      </c>
      <c r="P129" s="137" t="n">
        <f t="shared" si="34"/>
        <v>0</v>
      </c>
      <c r="Q129" s="123" t="n">
        <f t="shared" si="23"/>
        <v>126</v>
      </c>
      <c r="R129" s="137" t="n">
        <f>IF(AND(COUNTIF(Games!$B$2:$B$101, Elo!$A129)=0,COUNTIF(Games!$C$2:$C$101, Elo!$A129)=0), O129, IF(COUNTIF(Games!$B$2:$B$101, Elo!$A129)&gt;0, VLOOKUP(Elo!$A129, Games!$B$2:$AN$101, MATCH("New Home Elo", Games!$B$1:$AN$1, 0), FALSE), IF(COUNTIF(Games!$C$2:$C$101, Elo!$A129)&gt;0, VLOOKUP(Elo!$A129, Games!$C$2:$AO$101, MATCH("New Away Elo", Games!$C$1:$AO$1, 0), FALSE), O129)))</f>
        <v>1162.1087083107443</v>
      </c>
      <c r="S129" s="137" t="n">
        <f t="shared" si="35"/>
        <v>0</v>
      </c>
      <c r="T129" s="123" t="n">
        <f t="shared" si="24"/>
        <v>126</v>
      </c>
      <c r="U129" s="137" t="n">
        <f>IF(AND(COUNTIF(Games!$B$2:$B$101, Elo!$A129)=0,COUNTIF(Games!$C$2:$C$101, Elo!$A129)=0), R129, IF(COUNTIF(Games!$B$2:$B$101, Elo!$A129)&gt;0, VLOOKUP(Elo!$A129, Games!$B$2:$AN$101, MATCH("New Home Elo", Games!$B$1:$AN$1, 0), FALSE), IF(COUNTIF(Games!$C$2:$C$101, Elo!$A129)&gt;0, VLOOKUP(Elo!$A129, Games!$C$2:$AO$101, MATCH("New Away Elo", Games!$C$1:$AO$1, 0), FALSE), R129)))</f>
        <v>1162.1087083107443</v>
      </c>
      <c r="V129" s="137" t="n">
        <f t="shared" si="36"/>
        <v>0</v>
      </c>
      <c r="W129" s="123" t="n">
        <f t="shared" si="25"/>
        <v>126</v>
      </c>
    </row>
    <row r="130">
      <c r="A130" s="1" t="s">
        <v>246</v>
      </c>
      <c r="B130" s="1" t="s">
        <v>141</v>
      </c>
      <c r="C130" s="137" t="n">
        <f>VLOOKUP(A130, $A$2:$BQ$1048576, MATCH(_xlfn.CONCAT("Week ",Games!$A$7), Elo!$A$1:$BQ$1, 0), FALSE)</f>
        <v>1154.1577130845101</v>
      </c>
      <c r="D130" s="137" t="n">
        <f t="shared" ref="D130:D135" si="37">F130</f>
        <v>129</v>
      </c>
      <c r="E130" s="137" t="n">
        <v>1154.1577130845101</v>
      </c>
      <c r="F130" s="123" t="n">
        <v>129</v>
      </c>
      <c r="G130" s="137" t="n">
        <v>1154.1577130845101</v>
      </c>
      <c r="H130" s="123" t="n">
        <v>129</v>
      </c>
      <c r="I130" s="137" t="n">
        <v>1154.1577130845101</v>
      </c>
      <c r="J130" s="137" t="n">
        <f t="shared" si="26"/>
        <v>0</v>
      </c>
      <c r="K130" s="123" t="n">
        <f t="shared" ref="K130:K135" si="38">_xlfn.RANK.EQ(I130, I$2:I$134, 0)</f>
        <v>129</v>
      </c>
      <c r="L130" s="137" t="n">
        <f>IF(AND(COUNTIF(Games!$B$2:$B$101, Elo!$A130)=0,COUNTIF(Games!$C$2:$C$101, Elo!$A130)=0), I130, IF(COUNTIF(Games!$B$2:$B$101, Elo!$A130)&gt;0, VLOOKUP(Elo!$A130, Games!$B$2:$AN$101, MATCH("New Home Elo", Games!$B$1:$AN$1, 0), FALSE), IF(COUNTIF(Games!$C$2:$C$101, Elo!$A130)&gt;0, VLOOKUP(Elo!$A130, Games!$C$2:$AO$101, MATCH("New Away Elo", Games!$C$1:$AO$1, 0), FALSE), I130)))</f>
        <v>1124.3408088010003</v>
      </c>
      <c r="M130" s="137" t="n">
        <f t="shared" si="27"/>
        <v>-29.816904283509757</v>
      </c>
      <c r="N130" s="123" t="n">
        <f t="shared" ref="N130:N135" si="39">_xlfn.RANK.EQ(L130, L$2:L$134, 0)</f>
        <v>130</v>
      </c>
      <c r="O130" s="137" t="n">
        <f>IF(AND(COUNTIF(Games!$B$2:$B$101, Elo!$A130)=0,COUNTIF(Games!$C$2:$C$101, Elo!$A130)=0), L130, IF(COUNTIF(Games!$B$2:$B$101, Elo!$A130)&gt;0, VLOOKUP(Elo!$A130, Games!$B$2:$AN$101, MATCH("New Home Elo", Games!$B$1:$AN$1, 0), FALSE), IF(COUNTIF(Games!$C$2:$C$101, Elo!$A130)&gt;0, VLOOKUP(Elo!$A130, Games!$C$2:$AO$101, MATCH("New Away Elo", Games!$C$1:$AO$1, 0), FALSE), L130)))</f>
        <v>1124.3408088010003</v>
      </c>
      <c r="P130" s="137" t="n">
        <f t="shared" si="34"/>
        <v>0</v>
      </c>
      <c r="Q130" s="123" t="n">
        <f t="shared" ref="Q130:Q135" si="40">_xlfn.RANK.EQ(O130, O$2:O$134, 0)</f>
        <v>130</v>
      </c>
      <c r="R130" s="137" t="n">
        <f>IF(AND(COUNTIF(Games!$B$2:$B$101, Elo!$A130)=0,COUNTIF(Games!$C$2:$C$101, Elo!$A130)=0), O130, IF(COUNTIF(Games!$B$2:$B$101, Elo!$A130)&gt;0, VLOOKUP(Elo!$A130, Games!$B$2:$AN$101, MATCH("New Home Elo", Games!$B$1:$AN$1, 0), FALSE), IF(COUNTIF(Games!$C$2:$C$101, Elo!$A130)&gt;0, VLOOKUP(Elo!$A130, Games!$C$2:$AO$101, MATCH("New Away Elo", Games!$C$1:$AO$1, 0), FALSE), O130)))</f>
        <v>1124.3408088010003</v>
      </c>
      <c r="S130" s="137" t="n">
        <f t="shared" si="35"/>
        <v>0</v>
      </c>
      <c r="T130" s="123" t="n">
        <f t="shared" ref="T130:T135" si="41">_xlfn.RANK.EQ(R130, R$2:R$134, 0)</f>
        <v>130</v>
      </c>
      <c r="U130" s="137" t="n">
        <f>IF(AND(COUNTIF(Games!$B$2:$B$101, Elo!$A130)=0,COUNTIF(Games!$C$2:$C$101, Elo!$A130)=0), R130, IF(COUNTIF(Games!$B$2:$B$101, Elo!$A130)&gt;0, VLOOKUP(Elo!$A130, Games!$B$2:$AN$101, MATCH("New Home Elo", Games!$B$1:$AN$1, 0), FALSE), IF(COUNTIF(Games!$C$2:$C$101, Elo!$A130)&gt;0, VLOOKUP(Elo!$A130, Games!$C$2:$AO$101, MATCH("New Away Elo", Games!$C$1:$AO$1, 0), FALSE), R130)))</f>
        <v>1124.3408088010003</v>
      </c>
      <c r="V130" s="137" t="n">
        <f t="shared" si="36"/>
        <v>0</v>
      </c>
      <c r="W130" s="123" t="n">
        <f t="shared" ref="W130:W135" si="42">_xlfn.RANK.EQ(U130, U$2:U$134, 0)</f>
        <v>130</v>
      </c>
    </row>
    <row r="131">
      <c r="A131" s="1" t="s">
        <v>247</v>
      </c>
      <c r="B131" s="1" t="s">
        <v>135</v>
      </c>
      <c r="C131" s="137" t="n">
        <f>VLOOKUP(A131, $A$2:$BQ$1048576, MATCH(_xlfn.CONCAT("Week ",Games!$A$7), Elo!$A$1:$BQ$1, 0), FALSE)</f>
        <v>1129.0343772571</v>
      </c>
      <c r="D131" s="137" t="n">
        <f t="shared" si="37"/>
        <v>130</v>
      </c>
      <c r="E131" s="137" t="n">
        <v>1129.0343772571</v>
      </c>
      <c r="F131" s="123" t="n">
        <v>130</v>
      </c>
      <c r="G131" s="137" t="n">
        <v>1129.0343772571</v>
      </c>
      <c r="H131" s="123" t="n">
        <v>130</v>
      </c>
      <c r="I131" s="137" t="n">
        <v>1129.0343772571</v>
      </c>
      <c r="J131" s="137" t="n">
        <f t="shared" ref="J131:J135" si="43">I131-G131</f>
        <v>0</v>
      </c>
      <c r="K131" s="123" t="n">
        <f t="shared" si="38"/>
        <v>130</v>
      </c>
      <c r="L131" s="137" t="n">
        <f>IF(AND(COUNTIF(Games!$B$2:$B$101, Elo!$A131)=0,COUNTIF(Games!$C$2:$C$101, Elo!$A131)=0), I131, IF(COUNTIF(Games!$B$2:$B$101, Elo!$A131)&gt;0, VLOOKUP(Elo!$A131, Games!$B$2:$AN$101, MATCH("New Home Elo", Games!$B$1:$AN$1, 0), FALSE), IF(COUNTIF(Games!$C$2:$C$101, Elo!$A131)&gt;0, VLOOKUP(Elo!$A131, Games!$C$2:$AO$101, MATCH("New Away Elo", Games!$C$1:$AO$1, 0), FALSE), I131)))</f>
        <v>1127.422372447732</v>
      </c>
      <c r="M131" s="137" t="n">
        <f t="shared" ref="M131:M135" si="44">L131-I131</f>
        <v>-1.6120048093680452</v>
      </c>
      <c r="N131" s="123" t="n">
        <f t="shared" si="39"/>
        <v>129</v>
      </c>
      <c r="O131" s="137" t="n">
        <f>IF(AND(COUNTIF(Games!$B$2:$B$101, Elo!$A131)=0,COUNTIF(Games!$C$2:$C$101, Elo!$A131)=0), L131, IF(COUNTIF(Games!$B$2:$B$101, Elo!$A131)&gt;0, VLOOKUP(Elo!$A131, Games!$B$2:$AN$101, MATCH("New Home Elo", Games!$B$1:$AN$1, 0), FALSE), IF(COUNTIF(Games!$C$2:$C$101, Elo!$A131)&gt;0, VLOOKUP(Elo!$A131, Games!$C$2:$AO$101, MATCH("New Away Elo", Games!$C$1:$AO$1, 0), FALSE), L131)))</f>
        <v>1127.422372447732</v>
      </c>
      <c r="P131" s="137" t="n">
        <f t="shared" si="34"/>
        <v>0</v>
      </c>
      <c r="Q131" s="123" t="n">
        <f t="shared" si="40"/>
        <v>129</v>
      </c>
      <c r="R131" s="137" t="n">
        <f>IF(AND(COUNTIF(Games!$B$2:$B$101, Elo!$A131)=0,COUNTIF(Games!$C$2:$C$101, Elo!$A131)=0), O131, IF(COUNTIF(Games!$B$2:$B$101, Elo!$A131)&gt;0, VLOOKUP(Elo!$A131, Games!$B$2:$AN$101, MATCH("New Home Elo", Games!$B$1:$AN$1, 0), FALSE), IF(COUNTIF(Games!$C$2:$C$101, Elo!$A131)&gt;0, VLOOKUP(Elo!$A131, Games!$C$2:$AO$101, MATCH("New Away Elo", Games!$C$1:$AO$1, 0), FALSE), O131)))</f>
        <v>1127.422372447732</v>
      </c>
      <c r="S131" s="137" t="n">
        <f t="shared" si="35"/>
        <v>0</v>
      </c>
      <c r="T131" s="123" t="n">
        <f t="shared" si="41"/>
        <v>129</v>
      </c>
      <c r="U131" s="137" t="n">
        <f>IF(AND(COUNTIF(Games!$B$2:$B$101, Elo!$A131)=0,COUNTIF(Games!$C$2:$C$101, Elo!$A131)=0), R131, IF(COUNTIF(Games!$B$2:$B$101, Elo!$A131)&gt;0, VLOOKUP(Elo!$A131, Games!$B$2:$AN$101, MATCH("New Home Elo", Games!$B$1:$AN$1, 0), FALSE), IF(COUNTIF(Games!$C$2:$C$101, Elo!$A131)&gt;0, VLOOKUP(Elo!$A131, Games!$C$2:$AO$101, MATCH("New Away Elo", Games!$C$1:$AO$1, 0), FALSE), R131)))</f>
        <v>1127.422372447732</v>
      </c>
      <c r="V131" s="137" t="n">
        <f t="shared" si="36"/>
        <v>0</v>
      </c>
      <c r="W131" s="123" t="n">
        <f t="shared" si="42"/>
        <v>129</v>
      </c>
    </row>
    <row r="132">
      <c r="A132" s="1" t="s">
        <v>248</v>
      </c>
      <c r="B132" s="1" t="s">
        <v>170</v>
      </c>
      <c r="C132" s="137" t="n">
        <f>VLOOKUP(A132, $A$2:$BQ$1048576, MATCH(_xlfn.CONCAT("Week ",Games!$A$7), Elo!$A$1:$BQ$1, 0), FALSE)</f>
        <v>1112.78472566856</v>
      </c>
      <c r="D132" s="137" t="n">
        <f t="shared" si="37"/>
        <v>131</v>
      </c>
      <c r="E132" s="137" t="n">
        <v>1112.78472566856</v>
      </c>
      <c r="F132" s="123" t="n">
        <v>131</v>
      </c>
      <c r="G132" s="137" t="n">
        <v>1112.78472566856</v>
      </c>
      <c r="H132" s="123" t="n">
        <v>131</v>
      </c>
      <c r="I132" s="137" t="n">
        <v>1112.78472566856</v>
      </c>
      <c r="J132" s="137" t="n">
        <f t="shared" si="43"/>
        <v>0</v>
      </c>
      <c r="K132" s="123" t="n">
        <f t="shared" si="38"/>
        <v>131</v>
      </c>
      <c r="L132" s="137" t="n">
        <f>IF(AND(COUNTIF(Games!$B$2:$B$101, Elo!$A132)=0,COUNTIF(Games!$C$2:$C$101, Elo!$A132)=0), I132, IF(COUNTIF(Games!$B$2:$B$101, Elo!$A132)&gt;0, VLOOKUP(Elo!$A132, Games!$B$2:$AN$101, MATCH("New Home Elo", Games!$B$1:$AN$1, 0), FALSE), IF(COUNTIF(Games!$C$2:$C$101, Elo!$A132)&gt;0, VLOOKUP(Elo!$A132, Games!$C$2:$AO$101, MATCH("New Away Elo", Games!$C$1:$AO$1, 0), FALSE), I132)))</f>
        <v>1094.2796614941408</v>
      </c>
      <c r="M132" s="137" t="n">
        <f t="shared" si="44"/>
        <v>-18.505064174419203</v>
      </c>
      <c r="N132" s="123" t="n">
        <f t="shared" si="39"/>
        <v>132</v>
      </c>
      <c r="O132" s="137" t="n">
        <f>IF(AND(COUNTIF(Games!$B$2:$B$101, Elo!$A132)=0,COUNTIF(Games!$C$2:$C$101, Elo!$A132)=0), L132, IF(COUNTIF(Games!$B$2:$B$101, Elo!$A132)&gt;0, VLOOKUP(Elo!$A132, Games!$B$2:$AN$101, MATCH("New Home Elo", Games!$B$1:$AN$1, 0), FALSE), IF(COUNTIF(Games!$C$2:$C$101, Elo!$A132)&gt;0, VLOOKUP(Elo!$A132, Games!$C$2:$AO$101, MATCH("New Away Elo", Games!$C$1:$AO$1, 0), FALSE), L132)))</f>
        <v>1094.2796614941408</v>
      </c>
      <c r="P132" s="137" t="n">
        <f t="shared" si="34"/>
        <v>0</v>
      </c>
      <c r="Q132" s="123" t="n">
        <f t="shared" si="40"/>
        <v>132</v>
      </c>
      <c r="R132" s="137" t="n">
        <f>IF(AND(COUNTIF(Games!$B$2:$B$101, Elo!$A132)=0,COUNTIF(Games!$C$2:$C$101, Elo!$A132)=0), O132, IF(COUNTIF(Games!$B$2:$B$101, Elo!$A132)&gt;0, VLOOKUP(Elo!$A132, Games!$B$2:$AN$101, MATCH("New Home Elo", Games!$B$1:$AN$1, 0), FALSE), IF(COUNTIF(Games!$C$2:$C$101, Elo!$A132)&gt;0, VLOOKUP(Elo!$A132, Games!$C$2:$AO$101, MATCH("New Away Elo", Games!$C$1:$AO$1, 0), FALSE), O132)))</f>
        <v>1094.2796614941408</v>
      </c>
      <c r="S132" s="137" t="n">
        <f t="shared" si="35"/>
        <v>0</v>
      </c>
      <c r="T132" s="123" t="n">
        <f t="shared" si="41"/>
        <v>132</v>
      </c>
      <c r="U132" s="137" t="n">
        <f>IF(AND(COUNTIF(Games!$B$2:$B$101, Elo!$A132)=0,COUNTIF(Games!$C$2:$C$101, Elo!$A132)=0), R132, IF(COUNTIF(Games!$B$2:$B$101, Elo!$A132)&gt;0, VLOOKUP(Elo!$A132, Games!$B$2:$AN$101, MATCH("New Home Elo", Games!$B$1:$AN$1, 0), FALSE), IF(COUNTIF(Games!$C$2:$C$101, Elo!$A132)&gt;0, VLOOKUP(Elo!$A132, Games!$C$2:$AO$101, MATCH("New Away Elo", Games!$C$1:$AO$1, 0), FALSE), R132)))</f>
        <v>1094.2796614941408</v>
      </c>
      <c r="V132" s="137" t="n">
        <f t="shared" si="36"/>
        <v>0</v>
      </c>
      <c r="W132" s="123" t="n">
        <f t="shared" si="42"/>
        <v>132</v>
      </c>
    </row>
    <row r="133">
      <c r="A133" s="1" t="s">
        <v>249</v>
      </c>
      <c r="B133" s="1" t="s">
        <v>117</v>
      </c>
      <c r="C133" s="137" t="n">
        <f>VLOOKUP(A133, $A$2:$BQ$1048576, MATCH(_xlfn.CONCAT("Week ",Games!$A$7), Elo!$A$1:$BQ$1, 0), FALSE)</f>
        <v>1104.5954282694099</v>
      </c>
      <c r="D133" s="137" t="n">
        <f t="shared" si="37"/>
        <v>132</v>
      </c>
      <c r="E133" s="137" t="n">
        <v>1104.5954282694099</v>
      </c>
      <c r="F133" s="123" t="n">
        <v>132</v>
      </c>
      <c r="G133" s="137" t="n">
        <v>1104.5954282694099</v>
      </c>
      <c r="H133" s="123" t="n">
        <v>132</v>
      </c>
      <c r="I133" s="137" t="n">
        <v>1104.5954282694099</v>
      </c>
      <c r="J133" s="137" t="n">
        <f t="shared" si="43"/>
        <v>0</v>
      </c>
      <c r="K133" s="123" t="n">
        <f t="shared" si="38"/>
        <v>132</v>
      </c>
      <c r="L133" s="137" t="n">
        <f>IF(AND(COUNTIF(Games!$B$2:$B$101, Elo!$A133)=0,COUNTIF(Games!$C$2:$C$101, Elo!$A133)=0), I133, IF(COUNTIF(Games!$B$2:$B$101, Elo!$A133)&gt;0, VLOOKUP(Elo!$A133, Games!$B$2:$AN$101, MATCH("New Home Elo", Games!$B$1:$AN$1, 0), FALSE), IF(COUNTIF(Games!$C$2:$C$101, Elo!$A133)&gt;0, VLOOKUP(Elo!$A133, Games!$C$2:$AO$101, MATCH("New Away Elo", Games!$C$1:$AO$1, 0), FALSE), I133)))</f>
        <v>1018.5997191069355</v>
      </c>
      <c r="M133" s="137" t="n">
        <f t="shared" si="44"/>
        <v>-85.995709162474441</v>
      </c>
      <c r="N133" s="123" t="n">
        <f t="shared" si="39"/>
        <v>133</v>
      </c>
      <c r="O133" s="137" t="n">
        <f>IF(AND(COUNTIF(Games!$B$2:$B$101, Elo!$A133)=0,COUNTIF(Games!$C$2:$C$101, Elo!$A133)=0), L133, IF(COUNTIF(Games!$B$2:$B$101, Elo!$A133)&gt;0, VLOOKUP(Elo!$A133, Games!$B$2:$AN$101, MATCH("New Home Elo", Games!$B$1:$AN$1, 0), FALSE), IF(COUNTIF(Games!$C$2:$C$101, Elo!$A133)&gt;0, VLOOKUP(Elo!$A133, Games!$C$2:$AO$101, MATCH("New Away Elo", Games!$C$1:$AO$1, 0), FALSE), L133)))</f>
        <v>1018.5997191069355</v>
      </c>
      <c r="P133" s="137" t="n">
        <f t="shared" si="34"/>
        <v>0</v>
      </c>
      <c r="Q133" s="123" t="n">
        <f t="shared" si="40"/>
        <v>133</v>
      </c>
      <c r="R133" s="137" t="n">
        <f>IF(AND(COUNTIF(Games!$B$2:$B$101, Elo!$A133)=0,COUNTIF(Games!$C$2:$C$101, Elo!$A133)=0), O133, IF(COUNTIF(Games!$B$2:$B$101, Elo!$A133)&gt;0, VLOOKUP(Elo!$A133, Games!$B$2:$AN$101, MATCH("New Home Elo", Games!$B$1:$AN$1, 0), FALSE), IF(COUNTIF(Games!$C$2:$C$101, Elo!$A133)&gt;0, VLOOKUP(Elo!$A133, Games!$C$2:$AO$101, MATCH("New Away Elo", Games!$C$1:$AO$1, 0), FALSE), O133)))</f>
        <v>1018.5997191069355</v>
      </c>
      <c r="S133" s="137" t="n">
        <f t="shared" si="35"/>
        <v>0</v>
      </c>
      <c r="T133" s="123" t="n">
        <f t="shared" si="41"/>
        <v>133</v>
      </c>
      <c r="U133" s="137" t="n">
        <f>IF(AND(COUNTIF(Games!$B$2:$B$101, Elo!$A133)=0,COUNTIF(Games!$C$2:$C$101, Elo!$A133)=0), R133, IF(COUNTIF(Games!$B$2:$B$101, Elo!$A133)&gt;0, VLOOKUP(Elo!$A133, Games!$B$2:$AN$101, MATCH("New Home Elo", Games!$B$1:$AN$1, 0), FALSE), IF(COUNTIF(Games!$C$2:$C$101, Elo!$A133)&gt;0, VLOOKUP(Elo!$A133, Games!$C$2:$AO$101, MATCH("New Away Elo", Games!$C$1:$AO$1, 0), FALSE), R133)))</f>
        <v>1018.5997191069355</v>
      </c>
      <c r="V133" s="137" t="n">
        <f t="shared" si="36"/>
        <v>0</v>
      </c>
      <c r="W133" s="123" t="n">
        <f t="shared" si="42"/>
        <v>133</v>
      </c>
    </row>
    <row r="134">
      <c r="A134" s="1" t="s">
        <v>250</v>
      </c>
      <c r="B134" s="1" t="s">
        <v>138</v>
      </c>
      <c r="C134" s="137" t="n">
        <f>VLOOKUP(A134, $A$2:$BQ$1048576, MATCH(_xlfn.CONCAT("Week ",Games!$A$7), Elo!$A$1:$BQ$1, 0), FALSE)</f>
        <v>1090.1464681889199</v>
      </c>
      <c r="D134" s="137" t="n">
        <f t="shared" si="37"/>
        <v>133</v>
      </c>
      <c r="E134" s="137" t="n">
        <v>1090.1464681889199</v>
      </c>
      <c r="F134" s="123" t="n">
        <v>133</v>
      </c>
      <c r="G134" s="137" t="n">
        <v>1090.1464681889199</v>
      </c>
      <c r="H134" s="123" t="n">
        <v>133</v>
      </c>
      <c r="I134" s="137" t="n">
        <v>1090.1464681889199</v>
      </c>
      <c r="J134" s="137" t="n">
        <f t="shared" si="43"/>
        <v>0</v>
      </c>
      <c r="K134" s="123" t="n">
        <f t="shared" si="38"/>
        <v>133</v>
      </c>
      <c r="L134" s="137" t="n">
        <f>IF(AND(COUNTIF(Games!$B$2:$B$101, Elo!$A134)=0,COUNTIF(Games!$C$2:$C$101, Elo!$A134)=0), I134, IF(COUNTIF(Games!$B$2:$B$101, Elo!$A134)&gt;0, VLOOKUP(Elo!$A134, Games!$B$2:$AN$101, MATCH("New Home Elo", Games!$B$1:$AN$1, 0), FALSE), IF(COUNTIF(Games!$C$2:$C$101, Elo!$A134)&gt;0, VLOOKUP(Elo!$A134, Games!$C$2:$AO$101, MATCH("New Away Elo", Games!$C$1:$AO$1, 0), FALSE), I134)))</f>
        <v>1119.5419136439564</v>
      </c>
      <c r="M134" s="137" t="n">
        <f t="shared" si="44"/>
        <v>29.395445455036452</v>
      </c>
      <c r="N134" s="123" t="n">
        <f t="shared" si="39"/>
        <v>131</v>
      </c>
      <c r="O134" s="137" t="n">
        <f>IF(AND(COUNTIF(Games!$B$2:$B$101, Elo!$A134)=0,COUNTIF(Games!$C$2:$C$101, Elo!$A134)=0), L134, IF(COUNTIF(Games!$B$2:$B$101, Elo!$A134)&gt;0, VLOOKUP(Elo!$A134, Games!$B$2:$AN$101, MATCH("New Home Elo", Games!$B$1:$AN$1, 0), FALSE), IF(COUNTIF(Games!$C$2:$C$101, Elo!$A134)&gt;0, VLOOKUP(Elo!$A134, Games!$C$2:$AO$101, MATCH("New Away Elo", Games!$C$1:$AO$1, 0), FALSE), L134)))</f>
        <v>1119.5419136439564</v>
      </c>
      <c r="P134" s="137" t="n">
        <f t="shared" si="34"/>
        <v>0</v>
      </c>
      <c r="Q134" s="123" t="n">
        <f t="shared" si="40"/>
        <v>131</v>
      </c>
      <c r="R134" s="137" t="n">
        <f>IF(AND(COUNTIF(Games!$B$2:$B$101, Elo!$A134)=0,COUNTIF(Games!$C$2:$C$101, Elo!$A134)=0), O134, IF(COUNTIF(Games!$B$2:$B$101, Elo!$A134)&gt;0, VLOOKUP(Elo!$A134, Games!$B$2:$AN$101, MATCH("New Home Elo", Games!$B$1:$AN$1, 0), FALSE), IF(COUNTIF(Games!$C$2:$C$101, Elo!$A134)&gt;0, VLOOKUP(Elo!$A134, Games!$C$2:$AO$101, MATCH("New Away Elo", Games!$C$1:$AO$1, 0), FALSE), O134)))</f>
        <v>1119.5419136439564</v>
      </c>
      <c r="S134" s="137" t="n">
        <f t="shared" si="35"/>
        <v>0</v>
      </c>
      <c r="T134" s="123" t="n">
        <f t="shared" si="41"/>
        <v>131</v>
      </c>
      <c r="U134" s="137" t="n">
        <f>IF(AND(COUNTIF(Games!$B$2:$B$101, Elo!$A134)=0,COUNTIF(Games!$C$2:$C$101, Elo!$A134)=0), R134, IF(COUNTIF(Games!$B$2:$B$101, Elo!$A134)&gt;0, VLOOKUP(Elo!$A134, Games!$B$2:$AN$101, MATCH("New Home Elo", Games!$B$1:$AN$1, 0), FALSE), IF(COUNTIF(Games!$C$2:$C$101, Elo!$A134)&gt;0, VLOOKUP(Elo!$A134, Games!$C$2:$AO$101, MATCH("New Away Elo", Games!$C$1:$AO$1, 0), FALSE), R134)))</f>
        <v>1119.5419136439564</v>
      </c>
      <c r="V134" s="137" t="n">
        <f t="shared" si="36"/>
        <v>0</v>
      </c>
      <c r="W134" s="123" t="n">
        <f t="shared" si="42"/>
        <v>131</v>
      </c>
    </row>
    <row r="135">
      <c r="A135" s="1" t="s">
        <v>251</v>
      </c>
      <c r="B135" s="1" t="s">
        <v>141</v>
      </c>
      <c r="C135" s="137" t="n">
        <f>VLOOKUP(A135, $A$2:$BQ$1048576, MATCH(_xlfn.CONCAT("Week ",Games!$A$7), Elo!$A$1:$BQ$1, 0), FALSE)</f>
        <v>1089.1400000000001</v>
      </c>
      <c r="D135" s="137" t="e">
        <f t="shared" si="37"/>
        <v>#N/A</v>
      </c>
      <c r="E135" s="137" t="n">
        <v>1089.1400000000001</v>
      </c>
      <c r="F135" s="123" t="e">
        <v>#N/A</v>
      </c>
      <c r="G135" s="137" t="n">
        <v>1089.1400000000001</v>
      </c>
      <c r="H135" s="123" t="e">
        <v>#N/A</v>
      </c>
      <c r="I135" s="137" t="n">
        <v>1089.1400000000001</v>
      </c>
      <c r="J135" s="137" t="n">
        <f t="shared" si="43"/>
        <v>0</v>
      </c>
      <c r="K135" s="123" t="e">
        <f t="shared" si="38"/>
        <v>#N/A</v>
      </c>
      <c r="L135" s="137" t="n">
        <f>IF(AND(COUNTIF(Games!$B$2:$B$101, Elo!$A135)=0,COUNTIF(Games!$C$2:$C$101, Elo!$A135)=0), I135, IF(COUNTIF(Games!$B$2:$B$101, Elo!$A135)&gt;0, VLOOKUP(Elo!$A135, Games!$B$2:$AN$101, MATCH("New Home Elo", Games!$B$1:$AN$1, 0), FALSE), IF(COUNTIF(Games!$C$2:$C$101, Elo!$A135)&gt;0, VLOOKUP(Elo!$A135, Games!$C$2:$AO$101, MATCH("New Away Elo", Games!$C$1:$AO$1, 0), FALSE), I135)))</f>
        <v>1080.0773086959075</v>
      </c>
      <c r="M135" s="137" t="n">
        <f t="shared" si="44"/>
        <v>-9.0626913040925956</v>
      </c>
      <c r="N135" s="123" t="e">
        <f t="shared" si="39"/>
        <v>#N/A</v>
      </c>
      <c r="O135" s="137" t="n">
        <f>IF(AND(COUNTIF(Games!$B$2:$B$101, Elo!$A135)=0,COUNTIF(Games!$C$2:$C$101, Elo!$A135)=0), L135, IF(COUNTIF(Games!$B$2:$B$101, Elo!$A135)&gt;0, VLOOKUP(Elo!$A135, Games!$B$2:$AN$101, MATCH("New Home Elo", Games!$B$1:$AN$1, 0), FALSE), IF(COUNTIF(Games!$C$2:$C$101, Elo!$A135)&gt;0, VLOOKUP(Elo!$A135, Games!$C$2:$AO$101, MATCH("New Away Elo", Games!$C$1:$AO$1, 0), FALSE), L135)))</f>
        <v>1080.0773086959075</v>
      </c>
      <c r="P135" s="137" t="n">
        <f t="shared" si="34"/>
        <v>0</v>
      </c>
      <c r="Q135" s="123" t="e">
        <f t="shared" si="40"/>
        <v>#N/A</v>
      </c>
      <c r="R135" s="137" t="n">
        <f>IF(AND(COUNTIF(Games!$B$2:$B$101, Elo!$A135)=0,COUNTIF(Games!$C$2:$C$101, Elo!$A135)=0), O135, IF(COUNTIF(Games!$B$2:$B$101, Elo!$A135)&gt;0, VLOOKUP(Elo!$A135, Games!$B$2:$AN$101, MATCH("New Home Elo", Games!$B$1:$AN$1, 0), FALSE), IF(COUNTIF(Games!$C$2:$C$101, Elo!$A135)&gt;0, VLOOKUP(Elo!$A135, Games!$C$2:$AO$101, MATCH("New Away Elo", Games!$C$1:$AO$1, 0), FALSE), O135)))</f>
        <v>1080.0773086959075</v>
      </c>
      <c r="S135" s="137" t="n">
        <f t="shared" si="35"/>
        <v>0</v>
      </c>
      <c r="T135" s="123" t="e">
        <f t="shared" si="41"/>
        <v>#N/A</v>
      </c>
      <c r="U135" s="137" t="n">
        <f>IF(AND(COUNTIF(Games!$B$2:$B$101, Elo!$A135)=0,COUNTIF(Games!$C$2:$C$101, Elo!$A135)=0), R135, IF(COUNTIF(Games!$B$2:$B$101, Elo!$A135)&gt;0, VLOOKUP(Elo!$A135, Games!$B$2:$AN$101, MATCH("New Home Elo", Games!$B$1:$AN$1, 0), FALSE), IF(COUNTIF(Games!$C$2:$C$101, Elo!$A135)&gt;0, VLOOKUP(Elo!$A135, Games!$C$2:$AO$101, MATCH("New Away Elo", Games!$C$1:$AO$1, 0), FALSE), R135)))</f>
        <v>1080.0773086959075</v>
      </c>
      <c r="V135" s="137" t="n">
        <f t="shared" si="36"/>
        <v>0</v>
      </c>
      <c r="W135" s="123" t="e">
        <f t="shared" si="42"/>
        <v>#N/A</v>
      </c>
    </row>
  </sheetData>
  <conditionalFormatting sqref="I2:I135">
    <cfRule type="cellIs" dxfId="21" priority="41" operator="lessThan">
      <formula>C2</formula>
    </cfRule>
    <cfRule type="cellIs" dxfId="20" priority="42" operator="greaterThan">
      <formula>C2</formula>
    </cfRule>
  </conditionalFormatting>
  <conditionalFormatting sqref="J2:J135">
    <cfRule type="cellIs" dxfId="19" priority="39" operator="lessThan">
      <formula>0</formula>
    </cfRule>
    <cfRule type="cellIs" dxfId="18" priority="40" operator="greaterThan">
      <formula>0</formula>
    </cfRule>
  </conditionalFormatting>
  <conditionalFormatting sqref="L2:L135">
    <cfRule type="cellIs" dxfId="17" priority="37" operator="lessThan">
      <formula>I2</formula>
    </cfRule>
    <cfRule type="cellIs" dxfId="16" priority="38" operator="greaterThan">
      <formula>I2</formula>
    </cfRule>
  </conditionalFormatting>
  <conditionalFormatting sqref="M2:M135">
    <cfRule type="cellIs" dxfId="15" priority="21" operator="lessThan">
      <formula>0</formula>
    </cfRule>
    <cfRule type="cellIs" dxfId="14" priority="22" operator="greaterThan">
      <formula>0</formula>
    </cfRule>
  </conditionalFormatting>
  <conditionalFormatting sqref="O2:O135">
    <cfRule type="cellIs" dxfId="13" priority="15" operator="lessThan">
      <formula>L2</formula>
    </cfRule>
    <cfRule type="cellIs" dxfId="12" priority="16" operator="greaterThan">
      <formula>L2</formula>
    </cfRule>
  </conditionalFormatting>
  <conditionalFormatting sqref="P2:P135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R2:R135">
    <cfRule type="cellIs" dxfId="9" priority="7" operator="lessThan">
      <formula>O2</formula>
    </cfRule>
    <cfRule type="cellIs" dxfId="8" priority="8" operator="greaterThan">
      <formula>O2</formula>
    </cfRule>
  </conditionalFormatting>
  <conditionalFormatting sqref="S2:S135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U2:U135">
    <cfRule type="cellIs" dxfId="5" priority="3" operator="lessThan">
      <formula>R2</formula>
    </cfRule>
    <cfRule type="cellIs" dxfId="4" priority="4" operator="greaterThan">
      <formula>R2</formula>
    </cfRule>
  </conditionalFormatting>
  <conditionalFormatting sqref="V2:V135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/>
  </sheetPr>
  <dimension ref="A1"/>
  <sheetViews>
    <sheetView topLeftCell="F1" zoomScale="90" zoomScaleNormal="90" workbookViewId="0">
      <selection activeCell="L3" sqref="L3"/>
    </sheetView>
  </sheetViews>
  <sheetFormatPr defaultRowHeight="15.0" baseColWidth="10"/>
  <cols>
    <col min="1" max="1" width="9.46484375" hidden="0" customWidth="1"/>
    <col min="2" max="2" width="13.86328125" hidden="0" customWidth="1"/>
    <col min="3" max="3" width="13.86328125" hidden="0" customWidth="1"/>
    <col min="4" max="4" width="13.33203125" hidden="0" customWidth="1"/>
    <col min="5" max="5" width="15.796875" hidden="0" customWidth="1"/>
    <col min="6" max="6" width="12.19921875" hidden="0" customWidth="1"/>
    <col min="7" max="7" width="14" hidden="0" customWidth="1"/>
    <col min="8" max="8" width="15.19921875" hidden="0" customWidth="1"/>
    <col min="9" max="9" width="15.19921875" hidden="0" customWidth="1"/>
    <col min="10" max="10" width="14.59765625" hidden="0" customWidth="1"/>
    <col min="11" max="11" width="16.6640625" hidden="1" customWidth="1"/>
    <col min="12" max="12" width="12.796875" hidden="0" customWidth="1"/>
    <col min="13" max="13" width="15.1328125" hidden="0" customWidth="1"/>
    <col min="14" max="14" width="14.796875" hidden="0" customWidth="1"/>
    <col min="15" max="15" width="16" hidden="0" customWidth="1"/>
    <col min="16" max="16" width="14.3984375" hidden="0" customWidth="1"/>
    <col min="17" max="17" width="15.33203125" hidden="0" customWidth="1"/>
    <col min="18" max="18" width="11.6640625" hidden="0" customWidth="1"/>
    <col min="19" max="19" width="18.1328125" hidden="0" customWidth="1"/>
    <col min="20" max="20" width="11.6640625" hidden="0" customWidth="1"/>
    <col min="21" max="21" width="11" hidden="0" customWidth="1"/>
    <col min="22" max="22" width="11" hidden="0" customWidth="1"/>
    <col min="23" max="23" width="11" hidden="0" customWidth="1"/>
    <col min="24" max="24" width="11" hidden="0" customWidth="1"/>
    <col min="25" max="25" width="13.33203125" hidden="0" customWidth="1"/>
    <col min="26" max="26" width="11" hidden="0" customWidth="1"/>
    <col min="27" max="27" width="11" hidden="0" customWidth="1"/>
    <col min="28" max="28" width="12.9296875" hidden="0" customWidth="1"/>
    <col min="29" max="29" width="12.9296875" hidden="0" customWidth="1"/>
    <col min="30" max="30" width="13.73046875" hidden="0" customWidth="1"/>
    <col min="31" max="31" width="13.6640625" hidden="0" customWidth="1"/>
    <col min="38" max="38" width="12.9296875" hidden="0" customWidth="1"/>
  </cols>
  <sheetData>
    <row r="1">
      <c r="A1" t="s">
        <v>928</v>
      </c>
      <c r="B1" t="s">
        <v>928</v>
      </c>
      <c r="C1" t="s">
        <v>928</v>
      </c>
      <c r="D1" t="s">
        <v>928</v>
      </c>
      <c r="E1" t="s">
        <v>928</v>
      </c>
      <c r="F1" t="s">
        <v>928</v>
      </c>
      <c r="G1" t="s">
        <v>928</v>
      </c>
      <c r="H1" t="s">
        <v>928</v>
      </c>
      <c r="I1" t="s">
        <v>928</v>
      </c>
      <c r="J1" t="s">
        <v>928</v>
      </c>
      <c r="K1" t="s">
        <v>928</v>
      </c>
      <c r="M1" t="s">
        <v>928</v>
      </c>
      <c r="N1" t="s">
        <v>928</v>
      </c>
    </row>
    <row r="2" ht="43.15" customHeight="1">
      <c r="A2" s="152" t="s">
        <v>80</v>
      </c>
      <c r="B2" s="152" t="s">
        <v>0</v>
      </c>
      <c r="C2" s="152" t="s">
        <v>1</v>
      </c>
      <c r="D2" s="152" t="s">
        <v>2</v>
      </c>
      <c r="E2" s="152" t="s">
        <v>4</v>
      </c>
      <c r="F2" s="152" t="s">
        <v>70</v>
      </c>
      <c r="G2" s="152" t="s">
        <v>31</v>
      </c>
      <c r="H2" s="152" t="s">
        <v>30</v>
      </c>
      <c r="I2" s="152" t="s">
        <v>263</v>
      </c>
      <c r="J2" s="153" t="s">
        <v>71</v>
      </c>
      <c r="K2" s="152" t="s">
        <v>65</v>
      </c>
      <c r="L2" s="152" t="s">
        <v>14</v>
      </c>
      <c r="M2" s="152" t="s">
        <v>67</v>
      </c>
      <c r="N2" s="163" t="s">
        <v>32</v>
      </c>
      <c r="O2" s="154" t="s">
        <v>73</v>
      </c>
      <c r="P2" s="154" t="s">
        <v>74</v>
      </c>
      <c r="Q2" s="155" t="s">
        <v>16</v>
      </c>
      <c r="R2" s="155" t="s">
        <v>98</v>
      </c>
      <c r="S2" s="155" t="s">
        <v>76</v>
      </c>
      <c r="T2" s="156" t="s">
        <v>33</v>
      </c>
      <c r="U2" s="156" t="s">
        <v>66</v>
      </c>
      <c r="V2" s="157" t="s">
        <v>269</v>
      </c>
      <c r="W2" s="156" t="s">
        <v>270</v>
      </c>
      <c r="X2" s="156" t="s">
        <v>77</v>
      </c>
      <c r="Y2" s="155" t="s">
        <v>36</v>
      </c>
      <c r="Z2" s="155" t="s">
        <v>29</v>
      </c>
      <c r="AA2" s="162" t="s">
        <v>34</v>
      </c>
      <c r="AB2" s="162" t="s">
        <v>27</v>
      </c>
      <c r="AC2" s="151" t="s">
        <v>75</v>
      </c>
      <c r="AD2" s="158" t="s">
        <v>35</v>
      </c>
      <c r="AE2" s="160"/>
    </row>
    <row r="3">
      <c r="A3" s="165" t="n">
        <f>IF(ISBLANK(Games!$B2), "",Games!A2)</f>
        <v>0</v>
      </c>
      <c r="B3" s="165" t="str">
        <f>IF(ISBLANK(Games!$B2), "",Games!B2)</f>
        <v>Georgia Tech</v>
      </c>
      <c r="C3" s="165" t="str">
        <f>IF(ISBLANK(Games!$B2), "",Games!C2)</f>
        <v>Florida State</v>
      </c>
      <c r="D3" s="140" t="n">
        <f>IF(ISBLANK(Games!$D2), "",IF(_xlfn.NUMBERVALUE(Games!D2)=0, "",_xlfn.NUMBERVALUE(Games!D2) ))</f>
        <v>11.5</v>
      </c>
      <c r="E3" s="138" t="n">
        <f>IF(ISBLANK(_xlfn.NUMBERVALUE(Games!$B2)), "",_xlfn.NUMBERVALUE(Games!J2))</f>
        <v>9.8000000000000007</v>
      </c>
      <c r="F3" s="141" t="n">
        <f>IFERROR(IF(ISBLANK(Games!B2), "", IF(Games!N2=Games!B2, Games!O2, 1-Games!O2)), "")</f>
        <v>0.33369690386919548</v>
      </c>
      <c r="G3" s="142" t="str">
        <f>IF(OR(ISBLANK(Games!B2),Table3[[#This Row],[Spread]]=""), "", IF('Prediction Log'!$D3&lt;0, 'Prediction Log'!$B3, 'Prediction Log'!$C3))</f>
        <v>Florida State</v>
      </c>
      <c r="H3" s="143" t="str">
        <f>IF(ISBLANK(Games!$B2), "",Games!K2)</f>
        <v>Florida State</v>
      </c>
      <c r="I3" s="143" t="str">
        <f>IF('Prediction Log'!$F3&gt;0.5, 'Prediction Log'!$B3, IF('Prediction Log'!$F3&lt;0.5, 'Prediction Log'!$C3, "PICK"))</f>
        <v>Florida State</v>
      </c>
      <c r="J3" s="144" t="n">
        <f>IF(ISBLANK(Games!B2), "",IF('Prediction Log'!$I3='Prediction Log'!$B3, 'Prediction Log'!$F3, 1-'Prediction Log'!$F3))</f>
        <v>0.66630309613080452</v>
      </c>
      <c r="K3" s="145" t="str">
        <f>IF(ISBLANK(Games!$B2), "",Games!Q2)</f>
        <v>N</v>
      </c>
      <c r="L3" s="124" t="str">
        <f>IF(ISBLANK(Games!AC2), "",Games!AE2)</f>
        <v>Georgia Tech</v>
      </c>
      <c r="M3" s="161" t="n">
        <f>IF(ISBLANK(Games!AC2), "",Games!AD2-Games!AC2)</f>
        <v>-3</v>
      </c>
      <c r="N3" s="146" t="str">
        <f>IF(ISNUMBER(Table3[[#This Row],[Predicted Spread]]), IF(OR(ISBLANK(Games!AC2),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3" s="147" t="str">
        <f>IF(ISNUMBER(Table3[[#This Row],[Predicted Spread]]), IF(OR(ISBLANK(Games!AC2),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3" s="147" t="str">
        <f>IF(ISNUMBER(Table3[[#This Row],[Predicted Spread]]), IF(ISBLANK(Games!AC2),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" s="148" t="str">
        <f>IF(OR(ISBLANK(Games!AC2), Table3[[#This Row],[Spread]]=""),"",IF('Prediction Log'!$L3='Prediction Log'!$G3, "Y", "N"))</f>
        <v>N</v>
      </c>
      <c r="R3" s="148" t="str">
        <f>IF(ISNUMBER(Table3[[#This Row],[Predicted Spread]]), Table3[[#This Row],[Home Team Covered Market]],"")</f>
        <v>Y</v>
      </c>
      <c r="S3" s="148" t="str">
        <f>IF(ISNUMBER(Table3[[#This Row],[Predicted Spread]]), IF(OR(Table3[[#This Row],[Market Side Correct]]="",ISBLANK(Games!AC2)), "",IF(AND('Prediction Log'!$Q3="Y", 'Prediction Log'!$R3="Y"), "Y", "N")),"")</f>
        <v>N</v>
      </c>
      <c r="T3" s="149" t="str">
        <f>IF(ISNUMBER(Table3[[#This Row],[Predicted Spread]]), IF(ISBLANK(Games!AC2),"",IF(Games!AE2='Prediction Log'!$H3, "Y", "N")), "")</f>
        <v>N</v>
      </c>
      <c r="U3" s="149" t="str">
        <f>IF(ISNUMBER(Table3[[#This Row],[Predicted Spread]]), IF(OR(Table3[[#This Row],[Spread]]="",ISBLANK(Games!AC2)), "", IF(Table3[[#This Row],[Home Team Covered Market]]=Games!P2, "Y", "N")),"")</f>
        <v>Y</v>
      </c>
      <c r="V3" s="150" t="str">
        <f>IF(ISBLANK(Games!AC2), "",IF('Prediction Log'!$I3='Prediction Log'!$L3, "Y", "N"))</f>
        <v>N</v>
      </c>
      <c r="W3" s="149" t="str">
        <f>IF(ISNUMBER(Table3[[#This Row],[Predicted Spread]]), IF(OR(Table3[[#This Row],[Model Spread Correct]]="",ISBLANK(Games!AC2)), "",IF('Prediction Log'!$H3&lt;&gt;'Prediction Log'!$L3, "N",IF(AND('Prediction Log'!$E3&gt;0, 'Prediction Log'!$M3&gt;'Prediction Log'!$E3, 'Prediction Log'!$H3='Prediction Log'!$C3), "Y", IF(AND('Prediction Log'!$E3&lt;0, 'Prediction Log'!$M3&lt;'Prediction Log'!$E3,'Prediction Log'!$H3='Prediction Log'!$B3 ), "Y", IF('Prediction Log'!$M3='Prediction Log'!$E3, "PUSH", "N"))))), "")</f>
        <v>N</v>
      </c>
      <c r="X3" s="149" t="str">
        <f>IF(ISNUMBER(Table3[[#This Row],[Predicted Spread]]), IF(OR(Table3[[#This Row],[Model Spread Correct]]="",ISBLANK(Games!AC2)), "",IF(AND('Prediction Log'!$T3="Y", 'Prediction Log'!$U3="Y"), "Y", "N")), "")</f>
        <v>N</v>
      </c>
      <c r="Y3" s="148" t="n">
        <f>IFERROR(IF(ISNUMBER(Table3[[#This Row],[Predicted Spread]]), IF(ISBLANK(Games!AC2), "",IF('Prediction Log'!$D3&gt;0, 'Prediction Log'!$M3-'Prediction Log'!$D3, IF('Prediction Log'!$D3&lt;0, -'Prediction Log'!$M3+'Prediction Log'!$D3, "NA"))), ""), "")</f>
        <v>-14.5</v>
      </c>
      <c r="Z3" s="148" t="n">
        <f>IF(ISNUMBER(Table3[[#This Row],[Difference from Market]]), IF(ISBLANK(Games!AC2), "",ABS('Prediction Log'!$Y3)), "")</f>
        <v>14.5</v>
      </c>
      <c r="AA3" s="139" t="n">
        <f>IF(ISNUMBER(Table3[[#This Row],[Predicted Spread]]), IF(ISBLANK(Games!AC2), "",IF('Prediction Log'!$E3&gt;0, 'Prediction Log'!$M3-'Prediction Log'!$E3, IF('Prediction Log'!$E3&lt;0, -'Prediction Log'!$M3+'Prediction Log'!$E3, "NA"))), "")</f>
        <v>-12.8</v>
      </c>
      <c r="AB3" s="139" t="n">
        <f>IF(ISNUMBER(Table3[[#This Row],[Difference from Prediction]]), IF(ISBLANK(Games!AD2), "",ABS('Prediction Log'!$AA3)), "")</f>
        <v>12.8</v>
      </c>
      <c r="AC3" s="164" t="str">
        <f>IF(ISNUMBER(Table3[[#This Row],[Predicted Spread]]), IF(OR(ISBLANK(Games!AC2),Table3[[#This Row],[Market Side Correct]]="",ISBLANK('Prediction Log'!$L3)), "",IF(OR(AND('Prediction Log'!D3&lt;0, 'Prediction Log'!L3='Prediction Log'!B3), AND('Prediction Log'!D3&gt;0, 'Prediction Log'!C3='Prediction Log'!L3)),"Y", IF(ISBLANK(Games!$B$2), "","N"))), "")</f>
        <v>N</v>
      </c>
      <c r="AD3" s="159" t="str">
        <f>'Prediction Log'!$S3</f>
        <v>N</v>
      </c>
    </row>
    <row r="4">
      <c r="A4" s="165" t="n">
        <f>IF(ISBLANK(Games!$B3), "",Games!A3)</f>
        <v>0</v>
      </c>
      <c r="B4" s="165" t="str">
        <f>IF(ISBLANK(Games!$B3), "",Games!B3)</f>
        <v>New Mexico</v>
      </c>
      <c r="C4" s="165" t="str">
        <f>IF(ISBLANK(Games!$B3), "",Games!C3)</f>
        <v>Montana State</v>
      </c>
      <c r="D4" s="140" t="n">
        <f>IF(ISBLANK(Games!$D3), "",IF(_xlfn.NUMBERVALUE(Games!D3)=0, "",_xlfn.NUMBERVALUE(Games!D3) ))</f>
        <v>-20.5</v>
      </c>
      <c r="E4" s="138" t="n">
        <f>IF(ISBLANK(_xlfn.NUMBERVALUE(Games!$B3)), "",_xlfn.NUMBERVALUE(Games!J3))</f>
        <v>-10.184652436815201</v>
      </c>
      <c r="F4" s="141" t="n">
        <f>IFERROR(IF(ISBLANK(Games!B3), "", IF(Games!N3=Games!B3, Games!O3, 1-Games!O3)), "")</f>
        <v>0.85239527604837517</v>
      </c>
      <c r="G4" s="142" t="str">
        <f>IF(OR(ISBLANK(Games!B3),Table3[[#This Row],[Spread]]=""), "", IF('Prediction Log'!$D4&lt;0, 'Prediction Log'!$B4, 'Prediction Log'!$C4))</f>
        <v>New Mexico</v>
      </c>
      <c r="H4" s="143" t="str">
        <f>IF(ISBLANK(Games!$B3), "",Games!K3)</f>
        <v>New Mexico</v>
      </c>
      <c r="I4" s="143" t="str">
        <f>IF('Prediction Log'!$F4&gt;0.5, 'Prediction Log'!$B4, IF('Prediction Log'!$F4&lt;0.5, 'Prediction Log'!$C4, "PICK"))</f>
        <v>New Mexico</v>
      </c>
      <c r="J4" s="144" t="n">
        <f>IF(ISBLANK(Games!B3), "",IF('Prediction Log'!$I4='Prediction Log'!$B4, 'Prediction Log'!$F4, 1-'Prediction Log'!$F4))</f>
        <v>0.85239527604837517</v>
      </c>
      <c r="K4" s="145" t="str">
        <f>IF(ISBLANK(Games!$B3), "",Games!Q3)</f>
        <v>N</v>
      </c>
      <c r="L4" s="124" t="str">
        <f>IF(ISBLANK(Games!AC3), "",Games!AE3)</f>
        <v>Montana State</v>
      </c>
      <c r="M4" s="161" t="n">
        <f>IF(ISBLANK(Games!AC3), "",Games!AD3-Games!AC3)</f>
        <v>14</v>
      </c>
      <c r="N4" s="146" t="str">
        <f>IF(ISNUMBER(Table3[[#This Row],[Predicted Spread]]), IF(OR(ISBLANK(Games!AC3),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" s="147" t="str">
        <f>IF(ISNUMBER(Table3[[#This Row],[Predicted Spread]]), IF(OR(ISBLANK(Games!AC3),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4" s="147" t="str">
        <f>IF(ISNUMBER(Table3[[#This Row],[Predicted Spread]]), IF(ISBLANK(Games!AC3),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4" s="148" t="str">
        <f>IF(OR(ISBLANK(Games!AC3), Table3[[#This Row],[Spread]]=""),"",IF('Prediction Log'!$L4='Prediction Log'!$G4, "Y", "N"))</f>
        <v>N</v>
      </c>
      <c r="R4" s="148" t="str">
        <f>IF(ISNUMBER(Table3[[#This Row],[Predicted Spread]]), Table3[[#This Row],[Home Team Covered Market]],"")</f>
        <v>N</v>
      </c>
      <c r="S4" s="148" t="str">
        <f>IF(ISNUMBER(Table3[[#This Row],[Predicted Spread]]), IF(OR(Table3[[#This Row],[Market Side Correct]]="",ISBLANK(Games!AC3)), "",IF(AND('Prediction Log'!$Q4="Y", 'Prediction Log'!$R4="Y"), "Y", "N")),"")</f>
        <v>N</v>
      </c>
      <c r="T4" s="149" t="str">
        <f>IF(ISNUMBER(Table3[[#This Row],[Predicted Spread]]), IF(ISBLANK(Games!AC3),"",IF(Games!AE3='Prediction Log'!$H4, "Y", "N")), "")</f>
        <v>N</v>
      </c>
      <c r="U4" s="149" t="str">
        <f>IF(ISNUMBER(Table3[[#This Row],[Predicted Spread]]), IF(OR(Table3[[#This Row],[Spread]]="",ISBLANK(Games!AC3)), "", IF(Table3[[#This Row],[Home Team Covered Market]]=Games!P3, "Y", "N")),"")</f>
        <v>Y</v>
      </c>
      <c r="V4" s="150" t="str">
        <f>IF(ISBLANK(Games!AC3), "",IF('Prediction Log'!$I4='Prediction Log'!$L4, "Y", "N"))</f>
        <v>N</v>
      </c>
      <c r="W4" s="149" t="str">
        <f>IF(ISNUMBER(Table3[[#This Row],[Predicted Spread]]), IF(OR(Table3[[#This Row],[Model Spread Correct]]="",ISBLANK(Games!AC3)), "",IF('Prediction Log'!$H4&lt;&gt;'Prediction Log'!$L4, "N",IF(AND('Prediction Log'!$E4&gt;0, 'Prediction Log'!$M4&gt;'Prediction Log'!$E4, 'Prediction Log'!$H4='Prediction Log'!$C4), "Y", IF(AND('Prediction Log'!$E4&lt;0, 'Prediction Log'!$M4&lt;'Prediction Log'!$E4,'Prediction Log'!$H4='Prediction Log'!$B4 ), "Y", IF('Prediction Log'!$M4='Prediction Log'!$E4, "PUSH", "N"))))), "")</f>
        <v>N</v>
      </c>
      <c r="X4" s="149" t="str">
        <f>IF(ISNUMBER(Table3[[#This Row],[Predicted Spread]]), IF(OR(Table3[[#This Row],[Model Spread Correct]]="",ISBLANK(Games!AC3)), "",IF(AND('Prediction Log'!$T4="Y", 'Prediction Log'!$U4="Y"), "Y", "N")), "")</f>
        <v>N</v>
      </c>
      <c r="Y4" s="148" t="n">
        <f>IFERROR(IF(ISNUMBER(Table3[[#This Row],[Predicted Spread]]), IF(ISBLANK(Games!AC3), "",IF('Prediction Log'!$D4&gt;0, 'Prediction Log'!$M4-'Prediction Log'!$D4, IF('Prediction Log'!$D4&lt;0, -'Prediction Log'!$M4+'Prediction Log'!$D4, "NA"))), ""), "")</f>
        <v>-34.5</v>
      </c>
      <c r="Z4" s="148" t="n">
        <f>IF(ISNUMBER(Table3[[#This Row],[Difference from Market]]), IF(ISBLANK(Games!AC3), "",ABS('Prediction Log'!$Y4)), "")</f>
        <v>34.5</v>
      </c>
      <c r="AA4" s="139" t="n">
        <f>IF(ISNUMBER(Table3[[#This Row],[Predicted Spread]]), IF(ISBLANK(Games!AC3), "",IF('Prediction Log'!$E4&gt;0, 'Prediction Log'!$M4-'Prediction Log'!$E4, IF('Prediction Log'!$E4&lt;0, -'Prediction Log'!$M4+'Prediction Log'!$E4, "NA"))), "")</f>
        <v>-24.184652436815199</v>
      </c>
      <c r="AB4" s="139" t="n">
        <f>IF(ISNUMBER(Table3[[#This Row],[Difference from Prediction]]), IF(ISBLANK(Games!AD3), "",ABS('Prediction Log'!$AA4)), "")</f>
        <v>24.184652436815199</v>
      </c>
      <c r="AC4" s="164" t="str">
        <f>IF(ISNUMBER(Table3[[#This Row],[Predicted Spread]]), IF(OR(ISBLANK(Games!AC3),Table3[[#This Row],[Market Side Correct]]="",ISBLANK('Prediction Log'!$L4)), "",IF(OR(AND('Prediction Log'!D4&lt;0, 'Prediction Log'!L4='Prediction Log'!B4), AND('Prediction Log'!D4&gt;0, 'Prediction Log'!C4='Prediction Log'!L4)),"Y", IF(ISBLANK(Games!$B$2), "","N"))), "")</f>
        <v>N</v>
      </c>
      <c r="AD4" s="159" t="str">
        <f>'Prediction Log'!$S4</f>
        <v>N</v>
      </c>
    </row>
    <row r="5">
      <c r="A5" s="165" t="n">
        <f>IF(ISBLANK(Games!$B4), "",Games!A4)</f>
        <v>0</v>
      </c>
      <c r="B5" s="165" t="str">
        <f>IF(ISBLANK(Games!$B4), "",Games!B4)</f>
        <v>Nevada</v>
      </c>
      <c r="C5" s="165" t="str">
        <f>IF(ISBLANK(Games!$B4), "",Games!C4)</f>
        <v>SMU</v>
      </c>
      <c r="D5" s="140" t="n">
        <f>IF(ISBLANK(Games!$D4), "",IF(_xlfn.NUMBERVALUE(Games!D4)=0, "",_xlfn.NUMBERVALUE(Games!D4) ))</f>
        <v>27</v>
      </c>
      <c r="E5" s="138" t="n">
        <f>IF(ISBLANK(_xlfn.NUMBERVALUE(Games!$B4)), "",_xlfn.NUMBERVALUE(Games!J4))</f>
        <v>27.640836966073199</v>
      </c>
      <c r="F5" s="141" t="n">
        <f>IFERROR(IF(ISBLANK(Games!B4), "", IF(Games!N4=Games!B4, Games!O4, 1-Games!O4)), "")</f>
        <v>2.436328386606823E-2</v>
      </c>
      <c r="G5" s="142" t="str">
        <f>IF(OR(ISBLANK(Games!B4),Table3[[#This Row],[Spread]]=""), "", IF('Prediction Log'!$D5&lt;0, 'Prediction Log'!$B5, 'Prediction Log'!$C5))</f>
        <v>SMU</v>
      </c>
      <c r="H5" s="143" t="str">
        <f>IF(ISBLANK(Games!$B4), "",Games!K4)</f>
        <v>SMU</v>
      </c>
      <c r="I5" s="143" t="str">
        <f>IF('Prediction Log'!$F5&gt;0.5, 'Prediction Log'!$B5, IF('Prediction Log'!$F5&lt;0.5, 'Prediction Log'!$C5, "PICK"))</f>
        <v>SMU</v>
      </c>
      <c r="J5" s="144" t="n">
        <f>IF(ISBLANK(Games!B4), "",IF('Prediction Log'!$I5='Prediction Log'!$B5, 'Prediction Log'!$F5, 1-'Prediction Log'!$F5))</f>
        <v>0.97563671613393177</v>
      </c>
      <c r="K5" s="145" t="str">
        <f>IF(ISBLANK(Games!$B4), "",Games!Q4)</f>
        <v>N</v>
      </c>
      <c r="L5" s="124" t="str">
        <f>IF(ISBLANK(Games!AC4), "",Games!AE4)</f>
        <v>SMU</v>
      </c>
      <c r="M5" s="161" t="n">
        <f>IF(ISBLANK(Games!AC4), "",Games!AD4-Games!AC4)</f>
        <v>5</v>
      </c>
      <c r="N5" s="146" t="str">
        <f>IF(ISNUMBER(Table3[[#This Row],[Predicted Spread]]), IF(OR(ISBLANK(Games!AC4),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5" s="147" t="str">
        <f>IF(ISNUMBER(Table3[[#This Row],[Predicted Spread]]), IF(OR(ISBLANK(Games!AC4),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5" s="147" t="str">
        <f>IF(ISNUMBER(Table3[[#This Row],[Predicted Spread]]), IF(ISBLANK(Games!AC4),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5" s="148" t="str">
        <f>IF(OR(ISBLANK(Games!AC4), Table3[[#This Row],[Spread]]=""),"",IF('Prediction Log'!$L5='Prediction Log'!$G5, "Y", "N"))</f>
        <v>Y</v>
      </c>
      <c r="R5" s="148" t="str">
        <f>IF(ISNUMBER(Table3[[#This Row],[Predicted Spread]]), Table3[[#This Row],[Home Team Covered Market]],"")</f>
        <v>Y</v>
      </c>
      <c r="S5" s="148" t="str">
        <f>IF(ISNUMBER(Table3[[#This Row],[Predicted Spread]]), IF(OR(Table3[[#This Row],[Market Side Correct]]="",ISBLANK(Games!AC4)), "",IF(AND('Prediction Log'!$Q5="Y", 'Prediction Log'!$R5="Y"), "Y", "N")),"")</f>
        <v>Y</v>
      </c>
      <c r="T5" s="149" t="str">
        <f>IF(ISNUMBER(Table3[[#This Row],[Predicted Spread]]), IF(ISBLANK(Games!AC4),"",IF(Games!AE4='Prediction Log'!$H5, "Y", "N")), "")</f>
        <v>Y</v>
      </c>
      <c r="U5" s="149" t="str">
        <f>IF(ISNUMBER(Table3[[#This Row],[Predicted Spread]]), IF(OR(Table3[[#This Row],[Spread]]="",ISBLANK(Games!AC4)), "", IF(Table3[[#This Row],[Home Team Covered Market]]=Games!P4, "Y", "N")),"")</f>
        <v>Y</v>
      </c>
      <c r="V5" s="150" t="str">
        <f>IF(ISBLANK(Games!AC4), "",IF('Prediction Log'!$I5='Prediction Log'!$L5, "Y", "N"))</f>
        <v>Y</v>
      </c>
      <c r="W5" s="149" t="str">
        <f>IF(ISNUMBER(Table3[[#This Row],[Predicted Spread]]), IF(OR(Table3[[#This Row],[Model Spread Correct]]="",ISBLANK(Games!AC4)), "",IF('Prediction Log'!$H5&lt;&gt;'Prediction Log'!$L5, "N",IF(AND('Prediction Log'!$E5&gt;0, 'Prediction Log'!$M5&gt;'Prediction Log'!$E5, 'Prediction Log'!$H5='Prediction Log'!$C5), "Y", IF(AND('Prediction Log'!$E5&lt;0, 'Prediction Log'!$M5&lt;'Prediction Log'!$E5,'Prediction Log'!$H5='Prediction Log'!$B5 ), "Y", IF('Prediction Log'!$M5='Prediction Log'!$E5, "PUSH", "N"))))), "")</f>
        <v>N</v>
      </c>
      <c r="X5" s="149" t="str">
        <f>IF(ISNUMBER(Table3[[#This Row],[Predicted Spread]]), IF(OR(Table3[[#This Row],[Model Spread Correct]]="",ISBLANK(Games!AC4)), "",IF(AND('Prediction Log'!$T5="Y", 'Prediction Log'!$U5="Y"), "Y", "N")), "")</f>
        <v>Y</v>
      </c>
      <c r="Y5" s="148" t="n">
        <f>IFERROR(IF(ISNUMBER(Table3[[#This Row],[Predicted Spread]]), IF(ISBLANK(Games!AC4), "",IF('Prediction Log'!$D5&gt;0, 'Prediction Log'!$M5-'Prediction Log'!$D5, IF('Prediction Log'!$D5&lt;0, -'Prediction Log'!$M5+'Prediction Log'!$D5, "NA"))), ""), "")</f>
        <v>-22</v>
      </c>
      <c r="Z5" s="148" t="n">
        <f>IF(ISNUMBER(Table3[[#This Row],[Difference from Market]]), IF(ISBLANK(Games!AC4), "",ABS('Prediction Log'!$Y5)), "")</f>
        <v>22</v>
      </c>
      <c r="AA5" s="139" t="n">
        <f>IF(ISNUMBER(Table3[[#This Row],[Predicted Spread]]), IF(ISBLANK(Games!AC4), "",IF('Prediction Log'!$E5&gt;0, 'Prediction Log'!$M5-'Prediction Log'!$E5, IF('Prediction Log'!$E5&lt;0, -'Prediction Log'!$M5+'Prediction Log'!$E5, "NA"))), "")</f>
        <v>-22.640836966073199</v>
      </c>
      <c r="AB5" s="139" t="n">
        <f>IF(ISNUMBER(Table3[[#This Row],[Difference from Prediction]]), IF(ISBLANK(Games!AD4), "",ABS('Prediction Log'!$AA5)), "")</f>
        <v>22.640836966073199</v>
      </c>
      <c r="AC5" s="164" t="str">
        <f>IF(ISNUMBER(Table3[[#This Row],[Predicted Spread]]), IF(OR(ISBLANK(Games!AC4),Table3[[#This Row],[Market Side Correct]]="",ISBLANK('Prediction Log'!$L5)), "",IF(OR(AND('Prediction Log'!D5&lt;0, 'Prediction Log'!L5='Prediction Log'!B5), AND('Prediction Log'!D5&gt;0, 'Prediction Log'!C5='Prediction Log'!L5)),"Y", IF(ISBLANK(Games!$B$2), "","N"))), "")</f>
        <v>Y</v>
      </c>
      <c r="AD5" s="159" t="str">
        <f>'Prediction Log'!$S5</f>
        <v>Y</v>
      </c>
    </row>
    <row r="6">
      <c r="A6" s="165" t="n">
        <f>IF(ISBLANK(Games!$B5), "",Games!A5)</f>
        <v>0</v>
      </c>
      <c r="B6" s="165" t="str">
        <f>IF(ISBLANK(Games!$B5), "",Games!B5)</f>
        <v>Hawai'i</v>
      </c>
      <c r="C6" s="165" t="str">
        <f>IF(ISBLANK(Games!$B5), "",Games!C5)</f>
        <v>Delaware State</v>
      </c>
      <c r="D6" s="140" t="n">
        <f>IF(ISBLANK(Games!$D5), "",IF(_xlfn.NUMBERVALUE(Games!D5)=0, "",_xlfn.NUMBERVALUE(Games!D5) ))</f>
        <v>-38</v>
      </c>
      <c r="E6" s="138" t="n">
        <f>IF(ISBLANK(_xlfn.NUMBERVALUE(Games!$B5)), "",_xlfn.NUMBERVALUE(Games!J5))</f>
        <v>-12.8752906367628</v>
      </c>
      <c r="F6" s="141" t="n">
        <f>IFERROR(IF(ISBLANK(Games!B5), "", IF(Games!N5=Games!B5, Games!O5, 1-Games!O5)), "")</f>
        <v>0.89479900927687317</v>
      </c>
      <c r="G6" s="142" t="str">
        <f>IF(OR(ISBLANK(Games!B5),Table3[[#This Row],[Spread]]=""), "", IF('Prediction Log'!$D6&lt;0, 'Prediction Log'!$B6, 'Prediction Log'!$C6))</f>
        <v>Hawai'i</v>
      </c>
      <c r="H6" s="143" t="str">
        <f>IF(ISBLANK(Games!$B5), "",Games!K5)</f>
        <v>Hawai'i</v>
      </c>
      <c r="I6" s="143" t="str">
        <f>IF('Prediction Log'!$F6&gt;0.5, 'Prediction Log'!$B6, IF('Prediction Log'!$F6&lt;0.5, 'Prediction Log'!$C6, "PICK"))</f>
        <v>Hawai'i</v>
      </c>
      <c r="J6" s="144" t="n">
        <f>IF(ISBLANK(Games!B5), "",IF('Prediction Log'!$I6='Prediction Log'!$B6, 'Prediction Log'!$F6, 1-'Prediction Log'!$F6))</f>
        <v>0.89479900927687317</v>
      </c>
      <c r="K6" s="145" t="str">
        <f>IF(ISBLANK(Games!$B5), "",Games!Q5)</f>
        <v>Y</v>
      </c>
      <c r="L6" s="124" t="str">
        <f>IF(ISBLANK(Games!AC5), "",Games!AE5)</f>
        <v>Hawai'i</v>
      </c>
      <c r="M6" s="161" t="n">
        <f>IF(ISBLANK(Games!AC5), "",Games!AD5-Games!AC5)</f>
        <v>-21</v>
      </c>
      <c r="N6" s="146" t="str">
        <f>IF(ISNUMBER(Table3[[#This Row],[Predicted Spread]]), IF(OR(ISBLANK(Games!AC5),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6" s="147" t="str">
        <f>IF(ISNUMBER(Table3[[#This Row],[Predicted Spread]]), IF(OR(ISBLANK(Games!AC5),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6" s="147" t="str">
        <f>IF(ISNUMBER(Table3[[#This Row],[Predicted Spread]]), IF(ISBLANK(Games!AC5),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6" s="148" t="str">
        <f>IF(OR(ISBLANK(Games!AC5), Table3[[#This Row],[Spread]]=""),"",IF('Prediction Log'!$L6='Prediction Log'!$G6, "Y", "N"))</f>
        <v>Y</v>
      </c>
      <c r="R6" s="148" t="str">
        <f>IF(ISNUMBER(Table3[[#This Row],[Predicted Spread]]), Table3[[#This Row],[Home Team Covered Market]],"")</f>
        <v>N</v>
      </c>
      <c r="S6" s="148" t="str">
        <f>IF(ISNUMBER(Table3[[#This Row],[Predicted Spread]]), IF(OR(Table3[[#This Row],[Market Side Correct]]="",ISBLANK(Games!AC5)), "",IF(AND('Prediction Log'!$Q6="Y", 'Prediction Log'!$R6="Y"), "Y", "N")),"")</f>
        <v>N</v>
      </c>
      <c r="T6" s="149" t="str">
        <f>IF(ISNUMBER(Table3[[#This Row],[Predicted Spread]]), IF(ISBLANK(Games!AC5),"",IF(Games!AE5='Prediction Log'!$H6, "Y", "N")), "")</f>
        <v>Y</v>
      </c>
      <c r="U6" s="149" t="str">
        <f>IF(ISNUMBER(Table3[[#This Row],[Predicted Spread]]), IF(OR(Table3[[#This Row],[Spread]]="",ISBLANK(Games!AC5)), "", IF(Table3[[#This Row],[Home Team Covered Market]]=Games!P5, "Y", "N")),"")</f>
        <v>N</v>
      </c>
      <c r="V6" s="150" t="str">
        <f>IF(ISBLANK(Games!AC5), "",IF('Prediction Log'!$I6='Prediction Log'!$L6, "Y", "N"))</f>
        <v>Y</v>
      </c>
      <c r="W6" s="149" t="str">
        <f>IF(ISNUMBER(Table3[[#This Row],[Predicted Spread]]), IF(OR(Table3[[#This Row],[Model Spread Correct]]="",ISBLANK(Games!AC5)), "",IF('Prediction Log'!$H6&lt;&gt;'Prediction Log'!$L6, "N",IF(AND('Prediction Log'!$E6&gt;0, 'Prediction Log'!$M6&gt;'Prediction Log'!$E6, 'Prediction Log'!$H6='Prediction Log'!$C6), "Y", IF(AND('Prediction Log'!$E6&lt;0, 'Prediction Log'!$M6&lt;'Prediction Log'!$E6,'Prediction Log'!$H6='Prediction Log'!$B6 ), "Y", IF('Prediction Log'!$M6='Prediction Log'!$E6, "PUSH", "N"))))), "")</f>
        <v>Y</v>
      </c>
      <c r="X6" s="149" t="str">
        <f>IF(ISNUMBER(Table3[[#This Row],[Predicted Spread]]), IF(OR(Table3[[#This Row],[Model Spread Correct]]="",ISBLANK(Games!AC5)), "",IF(AND('Prediction Log'!$T6="Y", 'Prediction Log'!$U6="Y"), "Y", "N")), "")</f>
        <v>N</v>
      </c>
      <c r="Y6" s="148" t="n">
        <f>IFERROR(IF(ISNUMBER(Table3[[#This Row],[Predicted Spread]]), IF(ISBLANK(Games!AC5), "",IF('Prediction Log'!$D6&gt;0, 'Prediction Log'!$M6-'Prediction Log'!$D6, IF('Prediction Log'!$D6&lt;0, -'Prediction Log'!$M6+'Prediction Log'!$D6, "NA"))), ""), "")</f>
        <v>-17</v>
      </c>
      <c r="Z6" s="148" t="n">
        <f>IF(ISNUMBER(Table3[[#This Row],[Difference from Market]]), IF(ISBLANK(Games!AC5), "",ABS('Prediction Log'!$Y6)), "")</f>
        <v>17</v>
      </c>
      <c r="AA6" s="139" t="n">
        <f>IF(ISNUMBER(Table3[[#This Row],[Predicted Spread]]), IF(ISBLANK(Games!AC5), "",IF('Prediction Log'!$E6&gt;0, 'Prediction Log'!$M6-'Prediction Log'!$E6, IF('Prediction Log'!$E6&lt;0, -'Prediction Log'!$M6+'Prediction Log'!$E6, "NA"))), "")</f>
        <v>8.1247093632371996</v>
      </c>
      <c r="AB6" s="139" t="n">
        <f>IF(ISNUMBER(Table3[[#This Row],[Difference from Prediction]]), IF(ISBLANK(Games!AD5), "",ABS('Prediction Log'!$AA6)), "")</f>
        <v>8.1247093632371996</v>
      </c>
      <c r="AC6" s="164" t="str">
        <f>IF(ISNUMBER(Table3[[#This Row],[Predicted Spread]]), IF(OR(ISBLANK(Games!AC5),Table3[[#This Row],[Market Side Correct]]="",ISBLANK('Prediction Log'!$L6)), "",IF(OR(AND('Prediction Log'!D6&lt;0, 'Prediction Log'!L6='Prediction Log'!B6), AND('Prediction Log'!D6&gt;0, 'Prediction Log'!C6='Prediction Log'!L6)),"Y", IF(ISBLANK(Games!$B$2), "","N"))), "")</f>
        <v>Y</v>
      </c>
      <c r="AD6" s="159" t="str">
        <f>'Prediction Log'!$S6</f>
        <v>N</v>
      </c>
    </row>
    <row r="7">
      <c r="A7" s="165" t="n">
        <f>IF(ISBLANK(Games!$B6), "",Games!A6)</f>
        <v>1</v>
      </c>
      <c r="B7" s="165" t="str">
        <f>IF(ISBLANK(Games!$B6), "",Games!B6)</f>
        <v>Rutgers</v>
      </c>
      <c r="C7" s="165" t="str">
        <f>IF(ISBLANK(Games!$B6), "",Games!C6)</f>
        <v>Howard</v>
      </c>
      <c r="D7" s="140" t="n">
        <f>IF(ISBLANK(Games!$D6), "",IF(_xlfn.NUMBERVALUE(Games!D6)=0, "",_xlfn.NUMBERVALUE(Games!D6) ))</f>
        <v>-38.5</v>
      </c>
      <c r="E7" s="138" t="n">
        <f>IF(ISBLANK(_xlfn.NUMBERVALUE(Games!$B6)), "",_xlfn.NUMBERVALUE(Games!J6))</f>
        <v>-19.052336307585598</v>
      </c>
      <c r="F7" s="141" t="n">
        <f>IFERROR(IF(ISBLANK(Games!B6), "", IF(Games!N6=Games!B6, Games!O6, 1-Games!O6)), "")</f>
        <v>0.95389687067531637</v>
      </c>
      <c r="G7" s="142" t="str">
        <f>IF(OR(ISBLANK(Games!B6),Table3[[#This Row],[Spread]]=""), "", IF('Prediction Log'!$D7&lt;0, 'Prediction Log'!$B7, 'Prediction Log'!$C7))</f>
        <v>Rutgers</v>
      </c>
      <c r="H7" s="143" t="str">
        <f>IF(ISBLANK(Games!$B6), "",Games!K6)</f>
        <v>Rutgers</v>
      </c>
      <c r="I7" s="143" t="str">
        <f>IF('Prediction Log'!$F7&gt;0.5, 'Prediction Log'!$B7, IF('Prediction Log'!$F7&lt;0.5, 'Prediction Log'!$C7, "PICK"))</f>
        <v>Rutgers</v>
      </c>
      <c r="J7" s="144" t="n">
        <f>IF(ISBLANK(Games!B6), "",IF('Prediction Log'!$I7='Prediction Log'!$B7, 'Prediction Log'!$F7, 1-'Prediction Log'!$F7))</f>
        <v>0.95389687067531637</v>
      </c>
      <c r="K7" s="145" t="str">
        <f>IF(ISBLANK(Games!$B6), "",Games!Q6)</f>
        <v>N</v>
      </c>
      <c r="L7" s="124" t="str">
        <f>IF(ISBLANK(Games!AC6), "",Games!AE6)</f>
        <v>Rutgers</v>
      </c>
      <c r="M7" s="161" t="n">
        <f>IF(ISBLANK(Games!AC6), "",Games!AD6-Games!AC6)</f>
        <v>-37</v>
      </c>
      <c r="N7" s="146" t="str">
        <f>IF(ISNUMBER(Table3[[#This Row],[Predicted Spread]]), IF(OR(ISBLANK(Games!AC6),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7" s="147" t="str">
        <f>IF(ISNUMBER(Table3[[#This Row],[Predicted Spread]]), IF(OR(ISBLANK(Games!AC6),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" s="147" t="str">
        <f>IF(ISNUMBER(Table3[[#This Row],[Predicted Spread]]), IF(ISBLANK(Games!AC6),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7" s="148" t="str">
        <f>IF(OR(ISBLANK(Games!AC6), Table3[[#This Row],[Spread]]=""),"",IF('Prediction Log'!$L7='Prediction Log'!$G7, "Y", "N"))</f>
        <v>Y</v>
      </c>
      <c r="R7" s="148" t="str">
        <f>IF(ISNUMBER(Table3[[#This Row],[Predicted Spread]]), Table3[[#This Row],[Home Team Covered Market]],"")</f>
        <v>N</v>
      </c>
      <c r="S7" s="148" t="str">
        <f>IF(ISNUMBER(Table3[[#This Row],[Predicted Spread]]), IF(OR(Table3[[#This Row],[Market Side Correct]]="",ISBLANK(Games!AC6)), "",IF(AND('Prediction Log'!$Q7="Y", 'Prediction Log'!$R7="Y"), "Y", "N")),"")</f>
        <v>N</v>
      </c>
      <c r="T7" s="149" t="str">
        <f>IF(ISNUMBER(Table3[[#This Row],[Predicted Spread]]), IF(ISBLANK(Games!AC6),"",IF(Games!AE6='Prediction Log'!$H7, "Y", "N")), "")</f>
        <v>Y</v>
      </c>
      <c r="U7" s="149" t="str">
        <f>IF(ISNUMBER(Table3[[#This Row],[Predicted Spread]]), IF(OR(Table3[[#This Row],[Spread]]="",ISBLANK(Games!AC6)), "", IF(Table3[[#This Row],[Home Team Covered Market]]=Games!P6, "Y", "N")),"")</f>
        <v>Y</v>
      </c>
      <c r="V7" s="150" t="str">
        <f>IF(ISBLANK(Games!AC6), "",IF('Prediction Log'!$I7='Prediction Log'!$L7, "Y", "N"))</f>
        <v>Y</v>
      </c>
      <c r="W7" s="149" t="str">
        <f>IF(ISNUMBER(Table3[[#This Row],[Predicted Spread]]), IF(OR(Table3[[#This Row],[Model Spread Correct]]="",ISBLANK(Games!AC6)), "",IF('Prediction Log'!$H7&lt;&gt;'Prediction Log'!$L7, "N",IF(AND('Prediction Log'!$E7&gt;0, 'Prediction Log'!$M7&gt;'Prediction Log'!$E7, 'Prediction Log'!$H7='Prediction Log'!$C7), "Y", IF(AND('Prediction Log'!$E7&lt;0, 'Prediction Log'!$M7&lt;'Prediction Log'!$E7,'Prediction Log'!$H7='Prediction Log'!$B7 ), "Y", IF('Prediction Log'!$M7='Prediction Log'!$E7, "PUSH", "N"))))), "")</f>
        <v>Y</v>
      </c>
      <c r="X7" s="149" t="str">
        <f>IF(ISNUMBER(Table3[[#This Row],[Predicted Spread]]), IF(OR(Table3[[#This Row],[Model Spread Correct]]="",ISBLANK(Games!AC6)), "",IF(AND('Prediction Log'!$T7="Y", 'Prediction Log'!$U7="Y"), "Y", "N")), "")</f>
        <v>Y</v>
      </c>
      <c r="Y7" s="148" t="n">
        <f>IFERROR(IF(ISNUMBER(Table3[[#This Row],[Predicted Spread]]), IF(ISBLANK(Games!AC6), "",IF('Prediction Log'!$D7&gt;0, 'Prediction Log'!$M7-'Prediction Log'!$D7, IF('Prediction Log'!$D7&lt;0, -'Prediction Log'!$M7+'Prediction Log'!$D7, "NA"))), ""), "")</f>
        <v>-1.5</v>
      </c>
      <c r="Z7" s="148" t="n">
        <f>IF(ISNUMBER(Table3[[#This Row],[Difference from Market]]), IF(ISBLANK(Games!AC6), "",ABS('Prediction Log'!$Y7)), "")</f>
        <v>1.5</v>
      </c>
      <c r="AA7" s="139" t="n">
        <f>IF(ISNUMBER(Table3[[#This Row],[Predicted Spread]]), IF(ISBLANK(Games!AC6), "",IF('Prediction Log'!$E7&gt;0, 'Prediction Log'!$M7-'Prediction Log'!$E7, IF('Prediction Log'!$E7&lt;0, -'Prediction Log'!$M7+'Prediction Log'!$E7, "NA"))), "")</f>
        <v>17.947663692414402</v>
      </c>
      <c r="AB7" s="139" t="n">
        <f>IF(ISNUMBER(Table3[[#This Row],[Difference from Prediction]]), IF(ISBLANK(Games!AD6), "",ABS('Prediction Log'!$AA7)), "")</f>
        <v>17.947663692414402</v>
      </c>
      <c r="AC7" s="164" t="str">
        <f>IF(ISNUMBER(Table3[[#This Row],[Predicted Spread]]), IF(OR(ISBLANK(Games!AC6),Table3[[#This Row],[Market Side Correct]]="",ISBLANK('Prediction Log'!$L7)), "",IF(OR(AND('Prediction Log'!D7&lt;0, 'Prediction Log'!L7='Prediction Log'!B7), AND('Prediction Log'!D7&gt;0, 'Prediction Log'!C7='Prediction Log'!L7)),"Y", IF(ISBLANK(Games!$B$2), "","N"))), "")</f>
        <v>Y</v>
      </c>
      <c r="AD7" s="159" t="str">
        <f>'Prediction Log'!$S7</f>
        <v>N</v>
      </c>
    </row>
    <row r="8">
      <c r="A8" s="165" t="n">
        <f>IF(ISBLANK(Games!$B7), "",Games!A7)</f>
        <v>1</v>
      </c>
      <c r="B8" s="165" t="str">
        <f>IF(ISBLANK(Games!$B7), "",Games!B7)</f>
        <v>Louisiana Monroe</v>
      </c>
      <c r="C8" s="165" t="str">
        <f>IF(ISBLANK(Games!$B7), "",Games!C7)</f>
        <v>Jackson State</v>
      </c>
      <c r="D8" s="140" t="str">
        <f>IF(ISBLANK(Games!$D7), "",IF(_xlfn.NUMBERVALUE(Games!D7)=0, "",_xlfn.NUMBERVALUE(Games!D7) ))</f>
      </c>
      <c r="E8" s="138" t="n">
        <f>IF(ISBLANK(_xlfn.NUMBERVALUE(Games!$B7)), "",_xlfn.NUMBERVALUE(Games!J7))</f>
        <v>-3.6058587275568001</v>
      </c>
      <c r="F8" s="141" t="n">
        <f>IFERROR(IF(ISBLANK(Games!B7), "", IF(Games!N7=Games!B7, Games!O7, 1-Games!O7)), "")</f>
        <v>0.69141607341304401</v>
      </c>
      <c r="G8" s="142" t="str">
        <f>IF(OR(ISBLANK(Games!B7),Table3[[#This Row],[Spread]]=""), "", IF('Prediction Log'!$D8&lt;0, 'Prediction Log'!$B8, 'Prediction Log'!$C8))</f>
      </c>
      <c r="H8" s="143" t="str">
        <f>IF(ISBLANK(Games!$B7), "",Games!K7)</f>
        <v>Louisiana Monroe</v>
      </c>
      <c r="I8" s="143" t="str">
        <f>IF('Prediction Log'!$F8&gt;0.5, 'Prediction Log'!$B8, IF('Prediction Log'!$F8&lt;0.5, 'Prediction Log'!$C8, "PICK"))</f>
        <v>Louisiana Monroe</v>
      </c>
      <c r="J8" s="144" t="n">
        <f>IF(ISBLANK(Games!B7), "",IF('Prediction Log'!$I8='Prediction Log'!$B8, 'Prediction Log'!$F8, 1-'Prediction Log'!$F8))</f>
        <v>0.69141607341304401</v>
      </c>
      <c r="K8" s="145" t="str">
        <f>IF(ISBLANK(Games!$B7), "",Games!Q7)</f>
        <v>Y</v>
      </c>
      <c r="L8" s="124" t="str">
        <f>IF(ISBLANK(Games!AC7), "",Games!AE7)</f>
        <v>Louisiana Monroe</v>
      </c>
      <c r="M8" s="161" t="n">
        <f>IF(ISBLANK(Games!AC7), "",Games!AD7-Games!AC7)</f>
        <v>-16</v>
      </c>
      <c r="N8" s="146" t="str">
        <f>IF(ISNUMBER(Table3[[#This Row],[Predicted Spread]]), IF(OR(ISBLANK(Games!AC7),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8" s="147" t="str">
        <f>IF(ISNUMBER(Table3[[#This Row],[Predicted Spread]]), IF(OR(ISBLANK(Games!AC7),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8" s="147" t="str">
        <f>IF(ISNUMBER(Table3[[#This Row],[Predicted Spread]]), IF(ISBLANK(Games!AC7),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8" s="148" t="str">
        <f>IF(OR(ISBLANK(Games!AC7), Table3[[#This Row],[Spread]]=""),"",IF('Prediction Log'!$L8='Prediction Log'!$G8, "Y", "N"))</f>
      </c>
      <c r="R8" s="148" t="str">
        <f>IF(ISNUMBER(Table3[[#This Row],[Predicted Spread]]), Table3[[#This Row],[Home Team Covered Market]],"")</f>
      </c>
      <c r="S8" s="148" t="str">
        <f>IF(ISNUMBER(Table3[[#This Row],[Predicted Spread]]), IF(OR(Table3[[#This Row],[Market Side Correct]]="",ISBLANK(Games!AC7)), "",IF(AND('Prediction Log'!$Q8="Y", 'Prediction Log'!$R8="Y"), "Y", "N")),"")</f>
      </c>
      <c r="T8" s="149" t="str">
        <f>IF(ISNUMBER(Table3[[#This Row],[Predicted Spread]]), IF(ISBLANK(Games!AC7),"",IF(Games!AE7='Prediction Log'!$H8, "Y", "N")), "")</f>
        <v>Y</v>
      </c>
      <c r="U8" s="149" t="str">
        <f>IF(ISNUMBER(Table3[[#This Row],[Predicted Spread]]), IF(OR(Table3[[#This Row],[Spread]]="",ISBLANK(Games!AC7)), "", IF(Table3[[#This Row],[Home Team Covered Market]]=Games!P7, "Y", "N")),"")</f>
      </c>
      <c r="V8" s="150" t="str">
        <f>IF(ISBLANK(Games!AC7), "",IF('Prediction Log'!$I8='Prediction Log'!$L8, "Y", "N"))</f>
        <v>Y</v>
      </c>
      <c r="W8" s="149" t="str">
        <f>IF(ISNUMBER(Table3[[#This Row],[Predicted Spread]]), IF(OR(Table3[[#This Row],[Model Spread Correct]]="",ISBLANK(Games!AC7)), "",IF('Prediction Log'!$H8&lt;&gt;'Prediction Log'!$L8, "N",IF(AND('Prediction Log'!$E8&gt;0, 'Prediction Log'!$M8&gt;'Prediction Log'!$E8, 'Prediction Log'!$H8='Prediction Log'!$C8), "Y", IF(AND('Prediction Log'!$E8&lt;0, 'Prediction Log'!$M8&lt;'Prediction Log'!$E8,'Prediction Log'!$H8='Prediction Log'!$B8 ), "Y", IF('Prediction Log'!$M8='Prediction Log'!$E8, "PUSH", "N"))))), "")</f>
      </c>
      <c r="X8" s="149" t="str">
        <f>IF(ISNUMBER(Table3[[#This Row],[Predicted Spread]]), IF(OR(Table3[[#This Row],[Model Spread Correct]]="",ISBLANK(Games!AC7)), "",IF(AND('Prediction Log'!$T8="Y", 'Prediction Log'!$U8="Y"), "Y", "N")), "")</f>
      </c>
      <c r="Y8" s="148" t="str">
        <f>IFERROR(IF(ISNUMBER(Table3[[#This Row],[Predicted Spread]]), IF(ISBLANK(Games!AC7), "",IF('Prediction Log'!$D8&gt;0, 'Prediction Log'!$M8-'Prediction Log'!$D8, IF('Prediction Log'!$D8&lt;0, -'Prediction Log'!$M8+'Prediction Log'!$D8, "NA"))), ""), "")</f>
      </c>
      <c r="Z8" s="148" t="str">
        <f>IF(ISNUMBER(Table3[[#This Row],[Difference from Market]]), IF(ISBLANK(Games!AC7), "",ABS('Prediction Log'!$Y8)), "")</f>
      </c>
      <c r="AA8" s="139" t="n">
        <f>IF(ISNUMBER(Table3[[#This Row],[Predicted Spread]]), IF(ISBLANK(Games!AC7), "",IF('Prediction Log'!$E8&gt;0, 'Prediction Log'!$M8-'Prediction Log'!$E8, IF('Prediction Log'!$E8&lt;0, -'Prediction Log'!$M8+'Prediction Log'!$E8, "NA"))), "")</f>
        <v>12.3941412724432</v>
      </c>
      <c r="AB8" s="139" t="n">
        <f>IF(ISNUMBER(Table3[[#This Row],[Difference from Prediction]]), IF(ISBLANK(Games!AD7), "",ABS('Prediction Log'!$AA8)), "")</f>
        <v>12.3941412724432</v>
      </c>
      <c r="AC8" s="164" t="str">
        <f>IF(ISNUMBER(Table3[[#This Row],[Predicted Spread]]), IF(OR(ISBLANK(Games!AC7),Table3[[#This Row],[Market Side Correct]]="",ISBLANK('Prediction Log'!$L8)), "",IF(OR(AND('Prediction Log'!D8&lt;0, 'Prediction Log'!L8='Prediction Log'!B8), AND('Prediction Log'!D8&gt;0, 'Prediction Log'!C8='Prediction Log'!L8)),"Y", IF(ISBLANK(Games!$B$2), "","N"))), "")</f>
      </c>
      <c r="AD8" s="159" t="str">
        <f>'Prediction Log'!$S8</f>
      </c>
    </row>
    <row r="9">
      <c r="A9" s="165" t="n">
        <f>IF(ISBLANK(Games!$B8), "",Games!A8)</f>
        <v>1</v>
      </c>
      <c r="B9" s="165" t="str">
        <f>IF(ISBLANK(Games!$B8), "",Games!B8)</f>
        <v>Central Michigan</v>
      </c>
      <c r="C9" s="165" t="str">
        <f>IF(ISBLANK(Games!$B8), "",Games!C8)</f>
        <v>Central Connecticut</v>
      </c>
      <c r="D9" s="140" t="n">
        <f>IF(ISBLANK(Games!$D8), "",IF(_xlfn.NUMBERVALUE(Games!D8)=0, "",_xlfn.NUMBERVALUE(Games!D8) ))</f>
        <v>-33.5</v>
      </c>
      <c r="E9" s="138" t="n">
        <f>IF(ISBLANK(_xlfn.NUMBERVALUE(Games!$B8)), "",_xlfn.NUMBERVALUE(Games!J8))</f>
        <v>-12.244867683710799</v>
      </c>
      <c r="F9" s="141" t="n">
        <f>IFERROR(IF(ISBLANK(Games!B8), "", IF(Games!N8=Games!B8, Games!O8, 1-Games!O8)), "")</f>
        <v>0.88594774490055628</v>
      </c>
      <c r="G9" s="142" t="str">
        <f>IF(OR(ISBLANK(Games!B8),Table3[[#This Row],[Spread]]=""), "", IF('Prediction Log'!$D9&lt;0, 'Prediction Log'!$B9, 'Prediction Log'!$C9))</f>
        <v>Central Michigan</v>
      </c>
      <c r="H9" s="143" t="str">
        <f>IF(ISBLANK(Games!$B8), "",Games!K8)</f>
        <v>Central Michigan</v>
      </c>
      <c r="I9" s="143" t="str">
        <f>IF('Prediction Log'!$F9&gt;0.5, 'Prediction Log'!$B9, IF('Prediction Log'!$F9&lt;0.5, 'Prediction Log'!$C9, "PICK"))</f>
        <v>Central Michigan</v>
      </c>
      <c r="J9" s="144" t="n">
        <f>IF(ISBLANK(Games!B8), "",IF('Prediction Log'!$I9='Prediction Log'!$B9, 'Prediction Log'!$F9, 1-'Prediction Log'!$F9))</f>
        <v>0.88594774490055628</v>
      </c>
      <c r="K9" s="145" t="str">
        <f>IF(ISBLANK(Games!$B8), "",Games!Q8)</f>
        <v>N</v>
      </c>
      <c r="L9" s="124" t="str">
        <f>IF(ISBLANK(Games!AC8), "",Games!AE8)</f>
        <v>Central Michigan</v>
      </c>
      <c r="M9" s="161" t="n">
        <f>IF(ISBLANK(Games!AC8), "",Games!AD8-Games!AC8)</f>
        <v>-56</v>
      </c>
      <c r="N9" s="146" t="str">
        <f>IF(ISNUMBER(Table3[[#This Row],[Predicted Spread]]), IF(OR(ISBLANK(Games!AC8),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9" s="147" t="str">
        <f>IF(ISNUMBER(Table3[[#This Row],[Predicted Spread]]), IF(OR(ISBLANK(Games!AC8),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9" s="147" t="str">
        <f>IF(ISNUMBER(Table3[[#This Row],[Predicted Spread]]), IF(ISBLANK(Games!AC8),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" s="148" t="str">
        <f>IF(OR(ISBLANK(Games!AC8), Table3[[#This Row],[Spread]]=""),"",IF('Prediction Log'!$L9='Prediction Log'!$G9, "Y", "N"))</f>
        <v>Y</v>
      </c>
      <c r="R9" s="148" t="str">
        <f>IF(ISNUMBER(Table3[[#This Row],[Predicted Spread]]), Table3[[#This Row],[Home Team Covered Market]],"")</f>
        <v>Y</v>
      </c>
      <c r="S9" s="148" t="str">
        <f>IF(ISNUMBER(Table3[[#This Row],[Predicted Spread]]), IF(OR(Table3[[#This Row],[Market Side Correct]]="",ISBLANK(Games!AC8)), "",IF(AND('Prediction Log'!$Q9="Y", 'Prediction Log'!$R9="Y"), "Y", "N")),"")</f>
        <v>Y</v>
      </c>
      <c r="T9" s="149" t="str">
        <f>IF(ISNUMBER(Table3[[#This Row],[Predicted Spread]]), IF(ISBLANK(Games!AC8),"",IF(Games!AE8='Prediction Log'!$H9, "Y", "N")), "")</f>
        <v>Y</v>
      </c>
      <c r="U9" s="149" t="str">
        <f>IF(ISNUMBER(Table3[[#This Row],[Predicted Spread]]), IF(OR(Table3[[#This Row],[Spread]]="",ISBLANK(Games!AC8)), "", IF(Table3[[#This Row],[Home Team Covered Market]]=Games!P8, "Y", "N")),"")</f>
        <v>N</v>
      </c>
      <c r="V9" s="150" t="str">
        <f>IF(ISBLANK(Games!AC8), "",IF('Prediction Log'!$I9='Prediction Log'!$L9, "Y", "N"))</f>
        <v>Y</v>
      </c>
      <c r="W9" s="149" t="str">
        <f>IF(ISNUMBER(Table3[[#This Row],[Predicted Spread]]), IF(OR(Table3[[#This Row],[Model Spread Correct]]="",ISBLANK(Games!AC8)), "",IF('Prediction Log'!$H9&lt;&gt;'Prediction Log'!$L9, "N",IF(AND('Prediction Log'!$E9&gt;0, 'Prediction Log'!$M9&gt;'Prediction Log'!$E9, 'Prediction Log'!$H9='Prediction Log'!$C9), "Y", IF(AND('Prediction Log'!$E9&lt;0, 'Prediction Log'!$M9&lt;'Prediction Log'!$E9,'Prediction Log'!$H9='Prediction Log'!$B9 ), "Y", IF('Prediction Log'!$M9='Prediction Log'!$E9, "PUSH", "N"))))), "")</f>
        <v>Y</v>
      </c>
      <c r="X9" s="149" t="str">
        <f>IF(ISNUMBER(Table3[[#This Row],[Predicted Spread]]), IF(OR(Table3[[#This Row],[Model Spread Correct]]="",ISBLANK(Games!AC8)), "",IF(AND('Prediction Log'!$T9="Y", 'Prediction Log'!$U9="Y"), "Y", "N")), "")</f>
        <v>N</v>
      </c>
      <c r="Y9" s="148" t="n">
        <f>IFERROR(IF(ISNUMBER(Table3[[#This Row],[Predicted Spread]]), IF(ISBLANK(Games!AC8), "",IF('Prediction Log'!$D9&gt;0, 'Prediction Log'!$M9-'Prediction Log'!$D9, IF('Prediction Log'!$D9&lt;0, -'Prediction Log'!$M9+'Prediction Log'!$D9, "NA"))), ""), "")</f>
        <v>22.5</v>
      </c>
      <c r="Z9" s="148" t="n">
        <f>IF(ISNUMBER(Table3[[#This Row],[Difference from Market]]), IF(ISBLANK(Games!AC8), "",ABS('Prediction Log'!$Y9)), "")</f>
        <v>22.5</v>
      </c>
      <c r="AA9" s="139" t="n">
        <f>IF(ISNUMBER(Table3[[#This Row],[Predicted Spread]]), IF(ISBLANK(Games!AC8), "",IF('Prediction Log'!$E9&gt;0, 'Prediction Log'!$M9-'Prediction Log'!$E9, IF('Prediction Log'!$E9&lt;0, -'Prediction Log'!$M9+'Prediction Log'!$E9, "NA"))), "")</f>
        <v>43.755132316289199</v>
      </c>
      <c r="AB9" s="139" t="n">
        <f>IF(ISNUMBER(Table3[[#This Row],[Difference from Prediction]]), IF(ISBLANK(Games!AD8), "",ABS('Prediction Log'!$AA9)), "")</f>
        <v>43.755132316289199</v>
      </c>
      <c r="AC9" s="164" t="str">
        <f>IF(ISNUMBER(Table3[[#This Row],[Predicted Spread]]), IF(OR(ISBLANK(Games!AC8),Table3[[#This Row],[Market Side Correct]]="",ISBLANK('Prediction Log'!$L9)), "",IF(OR(AND('Prediction Log'!D9&lt;0, 'Prediction Log'!L9='Prediction Log'!B9), AND('Prediction Log'!D9&gt;0, 'Prediction Log'!C9='Prediction Log'!L9)),"Y", IF(ISBLANK(Games!$B$2), "","N"))), "")</f>
        <v>Y</v>
      </c>
      <c r="AD9" s="159" t="str">
        <f>'Prediction Log'!$S9</f>
        <v>Y</v>
      </c>
    </row>
    <row r="10">
      <c r="A10" s="165" t="n">
        <f>IF(ISBLANK(Games!$B9), "",Games!A9)</f>
        <v>1</v>
      </c>
      <c r="B10" s="165" t="str">
        <f>IF(ISBLANK(Games!$B9), "",Games!B9)</f>
        <v>Buffalo</v>
      </c>
      <c r="C10" s="165" t="str">
        <f>IF(ISBLANK(Games!$B9), "",Games!C9)</f>
        <v>Lafayette</v>
      </c>
      <c r="D10" s="140" t="n">
        <f>IF(ISBLANK(Games!$D9), "",IF(_xlfn.NUMBERVALUE(Games!D9)=0, "",_xlfn.NUMBERVALUE(Games!D9) ))</f>
        <v>-3.5</v>
      </c>
      <c r="E10" s="138" t="n">
        <f>IF(ISBLANK(_xlfn.NUMBERVALUE(Games!$B9)), "",_xlfn.NUMBERVALUE(Games!J9))</f>
        <v>-10.1429084044328</v>
      </c>
      <c r="F10" s="141" t="n">
        <f>IFERROR(IF(ISBLANK(Games!B9), "", IF(Games!N9=Games!B9, Games!O9, 1-Games!O9)), "")</f>
        <v>0.85163783216744648</v>
      </c>
      <c r="G10" s="142" t="str">
        <f>IF(OR(ISBLANK(Games!B9),Table3[[#This Row],[Spread]]=""), "", IF('Prediction Log'!$D10&lt;0, 'Prediction Log'!$B10, 'Prediction Log'!$C10))</f>
        <v>Buffalo</v>
      </c>
      <c r="H10" s="143" t="str">
        <f>IF(ISBLANK(Games!$B9), "",Games!K9)</f>
        <v>Buffalo</v>
      </c>
      <c r="I10" s="143" t="str">
        <f>IF('Prediction Log'!$F10&gt;0.5, 'Prediction Log'!$B10, IF('Prediction Log'!$F10&lt;0.5, 'Prediction Log'!$C10, "PICK"))</f>
        <v>Buffalo</v>
      </c>
      <c r="J10" s="144" t="n">
        <f>IF(ISBLANK(Games!B9), "",IF('Prediction Log'!$I10='Prediction Log'!$B10, 'Prediction Log'!$F10, 1-'Prediction Log'!$F10))</f>
        <v>0.85163783216744648</v>
      </c>
      <c r="K10" s="145" t="str">
        <f>IF(ISBLANK(Games!$B9), "",Games!Q9)</f>
        <v>Y</v>
      </c>
      <c r="L10" s="124" t="str">
        <f>IF(ISBLANK(Games!AC9), "",Games!AE9)</f>
        <v>Buffalo</v>
      </c>
      <c r="M10" s="161" t="n">
        <f>IF(ISBLANK(Games!AC9), "",Games!AD9-Games!AC9)</f>
        <v>-17</v>
      </c>
      <c r="N10" s="146" t="str">
        <f>IF(ISNUMBER(Table3[[#This Row],[Predicted Spread]]), IF(OR(ISBLANK(Games!AC9),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10" s="147" t="str">
        <f>IF(ISNUMBER(Table3[[#This Row],[Predicted Spread]]), IF(OR(ISBLANK(Games!AC9),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10" s="147" t="str">
        <f>IF(ISNUMBER(Table3[[#This Row],[Predicted Spread]]), IF(ISBLANK(Games!AC9),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0" s="148" t="str">
        <f>IF(OR(ISBLANK(Games!AC9), Table3[[#This Row],[Spread]]=""),"",IF('Prediction Log'!$L10='Prediction Log'!$G10, "Y", "N"))</f>
        <v>Y</v>
      </c>
      <c r="R10" s="148" t="str">
        <f>IF(ISNUMBER(Table3[[#This Row],[Predicted Spread]]), Table3[[#This Row],[Home Team Covered Market]],"")</f>
        <v>Y</v>
      </c>
      <c r="S10" s="148" t="str">
        <f>IF(ISNUMBER(Table3[[#This Row],[Predicted Spread]]), IF(OR(Table3[[#This Row],[Market Side Correct]]="",ISBLANK(Games!AC9)), "",IF(AND('Prediction Log'!$Q10="Y", 'Prediction Log'!$R10="Y"), "Y", "N")),"")</f>
        <v>Y</v>
      </c>
      <c r="T10" s="149" t="str">
        <f>IF(ISNUMBER(Table3[[#This Row],[Predicted Spread]]), IF(ISBLANK(Games!AC9),"",IF(Games!AE9='Prediction Log'!$H10, "Y", "N")), "")</f>
        <v>Y</v>
      </c>
      <c r="U10" s="149" t="str">
        <f>IF(ISNUMBER(Table3[[#This Row],[Predicted Spread]]), IF(OR(Table3[[#This Row],[Spread]]="",ISBLANK(Games!AC9)), "", IF(Table3[[#This Row],[Home Team Covered Market]]=Games!P9, "Y", "N")),"")</f>
        <v>Y</v>
      </c>
      <c r="V10" s="150" t="str">
        <f>IF(ISBLANK(Games!AC9), "",IF('Prediction Log'!$I10='Prediction Log'!$L10, "Y", "N"))</f>
        <v>Y</v>
      </c>
      <c r="W10" s="149" t="str">
        <f>IF(ISNUMBER(Table3[[#This Row],[Predicted Spread]]), IF(OR(Table3[[#This Row],[Model Spread Correct]]="",ISBLANK(Games!AC9)), "",IF('Prediction Log'!$H10&lt;&gt;'Prediction Log'!$L10, "N",IF(AND('Prediction Log'!$E10&gt;0, 'Prediction Log'!$M10&gt;'Prediction Log'!$E10, 'Prediction Log'!$H10='Prediction Log'!$C10), "Y", IF(AND('Prediction Log'!$E10&lt;0, 'Prediction Log'!$M10&lt;'Prediction Log'!$E10,'Prediction Log'!$H10='Prediction Log'!$B10 ), "Y", IF('Prediction Log'!$M10='Prediction Log'!$E10, "PUSH", "N"))))), "")</f>
        <v>Y</v>
      </c>
      <c r="X10" s="149" t="str">
        <f>IF(ISNUMBER(Table3[[#This Row],[Predicted Spread]]), IF(OR(Table3[[#This Row],[Model Spread Correct]]="",ISBLANK(Games!AC9)), "",IF(AND('Prediction Log'!$T10="Y", 'Prediction Log'!$U10="Y"), "Y", "N")), "")</f>
        <v>Y</v>
      </c>
      <c r="Y10" s="148" t="n">
        <f>IFERROR(IF(ISNUMBER(Table3[[#This Row],[Predicted Spread]]), IF(ISBLANK(Games!AC9), "",IF('Prediction Log'!$D10&gt;0, 'Prediction Log'!$M10-'Prediction Log'!$D10, IF('Prediction Log'!$D10&lt;0, -'Prediction Log'!$M10+'Prediction Log'!$D10, "NA"))), ""), "")</f>
        <v>13.5</v>
      </c>
      <c r="Z10" s="148" t="n">
        <f>IF(ISNUMBER(Table3[[#This Row],[Difference from Market]]), IF(ISBLANK(Games!AC9), "",ABS('Prediction Log'!$Y10)), "")</f>
        <v>13.5</v>
      </c>
      <c r="AA10" s="139" t="n">
        <f>IF(ISNUMBER(Table3[[#This Row],[Predicted Spread]]), IF(ISBLANK(Games!AC9), "",IF('Prediction Log'!$E10&gt;0, 'Prediction Log'!$M10-'Prediction Log'!$E10, IF('Prediction Log'!$E10&lt;0, -'Prediction Log'!$M10+'Prediction Log'!$E10, "NA"))), "")</f>
        <v>6.8570915955671996</v>
      </c>
      <c r="AB10" s="139" t="n">
        <f>IF(ISNUMBER(Table3[[#This Row],[Difference from Prediction]]), IF(ISBLANK(Games!AD9), "",ABS('Prediction Log'!$AA10)), "")</f>
        <v>6.8570915955671996</v>
      </c>
      <c r="AC10" s="164" t="str">
        <f>IF(ISNUMBER(Table3[[#This Row],[Predicted Spread]]), IF(OR(ISBLANK(Games!AC9),Table3[[#This Row],[Market Side Correct]]="",ISBLANK('Prediction Log'!$L10)), "",IF(OR(AND('Prediction Log'!D10&lt;0, 'Prediction Log'!L10='Prediction Log'!B10), AND('Prediction Log'!D10&gt;0, 'Prediction Log'!C10='Prediction Log'!L10)),"Y", IF(ISBLANK(Games!$B$2), "","N"))), "")</f>
        <v>Y</v>
      </c>
      <c r="AD10" s="159" t="str">
        <f>'Prediction Log'!$S10</f>
        <v>Y</v>
      </c>
    </row>
    <row r="11">
      <c r="A11" s="165" t="n">
        <f>IF(ISBLANK(Games!$B10), "",Games!A10)</f>
        <v>1</v>
      </c>
      <c r="B11" s="165" t="str">
        <f>IF(ISBLANK(Games!$B10), "",Games!B10)</f>
        <v>NC State</v>
      </c>
      <c r="C11" s="165" t="str">
        <f>IF(ISBLANK(Games!$B10), "",Games!C10)</f>
        <v>Western Carolina</v>
      </c>
      <c r="D11" s="140" t="str">
        <f>IF(ISBLANK(Games!$D10), "",IF(_xlfn.NUMBERVALUE(Games!D10)=0, "",_xlfn.NUMBERVALUE(Games!D10) ))</f>
      </c>
      <c r="E11" s="138" t="n">
        <f>IF(ISBLANK(_xlfn.NUMBERVALUE(Games!$B10)), "",_xlfn.NUMBERVALUE(Games!J10))</f>
        <v>-23.810738659483601</v>
      </c>
      <c r="F11" s="141" t="n">
        <f>IFERROR(IF(ISBLANK(Games!B10), "", IF(Games!N10=Games!B10, Games!O10, 1-Games!O10)), "")</f>
        <v>0.9762111954718945</v>
      </c>
      <c r="G11" s="142" t="str">
        <f>IF(OR(ISBLANK(Games!B10),Table3[[#This Row],[Spread]]=""), "", IF('Prediction Log'!$D11&lt;0, 'Prediction Log'!$B11, 'Prediction Log'!$C11))</f>
      </c>
      <c r="H11" s="143" t="str">
        <f>IF(ISBLANK(Games!$B10), "",Games!K10)</f>
        <v>NC State</v>
      </c>
      <c r="I11" s="143" t="str">
        <f>IF('Prediction Log'!$F11&gt;0.5, 'Prediction Log'!$B11, IF('Prediction Log'!$F11&lt;0.5, 'Prediction Log'!$C11, "PICK"))</f>
        <v>NC State</v>
      </c>
      <c r="J11" s="144" t="n">
        <f>IF(ISBLANK(Games!B10), "",IF('Prediction Log'!$I11='Prediction Log'!$B11, 'Prediction Log'!$F11, 1-'Prediction Log'!$F11))</f>
        <v>0.9762111954718945</v>
      </c>
      <c r="K11" s="145" t="str">
        <f>IF(ISBLANK(Games!$B10), "",Games!Q10)</f>
        <v>Y</v>
      </c>
      <c r="L11" s="124" t="str">
        <f>IF(ISBLANK(Games!AC10), "",Games!AE10)</f>
        <v>NC State</v>
      </c>
      <c r="M11" s="161" t="n">
        <f>IF(ISBLANK(Games!AC10), "",Games!AD10-Games!AC10)</f>
        <v>-17</v>
      </c>
      <c r="N11" s="146" t="str">
        <f>IF(ISNUMBER(Table3[[#This Row],[Predicted Spread]]), IF(OR(ISBLANK(Games!AC10),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1" s="147" t="str">
        <f>IF(ISNUMBER(Table3[[#This Row],[Predicted Spread]]), IF(OR(ISBLANK(Games!AC10),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1" s="147" t="str">
        <f>IF(ISNUMBER(Table3[[#This Row],[Predicted Spread]]), IF(ISBLANK(Games!AC10),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11" s="148" t="str">
        <f>IF(OR(ISBLANK(Games!AC10), Table3[[#This Row],[Spread]]=""),"",IF('Prediction Log'!$L11='Prediction Log'!$G11, "Y", "N"))</f>
      </c>
      <c r="R11" s="148" t="str">
        <f>IF(ISNUMBER(Table3[[#This Row],[Predicted Spread]]), Table3[[#This Row],[Home Team Covered Market]],"")</f>
      </c>
      <c r="S11" s="148" t="str">
        <f>IF(ISNUMBER(Table3[[#This Row],[Predicted Spread]]), IF(OR(Table3[[#This Row],[Market Side Correct]]="",ISBLANK(Games!AC10)), "",IF(AND('Prediction Log'!$Q11="Y", 'Prediction Log'!$R11="Y"), "Y", "N")),"")</f>
      </c>
      <c r="T11" s="149" t="str">
        <f>IF(ISNUMBER(Table3[[#This Row],[Predicted Spread]]), IF(ISBLANK(Games!AC10),"",IF(Games!AE10='Prediction Log'!$H11, "Y", "N")), "")</f>
        <v>Y</v>
      </c>
      <c r="U11" s="149" t="str">
        <f>IF(ISNUMBER(Table3[[#This Row],[Predicted Spread]]), IF(OR(Table3[[#This Row],[Spread]]="",ISBLANK(Games!AC10)), "", IF(Table3[[#This Row],[Home Team Covered Market]]=Games!P10, "Y", "N")),"")</f>
      </c>
      <c r="V11" s="150" t="str">
        <f>IF(ISBLANK(Games!AC10), "",IF('Prediction Log'!$I11='Prediction Log'!$L11, "Y", "N"))</f>
        <v>Y</v>
      </c>
      <c r="W11" s="149" t="str">
        <f>IF(ISNUMBER(Table3[[#This Row],[Predicted Spread]]), IF(OR(Table3[[#This Row],[Model Spread Correct]]="",ISBLANK(Games!AC10)), "",IF('Prediction Log'!$H11&lt;&gt;'Prediction Log'!$L11, "N",IF(AND('Prediction Log'!$E11&gt;0, 'Prediction Log'!$M11&gt;'Prediction Log'!$E11, 'Prediction Log'!$H11='Prediction Log'!$C11), "Y", IF(AND('Prediction Log'!$E11&lt;0, 'Prediction Log'!$M11&lt;'Prediction Log'!$E11,'Prediction Log'!$H11='Prediction Log'!$B11 ), "Y", IF('Prediction Log'!$M11='Prediction Log'!$E11, "PUSH", "N"))))), "")</f>
      </c>
      <c r="X11" s="149" t="str">
        <f>IF(ISNUMBER(Table3[[#This Row],[Predicted Spread]]), IF(OR(Table3[[#This Row],[Model Spread Correct]]="",ISBLANK(Games!AC10)), "",IF(AND('Prediction Log'!$T11="Y", 'Prediction Log'!$U11="Y"), "Y", "N")), "")</f>
      </c>
      <c r="Y11" s="148" t="str">
        <f>IFERROR(IF(ISNUMBER(Table3[[#This Row],[Predicted Spread]]), IF(ISBLANK(Games!AC10), "",IF('Prediction Log'!$D11&gt;0, 'Prediction Log'!$M11-'Prediction Log'!$D11, IF('Prediction Log'!$D11&lt;0, -'Prediction Log'!$M11+'Prediction Log'!$D11, "NA"))), ""), "")</f>
      </c>
      <c r="Z11" s="148" t="str">
        <f>IF(ISNUMBER(Table3[[#This Row],[Difference from Market]]), IF(ISBLANK(Games!AC10), "",ABS('Prediction Log'!$Y11)), "")</f>
      </c>
      <c r="AA11" s="139" t="n">
        <f>IF(ISNUMBER(Table3[[#This Row],[Predicted Spread]]), IF(ISBLANK(Games!AC10), "",IF('Prediction Log'!$E11&gt;0, 'Prediction Log'!$M11-'Prediction Log'!$E11, IF('Prediction Log'!$E11&lt;0, -'Prediction Log'!$M11+'Prediction Log'!$E11, "NA"))), "")</f>
        <v>-6.8107386594836008</v>
      </c>
      <c r="AB11" s="139" t="n">
        <f>IF(ISNUMBER(Table3[[#This Row],[Difference from Prediction]]), IF(ISBLANK(Games!AD10), "",ABS('Prediction Log'!$AA11)), "")</f>
        <v>6.8107386594836008</v>
      </c>
      <c r="AC11" s="164" t="str">
        <f>IF(ISNUMBER(Table3[[#This Row],[Predicted Spread]]), IF(OR(ISBLANK(Games!AC10),Table3[[#This Row],[Market Side Correct]]="",ISBLANK('Prediction Log'!$L11)), "",IF(OR(AND('Prediction Log'!D11&lt;0, 'Prediction Log'!L11='Prediction Log'!B11), AND('Prediction Log'!D11&gt;0, 'Prediction Log'!C11='Prediction Log'!L11)),"Y", IF(ISBLANK(Games!$B$2), "","N"))), "")</f>
      </c>
      <c r="AD11" s="159" t="str">
        <f>'Prediction Log'!$S11</f>
      </c>
    </row>
    <row r="12">
      <c r="A12" s="165" t="n">
        <f>IF(ISBLANK(Games!$B11), "",Games!A11)</f>
        <v>1</v>
      </c>
      <c r="B12" s="165" t="str">
        <f>IF(ISBLANK(Games!$B11), "",Games!B11)</f>
        <v>UCF</v>
      </c>
      <c r="C12" s="165" t="str">
        <f>IF(ISBLANK(Games!$B11), "",Games!C11)</f>
        <v>New Hampshire</v>
      </c>
      <c r="D12" s="140" t="str">
        <f>IF(ISBLANK(Games!$D11), "",IF(_xlfn.NUMBERVALUE(Games!D11)=0, "",_xlfn.NUMBERVALUE(Games!D11) ))</f>
      </c>
      <c r="E12" s="138" t="n">
        <f>IF(ISBLANK(_xlfn.NUMBERVALUE(Games!$B11)), "",_xlfn.NUMBERVALUE(Games!J11))</f>
        <v>-25.499654989538399</v>
      </c>
      <c r="F12" s="141" t="n">
        <f>IFERROR(IF(ISBLANK(Games!B11), "", IF(Games!N11=Games!B11, Games!O11, 1-Games!O11)), "")</f>
        <v>0.98124788334325064</v>
      </c>
      <c r="G12" s="142" t="str">
        <f>IF(OR(ISBLANK(Games!B11),Table3[[#This Row],[Spread]]=""), "", IF('Prediction Log'!$D12&lt;0, 'Prediction Log'!$B12, 'Prediction Log'!$C12))</f>
      </c>
      <c r="H12" s="143" t="str">
        <f>IF(ISBLANK(Games!$B11), "",Games!K11)</f>
        <v>UCF</v>
      </c>
      <c r="I12" s="143" t="str">
        <f>IF('Prediction Log'!$F12&gt;0.5, 'Prediction Log'!$B12, IF('Prediction Log'!$F12&lt;0.5, 'Prediction Log'!$C12, "PICK"))</f>
        <v>UCF</v>
      </c>
      <c r="J12" s="144" t="n">
        <f>IF(ISBLANK(Games!B11), "",IF('Prediction Log'!$I12='Prediction Log'!$B12, 'Prediction Log'!$F12, 1-'Prediction Log'!$F12))</f>
        <v>0.98124788334325064</v>
      </c>
      <c r="K12" s="145" t="str">
        <f>IF(ISBLANK(Games!$B11), "",Games!Q11)</f>
        <v>Y</v>
      </c>
      <c r="L12" s="124" t="str">
        <f>IF(ISBLANK(Games!AC11), "",Games!AE11)</f>
        <v>UCF</v>
      </c>
      <c r="M12" s="161" t="n">
        <f>IF(ISBLANK(Games!AC11), "",Games!AD11-Games!AC11)</f>
        <v>-54</v>
      </c>
      <c r="N12" s="146" t="str">
        <f>IF(ISNUMBER(Table3[[#This Row],[Predicted Spread]]), IF(OR(ISBLANK(Games!AC11),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2" s="147" t="str">
        <f>IF(ISNUMBER(Table3[[#This Row],[Predicted Spread]]), IF(OR(ISBLANK(Games!AC11),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2" s="147" t="str">
        <f>IF(ISNUMBER(Table3[[#This Row],[Predicted Spread]]), IF(ISBLANK(Games!AC11),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2" s="148" t="str">
        <f>IF(OR(ISBLANK(Games!AC11), Table3[[#This Row],[Spread]]=""),"",IF('Prediction Log'!$L12='Prediction Log'!$G12, "Y", "N"))</f>
      </c>
      <c r="R12" s="148" t="str">
        <f>IF(ISNUMBER(Table3[[#This Row],[Predicted Spread]]), Table3[[#This Row],[Home Team Covered Market]],"")</f>
      </c>
      <c r="S12" s="148" t="str">
        <f>IF(ISNUMBER(Table3[[#This Row],[Predicted Spread]]), IF(OR(Table3[[#This Row],[Market Side Correct]]="",ISBLANK(Games!AC11)), "",IF(AND('Prediction Log'!$Q12="Y", 'Prediction Log'!$R12="Y"), "Y", "N")),"")</f>
      </c>
      <c r="T12" s="149" t="str">
        <f>IF(ISNUMBER(Table3[[#This Row],[Predicted Spread]]), IF(ISBLANK(Games!AC11),"",IF(Games!AE11='Prediction Log'!$H12, "Y", "N")), "")</f>
        <v>Y</v>
      </c>
      <c r="U12" s="149" t="str">
        <f>IF(ISNUMBER(Table3[[#This Row],[Predicted Spread]]), IF(OR(Table3[[#This Row],[Spread]]="",ISBLANK(Games!AC11)), "", IF(Table3[[#This Row],[Home Team Covered Market]]=Games!P11, "Y", "N")),"")</f>
      </c>
      <c r="V12" s="150" t="str">
        <f>IF(ISBLANK(Games!AC11), "",IF('Prediction Log'!$I12='Prediction Log'!$L12, "Y", "N"))</f>
        <v>Y</v>
      </c>
      <c r="W12" s="149" t="str">
        <f>IF(ISNUMBER(Table3[[#This Row],[Predicted Spread]]), IF(OR(Table3[[#This Row],[Model Spread Correct]]="",ISBLANK(Games!AC11)), "",IF('Prediction Log'!$H12&lt;&gt;'Prediction Log'!$L12, "N",IF(AND('Prediction Log'!$E12&gt;0, 'Prediction Log'!$M12&gt;'Prediction Log'!$E12, 'Prediction Log'!$H12='Prediction Log'!$C12), "Y", IF(AND('Prediction Log'!$E12&lt;0, 'Prediction Log'!$M12&lt;'Prediction Log'!$E12,'Prediction Log'!$H12='Prediction Log'!$B12 ), "Y", IF('Prediction Log'!$M12='Prediction Log'!$E12, "PUSH", "N"))))), "")</f>
      </c>
      <c r="X12" s="149" t="str">
        <f>IF(ISNUMBER(Table3[[#This Row],[Predicted Spread]]), IF(OR(Table3[[#This Row],[Model Spread Correct]]="",ISBLANK(Games!AC11)), "",IF(AND('Prediction Log'!$T12="Y", 'Prediction Log'!$U12="Y"), "Y", "N")), "")</f>
      </c>
      <c r="Y12" s="148" t="str">
        <f>IFERROR(IF(ISNUMBER(Table3[[#This Row],[Predicted Spread]]), IF(ISBLANK(Games!AC11), "",IF('Prediction Log'!$D12&gt;0, 'Prediction Log'!$M12-'Prediction Log'!$D12, IF('Prediction Log'!$D12&lt;0, -'Prediction Log'!$M12+'Prediction Log'!$D12, "NA"))), ""), "")</f>
      </c>
      <c r="Z12" s="148" t="str">
        <f>IF(ISNUMBER(Table3[[#This Row],[Difference from Market]]), IF(ISBLANK(Games!AC11), "",ABS('Prediction Log'!$Y12)), "")</f>
      </c>
      <c r="AA12" s="139" t="n">
        <f>IF(ISNUMBER(Table3[[#This Row],[Predicted Spread]]), IF(ISBLANK(Games!AC11), "",IF('Prediction Log'!$E12&gt;0, 'Prediction Log'!$M12-'Prediction Log'!$E12, IF('Prediction Log'!$E12&lt;0, -'Prediction Log'!$M12+'Prediction Log'!$E12, "NA"))), "")</f>
        <v>28.500345010461601</v>
      </c>
      <c r="AB12" s="139" t="n">
        <f>IF(ISNUMBER(Table3[[#This Row],[Difference from Prediction]]), IF(ISBLANK(Games!AD11), "",ABS('Prediction Log'!$AA12)), "")</f>
        <v>28.500345010461601</v>
      </c>
      <c r="AC12" s="164" t="str">
        <f>IF(ISNUMBER(Table3[[#This Row],[Predicted Spread]]), IF(OR(ISBLANK(Games!AC11),Table3[[#This Row],[Market Side Correct]]="",ISBLANK('Prediction Log'!$L12)), "",IF(OR(AND('Prediction Log'!D12&lt;0, 'Prediction Log'!L12='Prediction Log'!B12), AND('Prediction Log'!D12&gt;0, 'Prediction Log'!C12='Prediction Log'!L12)),"Y", IF(ISBLANK(Games!$B$2), "","N"))), "")</f>
      </c>
      <c r="AD12" s="159" t="str">
        <f>'Prediction Log'!$S12</f>
      </c>
    </row>
    <row r="13">
      <c r="A13" s="165" t="n">
        <f>IF(ISBLANK(Games!$B12), "",Games!A12)</f>
        <v>1</v>
      </c>
      <c r="B13" s="165" t="str">
        <f>IF(ISBLANK(Games!$B12), "",Games!B12)</f>
        <v>Bowling Green</v>
      </c>
      <c r="C13" s="165" t="str">
        <f>IF(ISBLANK(Games!$B12), "",Games!C12)</f>
        <v>Fordham</v>
      </c>
      <c r="D13" s="140" t="str">
        <f>IF(ISBLANK(Games!$D12), "",IF(_xlfn.NUMBERVALUE(Games!D12)=0, "",_xlfn.NUMBERVALUE(Games!D12) ))</f>
      </c>
      <c r="E13" s="138" t="n">
        <f>IF(ISBLANK(_xlfn.NUMBERVALUE(Games!$B12)), "",_xlfn.NUMBERVALUE(Games!J12))</f>
        <v>-17.806021965062801</v>
      </c>
      <c r="F13" s="141" t="n">
        <f>IFERROR(IF(ISBLANK(Games!B12), "", IF(Games!N12=Games!B12, Games!O12, 1-Games!O12)), "")</f>
        <v>0.9453349985465499</v>
      </c>
      <c r="G13" s="142" t="str">
        <f>IF(OR(ISBLANK(Games!B12),Table3[[#This Row],[Spread]]=""), "", IF('Prediction Log'!$D13&lt;0, 'Prediction Log'!$B13, 'Prediction Log'!$C13))</f>
      </c>
      <c r="H13" s="143" t="str">
        <f>IF(ISBLANK(Games!$B12), "",Games!K12)</f>
        <v>Bowling Green</v>
      </c>
      <c r="I13" s="143" t="str">
        <f>IF('Prediction Log'!$F13&gt;0.5, 'Prediction Log'!$B13, IF('Prediction Log'!$F13&lt;0.5, 'Prediction Log'!$C13, "PICK"))</f>
        <v>Bowling Green</v>
      </c>
      <c r="J13" s="144" t="n">
        <f>IF(ISBLANK(Games!B12), "",IF('Prediction Log'!$I13='Prediction Log'!$B13, 'Prediction Log'!$F13, 1-'Prediction Log'!$F13))</f>
        <v>0.9453349985465499</v>
      </c>
      <c r="K13" s="145" t="str">
        <f>IF(ISBLANK(Games!$B12), "",Games!Q12)</f>
        <v>Y</v>
      </c>
      <c r="L13" s="124" t="str">
        <f>IF(ISBLANK(Games!AC12), "",Games!AE12)</f>
        <v>Bowling Green</v>
      </c>
      <c r="M13" s="161" t="n">
        <f>IF(ISBLANK(Games!AC12), "",Games!AD12-Games!AC12)</f>
        <v>-24</v>
      </c>
      <c r="N13" s="146" t="str">
        <f>IF(ISNUMBER(Table3[[#This Row],[Predicted Spread]]), IF(OR(ISBLANK(Games!AC12),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3" s="147" t="str">
        <f>IF(ISNUMBER(Table3[[#This Row],[Predicted Spread]]), IF(OR(ISBLANK(Games!AC12),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3" s="147" t="str">
        <f>IF(ISNUMBER(Table3[[#This Row],[Predicted Spread]]), IF(ISBLANK(Games!AC12),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3" s="148" t="str">
        <f>IF(OR(ISBLANK(Games!AC12), Table3[[#This Row],[Spread]]=""),"",IF('Prediction Log'!$L13='Prediction Log'!$G13, "Y", "N"))</f>
      </c>
      <c r="R13" s="148" t="str">
        <f>IF(ISNUMBER(Table3[[#This Row],[Predicted Spread]]), Table3[[#This Row],[Home Team Covered Market]],"")</f>
      </c>
      <c r="S13" s="148" t="str">
        <f>IF(ISNUMBER(Table3[[#This Row],[Predicted Spread]]), IF(OR(Table3[[#This Row],[Market Side Correct]]="",ISBLANK(Games!AC12)), "",IF(AND('Prediction Log'!$Q13="Y", 'Prediction Log'!$R13="Y"), "Y", "N")),"")</f>
      </c>
      <c r="T13" s="149" t="str">
        <f>IF(ISNUMBER(Table3[[#This Row],[Predicted Spread]]), IF(ISBLANK(Games!AC12),"",IF(Games!AE12='Prediction Log'!$H13, "Y", "N")), "")</f>
        <v>Y</v>
      </c>
      <c r="U13" s="149" t="str">
        <f>IF(ISNUMBER(Table3[[#This Row],[Predicted Spread]]), IF(OR(Table3[[#This Row],[Spread]]="",ISBLANK(Games!AC12)), "", IF(Table3[[#This Row],[Home Team Covered Market]]=Games!P12, "Y", "N")),"")</f>
      </c>
      <c r="V13" s="150" t="str">
        <f>IF(ISBLANK(Games!AC12), "",IF('Prediction Log'!$I13='Prediction Log'!$L13, "Y", "N"))</f>
        <v>Y</v>
      </c>
      <c r="W13" s="149" t="str">
        <f>IF(ISNUMBER(Table3[[#This Row],[Predicted Spread]]), IF(OR(Table3[[#This Row],[Model Spread Correct]]="",ISBLANK(Games!AC12)), "",IF('Prediction Log'!$H13&lt;&gt;'Prediction Log'!$L13, "N",IF(AND('Prediction Log'!$E13&gt;0, 'Prediction Log'!$M13&gt;'Prediction Log'!$E13, 'Prediction Log'!$H13='Prediction Log'!$C13), "Y", IF(AND('Prediction Log'!$E13&lt;0, 'Prediction Log'!$M13&lt;'Prediction Log'!$E13,'Prediction Log'!$H13='Prediction Log'!$B13 ), "Y", IF('Prediction Log'!$M13='Prediction Log'!$E13, "PUSH", "N"))))), "")</f>
      </c>
      <c r="X13" s="149" t="str">
        <f>IF(ISNUMBER(Table3[[#This Row],[Predicted Spread]]), IF(OR(Table3[[#This Row],[Model Spread Correct]]="",ISBLANK(Games!AC12)), "",IF(AND('Prediction Log'!$T13="Y", 'Prediction Log'!$U13="Y"), "Y", "N")), "")</f>
      </c>
      <c r="Y13" s="148" t="str">
        <f>IFERROR(IF(ISNUMBER(Table3[[#This Row],[Predicted Spread]]), IF(ISBLANK(Games!AC12), "",IF('Prediction Log'!$D13&gt;0, 'Prediction Log'!$M13-'Prediction Log'!$D13, IF('Prediction Log'!$D13&lt;0, -'Prediction Log'!$M13+'Prediction Log'!$D13, "NA"))), ""), "")</f>
      </c>
      <c r="Z13" s="148" t="str">
        <f>IF(ISNUMBER(Table3[[#This Row],[Difference from Market]]), IF(ISBLANK(Games!AC12), "",ABS('Prediction Log'!$Y13)), "")</f>
      </c>
      <c r="AA13" s="139" t="n">
        <f>IF(ISNUMBER(Table3[[#This Row],[Predicted Spread]]), IF(ISBLANK(Games!AC12), "",IF('Prediction Log'!$E13&gt;0, 'Prediction Log'!$M13-'Prediction Log'!$E13, IF('Prediction Log'!$E13&lt;0, -'Prediction Log'!$M13+'Prediction Log'!$E13, "NA"))), "")</f>
        <v>6.1939780349371993</v>
      </c>
      <c r="AB13" s="139" t="n">
        <f>IF(ISNUMBER(Table3[[#This Row],[Difference from Prediction]]), IF(ISBLANK(Games!AD12), "",ABS('Prediction Log'!$AA13)), "")</f>
        <v>6.1939780349371993</v>
      </c>
      <c r="AC13" s="164" t="str">
        <f>IF(ISNUMBER(Table3[[#This Row],[Predicted Spread]]), IF(OR(ISBLANK(Games!AC12),Table3[[#This Row],[Market Side Correct]]="",ISBLANK('Prediction Log'!$L13)), "",IF(OR(AND('Prediction Log'!D13&lt;0, 'Prediction Log'!L13='Prediction Log'!B13), AND('Prediction Log'!D13&gt;0, 'Prediction Log'!C13='Prediction Log'!L13)),"Y", IF(ISBLANK(Games!$B$2), "","N"))), "")</f>
      </c>
      <c r="AD13" s="159" t="str">
        <f>'Prediction Log'!$S13</f>
      </c>
    </row>
    <row r="14">
      <c r="A14" s="165" t="n">
        <f>IF(ISBLANK(Games!$B13), "",Games!A13)</f>
        <v>1</v>
      </c>
      <c r="B14" s="165" t="str">
        <f>IF(ISBLANK(Games!$B13), "",Games!B13)</f>
        <v>Wake Forest</v>
      </c>
      <c r="C14" s="165" t="str">
        <f>IF(ISBLANK(Games!$B13), "",Games!C13)</f>
        <v>North Carolina A&amp;T</v>
      </c>
      <c r="D14" s="140" t="str">
        <f>IF(ISBLANK(Games!$D13), "",IF(_xlfn.NUMBERVALUE(Games!D13)=0, "",_xlfn.NUMBERVALUE(Games!D13) ))</f>
      </c>
      <c r="E14" s="138" t="n">
        <f>IF(ISBLANK(_xlfn.NUMBERVALUE(Games!$B13)), "",_xlfn.NUMBERVALUE(Games!J13))</f>
        <v>-16.359749818987201</v>
      </c>
      <c r="F14" s="141" t="n">
        <f>IFERROR(IF(ISBLANK(Games!B13), "", IF(Games!N13=Games!B13, Games!O13, 1-Games!O13)), "")</f>
        <v>0.93352739432176124</v>
      </c>
      <c r="G14" s="142" t="str">
        <f>IF(OR(ISBLANK(Games!B13),Table3[[#This Row],[Spread]]=""), "", IF('Prediction Log'!$D14&lt;0, 'Prediction Log'!$B14, 'Prediction Log'!$C14))</f>
      </c>
      <c r="H14" s="143" t="str">
        <f>IF(ISBLANK(Games!$B13), "",Games!K13)</f>
        <v>Wake Forest</v>
      </c>
      <c r="I14" s="143" t="str">
        <f>IF('Prediction Log'!$F14&gt;0.5, 'Prediction Log'!$B14, IF('Prediction Log'!$F14&lt;0.5, 'Prediction Log'!$C14, "PICK"))</f>
        <v>Wake Forest</v>
      </c>
      <c r="J14" s="144" t="n">
        <f>IF(ISBLANK(Games!B13), "",IF('Prediction Log'!$I14='Prediction Log'!$B14, 'Prediction Log'!$F14, 1-'Prediction Log'!$F14))</f>
        <v>0.93352739432176124</v>
      </c>
      <c r="K14" s="145" t="str">
        <f>IF(ISBLANK(Games!$B13), "",Games!Q13)</f>
        <v>Y</v>
      </c>
      <c r="L14" s="124" t="str">
        <f>IF(ISBLANK(Games!AC13), "",Games!AE13)</f>
        <v>Wake Forest</v>
      </c>
      <c r="M14" s="161" t="n">
        <f>IF(ISBLANK(Games!AC13), "",Games!AD13-Games!AC13)</f>
        <v>-42</v>
      </c>
      <c r="N14" s="146" t="str">
        <f>IF(ISNUMBER(Table3[[#This Row],[Predicted Spread]]), IF(OR(ISBLANK(Games!AC13),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4" s="147" t="str">
        <f>IF(ISNUMBER(Table3[[#This Row],[Predicted Spread]]), IF(OR(ISBLANK(Games!AC13),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4" s="147" t="str">
        <f>IF(ISNUMBER(Table3[[#This Row],[Predicted Spread]]), IF(ISBLANK(Games!AC13),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4" s="148" t="str">
        <f>IF(OR(ISBLANK(Games!AC13), Table3[[#This Row],[Spread]]=""),"",IF('Prediction Log'!$L14='Prediction Log'!$G14, "Y", "N"))</f>
      </c>
      <c r="R14" s="148" t="str">
        <f>IF(ISNUMBER(Table3[[#This Row],[Predicted Spread]]), Table3[[#This Row],[Home Team Covered Market]],"")</f>
      </c>
      <c r="S14" s="148" t="str">
        <f>IF(ISNUMBER(Table3[[#This Row],[Predicted Spread]]), IF(OR(Table3[[#This Row],[Market Side Correct]]="",ISBLANK(Games!AC13)), "",IF(AND('Prediction Log'!$Q14="Y", 'Prediction Log'!$R14="Y"), "Y", "N")),"")</f>
      </c>
      <c r="T14" s="149" t="str">
        <f>IF(ISNUMBER(Table3[[#This Row],[Predicted Spread]]), IF(ISBLANK(Games!AC13),"",IF(Games!AE13='Prediction Log'!$H14, "Y", "N")), "")</f>
        <v>Y</v>
      </c>
      <c r="U14" s="149" t="str">
        <f>IF(ISNUMBER(Table3[[#This Row],[Predicted Spread]]), IF(OR(Table3[[#This Row],[Spread]]="",ISBLANK(Games!AC13)), "", IF(Table3[[#This Row],[Home Team Covered Market]]=Games!P13, "Y", "N")),"")</f>
      </c>
      <c r="V14" s="150" t="str">
        <f>IF(ISBLANK(Games!AC13), "",IF('Prediction Log'!$I14='Prediction Log'!$L14, "Y", "N"))</f>
        <v>Y</v>
      </c>
      <c r="W14" s="149" t="str">
        <f>IF(ISNUMBER(Table3[[#This Row],[Predicted Spread]]), IF(OR(Table3[[#This Row],[Model Spread Correct]]="",ISBLANK(Games!AC13)), "",IF('Prediction Log'!$H14&lt;&gt;'Prediction Log'!$L14, "N",IF(AND('Prediction Log'!$E14&gt;0, 'Prediction Log'!$M14&gt;'Prediction Log'!$E14, 'Prediction Log'!$H14='Prediction Log'!$C14), "Y", IF(AND('Prediction Log'!$E14&lt;0, 'Prediction Log'!$M14&lt;'Prediction Log'!$E14,'Prediction Log'!$H14='Prediction Log'!$B14 ), "Y", IF('Prediction Log'!$M14='Prediction Log'!$E14, "PUSH", "N"))))), "")</f>
      </c>
      <c r="X14" s="149" t="str">
        <f>IF(ISNUMBER(Table3[[#This Row],[Predicted Spread]]), IF(OR(Table3[[#This Row],[Model Spread Correct]]="",ISBLANK(Games!AC13)), "",IF(AND('Prediction Log'!$T14="Y", 'Prediction Log'!$U14="Y"), "Y", "N")), "")</f>
      </c>
      <c r="Y14" s="148" t="str">
        <f>IFERROR(IF(ISNUMBER(Table3[[#This Row],[Predicted Spread]]), IF(ISBLANK(Games!AC13), "",IF('Prediction Log'!$D14&gt;0, 'Prediction Log'!$M14-'Prediction Log'!$D14, IF('Prediction Log'!$D14&lt;0, -'Prediction Log'!$M14+'Prediction Log'!$D14, "NA"))), ""), "")</f>
      </c>
      <c r="Z14" s="148" t="str">
        <f>IF(ISNUMBER(Table3[[#This Row],[Difference from Market]]), IF(ISBLANK(Games!AC13), "",ABS('Prediction Log'!$Y14)), "")</f>
      </c>
      <c r="AA14" s="139" t="n">
        <f>IF(ISNUMBER(Table3[[#This Row],[Predicted Spread]]), IF(ISBLANK(Games!AC13), "",IF('Prediction Log'!$E14&gt;0, 'Prediction Log'!$M14-'Prediction Log'!$E14, IF('Prediction Log'!$E14&lt;0, -'Prediction Log'!$M14+'Prediction Log'!$E14, "NA"))), "")</f>
        <v>25.640250181012799</v>
      </c>
      <c r="AB14" s="139" t="n">
        <f>IF(ISNUMBER(Table3[[#This Row],[Difference from Prediction]]), IF(ISBLANK(Games!AD13), "",ABS('Prediction Log'!$AA14)), "")</f>
        <v>25.640250181012799</v>
      </c>
      <c r="AC14" s="164" t="str">
        <f>IF(ISNUMBER(Table3[[#This Row],[Predicted Spread]]), IF(OR(ISBLANK(Games!AC13),Table3[[#This Row],[Market Side Correct]]="",ISBLANK('Prediction Log'!$L14)), "",IF(OR(AND('Prediction Log'!D14&lt;0, 'Prediction Log'!L14='Prediction Log'!B14), AND('Prediction Log'!D14&gt;0, 'Prediction Log'!C14='Prediction Log'!L14)),"Y", IF(ISBLANK(Games!$B$2), "","N"))), "")</f>
      </c>
      <c r="AD14" s="159" t="str">
        <f>'Prediction Log'!$S14</f>
      </c>
    </row>
    <row r="15">
      <c r="A15" s="165" t="n">
        <f>IF(ISBLANK(Games!$B14), "",Games!A14)</f>
        <v>1</v>
      </c>
      <c r="B15" s="165" t="str">
        <f>IF(ISBLANK(Games!$B14), "",Games!B14)</f>
        <v>Arkansas</v>
      </c>
      <c r="C15" s="165" t="str">
        <f>IF(ISBLANK(Games!$B14), "",Games!C14)</f>
        <v>Arkansas-Pine Bluff</v>
      </c>
      <c r="D15" s="140" t="str">
        <f>IF(ISBLANK(Games!$D14), "",IF(_xlfn.NUMBERVALUE(Games!D14)=0, "",_xlfn.NUMBERVALUE(Games!D14) ))</f>
      </c>
      <c r="E15" s="138" t="n">
        <f>IF(ISBLANK(_xlfn.NUMBERVALUE(Games!$B14)), "",_xlfn.NUMBERVALUE(Games!J14))</f>
        <v>-19.738279326680399</v>
      </c>
      <c r="F15" s="141" t="n">
        <f>IFERROR(IF(ISBLANK(Games!B14), "", IF(Games!N14=Games!B14, Games!O14, 1-Games!O14)), "")</f>
        <v>0.94482901187767121</v>
      </c>
      <c r="G15" s="142" t="str">
        <f>IF(OR(ISBLANK(Games!B14),Table3[[#This Row],[Spread]]=""), "", IF('Prediction Log'!$D15&lt;0, 'Prediction Log'!$B15, 'Prediction Log'!$C15))</f>
      </c>
      <c r="H15" s="143" t="str">
        <f>IF(ISBLANK(Games!$B14), "",Games!K14)</f>
        <v>Arkansas</v>
      </c>
      <c r="I15" s="143" t="str">
        <f>IF('Prediction Log'!$F15&gt;0.5, 'Prediction Log'!$B15, IF('Prediction Log'!$F15&lt;0.5, 'Prediction Log'!$C15, "PICK"))</f>
        <v>Arkansas</v>
      </c>
      <c r="J15" s="144" t="n">
        <f>IF(ISBLANK(Games!B14), "",IF('Prediction Log'!$I15='Prediction Log'!$B15, 'Prediction Log'!$F15, 1-'Prediction Log'!$F15))</f>
        <v>0.94482901187767121</v>
      </c>
      <c r="K15" s="145" t="str">
        <f>IF(ISBLANK(Games!$B14), "",Games!Q14)</f>
        <v>Y</v>
      </c>
      <c r="L15" s="124" t="str">
        <f>IF(ISBLANK(Games!AC14), "",Games!AE14)</f>
        <v>Arkansas</v>
      </c>
      <c r="M15" s="161" t="n">
        <f>IF(ISBLANK(Games!AC14), "",Games!AD14-Games!AC14)</f>
        <v>-70</v>
      </c>
      <c r="N15" s="146" t="str">
        <f>IF(ISNUMBER(Table3[[#This Row],[Predicted Spread]]), IF(OR(ISBLANK(Games!AC14),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5" s="147" t="str">
        <f>IF(ISNUMBER(Table3[[#This Row],[Predicted Spread]]), IF(OR(ISBLANK(Games!AC14),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5" s="147" t="str">
        <f>IF(ISNUMBER(Table3[[#This Row],[Predicted Spread]]), IF(ISBLANK(Games!AC14),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5" s="148" t="str">
        <f>IF(OR(ISBLANK(Games!AC14), Table3[[#This Row],[Spread]]=""),"",IF('Prediction Log'!$L15='Prediction Log'!$G15, "Y", "N"))</f>
      </c>
      <c r="R15" s="148" t="str">
        <f>IF(ISNUMBER(Table3[[#This Row],[Predicted Spread]]), Table3[[#This Row],[Home Team Covered Market]],"")</f>
      </c>
      <c r="S15" s="148" t="str">
        <f>IF(ISNUMBER(Table3[[#This Row],[Predicted Spread]]), IF(OR(Table3[[#This Row],[Market Side Correct]]="",ISBLANK(Games!AC14)), "",IF(AND('Prediction Log'!$Q15="Y", 'Prediction Log'!$R15="Y"), "Y", "N")),"")</f>
      </c>
      <c r="T15" s="149" t="str">
        <f>IF(ISNUMBER(Table3[[#This Row],[Predicted Spread]]), IF(ISBLANK(Games!AC14),"",IF(Games!AE14='Prediction Log'!$H15, "Y", "N")), "")</f>
        <v>Y</v>
      </c>
      <c r="U15" s="149" t="str">
        <f>IF(ISNUMBER(Table3[[#This Row],[Predicted Spread]]), IF(OR(Table3[[#This Row],[Spread]]="",ISBLANK(Games!AC14)), "", IF(Table3[[#This Row],[Home Team Covered Market]]=Games!P14, "Y", "N")),"")</f>
      </c>
      <c r="V15" s="150" t="str">
        <f>IF(ISBLANK(Games!AC14), "",IF('Prediction Log'!$I15='Prediction Log'!$L15, "Y", "N"))</f>
        <v>Y</v>
      </c>
      <c r="W15" s="149" t="str">
        <f>IF(ISNUMBER(Table3[[#This Row],[Predicted Spread]]), IF(OR(Table3[[#This Row],[Model Spread Correct]]="",ISBLANK(Games!AC14)), "",IF('Prediction Log'!$H15&lt;&gt;'Prediction Log'!$L15, "N",IF(AND('Prediction Log'!$E15&gt;0, 'Prediction Log'!$M15&gt;'Prediction Log'!$E15, 'Prediction Log'!$H15='Prediction Log'!$C15), "Y", IF(AND('Prediction Log'!$E15&lt;0, 'Prediction Log'!$M15&lt;'Prediction Log'!$E15,'Prediction Log'!$H15='Prediction Log'!$B15 ), "Y", IF('Prediction Log'!$M15='Prediction Log'!$E15, "PUSH", "N"))))), "")</f>
      </c>
      <c r="X15" s="149" t="str">
        <f>IF(ISNUMBER(Table3[[#This Row],[Predicted Spread]]), IF(OR(Table3[[#This Row],[Model Spread Correct]]="",ISBLANK(Games!AC14)), "",IF(AND('Prediction Log'!$T15="Y", 'Prediction Log'!$U15="Y"), "Y", "N")), "")</f>
      </c>
      <c r="Y15" s="148" t="str">
        <f>IFERROR(IF(ISNUMBER(Table3[[#This Row],[Predicted Spread]]), IF(ISBLANK(Games!AC14), "",IF('Prediction Log'!$D15&gt;0, 'Prediction Log'!$M15-'Prediction Log'!$D15, IF('Prediction Log'!$D15&lt;0, -'Prediction Log'!$M15+'Prediction Log'!$D15, "NA"))), ""), "")</f>
      </c>
      <c r="Z15" s="148" t="str">
        <f>IF(ISNUMBER(Table3[[#This Row],[Difference from Market]]), IF(ISBLANK(Games!AC14), "",ABS('Prediction Log'!$Y15)), "")</f>
      </c>
      <c r="AA15" s="139" t="n">
        <f>IF(ISNUMBER(Table3[[#This Row],[Predicted Spread]]), IF(ISBLANK(Games!AC14), "",IF('Prediction Log'!$E15&gt;0, 'Prediction Log'!$M15-'Prediction Log'!$E15, IF('Prediction Log'!$E15&lt;0, -'Prediction Log'!$M15+'Prediction Log'!$E15, "NA"))), "")</f>
        <v>50.261720673319601</v>
      </c>
      <c r="AB15" s="139" t="n">
        <f>IF(ISNUMBER(Table3[[#This Row],[Difference from Prediction]]), IF(ISBLANK(Games!AD14), "",ABS('Prediction Log'!$AA15)), "")</f>
        <v>50.261720673319601</v>
      </c>
      <c r="AC15" s="164" t="str">
        <f>IF(ISNUMBER(Table3[[#This Row],[Predicted Spread]]), IF(OR(ISBLANK(Games!AC14),Table3[[#This Row],[Market Side Correct]]="",ISBLANK('Prediction Log'!$L15)), "",IF(OR(AND('Prediction Log'!D15&lt;0, 'Prediction Log'!L15='Prediction Log'!B15), AND('Prediction Log'!D15&gt;0, 'Prediction Log'!C15='Prediction Log'!L15)),"Y", IF(ISBLANK(Games!$B$2), "","N"))), "")</f>
      </c>
      <c r="AD15" s="159" t="str">
        <f>'Prediction Log'!$S15</f>
      </c>
    </row>
    <row r="16">
      <c r="A16" s="165" t="n">
        <f>IF(ISBLANK(Games!$B15), "",Games!A15)</f>
        <v>1</v>
      </c>
      <c r="B16" s="165" t="str">
        <f>IF(ISBLANK(Games!$B15), "",Games!B15)</f>
        <v>Toledo</v>
      </c>
      <c r="C16" s="165" t="str">
        <f>IF(ISBLANK(Games!$B15), "",Games!C15)</f>
        <v>Duquesne</v>
      </c>
      <c r="D16" s="140" t="str">
        <f>IF(ISBLANK(Games!$D15), "",IF(_xlfn.NUMBERVALUE(Games!D15)=0, "",_xlfn.NUMBERVALUE(Games!D15) ))</f>
      </c>
      <c r="E16" s="138" t="n">
        <f>IF(ISBLANK(_xlfn.NUMBERVALUE(Games!$B15)), "",_xlfn.NUMBERVALUE(Games!J15))</f>
        <v>-22.003995641708801</v>
      </c>
      <c r="F16" s="141" t="n">
        <f>IFERROR(IF(ISBLANK(Games!B15), "", IF(Games!N15=Games!B15, Games!O15, 1-Games!O15)), "")</f>
        <v>0.96936365135774272</v>
      </c>
      <c r="G16" s="142" t="str">
        <f>IF(OR(ISBLANK(Games!B15),Table3[[#This Row],[Spread]]=""), "", IF('Prediction Log'!$D16&lt;0, 'Prediction Log'!$B16, 'Prediction Log'!$C16))</f>
      </c>
      <c r="H16" s="143" t="str">
        <f>IF(ISBLANK(Games!$B15), "",Games!K15)</f>
        <v>Toledo</v>
      </c>
      <c r="I16" s="143" t="str">
        <f>IF('Prediction Log'!$F16&gt;0.5, 'Prediction Log'!$B16, IF('Prediction Log'!$F16&lt;0.5, 'Prediction Log'!$C16, "PICK"))</f>
        <v>Toledo</v>
      </c>
      <c r="J16" s="144" t="n">
        <f>IF(ISBLANK(Games!B15), "",IF('Prediction Log'!$I16='Prediction Log'!$B16, 'Prediction Log'!$F16, 1-'Prediction Log'!$F16))</f>
        <v>0.96936365135774272</v>
      </c>
      <c r="K16" s="145" t="str">
        <f>IF(ISBLANK(Games!$B15), "",Games!Q15)</f>
        <v>Y</v>
      </c>
      <c r="L16" s="124" t="str">
        <f>IF(ISBLANK(Games!AC15), "",Games!AE15)</f>
        <v>Toledo</v>
      </c>
      <c r="M16" s="161" t="n">
        <f>IF(ISBLANK(Games!AC15), "",Games!AD15-Games!AC15)</f>
        <v>-39</v>
      </c>
      <c r="N16" s="146" t="str">
        <f>IF(ISNUMBER(Table3[[#This Row],[Predicted Spread]]), IF(OR(ISBLANK(Games!AC15),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6" s="147" t="str">
        <f>IF(ISNUMBER(Table3[[#This Row],[Predicted Spread]]), IF(OR(ISBLANK(Games!AC15),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6" s="147" t="str">
        <f>IF(ISNUMBER(Table3[[#This Row],[Predicted Spread]]), IF(ISBLANK(Games!AC15),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6" s="148" t="str">
        <f>IF(OR(ISBLANK(Games!AC15), Table3[[#This Row],[Spread]]=""),"",IF('Prediction Log'!$L16='Prediction Log'!$G16, "Y", "N"))</f>
      </c>
      <c r="R16" s="148" t="str">
        <f>IF(ISNUMBER(Table3[[#This Row],[Predicted Spread]]), Table3[[#This Row],[Home Team Covered Market]],"")</f>
      </c>
      <c r="S16" s="148" t="str">
        <f>IF(ISNUMBER(Table3[[#This Row],[Predicted Spread]]), IF(OR(Table3[[#This Row],[Market Side Correct]]="",ISBLANK(Games!AC15)), "",IF(AND('Prediction Log'!$Q16="Y", 'Prediction Log'!$R16="Y"), "Y", "N")),"")</f>
      </c>
      <c r="T16" s="149" t="str">
        <f>IF(ISNUMBER(Table3[[#This Row],[Predicted Spread]]), IF(ISBLANK(Games!AC15),"",IF(Games!AE15='Prediction Log'!$H16, "Y", "N")), "")</f>
        <v>Y</v>
      </c>
      <c r="U16" s="149" t="str">
        <f>IF(ISNUMBER(Table3[[#This Row],[Predicted Spread]]), IF(OR(Table3[[#This Row],[Spread]]="",ISBLANK(Games!AC15)), "", IF(Table3[[#This Row],[Home Team Covered Market]]=Games!P15, "Y", "N")),"")</f>
      </c>
      <c r="V16" s="150" t="str">
        <f>IF(ISBLANK(Games!AC15), "",IF('Prediction Log'!$I16='Prediction Log'!$L16, "Y", "N"))</f>
        <v>Y</v>
      </c>
      <c r="W16" s="149" t="str">
        <f>IF(ISNUMBER(Table3[[#This Row],[Predicted Spread]]), IF(OR(Table3[[#This Row],[Model Spread Correct]]="",ISBLANK(Games!AC15)), "",IF('Prediction Log'!$H16&lt;&gt;'Prediction Log'!$L16, "N",IF(AND('Prediction Log'!$E16&gt;0, 'Prediction Log'!$M16&gt;'Prediction Log'!$E16, 'Prediction Log'!$H16='Prediction Log'!$C16), "Y", IF(AND('Prediction Log'!$E16&lt;0, 'Prediction Log'!$M16&lt;'Prediction Log'!$E16,'Prediction Log'!$H16='Prediction Log'!$B16 ), "Y", IF('Prediction Log'!$M16='Prediction Log'!$E16, "PUSH", "N"))))), "")</f>
      </c>
      <c r="X16" s="149" t="str">
        <f>IF(ISNUMBER(Table3[[#This Row],[Predicted Spread]]), IF(OR(Table3[[#This Row],[Model Spread Correct]]="",ISBLANK(Games!AC15)), "",IF(AND('Prediction Log'!$T16="Y", 'Prediction Log'!$U16="Y"), "Y", "N")), "")</f>
      </c>
      <c r="Y16" s="148" t="str">
        <f>IFERROR(IF(ISNUMBER(Table3[[#This Row],[Predicted Spread]]), IF(ISBLANK(Games!AC15), "",IF('Prediction Log'!$D16&gt;0, 'Prediction Log'!$M16-'Prediction Log'!$D16, IF('Prediction Log'!$D16&lt;0, -'Prediction Log'!$M16+'Prediction Log'!$D16, "NA"))), ""), "")</f>
      </c>
      <c r="Z16" s="148" t="str">
        <f>IF(ISNUMBER(Table3[[#This Row],[Difference from Market]]), IF(ISBLANK(Games!AC15), "",ABS('Prediction Log'!$Y16)), "")</f>
      </c>
      <c r="AA16" s="139" t="n">
        <f>IF(ISNUMBER(Table3[[#This Row],[Predicted Spread]]), IF(ISBLANK(Games!AC15), "",IF('Prediction Log'!$E16&gt;0, 'Prediction Log'!$M16-'Prediction Log'!$E16, IF('Prediction Log'!$E16&lt;0, -'Prediction Log'!$M16+'Prediction Log'!$E16, "NA"))), "")</f>
        <v>16.996004358291199</v>
      </c>
      <c r="AB16" s="139" t="n">
        <f>IF(ISNUMBER(Table3[[#This Row],[Difference from Prediction]]), IF(ISBLANK(Games!AD15), "",ABS('Prediction Log'!$AA16)), "")</f>
        <v>16.996004358291199</v>
      </c>
      <c r="AC16" s="164" t="str">
        <f>IF(ISNUMBER(Table3[[#This Row],[Predicted Spread]]), IF(OR(ISBLANK(Games!AC15),Table3[[#This Row],[Market Side Correct]]="",ISBLANK('Prediction Log'!$L16)), "",IF(OR(AND('Prediction Log'!D16&lt;0, 'Prediction Log'!L16='Prediction Log'!B16), AND('Prediction Log'!D16&gt;0, 'Prediction Log'!C16='Prediction Log'!L16)),"Y", IF(ISBLANK(Games!$B$2), "","N"))), "")</f>
      </c>
      <c r="AD16" s="159" t="str">
        <f>'Prediction Log'!$S16</f>
      </c>
    </row>
    <row r="17">
      <c r="A17" s="165" t="n">
        <f>IF(ISBLANK(Games!$B16), "",Games!A16)</f>
        <v>1</v>
      </c>
      <c r="B17" s="165" t="str">
        <f>IF(ISBLANK(Games!$B16), "",Games!B16)</f>
        <v>Tulsa</v>
      </c>
      <c r="C17" s="165" t="str">
        <f>IF(ISBLANK(Games!$B16), "",Games!C16)</f>
        <v>Northwestern State</v>
      </c>
      <c r="D17" s="140" t="str">
        <f>IF(ISBLANK(Games!$D16), "",IF(_xlfn.NUMBERVALUE(Games!D16)=0, "",_xlfn.NUMBERVALUE(Games!D16) ))</f>
      </c>
      <c r="E17" s="138" t="n">
        <f>IF(ISBLANK(_xlfn.NUMBERVALUE(Games!$B16)), "",_xlfn.NUMBERVALUE(Games!J16))</f>
        <v>-11.934222115430799</v>
      </c>
      <c r="F17" s="141" t="n">
        <f>IFERROR(IF(ISBLANK(Games!B16), "", IF(Games!N16=Games!B16, Games!O16, 1-Games!O16)), "")</f>
        <v>0.88135197826722744</v>
      </c>
      <c r="G17" s="142" t="str">
        <f>IF(OR(ISBLANK(Games!B16),Table3[[#This Row],[Spread]]=""), "", IF('Prediction Log'!$D17&lt;0, 'Prediction Log'!$B17, 'Prediction Log'!$C17))</f>
      </c>
      <c r="H17" s="143" t="str">
        <f>IF(ISBLANK(Games!$B16), "",Games!K16)</f>
        <v>Tulsa</v>
      </c>
      <c r="I17" s="143" t="str">
        <f>IF('Prediction Log'!$F17&gt;0.5, 'Prediction Log'!$B17, IF('Prediction Log'!$F17&lt;0.5, 'Prediction Log'!$C17, "PICK"))</f>
        <v>Tulsa</v>
      </c>
      <c r="J17" s="144" t="n">
        <f>IF(ISBLANK(Games!B16), "",IF('Prediction Log'!$I17='Prediction Log'!$B17, 'Prediction Log'!$F17, 1-'Prediction Log'!$F17))</f>
        <v>0.88135197826722744</v>
      </c>
      <c r="K17" s="145" t="str">
        <f>IF(ISBLANK(Games!$B16), "",Games!Q16)</f>
        <v>Y</v>
      </c>
      <c r="L17" s="124" t="str">
        <f>IF(ISBLANK(Games!AC16), "",Games!AE16)</f>
        <v>Tulsa</v>
      </c>
      <c r="M17" s="161" t="n">
        <f>IF(ISBLANK(Games!AC16), "",Games!AD16-Games!AC16)</f>
        <v>-34</v>
      </c>
      <c r="N17" s="146" t="str">
        <f>IF(ISNUMBER(Table3[[#This Row],[Predicted Spread]]), IF(OR(ISBLANK(Games!AC16),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7" s="147" t="str">
        <f>IF(ISNUMBER(Table3[[#This Row],[Predicted Spread]]), IF(OR(ISBLANK(Games!AC16),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7" s="147" t="str">
        <f>IF(ISNUMBER(Table3[[#This Row],[Predicted Spread]]), IF(ISBLANK(Games!AC16),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7" s="148" t="str">
        <f>IF(OR(ISBLANK(Games!AC16), Table3[[#This Row],[Spread]]=""),"",IF('Prediction Log'!$L17='Prediction Log'!$G17, "Y", "N"))</f>
      </c>
      <c r="R17" s="148" t="str">
        <f>IF(ISNUMBER(Table3[[#This Row],[Predicted Spread]]), Table3[[#This Row],[Home Team Covered Market]],"")</f>
      </c>
      <c r="S17" s="148" t="str">
        <f>IF(ISNUMBER(Table3[[#This Row],[Predicted Spread]]), IF(OR(Table3[[#This Row],[Market Side Correct]]="",ISBLANK(Games!AC16)), "",IF(AND('Prediction Log'!$Q17="Y", 'Prediction Log'!$R17="Y"), "Y", "N")),"")</f>
      </c>
      <c r="T17" s="149" t="str">
        <f>IF(ISNUMBER(Table3[[#This Row],[Predicted Spread]]), IF(ISBLANK(Games!AC16),"",IF(Games!AE16='Prediction Log'!$H17, "Y", "N")), "")</f>
        <v>Y</v>
      </c>
      <c r="U17" s="149" t="str">
        <f>IF(ISNUMBER(Table3[[#This Row],[Predicted Spread]]), IF(OR(Table3[[#This Row],[Spread]]="",ISBLANK(Games!AC16)), "", IF(Table3[[#This Row],[Home Team Covered Market]]=Games!P16, "Y", "N")),"")</f>
      </c>
      <c r="V17" s="150" t="str">
        <f>IF(ISBLANK(Games!AC16), "",IF('Prediction Log'!$I17='Prediction Log'!$L17, "Y", "N"))</f>
        <v>Y</v>
      </c>
      <c r="W17" s="149" t="str">
        <f>IF(ISNUMBER(Table3[[#This Row],[Predicted Spread]]), IF(OR(Table3[[#This Row],[Model Spread Correct]]="",ISBLANK(Games!AC16)), "",IF('Prediction Log'!$H17&lt;&gt;'Prediction Log'!$L17, "N",IF(AND('Prediction Log'!$E17&gt;0, 'Prediction Log'!$M17&gt;'Prediction Log'!$E17, 'Prediction Log'!$H17='Prediction Log'!$C17), "Y", IF(AND('Prediction Log'!$E17&lt;0, 'Prediction Log'!$M17&lt;'Prediction Log'!$E17,'Prediction Log'!$H17='Prediction Log'!$B17 ), "Y", IF('Prediction Log'!$M17='Prediction Log'!$E17, "PUSH", "N"))))), "")</f>
      </c>
      <c r="X17" s="149" t="str">
        <f>IF(ISNUMBER(Table3[[#This Row],[Predicted Spread]]), IF(OR(Table3[[#This Row],[Model Spread Correct]]="",ISBLANK(Games!AC16)), "",IF(AND('Prediction Log'!$T17="Y", 'Prediction Log'!$U17="Y"), "Y", "N")), "")</f>
      </c>
      <c r="Y17" s="148" t="str">
        <f>IFERROR(IF(ISNUMBER(Table3[[#This Row],[Predicted Spread]]), IF(ISBLANK(Games!AC16), "",IF('Prediction Log'!$D17&gt;0, 'Prediction Log'!$M17-'Prediction Log'!$D17, IF('Prediction Log'!$D17&lt;0, -'Prediction Log'!$M17+'Prediction Log'!$D17, "NA"))), ""), "")</f>
      </c>
      <c r="Z17" s="148" t="str">
        <f>IF(ISNUMBER(Table3[[#This Row],[Difference from Market]]), IF(ISBLANK(Games!AC16), "",ABS('Prediction Log'!$Y17)), "")</f>
      </c>
      <c r="AA17" s="139" t="n">
        <f>IF(ISNUMBER(Table3[[#This Row],[Predicted Spread]]), IF(ISBLANK(Games!AC16), "",IF('Prediction Log'!$E17&gt;0, 'Prediction Log'!$M17-'Prediction Log'!$E17, IF('Prediction Log'!$E17&lt;0, -'Prediction Log'!$M17+'Prediction Log'!$E17, "NA"))), "")</f>
        <v>22.065777884569201</v>
      </c>
      <c r="AB17" s="139" t="n">
        <f>IF(ISNUMBER(Table3[[#This Row],[Difference from Prediction]]), IF(ISBLANK(Games!AD16), "",ABS('Prediction Log'!$AA17)), "")</f>
        <v>22.065777884569201</v>
      </c>
      <c r="AC17" s="164" t="str">
        <f>IF(ISNUMBER(Table3[[#This Row],[Predicted Spread]]), IF(OR(ISBLANK(Games!AC16),Table3[[#This Row],[Market Side Correct]]="",ISBLANK('Prediction Log'!$L17)), "",IF(OR(AND('Prediction Log'!D17&lt;0, 'Prediction Log'!L17='Prediction Log'!B17), AND('Prediction Log'!D17&gt;0, 'Prediction Log'!C17='Prediction Log'!L17)),"Y", IF(ISBLANK(Games!$B$2), "","N"))), "")</f>
      </c>
      <c r="AD17" s="159" t="str">
        <f>'Prediction Log'!$S17</f>
      </c>
    </row>
    <row r="18" ht="14.25" customHeight="1">
      <c r="A18" s="165" t="n">
        <f>IF(ISBLANK(Games!$B17), "",Games!A17)</f>
        <v>1</v>
      </c>
      <c r="B18" s="165" t="str">
        <f>IF(ISBLANK(Games!$B17), "",Games!B17)</f>
        <v>Minnesota</v>
      </c>
      <c r="C18" s="165" t="str">
        <f>IF(ISBLANK(Games!$B17), "",Games!C17)</f>
        <v>North Carolina</v>
      </c>
      <c r="D18" s="140" t="n">
        <f>IF(ISBLANK(Games!$D17), "",IF(_xlfn.NUMBERVALUE(Games!D17)=0, "",_xlfn.NUMBERVALUE(Games!D17) ))</f>
        <v>-2.5</v>
      </c>
      <c r="E18" s="138" t="n">
        <f>IF(ISBLANK(_xlfn.NUMBERVALUE(Games!$B17)), "",_xlfn.NUMBERVALUE(Games!J17))</f>
        <v>9.1</v>
      </c>
      <c r="F18" s="141" t="n">
        <f>IFERROR(IF(ISBLANK(Games!B17), "", IF(Games!N17=Games!B17, Games!O17, 1-Games!O17)), "")</f>
        <v>0.38300546434662341</v>
      </c>
      <c r="G18" s="142" t="str">
        <f>IF(OR(ISBLANK(Games!B17),Table3[[#This Row],[Spread]]=""), "", IF('Prediction Log'!$D18&lt;0, 'Prediction Log'!$B18, 'Prediction Log'!$C18))</f>
        <v>Minnesota</v>
      </c>
      <c r="H18" s="143" t="str">
        <f>IF(ISBLANK(Games!$B17), "",Games!K17)</f>
        <v>North Carolina</v>
      </c>
      <c r="I18" s="143" t="str">
        <f>IF('Prediction Log'!$F18&gt;0.5, 'Prediction Log'!$B18, IF('Prediction Log'!$F18&lt;0.5, 'Prediction Log'!$C18, "PICK"))</f>
        <v>North Carolina</v>
      </c>
      <c r="J18" s="144" t="n">
        <f>IF(ISBLANK(Games!B17), "",IF('Prediction Log'!$I18='Prediction Log'!$B18, 'Prediction Log'!$F18, 1-'Prediction Log'!$F18))</f>
        <v>0.61699453565337659</v>
      </c>
      <c r="K18" s="145" t="str">
        <f>IF(ISBLANK(Games!$B17), "",Games!Q17)</f>
        <v>N</v>
      </c>
      <c r="L18" s="124" t="str">
        <f>IF(ISBLANK(Games!AC17), "",Games!AE17)</f>
        <v>North Carolina</v>
      </c>
      <c r="M18" s="161" t="n">
        <f>IF(ISBLANK(Games!AC17), "",Games!AD17-Games!AC17)</f>
        <v>2</v>
      </c>
      <c r="N18" s="146" t="str">
        <f>IF(ISNUMBER(Table3[[#This Row],[Predicted Spread]]), IF(OR(ISBLANK(Games!AC17),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18" s="147" t="str">
        <f>IF(ISNUMBER(Table3[[#This Row],[Predicted Spread]]), IF(OR(ISBLANK(Games!AC17),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18" s="147" t="str">
        <f>IF(ISNUMBER(Table3[[#This Row],[Predicted Spread]]), IF(ISBLANK(Games!AC17),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8" s="148" t="str">
        <f>IF(OR(ISBLANK(Games!AC17), Table3[[#This Row],[Spread]]=""),"",IF('Prediction Log'!$L18='Prediction Log'!$G18, "Y", "N"))</f>
        <v>N</v>
      </c>
      <c r="R18" s="148" t="str">
        <f>IF(ISNUMBER(Table3[[#This Row],[Predicted Spread]]), Table3[[#This Row],[Home Team Covered Market]],"")</f>
        <v>N</v>
      </c>
      <c r="S18" s="148" t="str">
        <f>IF(ISNUMBER(Table3[[#This Row],[Predicted Spread]]), IF(OR(Table3[[#This Row],[Market Side Correct]]="",ISBLANK(Games!AC17)), "",IF(AND('Prediction Log'!$Q18="Y", 'Prediction Log'!$R18="Y"), "Y", "N")),"")</f>
        <v>N</v>
      </c>
      <c r="T18" s="149" t="str">
        <f>IF(ISNUMBER(Table3[[#This Row],[Predicted Spread]]), IF(ISBLANK(Games!AC17),"",IF(Games!AE17='Prediction Log'!$H18, "Y", "N")), "")</f>
        <v>Y</v>
      </c>
      <c r="U18" s="149" t="str">
        <f>IF(ISNUMBER(Table3[[#This Row],[Predicted Spread]]), IF(OR(Table3[[#This Row],[Spread]]="",ISBLANK(Games!AC17)), "", IF(Table3[[#This Row],[Home Team Covered Market]]=Games!P17, "Y", "N")),"")</f>
        <v>N</v>
      </c>
      <c r="V18" s="150" t="str">
        <f>IF(ISBLANK(Games!AC17), "",IF('Prediction Log'!$I18='Prediction Log'!$L18, "Y", "N"))</f>
        <v>Y</v>
      </c>
      <c r="W18" s="149" t="str">
        <f>IF(ISNUMBER(Table3[[#This Row],[Predicted Spread]]), IF(OR(Table3[[#This Row],[Model Spread Correct]]="",ISBLANK(Games!AC17)), "",IF('Prediction Log'!$H18&lt;&gt;'Prediction Log'!$L18, "N",IF(AND('Prediction Log'!$E18&gt;0, 'Prediction Log'!$M18&gt;'Prediction Log'!$E18, 'Prediction Log'!$H18='Prediction Log'!$C18), "Y", IF(AND('Prediction Log'!$E18&lt;0, 'Prediction Log'!$M18&lt;'Prediction Log'!$E18,'Prediction Log'!$H18='Prediction Log'!$B18 ), "Y", IF('Prediction Log'!$M18='Prediction Log'!$E18, "PUSH", "N"))))), "")</f>
        <v>N</v>
      </c>
      <c r="X18" s="149" t="str">
        <f>IF(ISNUMBER(Table3[[#This Row],[Predicted Spread]]), IF(OR(Table3[[#This Row],[Model Spread Correct]]="",ISBLANK(Games!AC17)), "",IF(AND('Prediction Log'!$T18="Y", 'Prediction Log'!$U18="Y"), "Y", "N")), "")</f>
        <v>N</v>
      </c>
      <c r="Y18" s="148" t="n">
        <f>IFERROR(IF(ISNUMBER(Table3[[#This Row],[Predicted Spread]]), IF(ISBLANK(Games!AC17), "",IF('Prediction Log'!$D18&gt;0, 'Prediction Log'!$M18-'Prediction Log'!$D18, IF('Prediction Log'!$D18&lt;0, -'Prediction Log'!$M18+'Prediction Log'!$D18, "NA"))), ""), "")</f>
        <v>-4.5</v>
      </c>
      <c r="Z18" s="148" t="n">
        <f>IF(ISNUMBER(Table3[[#This Row],[Difference from Market]]), IF(ISBLANK(Games!AC17), "",ABS('Prediction Log'!$Y18)), "")</f>
        <v>4.5</v>
      </c>
      <c r="AA18" s="139" t="n">
        <f>IF(ISNUMBER(Table3[[#This Row],[Predicted Spread]]), IF(ISBLANK(Games!AC17), "",IF('Prediction Log'!$E18&gt;0, 'Prediction Log'!$M18-'Prediction Log'!$E18, IF('Prediction Log'!$E18&lt;0, -'Prediction Log'!$M18+'Prediction Log'!$E18, "NA"))), "")</f>
        <v>-7.1</v>
      </c>
      <c r="AB18" s="139" t="n">
        <f>IF(ISNUMBER(Table3[[#This Row],[Difference from Prediction]]), IF(ISBLANK(Games!AD17), "",ABS('Prediction Log'!$AA18)), "")</f>
        <v>7.1</v>
      </c>
      <c r="AC18" s="164" t="str">
        <f>IF(ISNUMBER(Table3[[#This Row],[Predicted Spread]]), IF(OR(ISBLANK(Games!AC17),Table3[[#This Row],[Market Side Correct]]="",ISBLANK('Prediction Log'!$L18)), "",IF(OR(AND('Prediction Log'!D18&lt;0, 'Prediction Log'!L18='Prediction Log'!B18), AND('Prediction Log'!D18&gt;0, 'Prediction Log'!C18='Prediction Log'!L18)),"Y", IF(ISBLANK(Games!$B$2), "","N"))), "")</f>
        <v>N</v>
      </c>
      <c r="AD18" s="159" t="str">
        <f>'Prediction Log'!$S18</f>
        <v>N</v>
      </c>
    </row>
    <row r="19">
      <c r="A19" s="165" t="n">
        <f>IF(ISBLANK(Games!$B18), "",Games!A18)</f>
        <v>1</v>
      </c>
      <c r="B19" s="165" t="str">
        <f>IF(ISBLANK(Games!$B18), "",Games!B18)</f>
        <v>UAB</v>
      </c>
      <c r="C19" s="165" t="str">
        <f>IF(ISBLANK(Games!$B18), "",Games!C18)</f>
        <v>Alcorn State</v>
      </c>
      <c r="D19" s="140" t="str">
        <f>IF(ISBLANK(Games!$D18), "",IF(_xlfn.NUMBERVALUE(Games!D18)=0, "",_xlfn.NUMBERVALUE(Games!D18) ))</f>
      </c>
      <c r="E19" s="138" t="n">
        <f>IF(ISBLANK(_xlfn.NUMBERVALUE(Games!$B18)), "",_xlfn.NUMBERVALUE(Games!J18))</f>
        <v>-16.458486485220799</v>
      </c>
      <c r="F19" s="141" t="n">
        <f>IFERROR(IF(ISBLANK(Games!B18), "", IF(Games!N18=Games!B18, Games!O18, 1-Games!O18)), "")</f>
        <v>0.93440372812450034</v>
      </c>
      <c r="G19" s="142" t="str">
        <f>IF(OR(ISBLANK(Games!B18),Table3[[#This Row],[Spread]]=""), "", IF('Prediction Log'!$D19&lt;0, 'Prediction Log'!$B19, 'Prediction Log'!$C19))</f>
      </c>
      <c r="H19" s="143" t="str">
        <f>IF(ISBLANK(Games!$B18), "",Games!K18)</f>
        <v>UAB</v>
      </c>
      <c r="I19" s="143" t="str">
        <f>IF('Prediction Log'!$F19&gt;0.5, 'Prediction Log'!$B19, IF('Prediction Log'!$F19&lt;0.5, 'Prediction Log'!$C19, "PICK"))</f>
        <v>UAB</v>
      </c>
      <c r="J19" s="144" t="n">
        <f>IF(ISBLANK(Games!B18), "",IF('Prediction Log'!$I19='Prediction Log'!$B19, 'Prediction Log'!$F19, 1-'Prediction Log'!$F19))</f>
        <v>0.93440372812450034</v>
      </c>
      <c r="K19" s="145" t="str">
        <f>IF(ISBLANK(Games!$B18), "",Games!Q18)</f>
        <v>Y</v>
      </c>
      <c r="L19" s="124" t="str">
        <f>IF(ISBLANK(Games!AC18), "",Games!AE18)</f>
        <v>UAB</v>
      </c>
      <c r="M19" s="161" t="n">
        <f>IF(ISBLANK(Games!AC18), "",Games!AD18-Games!AC18)</f>
        <v>-38</v>
      </c>
      <c r="N19" s="146" t="str">
        <f>IF(ISNUMBER(Table3[[#This Row],[Predicted Spread]]), IF(OR(ISBLANK(Games!AC18),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9" s="147" t="str">
        <f>IF(ISNUMBER(Table3[[#This Row],[Predicted Spread]]), IF(OR(ISBLANK(Games!AC18),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9" s="147" t="str">
        <f>IF(ISNUMBER(Table3[[#This Row],[Predicted Spread]]), IF(ISBLANK(Games!AC18),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9" s="148" t="str">
        <f>IF(OR(ISBLANK(Games!AC18), Table3[[#This Row],[Spread]]=""),"",IF('Prediction Log'!$L19='Prediction Log'!$G19, "Y", "N"))</f>
      </c>
      <c r="R19" s="148" t="str">
        <f>IF(ISNUMBER(Table3[[#This Row],[Predicted Spread]]), Table3[[#This Row],[Home Team Covered Market]],"")</f>
      </c>
      <c r="S19" s="148" t="str">
        <f>IF(ISNUMBER(Table3[[#This Row],[Predicted Spread]]), IF(OR(Table3[[#This Row],[Market Side Correct]]="",ISBLANK(Games!AC18)), "",IF(AND('Prediction Log'!$Q19="Y", 'Prediction Log'!$R19="Y"), "Y", "N")),"")</f>
      </c>
      <c r="T19" s="149" t="str">
        <f>IF(ISNUMBER(Table3[[#This Row],[Predicted Spread]]), IF(ISBLANK(Games!AC18),"",IF(Games!AE18='Prediction Log'!$H19, "Y", "N")), "")</f>
        <v>Y</v>
      </c>
      <c r="U19" s="149" t="str">
        <f>IF(ISNUMBER(Table3[[#This Row],[Predicted Spread]]), IF(OR(Table3[[#This Row],[Spread]]="",ISBLANK(Games!AC18)), "", IF(Table3[[#This Row],[Home Team Covered Market]]=Games!P18, "Y", "N")),"")</f>
      </c>
      <c r="V19" s="150" t="str">
        <f>IF(ISBLANK(Games!AC18), "",IF('Prediction Log'!$I19='Prediction Log'!$L19, "Y", "N"))</f>
        <v>Y</v>
      </c>
      <c r="W19" s="149" t="str">
        <f>IF(ISNUMBER(Table3[[#This Row],[Predicted Spread]]), IF(OR(Table3[[#This Row],[Model Spread Correct]]="",ISBLANK(Games!AC18)), "",IF('Prediction Log'!$H19&lt;&gt;'Prediction Log'!$L19, "N",IF(AND('Prediction Log'!$E19&gt;0, 'Prediction Log'!$M19&gt;'Prediction Log'!$E19, 'Prediction Log'!$H19='Prediction Log'!$C19), "Y", IF(AND('Prediction Log'!$E19&lt;0, 'Prediction Log'!$M19&lt;'Prediction Log'!$E19,'Prediction Log'!$H19='Prediction Log'!$B19 ), "Y", IF('Prediction Log'!$M19='Prediction Log'!$E19, "PUSH", "N"))))), "")</f>
      </c>
      <c r="X19" s="149" t="str">
        <f>IF(ISNUMBER(Table3[[#This Row],[Predicted Spread]]), IF(OR(Table3[[#This Row],[Model Spread Correct]]="",ISBLANK(Games!AC18)), "",IF(AND('Prediction Log'!$T19="Y", 'Prediction Log'!$U19="Y"), "Y", "N")), "")</f>
      </c>
      <c r="Y19" s="148" t="str">
        <f>IFERROR(IF(ISNUMBER(Table3[[#This Row],[Predicted Spread]]), IF(ISBLANK(Games!AC18), "",IF('Prediction Log'!$D19&gt;0, 'Prediction Log'!$M19-'Prediction Log'!$D19, IF('Prediction Log'!$D19&lt;0, -'Prediction Log'!$M19+'Prediction Log'!$D19, "NA"))), ""), "")</f>
      </c>
      <c r="Z19" s="148" t="str">
        <f>IF(ISNUMBER(Table3[[#This Row],[Difference from Market]]), IF(ISBLANK(Games!AC18), "",ABS('Prediction Log'!$Y19)), "")</f>
      </c>
      <c r="AA19" s="139" t="n">
        <f>IF(ISNUMBER(Table3[[#This Row],[Predicted Spread]]), IF(ISBLANK(Games!AC18), "",IF('Prediction Log'!$E19&gt;0, 'Prediction Log'!$M19-'Prediction Log'!$E19, IF('Prediction Log'!$E19&lt;0, -'Prediction Log'!$M19+'Prediction Log'!$E19, "NA"))), "")</f>
        <v>21.541513514779201</v>
      </c>
      <c r="AB19" s="139" t="n">
        <f>IF(ISNUMBER(Table3[[#This Row],[Difference from Prediction]]), IF(ISBLANK(Games!AD18), "",ABS('Prediction Log'!$AA19)), "")</f>
        <v>21.541513514779201</v>
      </c>
      <c r="AC19" s="164" t="str">
        <f>IF(ISNUMBER(Table3[[#This Row],[Predicted Spread]]), IF(OR(ISBLANK(Games!AC18),Table3[[#This Row],[Market Side Correct]]="",ISBLANK('Prediction Log'!$L19)), "",IF(OR(AND('Prediction Log'!D19&lt;0, 'Prediction Log'!L19='Prediction Log'!B19), AND('Prediction Log'!D19&gt;0, 'Prediction Log'!C19='Prediction Log'!L19)),"Y", IF(ISBLANK(Games!$B$2), "","N"))), "")</f>
      </c>
      <c r="AD19" s="159" t="str">
        <f>'Prediction Log'!$S19</f>
      </c>
    </row>
    <row r="20">
      <c r="A20" s="165" t="n">
        <f>IF(ISBLANK(Games!$B19), "",Games!A19)</f>
        <v>1</v>
      </c>
      <c r="B20" s="165" t="str">
        <f>IF(ISBLANK(Games!$B19), "",Games!B19)</f>
        <v>Tulane</v>
      </c>
      <c r="C20" s="165" t="str">
        <f>IF(ISBLANK(Games!$B19), "",Games!C19)</f>
        <v>Southeastern Louisiana</v>
      </c>
      <c r="D20" s="140" t="str">
        <f>IF(ISBLANK(Games!$D19), "",IF(_xlfn.NUMBERVALUE(Games!D19)=0, "",_xlfn.NUMBERVALUE(Games!D19) ))</f>
      </c>
      <c r="E20" s="138" t="n">
        <f>IF(ISBLANK(_xlfn.NUMBERVALUE(Games!$B19)), "",_xlfn.NUMBERVALUE(Games!J19))</f>
        <v>-21.279079944195999</v>
      </c>
      <c r="F20" s="141" t="n">
        <f>IFERROR(IF(ISBLANK(Games!B19), "", IF(Games!N19=Games!B19, Games!O19, 1-Games!O19)), "")</f>
        <v>0.96610905670192193</v>
      </c>
      <c r="G20" s="142" t="str">
        <f>IF(OR(ISBLANK(Games!B19),Table3[[#This Row],[Spread]]=""), "", IF('Prediction Log'!$D20&lt;0, 'Prediction Log'!$B20, 'Prediction Log'!$C20))</f>
      </c>
      <c r="H20" s="143" t="str">
        <f>IF(ISBLANK(Games!$B19), "",Games!K19)</f>
        <v>Tulane</v>
      </c>
      <c r="I20" s="143" t="str">
        <f>IF('Prediction Log'!$F20&gt;0.5, 'Prediction Log'!$B20, IF('Prediction Log'!$F20&lt;0.5, 'Prediction Log'!$C20, "PICK"))</f>
        <v>Tulane</v>
      </c>
      <c r="J20" s="144" t="n">
        <f>IF(ISBLANK(Games!B19), "",IF('Prediction Log'!$I20='Prediction Log'!$B20, 'Prediction Log'!$F20, 1-'Prediction Log'!$F20))</f>
        <v>0.96610905670192193</v>
      </c>
      <c r="K20" s="145" t="str">
        <f>IF(ISBLANK(Games!$B19), "",Games!Q19)</f>
        <v>Y</v>
      </c>
      <c r="L20" s="124" t="str">
        <f>IF(ISBLANK(Games!AC19), "",Games!AE19)</f>
        <v>Tulane</v>
      </c>
      <c r="M20" s="161" t="n">
        <f>IF(ISBLANK(Games!AC19), "",Games!AD19-Games!AC19)</f>
        <v>-52</v>
      </c>
      <c r="N20" s="146" t="str">
        <f>IF(ISNUMBER(Table3[[#This Row],[Predicted Spread]]), IF(OR(ISBLANK(Games!AC19),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20" s="147" t="str">
        <f>IF(ISNUMBER(Table3[[#This Row],[Predicted Spread]]), IF(OR(ISBLANK(Games!AC19),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20" s="147" t="str">
        <f>IF(ISNUMBER(Table3[[#This Row],[Predicted Spread]]), IF(ISBLANK(Games!AC19),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20" s="148" t="str">
        <f>IF(OR(ISBLANK(Games!AC19), Table3[[#This Row],[Spread]]=""),"",IF('Prediction Log'!$L20='Prediction Log'!$G20, "Y", "N"))</f>
      </c>
      <c r="R20" s="148" t="str">
        <f>IF(ISNUMBER(Table3[[#This Row],[Predicted Spread]]), Table3[[#This Row],[Home Team Covered Market]],"")</f>
      </c>
      <c r="S20" s="148" t="str">
        <f>IF(ISNUMBER(Table3[[#This Row],[Predicted Spread]]), IF(OR(Table3[[#This Row],[Market Side Correct]]="",ISBLANK(Games!AC19)), "",IF(AND('Prediction Log'!$Q20="Y", 'Prediction Log'!$R20="Y"), "Y", "N")),"")</f>
      </c>
      <c r="T20" s="149" t="str">
        <f>IF(ISNUMBER(Table3[[#This Row],[Predicted Spread]]), IF(ISBLANK(Games!AC19),"",IF(Games!AE19='Prediction Log'!$H20, "Y", "N")), "")</f>
        <v>Y</v>
      </c>
      <c r="U20" s="149" t="str">
        <f>IF(ISNUMBER(Table3[[#This Row],[Predicted Spread]]), IF(OR(Table3[[#This Row],[Spread]]="",ISBLANK(Games!AC19)), "", IF(Table3[[#This Row],[Home Team Covered Market]]=Games!P19, "Y", "N")),"")</f>
      </c>
      <c r="V20" s="150" t="str">
        <f>IF(ISBLANK(Games!AC19), "",IF('Prediction Log'!$I20='Prediction Log'!$L20, "Y", "N"))</f>
        <v>Y</v>
      </c>
      <c r="W20" s="149" t="str">
        <f>IF(ISNUMBER(Table3[[#This Row],[Predicted Spread]]), IF(OR(Table3[[#This Row],[Model Spread Correct]]="",ISBLANK(Games!AC19)), "",IF('Prediction Log'!$H20&lt;&gt;'Prediction Log'!$L20, "N",IF(AND('Prediction Log'!$E20&gt;0, 'Prediction Log'!$M20&gt;'Prediction Log'!$E20, 'Prediction Log'!$H20='Prediction Log'!$C20), "Y", IF(AND('Prediction Log'!$E20&lt;0, 'Prediction Log'!$M20&lt;'Prediction Log'!$E20,'Prediction Log'!$H20='Prediction Log'!$B20 ), "Y", IF('Prediction Log'!$M20='Prediction Log'!$E20, "PUSH", "N"))))), "")</f>
      </c>
      <c r="X20" s="149" t="str">
        <f>IF(ISNUMBER(Table3[[#This Row],[Predicted Spread]]), IF(OR(Table3[[#This Row],[Model Spread Correct]]="",ISBLANK(Games!AC19)), "",IF(AND('Prediction Log'!$T20="Y", 'Prediction Log'!$U20="Y"), "Y", "N")), "")</f>
      </c>
      <c r="Y20" s="148" t="str">
        <f>IFERROR(IF(ISNUMBER(Table3[[#This Row],[Predicted Spread]]), IF(ISBLANK(Games!AC19), "",IF('Prediction Log'!$D20&gt;0, 'Prediction Log'!$M20-'Prediction Log'!$D20, IF('Prediction Log'!$D20&lt;0, -'Prediction Log'!$M20+'Prediction Log'!$D20, "NA"))), ""), "")</f>
      </c>
      <c r="Z20" s="148" t="str">
        <f>IF(ISNUMBER(Table3[[#This Row],[Difference from Market]]), IF(ISBLANK(Games!AC19), "",ABS('Prediction Log'!$Y20)), "")</f>
      </c>
      <c r="AA20" s="139" t="n">
        <f>IF(ISNUMBER(Table3[[#This Row],[Predicted Spread]]), IF(ISBLANK(Games!AC19), "",IF('Prediction Log'!$E20&gt;0, 'Prediction Log'!$M20-'Prediction Log'!$E20, IF('Prediction Log'!$E20&lt;0, -'Prediction Log'!$M20+'Prediction Log'!$E20, "NA"))), "")</f>
        <v>30.720920055804001</v>
      </c>
      <c r="AB20" s="139" t="n">
        <f>IF(ISNUMBER(Table3[[#This Row],[Difference from Prediction]]), IF(ISBLANK(Games!AD19), "",ABS('Prediction Log'!$AA20)), "")</f>
        <v>30.720920055804001</v>
      </c>
      <c r="AC20" s="164" t="str">
        <f>IF(ISNUMBER(Table3[[#This Row],[Predicted Spread]]), IF(OR(ISBLANK(Games!AC19),Table3[[#This Row],[Market Side Correct]]="",ISBLANK('Prediction Log'!$L20)), "",IF(OR(AND('Prediction Log'!D20&lt;0, 'Prediction Log'!L20='Prediction Log'!B20), AND('Prediction Log'!D20&gt;0, 'Prediction Log'!C20='Prediction Log'!L20)),"Y", IF(ISBLANK(Games!$B$2), "","N"))), "")</f>
      </c>
      <c r="AD20" s="159" t="str">
        <f>'Prediction Log'!$S20</f>
      </c>
    </row>
    <row r="21">
      <c r="A21" s="165" t="n">
        <f>IF(ISBLANK(Games!$B20), "",Games!A20)</f>
        <v>1</v>
      </c>
      <c r="B21" s="165" t="str">
        <f>IF(ISBLANK(Games!$B20), "",Games!B20)</f>
        <v>Missouri</v>
      </c>
      <c r="C21" s="165" t="str">
        <f>IF(ISBLANK(Games!$B20), "",Games!C20)</f>
        <v>Murray State</v>
      </c>
      <c r="D21" s="140" t="str">
        <f>IF(ISBLANK(Games!$D20), "",IF(_xlfn.NUMBERVALUE(Games!D20)=0, "",_xlfn.NUMBERVALUE(Games!D20) ))</f>
      </c>
      <c r="E21" s="138" t="n">
        <f>IF(ISBLANK(_xlfn.NUMBERVALUE(Games!$B20)), "",_xlfn.NUMBERVALUE(Games!J20))</f>
        <v>-36.061616207944397</v>
      </c>
      <c r="F21" s="141" t="n">
        <f>IFERROR(IF(ISBLANK(Games!B20), "", IF(Games!N20=Games!B20, Games!O20, 1-Games!O20)), "")</f>
        <v>0.99583766018560071</v>
      </c>
      <c r="G21" s="142" t="str">
        <f>IF(OR(ISBLANK(Games!B20),Table3[[#This Row],[Spread]]=""), "", IF('Prediction Log'!$D21&lt;0, 'Prediction Log'!$B21, 'Prediction Log'!$C21))</f>
      </c>
      <c r="H21" s="143" t="str">
        <f>IF(ISBLANK(Games!$B20), "",Games!K20)</f>
        <v>Missouri</v>
      </c>
      <c r="I21" s="143" t="str">
        <f>IF('Prediction Log'!$F21&gt;0.5, 'Prediction Log'!$B21, IF('Prediction Log'!$F21&lt;0.5, 'Prediction Log'!$C21, "PICK"))</f>
        <v>Missouri</v>
      </c>
      <c r="J21" s="144" t="n">
        <f>IF(ISBLANK(Games!B20), "",IF('Prediction Log'!$I21='Prediction Log'!$B21, 'Prediction Log'!$F21, 1-'Prediction Log'!$F21))</f>
        <v>0.99583766018560071</v>
      </c>
      <c r="K21" s="145" t="str">
        <f>IF(ISBLANK(Games!$B20), "",Games!Q20)</f>
        <v>Y</v>
      </c>
      <c r="L21" s="124" t="str">
        <f>IF(ISBLANK(Games!AC20), "",Games!AE20)</f>
        <v>Missouri</v>
      </c>
      <c r="M21" s="161" t="n">
        <f>IF(ISBLANK(Games!AC20), "",Games!AD20-Games!AC20)</f>
        <v>-51</v>
      </c>
      <c r="N21" s="146" t="str">
        <f>IF(ISNUMBER(Table3[[#This Row],[Predicted Spread]]), IF(OR(ISBLANK(Games!AC20),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21" s="147" t="str">
        <f>IF(ISNUMBER(Table3[[#This Row],[Predicted Spread]]), IF(OR(ISBLANK(Games!AC20),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21" s="147" t="str">
        <f>IF(ISNUMBER(Table3[[#This Row],[Predicted Spread]]), IF(ISBLANK(Games!AC20),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21" s="148" t="str">
        <f>IF(OR(ISBLANK(Games!AC20), Table3[[#This Row],[Spread]]=""),"",IF('Prediction Log'!$L21='Prediction Log'!$G21, "Y", "N"))</f>
      </c>
      <c r="R21" s="148" t="str">
        <f>IF(ISNUMBER(Table3[[#This Row],[Predicted Spread]]), Table3[[#This Row],[Home Team Covered Market]],"")</f>
      </c>
      <c r="S21" s="148" t="str">
        <f>IF(ISNUMBER(Table3[[#This Row],[Predicted Spread]]), IF(OR(Table3[[#This Row],[Market Side Correct]]="",ISBLANK(Games!AC20)), "",IF(AND('Prediction Log'!$Q21="Y", 'Prediction Log'!$R21="Y"), "Y", "N")),"")</f>
      </c>
      <c r="T21" s="149" t="str">
        <f>IF(ISNUMBER(Table3[[#This Row],[Predicted Spread]]), IF(ISBLANK(Games!AC20),"",IF(Games!AE20='Prediction Log'!$H21, "Y", "N")), "")</f>
        <v>Y</v>
      </c>
      <c r="U21" s="149" t="str">
        <f>IF(ISNUMBER(Table3[[#This Row],[Predicted Spread]]), IF(OR(Table3[[#This Row],[Spread]]="",ISBLANK(Games!AC20)), "", IF(Table3[[#This Row],[Home Team Covered Market]]=Games!P20, "Y", "N")),"")</f>
      </c>
      <c r="V21" s="150" t="str">
        <f>IF(ISBLANK(Games!AC20), "",IF('Prediction Log'!$I21='Prediction Log'!$L21, "Y", "N"))</f>
        <v>Y</v>
      </c>
      <c r="W21" s="149" t="str">
        <f>IF(ISNUMBER(Table3[[#This Row],[Predicted Spread]]), IF(OR(Table3[[#This Row],[Model Spread Correct]]="",ISBLANK(Games!AC20)), "",IF('Prediction Log'!$H21&lt;&gt;'Prediction Log'!$L21, "N",IF(AND('Prediction Log'!$E21&gt;0, 'Prediction Log'!$M21&gt;'Prediction Log'!$E21, 'Prediction Log'!$H21='Prediction Log'!$C21), "Y", IF(AND('Prediction Log'!$E21&lt;0, 'Prediction Log'!$M21&lt;'Prediction Log'!$E21,'Prediction Log'!$H21='Prediction Log'!$B21 ), "Y", IF('Prediction Log'!$M21='Prediction Log'!$E21, "PUSH", "N"))))), "")</f>
      </c>
      <c r="X21" s="149" t="str">
        <f>IF(ISNUMBER(Table3[[#This Row],[Predicted Spread]]), IF(OR(Table3[[#This Row],[Model Spread Correct]]="",ISBLANK(Games!AC20)), "",IF(AND('Prediction Log'!$T21="Y", 'Prediction Log'!$U21="Y"), "Y", "N")), "")</f>
      </c>
      <c r="Y21" s="148" t="str">
        <f>IFERROR(IF(ISNUMBER(Table3[[#This Row],[Predicted Spread]]), IF(ISBLANK(Games!AC20), "",IF('Prediction Log'!$D21&gt;0, 'Prediction Log'!$M21-'Prediction Log'!$D21, IF('Prediction Log'!$D21&lt;0, -'Prediction Log'!$M21+'Prediction Log'!$D21, "NA"))), ""), "")</f>
      </c>
      <c r="Z21" s="148" t="str">
        <f>IF(ISNUMBER(Table3[[#This Row],[Difference from Market]]), IF(ISBLANK(Games!AC20), "",ABS('Prediction Log'!$Y21)), "")</f>
      </c>
      <c r="AA21" s="139" t="n">
        <f>IF(ISNUMBER(Table3[[#This Row],[Predicted Spread]]), IF(ISBLANK(Games!AC20), "",IF('Prediction Log'!$E21&gt;0, 'Prediction Log'!$M21-'Prediction Log'!$E21, IF('Prediction Log'!$E21&lt;0, -'Prediction Log'!$M21+'Prediction Log'!$E21, "NA"))), "")</f>
        <v>14.938383792055603</v>
      </c>
      <c r="AB21" s="139" t="n">
        <f>IF(ISNUMBER(Table3[[#This Row],[Difference from Prediction]]), IF(ISBLANK(Games!AD20), "",ABS('Prediction Log'!$AA21)), "")</f>
        <v>14.938383792055603</v>
      </c>
      <c r="AC21" s="164" t="str">
        <f>IF(ISNUMBER(Table3[[#This Row],[Predicted Spread]]), IF(OR(ISBLANK(Games!AC20),Table3[[#This Row],[Market Side Correct]]="",ISBLANK('Prediction Log'!$L21)), "",IF(OR(AND('Prediction Log'!D21&lt;0, 'Prediction Log'!L21='Prediction Log'!B21), AND('Prediction Log'!D21&gt;0, 'Prediction Log'!C21='Prediction Log'!L21)),"Y", IF(ISBLANK(Games!$B$2), "","N"))), "")</f>
      </c>
      <c r="AD21" s="159" t="str">
        <f>'Prediction Log'!$S21</f>
      </c>
    </row>
    <row r="22">
      <c r="A22" s="165" t="n">
        <f>IF(ISBLANK(Games!$B21), "",Games!A21)</f>
        <v>1</v>
      </c>
      <c r="B22" s="165" t="str">
        <f>IF(ISBLANK(Games!$B21), "",Games!B21)</f>
        <v>Colorado</v>
      </c>
      <c r="C22" s="165" t="str">
        <f>IF(ISBLANK(Games!$B21), "",Games!C21)</f>
        <v>North Dakota State</v>
      </c>
      <c r="D22" s="140" t="n">
        <f>IF(ISBLANK(Games!$D21), "",IF(_xlfn.NUMBERVALUE(Games!D21)=0, "",_xlfn.NUMBERVALUE(Games!D21) ))</f>
        <v>-9</v>
      </c>
      <c r="E22" s="138" t="n">
        <f>IF(ISBLANK(_xlfn.NUMBERVALUE(Games!$B21)), "",_xlfn.NUMBERVALUE(Games!J21))</f>
        <v>-16.446578926000399</v>
      </c>
      <c r="F22" s="141" t="n">
        <f>IFERROR(IF(ISBLANK(Games!B21), "", IF(Games!N21=Games!B21, Games!O21, 1-Games!O21)), "")</f>
        <v>0.9342986153540469</v>
      </c>
      <c r="G22" s="142" t="str">
        <f>IF(OR(ISBLANK(Games!B21),Table3[[#This Row],[Spread]]=""), "", IF('Prediction Log'!$D22&lt;0, 'Prediction Log'!$B22, 'Prediction Log'!$C22))</f>
        <v>Colorado</v>
      </c>
      <c r="H22" s="143" t="str">
        <f>IF(ISBLANK(Games!$B21), "",Games!K21)</f>
        <v>Colorado</v>
      </c>
      <c r="I22" s="143" t="str">
        <f>IF('Prediction Log'!$F22&gt;0.5, 'Prediction Log'!$B22, IF('Prediction Log'!$F22&lt;0.5, 'Prediction Log'!$C22, "PICK"))</f>
        <v>Colorado</v>
      </c>
      <c r="J22" s="144" t="n">
        <f>IF(ISBLANK(Games!B21), "",IF('Prediction Log'!$I22='Prediction Log'!$B22, 'Prediction Log'!$F22, 1-'Prediction Log'!$F22))</f>
        <v>0.9342986153540469</v>
      </c>
      <c r="K22" s="145" t="str">
        <f>IF(ISBLANK(Games!$B21), "",Games!Q21)</f>
        <v>Y</v>
      </c>
      <c r="L22" s="124" t="str">
        <f>IF(ISBLANK(Games!AC21), "",Games!AE21)</f>
        <v>Colorado</v>
      </c>
      <c r="M22" s="161" t="n">
        <f>IF(ISBLANK(Games!AC21), "",Games!AD21-Games!AC21)</f>
        <v>-5</v>
      </c>
      <c r="N22" s="146" t="str">
        <f>IF(ISNUMBER(Table3[[#This Row],[Predicted Spread]]), IF(OR(ISBLANK(Games!AC21),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22" s="147" t="str">
        <f>IF(ISNUMBER(Table3[[#This Row],[Predicted Spread]]), IF(OR(ISBLANK(Games!AC21),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22" s="147" t="str">
        <f>IF(ISNUMBER(Table3[[#This Row],[Predicted Spread]]), IF(ISBLANK(Games!AC21),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22" s="148" t="str">
        <f>IF(OR(ISBLANK(Games!AC21), Table3[[#This Row],[Spread]]=""),"",IF('Prediction Log'!$L22='Prediction Log'!$G22, "Y", "N"))</f>
        <v>Y</v>
      </c>
      <c r="R22" s="148" t="str">
        <f>IF(ISNUMBER(Table3[[#This Row],[Predicted Spread]]), Table3[[#This Row],[Home Team Covered Market]],"")</f>
        <v>N</v>
      </c>
      <c r="S22" s="148" t="str">
        <f>IF(ISNUMBER(Table3[[#This Row],[Predicted Spread]]), IF(OR(Table3[[#This Row],[Market Side Correct]]="",ISBLANK(Games!AC21)), "",IF(AND('Prediction Log'!$Q22="Y", 'Prediction Log'!$R22="Y"), "Y", "N")),"")</f>
        <v>N</v>
      </c>
      <c r="T22" s="149" t="str">
        <f>IF(ISNUMBER(Table3[[#This Row],[Predicted Spread]]), IF(ISBLANK(Games!AC21),"",IF(Games!AE21='Prediction Log'!$H22, "Y", "N")), "")</f>
        <v>Y</v>
      </c>
      <c r="U22" s="149" t="str">
        <f>IF(ISNUMBER(Table3[[#This Row],[Predicted Spread]]), IF(OR(Table3[[#This Row],[Spread]]="",ISBLANK(Games!AC21)), "", IF(Table3[[#This Row],[Home Team Covered Market]]=Games!P21, "Y", "N")),"")</f>
        <v>N</v>
      </c>
      <c r="V22" s="150" t="str">
        <f>IF(ISBLANK(Games!AC21), "",IF('Prediction Log'!$I22='Prediction Log'!$L22, "Y", "N"))</f>
        <v>Y</v>
      </c>
      <c r="W22" s="149" t="str">
        <f>IF(ISNUMBER(Table3[[#This Row],[Predicted Spread]]), IF(OR(Table3[[#This Row],[Model Spread Correct]]="",ISBLANK(Games!AC21)), "",IF('Prediction Log'!$H22&lt;&gt;'Prediction Log'!$L22, "N",IF(AND('Prediction Log'!$E22&gt;0, 'Prediction Log'!$M22&gt;'Prediction Log'!$E22, 'Prediction Log'!$H22='Prediction Log'!$C22), "Y", IF(AND('Prediction Log'!$E22&lt;0, 'Prediction Log'!$M22&lt;'Prediction Log'!$E22,'Prediction Log'!$H22='Prediction Log'!$B22 ), "Y", IF('Prediction Log'!$M22='Prediction Log'!$E22, "PUSH", "N"))))), "")</f>
        <v>N</v>
      </c>
      <c r="X22" s="149" t="str">
        <f>IF(ISNUMBER(Table3[[#This Row],[Predicted Spread]]), IF(OR(Table3[[#This Row],[Model Spread Correct]]="",ISBLANK(Games!AC21)), "",IF(AND('Prediction Log'!$T22="Y", 'Prediction Log'!$U22="Y"), "Y", "N")), "")</f>
        <v>N</v>
      </c>
      <c r="Y22" s="148" t="n">
        <f>IFERROR(IF(ISNUMBER(Table3[[#This Row],[Predicted Spread]]), IF(ISBLANK(Games!AC21), "",IF('Prediction Log'!$D22&gt;0, 'Prediction Log'!$M22-'Prediction Log'!$D22, IF('Prediction Log'!$D22&lt;0, -'Prediction Log'!$M22+'Prediction Log'!$D22, "NA"))), ""), "")</f>
        <v>-4</v>
      </c>
      <c r="Z22" s="148" t="n">
        <f>IF(ISNUMBER(Table3[[#This Row],[Difference from Market]]), IF(ISBLANK(Games!AC21), "",ABS('Prediction Log'!$Y22)), "")</f>
        <v>4</v>
      </c>
      <c r="AA22" s="139" t="n">
        <f>IF(ISNUMBER(Table3[[#This Row],[Predicted Spread]]), IF(ISBLANK(Games!AC21), "",IF('Prediction Log'!$E22&gt;0, 'Prediction Log'!$M22-'Prediction Log'!$E22, IF('Prediction Log'!$E22&lt;0, -'Prediction Log'!$M22+'Prediction Log'!$E22, "NA"))), "")</f>
        <v>-11.446578926000399</v>
      </c>
      <c r="AB22" s="139" t="n">
        <f>IF(ISNUMBER(Table3[[#This Row],[Difference from Prediction]]), IF(ISBLANK(Games!AD21), "",ABS('Prediction Log'!$AA22)), "")</f>
        <v>11.446578926000399</v>
      </c>
      <c r="AC22" s="164" t="str">
        <f>IF(ISNUMBER(Table3[[#This Row],[Predicted Spread]]), IF(OR(ISBLANK(Games!AC21),Table3[[#This Row],[Market Side Correct]]="",ISBLANK('Prediction Log'!$L22)), "",IF(OR(AND('Prediction Log'!D22&lt;0, 'Prediction Log'!L22='Prediction Log'!B22), AND('Prediction Log'!D22&gt;0, 'Prediction Log'!C22='Prediction Log'!L22)),"Y", IF(ISBLANK(Games!$B$2), "","N"))), "")</f>
        <v>Y</v>
      </c>
      <c r="AD22" s="159" t="str">
        <f>'Prediction Log'!$S22</f>
        <v>N</v>
      </c>
    </row>
    <row r="23">
      <c r="A23" s="165" t="n">
        <f>IF(ISBLANK(Games!$B22), "",Games!A22)</f>
        <v>1</v>
      </c>
      <c r="B23" s="165" t="str">
        <f>IF(ISBLANK(Games!$B22), "",Games!B22)</f>
        <v>Jacksonville State</v>
      </c>
      <c r="C23" s="165" t="str">
        <f>IF(ISBLANK(Games!$B22), "",Games!C22)</f>
        <v>Coastal Carolina</v>
      </c>
      <c r="D23" s="140" t="n">
        <f>IF(ISBLANK(Games!$D22), "",IF(_xlfn.NUMBERVALUE(Games!D22)=0, "",_xlfn.NUMBERVALUE(Games!D22) ))</f>
        <v>-3.5</v>
      </c>
      <c r="E23" s="138" t="n">
        <f>IF(ISBLANK(_xlfn.NUMBERVALUE(Games!$B22)), "",_xlfn.NUMBERVALUE(Games!J22))</f>
        <v>-10.9</v>
      </c>
      <c r="F23" s="141" t="n">
        <f>IFERROR(IF(ISBLANK(Games!B22), "", IF(Games!N22=Games!B22, Games!O22, 1-Games!O22)), "")</f>
        <v>0.61898346670071758</v>
      </c>
      <c r="G23" s="142" t="str">
        <f>IF(OR(ISBLANK(Games!B22),Table3[[#This Row],[Spread]]=""), "", IF('Prediction Log'!$D23&lt;0, 'Prediction Log'!$B23, 'Prediction Log'!$C23))</f>
        <v>Jacksonville State</v>
      </c>
      <c r="H23" s="143" t="str">
        <f>IF(ISBLANK(Games!$B22), "",Games!K22)</f>
        <v>Jacksonville State</v>
      </c>
      <c r="I23" s="143" t="str">
        <f>IF('Prediction Log'!$F23&gt;0.5, 'Prediction Log'!$B23, IF('Prediction Log'!$F23&lt;0.5, 'Prediction Log'!$C23, "PICK"))</f>
        <v>Jacksonville State</v>
      </c>
      <c r="J23" s="144" t="n">
        <f>IF(ISBLANK(Games!B22), "",IF('Prediction Log'!$I23='Prediction Log'!$B23, 'Prediction Log'!$F23, 1-'Prediction Log'!$F23))</f>
        <v>0.61898346670071758</v>
      </c>
      <c r="K23" s="145" t="str">
        <f>IF(ISBLANK(Games!$B22), "",Games!Q22)</f>
        <v>Y</v>
      </c>
      <c r="L23" s="124" t="str">
        <f>IF(ISBLANK(Games!AC22), "",Games!AE22)</f>
        <v>Coastal Carolina</v>
      </c>
      <c r="M23" s="161" t="n">
        <f>IF(ISBLANK(Games!AC22), "",Games!AD22-Games!AC22)</f>
        <v>28</v>
      </c>
      <c r="N23" s="146" t="str">
        <f>IF(ISNUMBER(Table3[[#This Row],[Predicted Spread]]), IF(OR(ISBLANK(Games!AC22),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23" s="147" t="str">
        <f>IF(ISNUMBER(Table3[[#This Row],[Predicted Spread]]), IF(OR(ISBLANK(Games!AC22),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23" s="147" t="str">
        <f>IF(ISNUMBER(Table3[[#This Row],[Predicted Spread]]), IF(ISBLANK(Games!AC22),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23" s="148" t="str">
        <f>IF(OR(ISBLANK(Games!AC22), Table3[[#This Row],[Spread]]=""),"",IF('Prediction Log'!$L23='Prediction Log'!$G23, "Y", "N"))</f>
        <v>N</v>
      </c>
      <c r="R23" s="148" t="str">
        <f>IF(ISNUMBER(Table3[[#This Row],[Predicted Spread]]), Table3[[#This Row],[Home Team Covered Market]],"")</f>
        <v>N</v>
      </c>
      <c r="S23" s="148" t="str">
        <f>IF(ISNUMBER(Table3[[#This Row],[Predicted Spread]]), IF(OR(Table3[[#This Row],[Market Side Correct]]="",ISBLANK(Games!AC22)), "",IF(AND('Prediction Log'!$Q23="Y", 'Prediction Log'!$R23="Y"), "Y", "N")),"")</f>
        <v>N</v>
      </c>
      <c r="T23" s="149" t="str">
        <f>IF(ISNUMBER(Table3[[#This Row],[Predicted Spread]]), IF(ISBLANK(Games!AC22),"",IF(Games!AE22='Prediction Log'!$H23, "Y", "N")), "")</f>
        <v>N</v>
      </c>
      <c r="U23" s="149" t="str">
        <f>IF(ISNUMBER(Table3[[#This Row],[Predicted Spread]]), IF(OR(Table3[[#This Row],[Spread]]="",ISBLANK(Games!AC22)), "", IF(Table3[[#This Row],[Home Team Covered Market]]=Games!P22, "Y", "N")),"")</f>
        <v>N</v>
      </c>
      <c r="V23" s="150" t="str">
        <f>IF(ISBLANK(Games!AC22), "",IF('Prediction Log'!$I23='Prediction Log'!$L23, "Y", "N"))</f>
        <v>N</v>
      </c>
      <c r="W23" s="149" t="str">
        <f>IF(ISNUMBER(Table3[[#This Row],[Predicted Spread]]), IF(OR(Table3[[#This Row],[Model Spread Correct]]="",ISBLANK(Games!AC22)), "",IF('Prediction Log'!$H23&lt;&gt;'Prediction Log'!$L23, "N",IF(AND('Prediction Log'!$E23&gt;0, 'Prediction Log'!$M23&gt;'Prediction Log'!$E23, 'Prediction Log'!$H23='Prediction Log'!$C23), "Y", IF(AND('Prediction Log'!$E23&lt;0, 'Prediction Log'!$M23&lt;'Prediction Log'!$E23,'Prediction Log'!$H23='Prediction Log'!$B23 ), "Y", IF('Prediction Log'!$M23='Prediction Log'!$E23, "PUSH", "N"))))), "")</f>
        <v>N</v>
      </c>
      <c r="X23" s="149" t="str">
        <f>IF(ISNUMBER(Table3[[#This Row],[Predicted Spread]]), IF(OR(Table3[[#This Row],[Model Spread Correct]]="",ISBLANK(Games!AC22)), "",IF(AND('Prediction Log'!$T23="Y", 'Prediction Log'!$U23="Y"), "Y", "N")), "")</f>
        <v>N</v>
      </c>
      <c r="Y23" s="148" t="n">
        <f>IFERROR(IF(ISNUMBER(Table3[[#This Row],[Predicted Spread]]), IF(ISBLANK(Games!AC22), "",IF('Prediction Log'!$D23&gt;0, 'Prediction Log'!$M23-'Prediction Log'!$D23, IF('Prediction Log'!$D23&lt;0, -'Prediction Log'!$M23+'Prediction Log'!$D23, "NA"))), ""), "")</f>
        <v>-31.5</v>
      </c>
      <c r="Z23" s="148" t="n">
        <f>IF(ISNUMBER(Table3[[#This Row],[Difference from Market]]), IF(ISBLANK(Games!AC22), "",ABS('Prediction Log'!$Y23)), "")</f>
        <v>31.5</v>
      </c>
      <c r="AA23" s="139" t="n">
        <f>IF(ISNUMBER(Table3[[#This Row],[Predicted Spread]]), IF(ISBLANK(Games!AC22), "",IF('Prediction Log'!$E23&gt;0, 'Prediction Log'!$M23-'Prediction Log'!$E23, IF('Prediction Log'!$E23&lt;0, -'Prediction Log'!$M23+'Prediction Log'!$E23, "NA"))), "")</f>
        <v>-38.9</v>
      </c>
      <c r="AB23" s="139" t="n">
        <f>IF(ISNUMBER(Table3[[#This Row],[Difference from Prediction]]), IF(ISBLANK(Games!AD22), "",ABS('Prediction Log'!$AA23)), "")</f>
        <v>38.9</v>
      </c>
      <c r="AC23" s="164" t="str">
        <f>IF(ISNUMBER(Table3[[#This Row],[Predicted Spread]]), IF(OR(ISBLANK(Games!AC22),Table3[[#This Row],[Market Side Correct]]="",ISBLANK('Prediction Log'!$L23)), "",IF(OR(AND('Prediction Log'!D23&lt;0, 'Prediction Log'!L23='Prediction Log'!B23), AND('Prediction Log'!D23&gt;0, 'Prediction Log'!C23='Prediction Log'!L23)),"Y", IF(ISBLANK(Games!$B$2), "","N"))), "")</f>
        <v>N</v>
      </c>
      <c r="AD23" s="159" t="str">
        <f>'Prediction Log'!$S23</f>
        <v>N</v>
      </c>
    </row>
    <row r="24">
      <c r="A24" s="165" t="n">
        <f>IF(ISBLANK(Games!$B23), "",Games!A23)</f>
        <v>1</v>
      </c>
      <c r="B24" s="165" t="str">
        <f>IF(ISBLANK(Games!$B23), "",Games!B23)</f>
        <v>Kansas</v>
      </c>
      <c r="C24" s="165" t="str">
        <f>IF(ISBLANK(Games!$B23), "",Games!C23)</f>
        <v>Lindenwood</v>
      </c>
      <c r="D24" s="140" t="str">
        <f>IF(ISBLANK(Games!$D23), "",IF(_xlfn.NUMBERVALUE(Games!D23)=0, "",_xlfn.NUMBERVALUE(Games!D23) ))</f>
      </c>
      <c r="E24" s="138" t="n">
        <f>IF(ISBLANK(_xlfn.NUMBERVALUE(Games!$B23)), "",_xlfn.NUMBERVALUE(Games!J23))</f>
        <v>-29.072394087807599</v>
      </c>
      <c r="F24" s="141" t="n">
        <f>IFERROR(IF(ISBLANK(Games!B23), "", IF(Games!N23=Games!B23, Games!O23, 1-Games!O23)), "")</f>
        <v>0.98498909787853794</v>
      </c>
      <c r="G24" s="142" t="str">
        <f>IF(OR(ISBLANK(Games!B23),Table3[[#This Row],[Spread]]=""), "", IF('Prediction Log'!$D24&lt;0, 'Prediction Log'!$B24, 'Prediction Log'!$C24))</f>
      </c>
      <c r="H24" s="143" t="str">
        <f>IF(ISBLANK(Games!$B23), "",Games!K23)</f>
        <v>Kansas</v>
      </c>
      <c r="I24" s="143" t="str">
        <f>IF('Prediction Log'!$F24&gt;0.5, 'Prediction Log'!$B24, IF('Prediction Log'!$F24&lt;0.5, 'Prediction Log'!$C24, "PICK"))</f>
        <v>Kansas</v>
      </c>
      <c r="J24" s="144" t="n">
        <f>IF(ISBLANK(Games!B23), "",IF('Prediction Log'!$I24='Prediction Log'!$B24, 'Prediction Log'!$F24, 1-'Prediction Log'!$F24))</f>
        <v>0.98498909787853794</v>
      </c>
      <c r="K24" s="145" t="str">
        <f>IF(ISBLANK(Games!$B23), "",Games!Q23)</f>
        <v>Y</v>
      </c>
      <c r="L24" s="124" t="str">
        <f>IF(ISBLANK(Games!AC23), "",Games!AE23)</f>
        <v>Kansas</v>
      </c>
      <c r="M24" s="161" t="n">
        <f>IF(ISBLANK(Games!AC23), "",Games!AD23-Games!AC23)</f>
        <v>-45</v>
      </c>
      <c r="N24" s="146" t="str">
        <f>IF(ISNUMBER(Table3[[#This Row],[Predicted Spread]]), IF(OR(ISBLANK(Games!AC23),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24" s="147" t="str">
        <f>IF(ISNUMBER(Table3[[#This Row],[Predicted Spread]]), IF(OR(ISBLANK(Games!AC23),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24" s="147" t="str">
        <f>IF(ISNUMBER(Table3[[#This Row],[Predicted Spread]]), IF(ISBLANK(Games!AC23),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24" s="148" t="str">
        <f>IF(OR(ISBLANK(Games!AC23), Table3[[#This Row],[Spread]]=""),"",IF('Prediction Log'!$L24='Prediction Log'!$G24, "Y", "N"))</f>
      </c>
      <c r="R24" s="148" t="str">
        <f>IF(ISNUMBER(Table3[[#This Row],[Predicted Spread]]), Table3[[#This Row],[Home Team Covered Market]],"")</f>
      </c>
      <c r="S24" s="148" t="str">
        <f>IF(ISNUMBER(Table3[[#This Row],[Predicted Spread]]), IF(OR(Table3[[#This Row],[Market Side Correct]]="",ISBLANK(Games!AC23)), "",IF(AND('Prediction Log'!$Q24="Y", 'Prediction Log'!$R24="Y"), "Y", "N")),"")</f>
      </c>
      <c r="T24" s="149" t="str">
        <f>IF(ISNUMBER(Table3[[#This Row],[Predicted Spread]]), IF(ISBLANK(Games!AC23),"",IF(Games!AE23='Prediction Log'!$H24, "Y", "N")), "")</f>
        <v>Y</v>
      </c>
      <c r="U24" s="149" t="str">
        <f>IF(ISNUMBER(Table3[[#This Row],[Predicted Spread]]), IF(OR(Table3[[#This Row],[Spread]]="",ISBLANK(Games!AC23)), "", IF(Table3[[#This Row],[Home Team Covered Market]]=Games!P23, "Y", "N")),"")</f>
      </c>
      <c r="V24" s="150" t="str">
        <f>IF(ISBLANK(Games!AC23), "",IF('Prediction Log'!$I24='Prediction Log'!$L24, "Y", "N"))</f>
        <v>Y</v>
      </c>
      <c r="W24" s="149" t="str">
        <f>IF(ISNUMBER(Table3[[#This Row],[Predicted Spread]]), IF(OR(Table3[[#This Row],[Model Spread Correct]]="",ISBLANK(Games!AC23)), "",IF('Prediction Log'!$H24&lt;&gt;'Prediction Log'!$L24, "N",IF(AND('Prediction Log'!$E24&gt;0, 'Prediction Log'!$M24&gt;'Prediction Log'!$E24, 'Prediction Log'!$H24='Prediction Log'!$C24), "Y", IF(AND('Prediction Log'!$E24&lt;0, 'Prediction Log'!$M24&lt;'Prediction Log'!$E24,'Prediction Log'!$H24='Prediction Log'!$B24 ), "Y", IF('Prediction Log'!$M24='Prediction Log'!$E24, "PUSH", "N"))))), "")</f>
      </c>
      <c r="X24" s="149" t="str">
        <f>IF(ISNUMBER(Table3[[#This Row],[Predicted Spread]]), IF(OR(Table3[[#This Row],[Model Spread Correct]]="",ISBLANK(Games!AC23)), "",IF(AND('Prediction Log'!$T24="Y", 'Prediction Log'!$U24="Y"), "Y", "N")), "")</f>
      </c>
      <c r="Y24" s="148" t="str">
        <f>IFERROR(IF(ISNUMBER(Table3[[#This Row],[Predicted Spread]]), IF(ISBLANK(Games!AC23), "",IF('Prediction Log'!$D24&gt;0, 'Prediction Log'!$M24-'Prediction Log'!$D24, IF('Prediction Log'!$D24&lt;0, -'Prediction Log'!$M24+'Prediction Log'!$D24, "NA"))), ""), "")</f>
      </c>
      <c r="Z24" s="148" t="str">
        <f>IF(ISNUMBER(Table3[[#This Row],[Difference from Market]]), IF(ISBLANK(Games!AC23), "",ABS('Prediction Log'!$Y24)), "")</f>
      </c>
      <c r="AA24" s="139" t="n">
        <f>IF(ISNUMBER(Table3[[#This Row],[Predicted Spread]]), IF(ISBLANK(Games!AC23), "",IF('Prediction Log'!$E24&gt;0, 'Prediction Log'!$M24-'Prediction Log'!$E24, IF('Prediction Log'!$E24&lt;0, -'Prediction Log'!$M24+'Prediction Log'!$E24, "NA"))), "")</f>
        <v>15.927605912192401</v>
      </c>
      <c r="AB24" s="139" t="n">
        <f>IF(ISNUMBER(Table3[[#This Row],[Difference from Prediction]]), IF(ISBLANK(Games!AD23), "",ABS('Prediction Log'!$AA24)), "")</f>
        <v>15.927605912192401</v>
      </c>
      <c r="AC24" s="164" t="str">
        <f>IF(ISNUMBER(Table3[[#This Row],[Predicted Spread]]), IF(OR(ISBLANK(Games!AC23),Table3[[#This Row],[Market Side Correct]]="",ISBLANK('Prediction Log'!$L24)), "",IF(OR(AND('Prediction Log'!D24&lt;0, 'Prediction Log'!L24='Prediction Log'!B24), AND('Prediction Log'!D24&gt;0, 'Prediction Log'!C24='Prediction Log'!L24)),"Y", IF(ISBLANK(Games!$B$2), "","N"))), "")</f>
      </c>
      <c r="AD24" s="159" t="str">
        <f>'Prediction Log'!$S24</f>
      </c>
    </row>
    <row r="25">
      <c r="A25" s="165" t="n">
        <f>IF(ISBLANK(Games!$B24), "",Games!A24)</f>
        <v>1</v>
      </c>
      <c r="B25" s="165" t="str">
        <f>IF(ISBLANK(Games!$B24), "",Games!B24)</f>
        <v>Illinois</v>
      </c>
      <c r="C25" s="165" t="str">
        <f>IF(ISBLANK(Games!$B24), "",Games!C24)</f>
        <v>Eastern Illinois</v>
      </c>
      <c r="D25" s="140" t="str">
        <f>IF(ISBLANK(Games!$D24), "",IF(_xlfn.NUMBERVALUE(Games!D24)=0, "",_xlfn.NUMBERVALUE(Games!D24) ))</f>
      </c>
      <c r="E25" s="138" t="n">
        <f>IF(ISBLANK(_xlfn.NUMBERVALUE(Games!$B24)), "",_xlfn.NUMBERVALUE(Games!J24))</f>
        <v>-20.705795769052799</v>
      </c>
      <c r="F25" s="141" t="n">
        <f>IFERROR(IF(ISBLANK(Games!B24), "", IF(Games!N24=Games!B24, Games!O24, 1-Games!O24)), "")</f>
        <v>0.96330136263287514</v>
      </c>
      <c r="G25" s="142" t="str">
        <f>IF(OR(ISBLANK(Games!B24),Table3[[#This Row],[Spread]]=""), "", IF('Prediction Log'!$D25&lt;0, 'Prediction Log'!$B25, 'Prediction Log'!$C25))</f>
      </c>
      <c r="H25" s="143" t="str">
        <f>IF(ISBLANK(Games!$B24), "",Games!K24)</f>
        <v>Illinois</v>
      </c>
      <c r="I25" s="143" t="str">
        <f>IF('Prediction Log'!$F25&gt;0.5, 'Prediction Log'!$B25, IF('Prediction Log'!$F25&lt;0.5, 'Prediction Log'!$C25, "PICK"))</f>
        <v>Illinois</v>
      </c>
      <c r="J25" s="144" t="n">
        <f>IF(ISBLANK(Games!B24), "",IF('Prediction Log'!$I25='Prediction Log'!$B25, 'Prediction Log'!$F25, 1-'Prediction Log'!$F25))</f>
        <v>0.96330136263287514</v>
      </c>
      <c r="K25" s="145" t="str">
        <f>IF(ISBLANK(Games!$B24), "",Games!Q24)</f>
        <v>Y</v>
      </c>
      <c r="L25" s="124" t="str">
        <f>IF(ISBLANK(Games!AC24), "",Games!AE24)</f>
        <v>Illinois</v>
      </c>
      <c r="M25" s="161" t="n">
        <f>IF(ISBLANK(Games!AC24), "",Games!AD24-Games!AC24)</f>
        <v>-45</v>
      </c>
      <c r="N25" s="146" t="str">
        <f>IF(ISNUMBER(Table3[[#This Row],[Predicted Spread]]), IF(OR(ISBLANK(Games!AC24),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25" s="147" t="str">
        <f>IF(ISNUMBER(Table3[[#This Row],[Predicted Spread]]), IF(OR(ISBLANK(Games!AC24),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25" s="147" t="str">
        <f>IF(ISNUMBER(Table3[[#This Row],[Predicted Spread]]), IF(ISBLANK(Games!AC24),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25" s="148" t="str">
        <f>IF(OR(ISBLANK(Games!AC24), Table3[[#This Row],[Spread]]=""),"",IF('Prediction Log'!$L25='Prediction Log'!$G25, "Y", "N"))</f>
      </c>
      <c r="R25" s="148" t="str">
        <f>IF(ISNUMBER(Table3[[#This Row],[Predicted Spread]]), Table3[[#This Row],[Home Team Covered Market]],"")</f>
      </c>
      <c r="S25" s="148" t="str">
        <f>IF(ISNUMBER(Table3[[#This Row],[Predicted Spread]]), IF(OR(Table3[[#This Row],[Market Side Correct]]="",ISBLANK(Games!AC24)), "",IF(AND('Prediction Log'!$Q25="Y", 'Prediction Log'!$R25="Y"), "Y", "N")),"")</f>
      </c>
      <c r="T25" s="149" t="str">
        <f>IF(ISNUMBER(Table3[[#This Row],[Predicted Spread]]), IF(ISBLANK(Games!AC24),"",IF(Games!AE24='Prediction Log'!$H25, "Y", "N")), "")</f>
        <v>Y</v>
      </c>
      <c r="U25" s="149" t="str">
        <f>IF(ISNUMBER(Table3[[#This Row],[Predicted Spread]]), IF(OR(Table3[[#This Row],[Spread]]="",ISBLANK(Games!AC24)), "", IF(Table3[[#This Row],[Home Team Covered Market]]=Games!P24, "Y", "N")),"")</f>
      </c>
      <c r="V25" s="150" t="str">
        <f>IF(ISBLANK(Games!AC24), "",IF('Prediction Log'!$I25='Prediction Log'!$L25, "Y", "N"))</f>
        <v>Y</v>
      </c>
      <c r="W25" s="149" t="str">
        <f>IF(ISNUMBER(Table3[[#This Row],[Predicted Spread]]), IF(OR(Table3[[#This Row],[Model Spread Correct]]="",ISBLANK(Games!AC24)), "",IF('Prediction Log'!$H25&lt;&gt;'Prediction Log'!$L25, "N",IF(AND('Prediction Log'!$E25&gt;0, 'Prediction Log'!$M25&gt;'Prediction Log'!$E25, 'Prediction Log'!$H25='Prediction Log'!$C25), "Y", IF(AND('Prediction Log'!$E25&lt;0, 'Prediction Log'!$M25&lt;'Prediction Log'!$E25,'Prediction Log'!$H25='Prediction Log'!$B25 ), "Y", IF('Prediction Log'!$M25='Prediction Log'!$E25, "PUSH", "N"))))), "")</f>
      </c>
      <c r="X25" s="149" t="str">
        <f>IF(ISNUMBER(Table3[[#This Row],[Predicted Spread]]), IF(OR(Table3[[#This Row],[Model Spread Correct]]="",ISBLANK(Games!AC24)), "",IF(AND('Prediction Log'!$T25="Y", 'Prediction Log'!$U25="Y"), "Y", "N")), "")</f>
      </c>
      <c r="Y25" s="148" t="str">
        <f>IFERROR(IF(ISNUMBER(Table3[[#This Row],[Predicted Spread]]), IF(ISBLANK(Games!AC24), "",IF('Prediction Log'!$D25&gt;0, 'Prediction Log'!$M25-'Prediction Log'!$D25, IF('Prediction Log'!$D25&lt;0, -'Prediction Log'!$M25+'Prediction Log'!$D25, "NA"))), ""), "")</f>
      </c>
      <c r="Z25" s="148" t="str">
        <f>IF(ISNUMBER(Table3[[#This Row],[Difference from Market]]), IF(ISBLANK(Games!AC24), "",ABS('Prediction Log'!$Y25)), "")</f>
      </c>
      <c r="AA25" s="139" t="n">
        <f>IF(ISNUMBER(Table3[[#This Row],[Predicted Spread]]), IF(ISBLANK(Games!AC24), "",IF('Prediction Log'!$E25&gt;0, 'Prediction Log'!$M25-'Prediction Log'!$E25, IF('Prediction Log'!$E25&lt;0, -'Prediction Log'!$M25+'Prediction Log'!$E25, "NA"))), "")</f>
        <v>24.294204230947201</v>
      </c>
      <c r="AB25" s="139" t="n">
        <f>IF(ISNUMBER(Table3[[#This Row],[Difference from Prediction]]), IF(ISBLANK(Games!AD24), "",ABS('Prediction Log'!$AA25)), "")</f>
        <v>24.294204230947201</v>
      </c>
      <c r="AC25" s="164" t="str">
        <f>IF(ISNUMBER(Table3[[#This Row],[Predicted Spread]]), IF(OR(ISBLANK(Games!AC24),Table3[[#This Row],[Market Side Correct]]="",ISBLANK('Prediction Log'!$L25)), "",IF(OR(AND('Prediction Log'!D25&lt;0, 'Prediction Log'!L25='Prediction Log'!B25), AND('Prediction Log'!D25&gt;0, 'Prediction Log'!C25='Prediction Log'!L25)),"Y", IF(ISBLANK(Games!$B$2), "","N"))), "")</f>
      </c>
      <c r="AD25" s="159" t="str">
        <f>'Prediction Log'!$S25</f>
      </c>
    </row>
    <row r="26">
      <c r="A26" s="165" t="n">
        <f>IF(ISBLANK(Games!$B25), "",Games!A25)</f>
        <v>1</v>
      </c>
      <c r="B26" s="165" t="str">
        <f>IF(ISBLANK(Games!$B25), "",Games!B25)</f>
        <v>Utah</v>
      </c>
      <c r="C26" s="165" t="str">
        <f>IF(ISBLANK(Games!$B25), "",Games!C25)</f>
        <v>Southern Utah</v>
      </c>
      <c r="D26" s="140" t="str">
        <f>IF(ISBLANK(Games!$D25), "",IF(_xlfn.NUMBERVALUE(Games!D25)=0, "",_xlfn.NUMBERVALUE(Games!D25) ))</f>
      </c>
      <c r="E26" s="138" t="n">
        <f>IF(ISBLANK(_xlfn.NUMBERVALUE(Games!$B25)), "",_xlfn.NUMBERVALUE(Games!J25))</f>
        <v>-23.6724340790716</v>
      </c>
      <c r="F26" s="141" t="n">
        <f>IFERROR(IF(ISBLANK(Games!B25), "", IF(Games!N25=Games!B25, Games!O25, 1-Games!O25)), "")</f>
        <v>0.97574456809378474</v>
      </c>
      <c r="G26" s="142" t="str">
        <f>IF(OR(ISBLANK(Games!B25),Table3[[#This Row],[Spread]]=""), "", IF('Prediction Log'!$D26&lt;0, 'Prediction Log'!$B26, 'Prediction Log'!$C26))</f>
      </c>
      <c r="H26" s="143" t="str">
        <f>IF(ISBLANK(Games!$B25), "",Games!K25)</f>
        <v>Utah</v>
      </c>
      <c r="I26" s="143" t="str">
        <f>IF('Prediction Log'!$F26&gt;0.5, 'Prediction Log'!$B26, IF('Prediction Log'!$F26&lt;0.5, 'Prediction Log'!$C26, "PICK"))</f>
        <v>Utah</v>
      </c>
      <c r="J26" s="144" t="n">
        <f>IF(ISBLANK(Games!B25), "",IF('Prediction Log'!$I26='Prediction Log'!$B26, 'Prediction Log'!$F26, 1-'Prediction Log'!$F26))</f>
        <v>0.97574456809378474</v>
      </c>
      <c r="K26" s="145" t="str">
        <f>IF(ISBLANK(Games!$B25), "",Games!Q25)</f>
        <v>Y</v>
      </c>
      <c r="L26" s="124" t="str">
        <f>IF(ISBLANK(Games!AC25), "",Games!AE25)</f>
        <v>Utah</v>
      </c>
      <c r="M26" s="161" t="n">
        <f>IF(ISBLANK(Games!AC25), "",Games!AD25-Games!AC25)</f>
        <v>-49</v>
      </c>
      <c r="N26" s="146" t="str">
        <f>IF(ISNUMBER(Table3[[#This Row],[Predicted Spread]]), IF(OR(ISBLANK(Games!AC25),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26" s="147" t="str">
        <f>IF(ISNUMBER(Table3[[#This Row],[Predicted Spread]]), IF(OR(ISBLANK(Games!AC25),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26" s="147" t="str">
        <f>IF(ISNUMBER(Table3[[#This Row],[Predicted Spread]]), IF(ISBLANK(Games!AC25),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26" s="148" t="str">
        <f>IF(OR(ISBLANK(Games!AC25), Table3[[#This Row],[Spread]]=""),"",IF('Prediction Log'!$L26='Prediction Log'!$G26, "Y", "N"))</f>
      </c>
      <c r="R26" s="148" t="str">
        <f>IF(ISNUMBER(Table3[[#This Row],[Predicted Spread]]), Table3[[#This Row],[Home Team Covered Market]],"")</f>
      </c>
      <c r="S26" s="148" t="str">
        <f>IF(ISNUMBER(Table3[[#This Row],[Predicted Spread]]), IF(OR(Table3[[#This Row],[Market Side Correct]]="",ISBLANK(Games!AC25)), "",IF(AND('Prediction Log'!$Q26="Y", 'Prediction Log'!$R26="Y"), "Y", "N")),"")</f>
      </c>
      <c r="T26" s="149" t="str">
        <f>IF(ISNUMBER(Table3[[#This Row],[Predicted Spread]]), IF(ISBLANK(Games!AC25),"",IF(Games!AE25='Prediction Log'!$H26, "Y", "N")), "")</f>
        <v>Y</v>
      </c>
      <c r="U26" s="149" t="str">
        <f>IF(ISNUMBER(Table3[[#This Row],[Predicted Spread]]), IF(OR(Table3[[#This Row],[Spread]]="",ISBLANK(Games!AC25)), "", IF(Table3[[#This Row],[Home Team Covered Market]]=Games!P25, "Y", "N")),"")</f>
      </c>
      <c r="V26" s="150" t="str">
        <f>IF(ISBLANK(Games!AC25), "",IF('Prediction Log'!$I26='Prediction Log'!$L26, "Y", "N"))</f>
        <v>Y</v>
      </c>
      <c r="W26" s="149" t="str">
        <f>IF(ISNUMBER(Table3[[#This Row],[Predicted Spread]]), IF(OR(Table3[[#This Row],[Model Spread Correct]]="",ISBLANK(Games!AC25)), "",IF('Prediction Log'!$H26&lt;&gt;'Prediction Log'!$L26, "N",IF(AND('Prediction Log'!$E26&gt;0, 'Prediction Log'!$M26&gt;'Prediction Log'!$E26, 'Prediction Log'!$H26='Prediction Log'!$C26), "Y", IF(AND('Prediction Log'!$E26&lt;0, 'Prediction Log'!$M26&lt;'Prediction Log'!$E26,'Prediction Log'!$H26='Prediction Log'!$B26 ), "Y", IF('Prediction Log'!$M26='Prediction Log'!$E26, "PUSH", "N"))))), "")</f>
      </c>
      <c r="X26" s="149" t="str">
        <f>IF(ISNUMBER(Table3[[#This Row],[Predicted Spread]]), IF(OR(Table3[[#This Row],[Model Spread Correct]]="",ISBLANK(Games!AC25)), "",IF(AND('Prediction Log'!$T26="Y", 'Prediction Log'!$U26="Y"), "Y", "N")), "")</f>
      </c>
      <c r="Y26" s="148" t="str">
        <f>IFERROR(IF(ISNUMBER(Table3[[#This Row],[Predicted Spread]]), IF(ISBLANK(Games!AC25), "",IF('Prediction Log'!$D26&gt;0, 'Prediction Log'!$M26-'Prediction Log'!$D26, IF('Prediction Log'!$D26&lt;0, -'Prediction Log'!$M26+'Prediction Log'!$D26, "NA"))), ""), "")</f>
      </c>
      <c r="Z26" s="148" t="str">
        <f>IF(ISNUMBER(Table3[[#This Row],[Difference from Market]]), IF(ISBLANK(Games!AC25), "",ABS('Prediction Log'!$Y26)), "")</f>
      </c>
      <c r="AA26" s="139" t="n">
        <f>IF(ISNUMBER(Table3[[#This Row],[Predicted Spread]]), IF(ISBLANK(Games!AC25), "",IF('Prediction Log'!$E26&gt;0, 'Prediction Log'!$M26-'Prediction Log'!$E26, IF('Prediction Log'!$E26&lt;0, -'Prediction Log'!$M26+'Prediction Log'!$E26, "NA"))), "")</f>
        <v>25.3275659209284</v>
      </c>
      <c r="AB26" s="139" t="n">
        <f>IF(ISNUMBER(Table3[[#This Row],[Difference from Prediction]]), IF(ISBLANK(Games!AD25), "",ABS('Prediction Log'!$AA26)), "")</f>
        <v>25.3275659209284</v>
      </c>
      <c r="AC26" s="164" t="str">
        <f>IF(ISNUMBER(Table3[[#This Row],[Predicted Spread]]), IF(OR(ISBLANK(Games!AC25),Table3[[#This Row],[Market Side Correct]]="",ISBLANK('Prediction Log'!$L26)), "",IF(OR(AND('Prediction Log'!D26&lt;0, 'Prediction Log'!L26='Prediction Log'!B26), AND('Prediction Log'!D26&gt;0, 'Prediction Log'!C26='Prediction Log'!L26)),"Y", IF(ISBLANK(Games!$B$2), "","N"))), "")</f>
      </c>
      <c r="AD26" s="159" t="str">
        <f>'Prediction Log'!$S26</f>
      </c>
    </row>
    <row r="27">
      <c r="A27" s="165" t="n">
        <f>IF(ISBLANK(Games!$B26), "",Games!A26)</f>
        <v>1</v>
      </c>
      <c r="B27" s="165" t="str">
        <f>IF(ISBLANK(Games!$B26), "",Games!B26)</f>
        <v>San José State</v>
      </c>
      <c r="C27" s="165" t="str">
        <f>IF(ISBLANK(Games!$B26), "",Games!C26)</f>
        <v>Sacramento State</v>
      </c>
      <c r="D27" s="140" t="str">
        <f>IF(ISBLANK(Games!$D26), "",IF(_xlfn.NUMBERVALUE(Games!D26)=0, "",_xlfn.NUMBERVALUE(Games!D26) ))</f>
      </c>
      <c r="E27" s="138" t="n">
        <f>IF(ISBLANK(_xlfn.NUMBERVALUE(Games!$B26)), "",_xlfn.NUMBERVALUE(Games!J26))</f>
        <v>-19.263688264659599</v>
      </c>
      <c r="F27" s="141" t="n">
        <f>IFERROR(IF(ISBLANK(Games!B26), "", IF(Games!N26=Games!B26, Games!O26, 1-Games!O26)), "")</f>
        <v>0.9552161782197377</v>
      </c>
      <c r="G27" s="142" t="str">
        <f>IF(OR(ISBLANK(Games!B26),Table3[[#This Row],[Spread]]=""), "", IF('Prediction Log'!$D27&lt;0, 'Prediction Log'!$B27, 'Prediction Log'!$C27))</f>
      </c>
      <c r="H27" s="143" t="str">
        <f>IF(ISBLANK(Games!$B26), "",Games!K26)</f>
        <v>San José State</v>
      </c>
      <c r="I27" s="143" t="str">
        <f>IF('Prediction Log'!$F27&gt;0.5, 'Prediction Log'!$B27, IF('Prediction Log'!$F27&lt;0.5, 'Prediction Log'!$C27, "PICK"))</f>
        <v>San José State</v>
      </c>
      <c r="J27" s="144" t="n">
        <f>IF(ISBLANK(Games!B26), "",IF('Prediction Log'!$I27='Prediction Log'!$B27, 'Prediction Log'!$F27, 1-'Prediction Log'!$F27))</f>
        <v>0.9552161782197377</v>
      </c>
      <c r="K27" s="145" t="str">
        <f>IF(ISBLANK(Games!$B26), "",Games!Q26)</f>
        <v>Y</v>
      </c>
      <c r="L27" s="124" t="str">
        <f>IF(ISBLANK(Games!AC26), "",Games!AE26)</f>
        <v>San José State</v>
      </c>
      <c r="M27" s="161" t="n">
        <f>IF(ISBLANK(Games!AC26), "",Games!AD26-Games!AC26)</f>
        <v>-18</v>
      </c>
      <c r="N27" s="146" t="str">
        <f>IF(ISNUMBER(Table3[[#This Row],[Predicted Spread]]), IF(OR(ISBLANK(Games!AC26),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27" s="147" t="str">
        <f>IF(ISNUMBER(Table3[[#This Row],[Predicted Spread]]), IF(OR(ISBLANK(Games!AC26),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27" s="147" t="str">
        <f>IF(ISNUMBER(Table3[[#This Row],[Predicted Spread]]), IF(ISBLANK(Games!AC26),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27" s="148" t="str">
        <f>IF(OR(ISBLANK(Games!AC26), Table3[[#This Row],[Spread]]=""),"",IF('Prediction Log'!$L27='Prediction Log'!$G27, "Y", "N"))</f>
      </c>
      <c r="R27" s="148" t="str">
        <f>IF(ISNUMBER(Table3[[#This Row],[Predicted Spread]]), Table3[[#This Row],[Home Team Covered Market]],"")</f>
      </c>
      <c r="S27" s="148" t="str">
        <f>IF(ISNUMBER(Table3[[#This Row],[Predicted Spread]]), IF(OR(Table3[[#This Row],[Market Side Correct]]="",ISBLANK(Games!AC26)), "",IF(AND('Prediction Log'!$Q27="Y", 'Prediction Log'!$R27="Y"), "Y", "N")),"")</f>
      </c>
      <c r="T27" s="149" t="str">
        <f>IF(ISNUMBER(Table3[[#This Row],[Predicted Spread]]), IF(ISBLANK(Games!AC26),"",IF(Games!AE26='Prediction Log'!$H27, "Y", "N")), "")</f>
        <v>Y</v>
      </c>
      <c r="U27" s="149" t="str">
        <f>IF(ISNUMBER(Table3[[#This Row],[Predicted Spread]]), IF(OR(Table3[[#This Row],[Spread]]="",ISBLANK(Games!AC26)), "", IF(Table3[[#This Row],[Home Team Covered Market]]=Games!P26, "Y", "N")),"")</f>
      </c>
      <c r="V27" s="150" t="str">
        <f>IF(ISBLANK(Games!AC26), "",IF('Prediction Log'!$I27='Prediction Log'!$L27, "Y", "N"))</f>
        <v>Y</v>
      </c>
      <c r="W27" s="149" t="str">
        <f>IF(ISNUMBER(Table3[[#This Row],[Predicted Spread]]), IF(OR(Table3[[#This Row],[Model Spread Correct]]="",ISBLANK(Games!AC26)), "",IF('Prediction Log'!$H27&lt;&gt;'Prediction Log'!$L27, "N",IF(AND('Prediction Log'!$E27&gt;0, 'Prediction Log'!$M27&gt;'Prediction Log'!$E27, 'Prediction Log'!$H27='Prediction Log'!$C27), "Y", IF(AND('Prediction Log'!$E27&lt;0, 'Prediction Log'!$M27&lt;'Prediction Log'!$E27,'Prediction Log'!$H27='Prediction Log'!$B27 ), "Y", IF('Prediction Log'!$M27='Prediction Log'!$E27, "PUSH", "N"))))), "")</f>
      </c>
      <c r="X27" s="149" t="str">
        <f>IF(ISNUMBER(Table3[[#This Row],[Predicted Spread]]), IF(OR(Table3[[#This Row],[Model Spread Correct]]="",ISBLANK(Games!AC26)), "",IF(AND('Prediction Log'!$T27="Y", 'Prediction Log'!$U27="Y"), "Y", "N")), "")</f>
      </c>
      <c r="Y27" s="148" t="str">
        <f>IFERROR(IF(ISNUMBER(Table3[[#This Row],[Predicted Spread]]), IF(ISBLANK(Games!AC26), "",IF('Prediction Log'!$D27&gt;0, 'Prediction Log'!$M27-'Prediction Log'!$D27, IF('Prediction Log'!$D27&lt;0, -'Prediction Log'!$M27+'Prediction Log'!$D27, "NA"))), ""), "")</f>
      </c>
      <c r="Z27" s="148" t="str">
        <f>IF(ISNUMBER(Table3[[#This Row],[Difference from Market]]), IF(ISBLANK(Games!AC26), "",ABS('Prediction Log'!$Y27)), "")</f>
      </c>
      <c r="AA27" s="139" t="n">
        <f>IF(ISNUMBER(Table3[[#This Row],[Predicted Spread]]), IF(ISBLANK(Games!AC26), "",IF('Prediction Log'!$E27&gt;0, 'Prediction Log'!$M27-'Prediction Log'!$E27, IF('Prediction Log'!$E27&lt;0, -'Prediction Log'!$M27+'Prediction Log'!$E27, "NA"))), "")</f>
        <v>-1.2636882646595993</v>
      </c>
      <c r="AB27" s="139" t="n">
        <f>IF(ISNUMBER(Table3[[#This Row],[Difference from Prediction]]), IF(ISBLANK(Games!AD26), "",ABS('Prediction Log'!$AA27)), "")</f>
        <v>1.2636882646595993</v>
      </c>
      <c r="AC27" s="164" t="str">
        <f>IF(ISNUMBER(Table3[[#This Row],[Predicted Spread]]), IF(OR(ISBLANK(Games!AC26),Table3[[#This Row],[Market Side Correct]]="",ISBLANK('Prediction Log'!$L27)), "",IF(OR(AND('Prediction Log'!D27&lt;0, 'Prediction Log'!L27='Prediction Log'!B27), AND('Prediction Log'!D27&gt;0, 'Prediction Log'!C27='Prediction Log'!L27)),"Y", IF(ISBLANK(Games!$B$2), "","N"))), "")</f>
      </c>
      <c r="AD27" s="159" t="str">
        <f>'Prediction Log'!$S27</f>
      </c>
    </row>
    <row r="28">
      <c r="A28" s="165" t="n">
        <f>IF(ISBLANK(Games!$B27), "",Games!A27)</f>
        <v>1</v>
      </c>
      <c r="B28" s="165" t="str">
        <f>IF(ISBLANK(Games!$B27), "",Games!B27)</f>
        <v>Army</v>
      </c>
      <c r="C28" s="165" t="str">
        <f>IF(ISBLANK(Games!$B27), "",Games!C27)</f>
        <v>Lehigh</v>
      </c>
      <c r="D28" s="140" t="n">
        <f>IF(ISBLANK(Games!$D27), "",IF(_xlfn.NUMBERVALUE(Games!D27)=0, "",_xlfn.NUMBERVALUE(Games!D27) ))</f>
        <v>-31.5</v>
      </c>
      <c r="E28" s="138" t="n">
        <f>IF(ISBLANK(_xlfn.NUMBERVALUE(Games!$B27)), "",_xlfn.NUMBERVALUE(Games!J27))</f>
        <v>-13.333757137662801</v>
      </c>
      <c r="F28" s="141" t="n">
        <f>IFERROR(IF(ISBLANK(Games!B27), "", IF(Games!N27=Games!B27, Games!O27, 1-Games!O27)), "")</f>
        <v>0.90085001167424639</v>
      </c>
      <c r="G28" s="142" t="str">
        <f>IF(OR(ISBLANK(Games!B27),Table3[[#This Row],[Spread]]=""), "", IF('Prediction Log'!$D28&lt;0, 'Prediction Log'!$B28, 'Prediction Log'!$C28))</f>
        <v>Army</v>
      </c>
      <c r="H28" s="143" t="str">
        <f>IF(ISBLANK(Games!$B27), "",Games!K27)</f>
        <v>Army</v>
      </c>
      <c r="I28" s="143" t="str">
        <f>IF('Prediction Log'!$F28&gt;0.5, 'Prediction Log'!$B28, IF('Prediction Log'!$F28&lt;0.5, 'Prediction Log'!$C28, "PICK"))</f>
        <v>Army</v>
      </c>
      <c r="J28" s="144" t="n">
        <f>IF(ISBLANK(Games!B27), "",IF('Prediction Log'!$I28='Prediction Log'!$B28, 'Prediction Log'!$F28, 1-'Prediction Log'!$F28))</f>
        <v>0.90085001167424639</v>
      </c>
      <c r="K28" s="145" t="str">
        <f>IF(ISBLANK(Games!$B27), "",Games!Q27)</f>
        <v>N</v>
      </c>
      <c r="L28" s="124" t="str">
        <f>IF(ISBLANK(Games!AC27), "",Games!AE27)</f>
        <v>Army</v>
      </c>
      <c r="M28" s="161" t="n">
        <f>IF(ISBLANK(Games!AC27), "",Games!AD27-Games!AC27)</f>
        <v>-35</v>
      </c>
      <c r="N28" s="146" t="str">
        <f>IF(ISNUMBER(Table3[[#This Row],[Predicted Spread]]), IF(OR(ISBLANK(Games!AC27),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28" s="147" t="str">
        <f>IF(ISNUMBER(Table3[[#This Row],[Predicted Spread]]), IF(OR(ISBLANK(Games!AC27),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28" s="147" t="str">
        <f>IF(ISNUMBER(Table3[[#This Row],[Predicted Spread]]), IF(ISBLANK(Games!AC27),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28" s="148" t="str">
        <f>IF(OR(ISBLANK(Games!AC27), Table3[[#This Row],[Spread]]=""),"",IF('Prediction Log'!$L28='Prediction Log'!$G28, "Y", "N"))</f>
        <v>Y</v>
      </c>
      <c r="R28" s="148" t="str">
        <f>IF(ISNUMBER(Table3[[#This Row],[Predicted Spread]]), Table3[[#This Row],[Home Team Covered Market]],"")</f>
        <v>Y</v>
      </c>
      <c r="S28" s="148" t="str">
        <f>IF(ISNUMBER(Table3[[#This Row],[Predicted Spread]]), IF(OR(Table3[[#This Row],[Market Side Correct]]="",ISBLANK(Games!AC27)), "",IF(AND('Prediction Log'!$Q28="Y", 'Prediction Log'!$R28="Y"), "Y", "N")),"")</f>
        <v>Y</v>
      </c>
      <c r="T28" s="149" t="str">
        <f>IF(ISNUMBER(Table3[[#This Row],[Predicted Spread]]), IF(ISBLANK(Games!AC27),"",IF(Games!AE27='Prediction Log'!$H28, "Y", "N")), "")</f>
        <v>Y</v>
      </c>
      <c r="U28" s="149" t="str">
        <f>IF(ISNUMBER(Table3[[#This Row],[Predicted Spread]]), IF(OR(Table3[[#This Row],[Spread]]="",ISBLANK(Games!AC27)), "", IF(Table3[[#This Row],[Home Team Covered Market]]=Games!P27, "Y", "N")),"")</f>
        <v>N</v>
      </c>
      <c r="V28" s="150" t="str">
        <f>IF(ISBLANK(Games!AC27), "",IF('Prediction Log'!$I28='Prediction Log'!$L28, "Y", "N"))</f>
        <v>Y</v>
      </c>
      <c r="W28" s="149" t="str">
        <f>IF(ISNUMBER(Table3[[#This Row],[Predicted Spread]]), IF(OR(Table3[[#This Row],[Model Spread Correct]]="",ISBLANK(Games!AC27)), "",IF('Prediction Log'!$H28&lt;&gt;'Prediction Log'!$L28, "N",IF(AND('Prediction Log'!$E28&gt;0, 'Prediction Log'!$M28&gt;'Prediction Log'!$E28, 'Prediction Log'!$H28='Prediction Log'!$C28), "Y", IF(AND('Prediction Log'!$E28&lt;0, 'Prediction Log'!$M28&lt;'Prediction Log'!$E28,'Prediction Log'!$H28='Prediction Log'!$B28 ), "Y", IF('Prediction Log'!$M28='Prediction Log'!$E28, "PUSH", "N"))))), "")</f>
        <v>Y</v>
      </c>
      <c r="X28" s="149" t="str">
        <f>IF(ISNUMBER(Table3[[#This Row],[Predicted Spread]]), IF(OR(Table3[[#This Row],[Model Spread Correct]]="",ISBLANK(Games!AC27)), "",IF(AND('Prediction Log'!$T28="Y", 'Prediction Log'!$U28="Y"), "Y", "N")), "")</f>
        <v>N</v>
      </c>
      <c r="Y28" s="148" t="n">
        <f>IFERROR(IF(ISNUMBER(Table3[[#This Row],[Predicted Spread]]), IF(ISBLANK(Games!AC27), "",IF('Prediction Log'!$D28&gt;0, 'Prediction Log'!$M28-'Prediction Log'!$D28, IF('Prediction Log'!$D28&lt;0, -'Prediction Log'!$M28+'Prediction Log'!$D28, "NA"))), ""), "")</f>
        <v>3.5</v>
      </c>
      <c r="Z28" s="148" t="n">
        <f>IF(ISNUMBER(Table3[[#This Row],[Difference from Market]]), IF(ISBLANK(Games!AC27), "",ABS('Prediction Log'!$Y28)), "")</f>
        <v>3.5</v>
      </c>
      <c r="AA28" s="139" t="n">
        <f>IF(ISNUMBER(Table3[[#This Row],[Predicted Spread]]), IF(ISBLANK(Games!AC27), "",IF('Prediction Log'!$E28&gt;0, 'Prediction Log'!$M28-'Prediction Log'!$E28, IF('Prediction Log'!$E28&lt;0, -'Prediction Log'!$M28+'Prediction Log'!$E28, "NA"))), "")</f>
        <v>21.666242862337199</v>
      </c>
      <c r="AB28" s="139" t="n">
        <f>IF(ISNUMBER(Table3[[#This Row],[Difference from Prediction]]), IF(ISBLANK(Games!AD27), "",ABS('Prediction Log'!$AA28)), "")</f>
        <v>21.666242862337199</v>
      </c>
      <c r="AC28" s="164" t="str">
        <f>IF(ISNUMBER(Table3[[#This Row],[Predicted Spread]]), IF(OR(ISBLANK(Games!AC27),Table3[[#This Row],[Market Side Correct]]="",ISBLANK('Prediction Log'!$L28)), "",IF(OR(AND('Prediction Log'!D28&lt;0, 'Prediction Log'!L28='Prediction Log'!B28), AND('Prediction Log'!D28&gt;0, 'Prediction Log'!C28='Prediction Log'!L28)),"Y", IF(ISBLANK(Games!$B$2), "","N"))), "")</f>
        <v>Y</v>
      </c>
      <c r="AD28" s="159" t="str">
        <f>'Prediction Log'!$S28</f>
        <v>Y</v>
      </c>
    </row>
    <row r="29">
      <c r="A29" s="165" t="n">
        <f>IF(ISBLANK(Games!$B28), "",Games!A28)</f>
        <v>1</v>
      </c>
      <c r="B29" s="165" t="str">
        <f>IF(ISBLANK(Games!$B28), "",Games!B28)</f>
        <v>Michigan State</v>
      </c>
      <c r="C29" s="165" t="str">
        <f>IF(ISBLANK(Games!$B28), "",Games!C28)</f>
        <v>Florida Atlantic</v>
      </c>
      <c r="D29" s="140" t="n">
        <f>IF(ISBLANK(Games!$D28), "",IF(_xlfn.NUMBERVALUE(Games!D28)=0, "",_xlfn.NUMBERVALUE(Games!D28) ))</f>
        <v>-11.5</v>
      </c>
      <c r="E29" s="138" t="n">
        <f>IF(ISBLANK(_xlfn.NUMBERVALUE(Games!$B28)), "",_xlfn.NUMBERVALUE(Games!J28))</f>
        <v>-7.2</v>
      </c>
      <c r="F29" s="141" t="n">
        <f>IFERROR(IF(ISBLANK(Games!B28), "", IF(Games!N28=Games!B28, Games!O28, 1-Games!O28)), "")</f>
        <v>0.63319031668955161</v>
      </c>
      <c r="G29" s="142" t="str">
        <f>IF(OR(ISBLANK(Games!B28),Table3[[#This Row],[Spread]]=""), "", IF('Prediction Log'!$D29&lt;0, 'Prediction Log'!$B29, 'Prediction Log'!$C29))</f>
        <v>Michigan State</v>
      </c>
      <c r="H29" s="143" t="str">
        <f>IF(ISBLANK(Games!$B28), "",Games!K28)</f>
        <v>Michigan State</v>
      </c>
      <c r="I29" s="143" t="str">
        <f>IF('Prediction Log'!$F29&gt;0.5, 'Prediction Log'!$B29, IF('Prediction Log'!$F29&lt;0.5, 'Prediction Log'!$C29, "PICK"))</f>
        <v>Michigan State</v>
      </c>
      <c r="J29" s="144" t="n">
        <f>IF(ISBLANK(Games!B28), "",IF('Prediction Log'!$I29='Prediction Log'!$B29, 'Prediction Log'!$F29, 1-'Prediction Log'!$F29))</f>
        <v>0.63319031668955161</v>
      </c>
      <c r="K29" s="145" t="str">
        <f>IF(ISBLANK(Games!$B28), "",Games!Q28)</f>
        <v>Y</v>
      </c>
      <c r="L29" s="124" t="str">
        <f>IF(ISBLANK(Games!AC28), "",Games!AE28)</f>
        <v>Michigan State</v>
      </c>
      <c r="M29" s="161" t="n">
        <f>IF(ISBLANK(Games!AC28), "",Games!AD28-Games!AC28)</f>
        <v>-6</v>
      </c>
      <c r="N29" s="146" t="str">
        <f>IF(ISNUMBER(Table3[[#This Row],[Predicted Spread]]), IF(OR(ISBLANK(Games!AC28),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29" s="147" t="str">
        <f>IF(ISNUMBER(Table3[[#This Row],[Predicted Spread]]), IF(OR(ISBLANK(Games!AC28),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29" s="147" t="str">
        <f>IF(ISNUMBER(Table3[[#This Row],[Predicted Spread]]), IF(ISBLANK(Games!AC28),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29" s="148" t="str">
        <f>IF(OR(ISBLANK(Games!AC28), Table3[[#This Row],[Spread]]=""),"",IF('Prediction Log'!$L29='Prediction Log'!$G29, "Y", "N"))</f>
        <v>Y</v>
      </c>
      <c r="R29" s="148" t="str">
        <f>IF(ISNUMBER(Table3[[#This Row],[Predicted Spread]]), Table3[[#This Row],[Home Team Covered Market]],"")</f>
        <v>N</v>
      </c>
      <c r="S29" s="148" t="str">
        <f>IF(ISNUMBER(Table3[[#This Row],[Predicted Spread]]), IF(OR(Table3[[#This Row],[Market Side Correct]]="",ISBLANK(Games!AC28)), "",IF(AND('Prediction Log'!$Q29="Y", 'Prediction Log'!$R29="Y"), "Y", "N")),"")</f>
        <v>N</v>
      </c>
      <c r="T29" s="149" t="str">
        <f>IF(ISNUMBER(Table3[[#This Row],[Predicted Spread]]), IF(ISBLANK(Games!AC28),"",IF(Games!AE28='Prediction Log'!$H29, "Y", "N")), "")</f>
        <v>Y</v>
      </c>
      <c r="U29" s="149" t="str">
        <f>IF(ISNUMBER(Table3[[#This Row],[Predicted Spread]]), IF(OR(Table3[[#This Row],[Spread]]="",ISBLANK(Games!AC28)), "", IF(Table3[[#This Row],[Home Team Covered Market]]=Games!P28, "Y", "N")),"")</f>
        <v>N</v>
      </c>
      <c r="V29" s="150" t="str">
        <f>IF(ISBLANK(Games!AC28), "",IF('Prediction Log'!$I29='Prediction Log'!$L29, "Y", "N"))</f>
        <v>Y</v>
      </c>
      <c r="W29" s="149" t="str">
        <f>IF(ISNUMBER(Table3[[#This Row],[Predicted Spread]]), IF(OR(Table3[[#This Row],[Model Spread Correct]]="",ISBLANK(Games!AC28)), "",IF('Prediction Log'!$H29&lt;&gt;'Prediction Log'!$L29, "N",IF(AND('Prediction Log'!$E29&gt;0, 'Prediction Log'!$M29&gt;'Prediction Log'!$E29, 'Prediction Log'!$H29='Prediction Log'!$C29), "Y", IF(AND('Prediction Log'!$E29&lt;0, 'Prediction Log'!$M29&lt;'Prediction Log'!$E29,'Prediction Log'!$H29='Prediction Log'!$B29 ), "Y", IF('Prediction Log'!$M29='Prediction Log'!$E29, "PUSH", "N"))))), "")</f>
        <v>N</v>
      </c>
      <c r="X29" s="149" t="str">
        <f>IF(ISNUMBER(Table3[[#This Row],[Predicted Spread]]), IF(OR(Table3[[#This Row],[Model Spread Correct]]="",ISBLANK(Games!AC28)), "",IF(AND('Prediction Log'!$T29="Y", 'Prediction Log'!$U29="Y"), "Y", "N")), "")</f>
        <v>N</v>
      </c>
      <c r="Y29" s="148" t="n">
        <f>IFERROR(IF(ISNUMBER(Table3[[#This Row],[Predicted Spread]]), IF(ISBLANK(Games!AC28), "",IF('Prediction Log'!$D29&gt;0, 'Prediction Log'!$M29-'Prediction Log'!$D29, IF('Prediction Log'!$D29&lt;0, -'Prediction Log'!$M29+'Prediction Log'!$D29, "NA"))), ""), "")</f>
        <v>-5.5</v>
      </c>
      <c r="Z29" s="148" t="n">
        <f>IF(ISNUMBER(Table3[[#This Row],[Difference from Market]]), IF(ISBLANK(Games!AC28), "",ABS('Prediction Log'!$Y29)), "")</f>
        <v>5.5</v>
      </c>
      <c r="AA29" s="139" t="n">
        <f>IF(ISNUMBER(Table3[[#This Row],[Predicted Spread]]), IF(ISBLANK(Games!AC28), "",IF('Prediction Log'!$E29&gt;0, 'Prediction Log'!$M29-'Prediction Log'!$E29, IF('Prediction Log'!$E29&lt;0, -'Prediction Log'!$M29+'Prediction Log'!$E29, "NA"))), "")</f>
        <v>-1.2000000000000002</v>
      </c>
      <c r="AB29" s="139" t="n">
        <f>IF(ISNUMBER(Table3[[#This Row],[Difference from Prediction]]), IF(ISBLANK(Games!AD28), "",ABS('Prediction Log'!$AA29)), "")</f>
        <v>1.2000000000000002</v>
      </c>
      <c r="AC29" s="164" t="str">
        <f>IF(ISNUMBER(Table3[[#This Row],[Predicted Spread]]), IF(OR(ISBLANK(Games!AC28),Table3[[#This Row],[Market Side Correct]]="",ISBLANK('Prediction Log'!$L29)), "",IF(OR(AND('Prediction Log'!D29&lt;0, 'Prediction Log'!L29='Prediction Log'!B29), AND('Prediction Log'!D29&gt;0, 'Prediction Log'!C29='Prediction Log'!L29)),"Y", IF(ISBLANK(Games!$B$2), "","N"))), "")</f>
        <v>Y</v>
      </c>
      <c r="AD29" s="159" t="str">
        <f>'Prediction Log'!$S29</f>
        <v>N</v>
      </c>
    </row>
    <row r="30">
      <c r="A30" s="165" t="n">
        <f>IF(ISBLANK(Games!$B29), "",Games!A29)</f>
        <v>1</v>
      </c>
      <c r="B30" s="165" t="str">
        <f>IF(ISBLANK(Games!$B29), "",Games!B29)</f>
        <v>Oklahoma</v>
      </c>
      <c r="C30" s="165" t="str">
        <f>IF(ISBLANK(Games!$B29), "",Games!C29)</f>
        <v>Temple</v>
      </c>
      <c r="D30" s="140" t="n">
        <f>IF(ISBLANK(Games!$D29), "",IF(_xlfn.NUMBERVALUE(Games!D29)=0, "",_xlfn.NUMBERVALUE(Games!D29) ))</f>
        <v>-42.5</v>
      </c>
      <c r="E30" s="138" t="n">
        <f>IF(ISBLANK(_xlfn.NUMBERVALUE(Games!$B29)), "",_xlfn.NUMBERVALUE(Games!J29))</f>
        <v>-30.1058587678252</v>
      </c>
      <c r="F30" s="141" t="n">
        <f>IFERROR(IF(ISBLANK(Games!B29), "", IF(Games!N29=Games!B29, Games!O29, 1-Games!O29)), "")</f>
        <v>0.9902472415436423</v>
      </c>
      <c r="G30" s="142" t="str">
        <f>IF(OR(ISBLANK(Games!B29),Table3[[#This Row],[Spread]]=""), "", IF('Prediction Log'!$D30&lt;0, 'Prediction Log'!$B30, 'Prediction Log'!$C30))</f>
        <v>Oklahoma</v>
      </c>
      <c r="H30" s="143" t="str">
        <f>IF(ISBLANK(Games!$B29), "",Games!K29)</f>
        <v>Oklahoma</v>
      </c>
      <c r="I30" s="143" t="str">
        <f>IF('Prediction Log'!$F30&gt;0.5, 'Prediction Log'!$B30, IF('Prediction Log'!$F30&lt;0.5, 'Prediction Log'!$C30, "PICK"))</f>
        <v>Oklahoma</v>
      </c>
      <c r="J30" s="144" t="n">
        <f>IF(ISBLANK(Games!B29), "",IF('Prediction Log'!$I30='Prediction Log'!$B30, 'Prediction Log'!$F30, 1-'Prediction Log'!$F30))</f>
        <v>0.9902472415436423</v>
      </c>
      <c r="K30" s="145" t="str">
        <f>IF(ISBLANK(Games!$B29), "",Games!Q29)</f>
        <v>Y</v>
      </c>
      <c r="L30" s="124" t="str">
        <f>IF(ISBLANK(Games!AC29), "",Games!AE29)</f>
        <v>Oklahoma</v>
      </c>
      <c r="M30" s="161" t="n">
        <f>IF(ISBLANK(Games!AC29), "",Games!AD29-Games!AC29)</f>
        <v>-48</v>
      </c>
      <c r="N30" s="146" t="str">
        <f>IF(ISNUMBER(Table3[[#This Row],[Predicted Spread]]), IF(OR(ISBLANK(Games!AC29),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30" s="147" t="str">
        <f>IF(ISNUMBER(Table3[[#This Row],[Predicted Spread]]), IF(OR(ISBLANK(Games!AC29),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30" s="147" t="str">
        <f>IF(ISNUMBER(Table3[[#This Row],[Predicted Spread]]), IF(ISBLANK(Games!AC29),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0" s="148" t="str">
        <f>IF(OR(ISBLANK(Games!AC29), Table3[[#This Row],[Spread]]=""),"",IF('Prediction Log'!$L30='Prediction Log'!$G30, "Y", "N"))</f>
        <v>Y</v>
      </c>
      <c r="R30" s="148" t="str">
        <f>IF(ISNUMBER(Table3[[#This Row],[Predicted Spread]]), Table3[[#This Row],[Home Team Covered Market]],"")</f>
        <v>Y</v>
      </c>
      <c r="S30" s="148" t="str">
        <f>IF(ISNUMBER(Table3[[#This Row],[Predicted Spread]]), IF(OR(Table3[[#This Row],[Market Side Correct]]="",ISBLANK(Games!AC29)), "",IF(AND('Prediction Log'!$Q30="Y", 'Prediction Log'!$R30="Y"), "Y", "N")),"")</f>
        <v>Y</v>
      </c>
      <c r="T30" s="149" t="str">
        <f>IF(ISNUMBER(Table3[[#This Row],[Predicted Spread]]), IF(ISBLANK(Games!AC29),"",IF(Games!AE29='Prediction Log'!$H30, "Y", "N")), "")</f>
        <v>Y</v>
      </c>
      <c r="U30" s="149" t="str">
        <f>IF(ISNUMBER(Table3[[#This Row],[Predicted Spread]]), IF(OR(Table3[[#This Row],[Spread]]="",ISBLANK(Games!AC29)), "", IF(Table3[[#This Row],[Home Team Covered Market]]=Games!P29, "Y", "N")),"")</f>
        <v>Y</v>
      </c>
      <c r="V30" s="150" t="str">
        <f>IF(ISBLANK(Games!AC29), "",IF('Prediction Log'!$I30='Prediction Log'!$L30, "Y", "N"))</f>
        <v>Y</v>
      </c>
      <c r="W30" s="149" t="str">
        <f>IF(ISNUMBER(Table3[[#This Row],[Predicted Spread]]), IF(OR(Table3[[#This Row],[Model Spread Correct]]="",ISBLANK(Games!AC29)), "",IF('Prediction Log'!$H30&lt;&gt;'Prediction Log'!$L30, "N",IF(AND('Prediction Log'!$E30&gt;0, 'Prediction Log'!$M30&gt;'Prediction Log'!$E30, 'Prediction Log'!$H30='Prediction Log'!$C30), "Y", IF(AND('Prediction Log'!$E30&lt;0, 'Prediction Log'!$M30&lt;'Prediction Log'!$E30,'Prediction Log'!$H30='Prediction Log'!$B30 ), "Y", IF('Prediction Log'!$M30='Prediction Log'!$E30, "PUSH", "N"))))), "")</f>
        <v>Y</v>
      </c>
      <c r="X30" s="149" t="str">
        <f>IF(ISNUMBER(Table3[[#This Row],[Predicted Spread]]), IF(OR(Table3[[#This Row],[Model Spread Correct]]="",ISBLANK(Games!AC29)), "",IF(AND('Prediction Log'!$T30="Y", 'Prediction Log'!$U30="Y"), "Y", "N")), "")</f>
        <v>Y</v>
      </c>
      <c r="Y30" s="148" t="n">
        <f>IFERROR(IF(ISNUMBER(Table3[[#This Row],[Predicted Spread]]), IF(ISBLANK(Games!AC29), "",IF('Prediction Log'!$D30&gt;0, 'Prediction Log'!$M30-'Prediction Log'!$D30, IF('Prediction Log'!$D30&lt;0, -'Prediction Log'!$M30+'Prediction Log'!$D30, "NA"))), ""), "")</f>
        <v>5.5</v>
      </c>
      <c r="Z30" s="148" t="n">
        <f>IF(ISNUMBER(Table3[[#This Row],[Difference from Market]]), IF(ISBLANK(Games!AC29), "",ABS('Prediction Log'!$Y30)), "")</f>
        <v>5.5</v>
      </c>
      <c r="AA30" s="139" t="n">
        <f>IF(ISNUMBER(Table3[[#This Row],[Predicted Spread]]), IF(ISBLANK(Games!AC29), "",IF('Prediction Log'!$E30&gt;0, 'Prediction Log'!$M30-'Prediction Log'!$E30, IF('Prediction Log'!$E30&lt;0, -'Prediction Log'!$M30+'Prediction Log'!$E30, "NA"))), "")</f>
        <v>17.8941412321748</v>
      </c>
      <c r="AB30" s="139" t="n">
        <f>IF(ISNUMBER(Table3[[#This Row],[Difference from Prediction]]), IF(ISBLANK(Games!AD29), "",ABS('Prediction Log'!$AA30)), "")</f>
        <v>17.8941412321748</v>
      </c>
      <c r="AC30" s="164" t="str">
        <f>IF(ISNUMBER(Table3[[#This Row],[Predicted Spread]]), IF(OR(ISBLANK(Games!AC29),Table3[[#This Row],[Market Side Correct]]="",ISBLANK('Prediction Log'!$L30)), "",IF(OR(AND('Prediction Log'!D30&lt;0, 'Prediction Log'!L30='Prediction Log'!B30), AND('Prediction Log'!D30&gt;0, 'Prediction Log'!C30='Prediction Log'!L30)),"Y", IF(ISBLANK(Games!$B$2), "","N"))), "")</f>
        <v>Y</v>
      </c>
      <c r="AD30" s="159" t="str">
        <f>'Prediction Log'!$S30</f>
        <v>Y</v>
      </c>
    </row>
    <row r="31">
      <c r="A31" s="165" t="n">
        <f>IF(ISBLANK(Games!$B30), "",Games!A30)</f>
        <v>1</v>
      </c>
      <c r="B31" s="165" t="str">
        <f>IF(ISBLANK(Games!$B30), "",Games!B30)</f>
        <v>Duke</v>
      </c>
      <c r="C31" s="165" t="str">
        <f>IF(ISBLANK(Games!$B30), "",Games!C30)</f>
        <v>Elon</v>
      </c>
      <c r="D31" s="140" t="n">
        <f>IF(ISBLANK(Games!$D30), "",IF(_xlfn.NUMBERVALUE(Games!D30)=0, "",_xlfn.NUMBERVALUE(Games!D30) ))</f>
        <v>-24.5</v>
      </c>
      <c r="E31" s="138" t="n">
        <f>IF(ISBLANK(_xlfn.NUMBERVALUE(Games!$B30)), "",_xlfn.NUMBERVALUE(Games!J30))</f>
        <v>-24.383201289791199</v>
      </c>
      <c r="F31" s="141" t="n">
        <f>IFERROR(IF(ISBLANK(Games!B30), "", IF(Games!N30=Games!B30, Games!O30, 1-Games!O30)), "")</f>
        <v>0.9780511639917534</v>
      </c>
      <c r="G31" s="142" t="str">
        <f>IF(OR(ISBLANK(Games!B30),Table3[[#This Row],[Spread]]=""), "", IF('Prediction Log'!$D31&lt;0, 'Prediction Log'!$B31, 'Prediction Log'!$C31))</f>
        <v>Duke</v>
      </c>
      <c r="H31" s="143" t="str">
        <f>IF(ISBLANK(Games!$B30), "",Games!K30)</f>
        <v>Duke</v>
      </c>
      <c r="I31" s="143" t="str">
        <f>IF('Prediction Log'!$F31&gt;0.5, 'Prediction Log'!$B31, IF('Prediction Log'!$F31&lt;0.5, 'Prediction Log'!$C31, "PICK"))</f>
        <v>Duke</v>
      </c>
      <c r="J31" s="144" t="n">
        <f>IF(ISBLANK(Games!B30), "",IF('Prediction Log'!$I31='Prediction Log'!$B31, 'Prediction Log'!$F31, 1-'Prediction Log'!$F31))</f>
        <v>0.9780511639917534</v>
      </c>
      <c r="K31" s="145" t="str">
        <f>IF(ISBLANK(Games!$B30), "",Games!Q30)</f>
        <v>N</v>
      </c>
      <c r="L31" s="124" t="str">
        <f>IF(ISBLANK(Games!AC30), "",Games!AE30)</f>
        <v>Duke</v>
      </c>
      <c r="M31" s="161" t="n">
        <f>IF(ISBLANK(Games!AC30), "",Games!AD30-Games!AC30)</f>
        <v>-23</v>
      </c>
      <c r="N31" s="146" t="str">
        <f>IF(ISNUMBER(Table3[[#This Row],[Predicted Spread]]), IF(OR(ISBLANK(Games!AC30),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31" s="147" t="str">
        <f>IF(ISNUMBER(Table3[[#This Row],[Predicted Spread]]), IF(OR(ISBLANK(Games!AC30),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31" s="147" t="str">
        <f>IF(ISNUMBER(Table3[[#This Row],[Predicted Spread]]), IF(ISBLANK(Games!AC30),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31" s="148" t="str">
        <f>IF(OR(ISBLANK(Games!AC30), Table3[[#This Row],[Spread]]=""),"",IF('Prediction Log'!$L31='Prediction Log'!$G31, "Y", "N"))</f>
        <v>Y</v>
      </c>
      <c r="R31" s="148" t="str">
        <f>IF(ISNUMBER(Table3[[#This Row],[Predicted Spread]]), Table3[[#This Row],[Home Team Covered Market]],"")</f>
        <v>N</v>
      </c>
      <c r="S31" s="148" t="str">
        <f>IF(ISNUMBER(Table3[[#This Row],[Predicted Spread]]), IF(OR(Table3[[#This Row],[Market Side Correct]]="",ISBLANK(Games!AC30)), "",IF(AND('Prediction Log'!$Q31="Y", 'Prediction Log'!$R31="Y"), "Y", "N")),"")</f>
        <v>N</v>
      </c>
      <c r="T31" s="149" t="str">
        <f>IF(ISNUMBER(Table3[[#This Row],[Predicted Spread]]), IF(ISBLANK(Games!AC30),"",IF(Games!AE30='Prediction Log'!$H31, "Y", "N")), "")</f>
        <v>Y</v>
      </c>
      <c r="U31" s="149" t="str">
        <f>IF(ISNUMBER(Table3[[#This Row],[Predicted Spread]]), IF(OR(Table3[[#This Row],[Spread]]="",ISBLANK(Games!AC30)), "", IF(Table3[[#This Row],[Home Team Covered Market]]=Games!P30, "Y", "N")),"")</f>
        <v>Y</v>
      </c>
      <c r="V31" s="150" t="str">
        <f>IF(ISBLANK(Games!AC30), "",IF('Prediction Log'!$I31='Prediction Log'!$L31, "Y", "N"))</f>
        <v>Y</v>
      </c>
      <c r="W31" s="149" t="str">
        <f>IF(ISNUMBER(Table3[[#This Row],[Predicted Spread]]), IF(OR(Table3[[#This Row],[Model Spread Correct]]="",ISBLANK(Games!AC30)), "",IF('Prediction Log'!$H31&lt;&gt;'Prediction Log'!$L31, "N",IF(AND('Prediction Log'!$E31&gt;0, 'Prediction Log'!$M31&gt;'Prediction Log'!$E31, 'Prediction Log'!$H31='Prediction Log'!$C31), "Y", IF(AND('Prediction Log'!$E31&lt;0, 'Prediction Log'!$M31&lt;'Prediction Log'!$E31,'Prediction Log'!$H31='Prediction Log'!$B31 ), "Y", IF('Prediction Log'!$M31='Prediction Log'!$E31, "PUSH", "N"))))), "")</f>
        <v>N</v>
      </c>
      <c r="X31" s="149" t="str">
        <f>IF(ISNUMBER(Table3[[#This Row],[Predicted Spread]]), IF(OR(Table3[[#This Row],[Model Spread Correct]]="",ISBLANK(Games!AC30)), "",IF(AND('Prediction Log'!$T31="Y", 'Prediction Log'!$U31="Y"), "Y", "N")), "")</f>
        <v>Y</v>
      </c>
      <c r="Y31" s="148" t="n">
        <f>IFERROR(IF(ISNUMBER(Table3[[#This Row],[Predicted Spread]]), IF(ISBLANK(Games!AC30), "",IF('Prediction Log'!$D31&gt;0, 'Prediction Log'!$M31-'Prediction Log'!$D31, IF('Prediction Log'!$D31&lt;0, -'Prediction Log'!$M31+'Prediction Log'!$D31, "NA"))), ""), "")</f>
        <v>-1.5</v>
      </c>
      <c r="Z31" s="148" t="n">
        <f>IF(ISNUMBER(Table3[[#This Row],[Difference from Market]]), IF(ISBLANK(Games!AC30), "",ABS('Prediction Log'!$Y31)), "")</f>
        <v>1.5</v>
      </c>
      <c r="AA31" s="139" t="n">
        <f>IF(ISNUMBER(Table3[[#This Row],[Predicted Spread]]), IF(ISBLANK(Games!AC30), "",IF('Prediction Log'!$E31&gt;0, 'Prediction Log'!$M31-'Prediction Log'!$E31, IF('Prediction Log'!$E31&lt;0, -'Prediction Log'!$M31+'Prediction Log'!$E31, "NA"))), "")</f>
        <v>-1.3832012897911987</v>
      </c>
      <c r="AB31" s="139" t="n">
        <f>IF(ISNUMBER(Table3[[#This Row],[Difference from Prediction]]), IF(ISBLANK(Games!AD30), "",ABS('Prediction Log'!$AA31)), "")</f>
        <v>1.3832012897911987</v>
      </c>
      <c r="AC31" s="164" t="str">
        <f>IF(ISNUMBER(Table3[[#This Row],[Predicted Spread]]), IF(OR(ISBLANK(Games!AC30),Table3[[#This Row],[Market Side Correct]]="",ISBLANK('Prediction Log'!$L31)), "",IF(OR(AND('Prediction Log'!D31&lt;0, 'Prediction Log'!L31='Prediction Log'!B31), AND('Prediction Log'!D31&gt;0, 'Prediction Log'!C31='Prediction Log'!L31)),"Y", IF(ISBLANK(Games!$B$2), "","N"))), "")</f>
        <v>Y</v>
      </c>
      <c r="AD31" s="159" t="str">
        <f>'Prediction Log'!$S31</f>
        <v>N</v>
      </c>
    </row>
    <row r="32">
      <c r="A32" s="165" t="n">
        <f>IF(ISBLANK(Games!$B31), "",Games!A31)</f>
        <v>1</v>
      </c>
      <c r="B32" s="165" t="str">
        <f>IF(ISBLANK(Games!$B31), "",Games!B31)</f>
        <v>Wisconsin</v>
      </c>
      <c r="C32" s="165" t="str">
        <f>IF(ISBLANK(Games!$B31), "",Games!C31)</f>
        <v>Western Michigan</v>
      </c>
      <c r="D32" s="140" t="n">
        <f>IF(ISBLANK(Games!$D31), "",IF(_xlfn.NUMBERVALUE(Games!D31)=0, "",_xlfn.NUMBERVALUE(Games!D31) ))</f>
        <v>-24</v>
      </c>
      <c r="E32" s="138" t="n">
        <f>IF(ISBLANK(_xlfn.NUMBERVALUE(Games!$B31)), "",_xlfn.NUMBERVALUE(Games!J31))</f>
        <v>-49.4</v>
      </c>
      <c r="F32" s="141" t="n">
        <f>IFERROR(IF(ISBLANK(Games!B31), "", IF(Games!N31=Games!B31, Games!O31, 1-Games!O31)), "")</f>
        <v>0.8841391172224492</v>
      </c>
      <c r="G32" s="142" t="str">
        <f>IF(OR(ISBLANK(Games!B31),Table3[[#This Row],[Spread]]=""), "", IF('Prediction Log'!$D32&lt;0, 'Prediction Log'!$B32, 'Prediction Log'!$C32))</f>
        <v>Wisconsin</v>
      </c>
      <c r="H32" s="143" t="str">
        <f>IF(ISBLANK(Games!$B31), "",Games!K31)</f>
        <v>Wisconsin</v>
      </c>
      <c r="I32" s="143" t="str">
        <f>IF('Prediction Log'!$F32&gt;0.5, 'Prediction Log'!$B32, IF('Prediction Log'!$F32&lt;0.5, 'Prediction Log'!$C32, "PICK"))</f>
        <v>Wisconsin</v>
      </c>
      <c r="J32" s="144" t="n">
        <f>IF(ISBLANK(Games!B31), "",IF('Prediction Log'!$I32='Prediction Log'!$B32, 'Prediction Log'!$F32, 1-'Prediction Log'!$F32))</f>
        <v>0.8841391172224492</v>
      </c>
      <c r="K32" s="145" t="str">
        <f>IF(ISBLANK(Games!$B31), "",Games!Q31)</f>
        <v>Y</v>
      </c>
      <c r="L32" s="124" t="str">
        <f>IF(ISBLANK(Games!AC31), "",Games!AE31)</f>
        <v>Wisconsin</v>
      </c>
      <c r="M32" s="161" t="n">
        <f>IF(ISBLANK(Games!AC31), "",Games!AD31-Games!AC31)</f>
        <v>-14</v>
      </c>
      <c r="N32" s="146" t="str">
        <f>IF(ISNUMBER(Table3[[#This Row],[Predicted Spread]]), IF(OR(ISBLANK(Games!AC31),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32" s="147" t="str">
        <f>IF(ISNUMBER(Table3[[#This Row],[Predicted Spread]]), IF(OR(ISBLANK(Games!AC31),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32" s="147" t="str">
        <f>IF(ISNUMBER(Table3[[#This Row],[Predicted Spread]]), IF(ISBLANK(Games!AC31),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32" s="148" t="str">
        <f>IF(OR(ISBLANK(Games!AC31), Table3[[#This Row],[Spread]]=""),"",IF('Prediction Log'!$L32='Prediction Log'!$G32, "Y", "N"))</f>
        <v>Y</v>
      </c>
      <c r="R32" s="148" t="str">
        <f>IF(ISNUMBER(Table3[[#This Row],[Predicted Spread]]), Table3[[#This Row],[Home Team Covered Market]],"")</f>
        <v>N</v>
      </c>
      <c r="S32" s="148" t="str">
        <f>IF(ISNUMBER(Table3[[#This Row],[Predicted Spread]]), IF(OR(Table3[[#This Row],[Market Side Correct]]="",ISBLANK(Games!AC31)), "",IF(AND('Prediction Log'!$Q32="Y", 'Prediction Log'!$R32="Y"), "Y", "N")),"")</f>
        <v>N</v>
      </c>
      <c r="T32" s="149" t="str">
        <f>IF(ISNUMBER(Table3[[#This Row],[Predicted Spread]]), IF(ISBLANK(Games!AC31),"",IF(Games!AE31='Prediction Log'!$H32, "Y", "N")), "")</f>
        <v>Y</v>
      </c>
      <c r="U32" s="149" t="str">
        <f>IF(ISNUMBER(Table3[[#This Row],[Predicted Spread]]), IF(OR(Table3[[#This Row],[Spread]]="",ISBLANK(Games!AC31)), "", IF(Table3[[#This Row],[Home Team Covered Market]]=Games!P31, "Y", "N")),"")</f>
        <v>N</v>
      </c>
      <c r="V32" s="150" t="str">
        <f>IF(ISBLANK(Games!AC31), "",IF('Prediction Log'!$I32='Prediction Log'!$L32, "Y", "N"))</f>
        <v>Y</v>
      </c>
      <c r="W32" s="149" t="str">
        <f>IF(ISNUMBER(Table3[[#This Row],[Predicted Spread]]), IF(OR(Table3[[#This Row],[Model Spread Correct]]="",ISBLANK(Games!AC31)), "",IF('Prediction Log'!$H32&lt;&gt;'Prediction Log'!$L32, "N",IF(AND('Prediction Log'!$E32&gt;0, 'Prediction Log'!$M32&gt;'Prediction Log'!$E32, 'Prediction Log'!$H32='Prediction Log'!$C32), "Y", IF(AND('Prediction Log'!$E32&lt;0, 'Prediction Log'!$M32&lt;'Prediction Log'!$E32,'Prediction Log'!$H32='Prediction Log'!$B32 ), "Y", IF('Prediction Log'!$M32='Prediction Log'!$E32, "PUSH", "N"))))), "")</f>
        <v>N</v>
      </c>
      <c r="X32" s="149" t="str">
        <f>IF(ISNUMBER(Table3[[#This Row],[Predicted Spread]]), IF(OR(Table3[[#This Row],[Model Spread Correct]]="",ISBLANK(Games!AC31)), "",IF(AND('Prediction Log'!$T32="Y", 'Prediction Log'!$U32="Y"), "Y", "N")), "")</f>
        <v>N</v>
      </c>
      <c r="Y32" s="148" t="n">
        <f>IFERROR(IF(ISNUMBER(Table3[[#This Row],[Predicted Spread]]), IF(ISBLANK(Games!AC31), "",IF('Prediction Log'!$D32&gt;0, 'Prediction Log'!$M32-'Prediction Log'!$D32, IF('Prediction Log'!$D32&lt;0, -'Prediction Log'!$M32+'Prediction Log'!$D32, "NA"))), ""), "")</f>
        <v>-10</v>
      </c>
      <c r="Z32" s="148" t="n">
        <f>IF(ISNUMBER(Table3[[#This Row],[Difference from Market]]), IF(ISBLANK(Games!AC31), "",ABS('Prediction Log'!$Y32)), "")</f>
        <v>10</v>
      </c>
      <c r="AA32" s="139" t="n">
        <f>IF(ISNUMBER(Table3[[#This Row],[Predicted Spread]]), IF(ISBLANK(Games!AC31), "",IF('Prediction Log'!$E32&gt;0, 'Prediction Log'!$M32-'Prediction Log'!$E32, IF('Prediction Log'!$E32&lt;0, -'Prediction Log'!$M32+'Prediction Log'!$E32, "NA"))), "")</f>
        <v>-35.4</v>
      </c>
      <c r="AB32" s="139" t="n">
        <f>IF(ISNUMBER(Table3[[#This Row],[Difference from Prediction]]), IF(ISBLANK(Games!AD31), "",ABS('Prediction Log'!$AA32)), "")</f>
        <v>35.4</v>
      </c>
      <c r="AC32" s="164" t="str">
        <f>IF(ISNUMBER(Table3[[#This Row],[Predicted Spread]]), IF(OR(ISBLANK(Games!AC31),Table3[[#This Row],[Market Side Correct]]="",ISBLANK('Prediction Log'!$L32)), "",IF(OR(AND('Prediction Log'!D32&lt;0, 'Prediction Log'!L32='Prediction Log'!B32), AND('Prediction Log'!D32&gt;0, 'Prediction Log'!C32='Prediction Log'!L32)),"Y", IF(ISBLANK(Games!$B$2), "","N"))), "")</f>
        <v>Y</v>
      </c>
      <c r="AD32" s="159" t="str">
        <f>'Prediction Log'!$S32</f>
        <v>N</v>
      </c>
    </row>
    <row r="33">
      <c r="A33" s="165" t="n">
        <f>IF(ISBLANK(Games!$B32), "",Games!A32)</f>
        <v>1</v>
      </c>
      <c r="B33" s="165" t="str">
        <f>IF(ISBLANK(Games!$B32), "",Games!B32)</f>
        <v>Stanford</v>
      </c>
      <c r="C33" s="165" t="str">
        <f>IF(ISBLANK(Games!$B32), "",Games!C32)</f>
        <v>TCU</v>
      </c>
      <c r="D33" s="140" t="n">
        <f>IF(ISBLANK(Games!$D32), "",IF(_xlfn.NUMBERVALUE(Games!D32)=0, "",_xlfn.NUMBERVALUE(Games!D32) ))</f>
        <v>8.5</v>
      </c>
      <c r="E33" s="138" t="n">
        <f>IF(ISBLANK(_xlfn.NUMBERVALUE(Games!$B32)), "",_xlfn.NUMBERVALUE(Games!J32))</f>
        <v>20.6</v>
      </c>
      <c r="F33" s="141" t="n">
        <f>IFERROR(IF(ISBLANK(Games!B32), "", IF(Games!N32=Games!B32, Games!O32, 1-Games!O32)), "")</f>
        <v>0.174956242388284</v>
      </c>
      <c r="G33" s="142" t="str">
        <f>IF(OR(ISBLANK(Games!B32),Table3[[#This Row],[Spread]]=""), "", IF('Prediction Log'!$D33&lt;0, 'Prediction Log'!$B33, 'Prediction Log'!$C33))</f>
        <v>TCU</v>
      </c>
      <c r="H33" s="143" t="str">
        <f>IF(ISBLANK(Games!$B32), "",Games!K32)</f>
        <v>TCU</v>
      </c>
      <c r="I33" s="143" t="str">
        <f>IF('Prediction Log'!$F33&gt;0.5, 'Prediction Log'!$B33, IF('Prediction Log'!$F33&lt;0.5, 'Prediction Log'!$C33, "PICK"))</f>
        <v>TCU</v>
      </c>
      <c r="J33" s="144" t="n">
        <f>IF(ISBLANK(Games!B32), "",IF('Prediction Log'!$I33='Prediction Log'!$B33, 'Prediction Log'!$F33, 1-'Prediction Log'!$F33))</f>
        <v>0.825043757611716</v>
      </c>
      <c r="K33" s="145" t="str">
        <f>IF(ISBLANK(Games!$B32), "",Games!Q32)</f>
        <v>N</v>
      </c>
      <c r="L33" s="124" t="str">
        <f>IF(ISBLANK(Games!AC32), "",Games!AE32)</f>
        <v>TCU</v>
      </c>
      <c r="M33" s="161" t="n">
        <f>IF(ISBLANK(Games!AC32), "",Games!AD32-Games!AC32)</f>
        <v>7</v>
      </c>
      <c r="N33" s="146" t="str">
        <f>IF(ISNUMBER(Table3[[#This Row],[Predicted Spread]]), IF(OR(ISBLANK(Games!AC32),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33" s="147" t="str">
        <f>IF(ISNUMBER(Table3[[#This Row],[Predicted Spread]]), IF(OR(ISBLANK(Games!AC32),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33" s="147" t="str">
        <f>IF(ISNUMBER(Table3[[#This Row],[Predicted Spread]]), IF(ISBLANK(Games!AC32),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3" s="148" t="str">
        <f>IF(OR(ISBLANK(Games!AC32), Table3[[#This Row],[Spread]]=""),"",IF('Prediction Log'!$L33='Prediction Log'!$G33, "Y", "N"))</f>
        <v>Y</v>
      </c>
      <c r="R33" s="148" t="str">
        <f>IF(ISNUMBER(Table3[[#This Row],[Predicted Spread]]), Table3[[#This Row],[Home Team Covered Market]],"")</f>
        <v>Y</v>
      </c>
      <c r="S33" s="148" t="str">
        <f>IF(ISNUMBER(Table3[[#This Row],[Predicted Spread]]), IF(OR(Table3[[#This Row],[Market Side Correct]]="",ISBLANK(Games!AC32)), "",IF(AND('Prediction Log'!$Q33="Y", 'Prediction Log'!$R33="Y"), "Y", "N")),"")</f>
        <v>Y</v>
      </c>
      <c r="T33" s="149" t="str">
        <f>IF(ISNUMBER(Table3[[#This Row],[Predicted Spread]]), IF(ISBLANK(Games!AC32),"",IF(Games!AE32='Prediction Log'!$H33, "Y", "N")), "")</f>
        <v>Y</v>
      </c>
      <c r="U33" s="149" t="str">
        <f>IF(ISNUMBER(Table3[[#This Row],[Predicted Spread]]), IF(OR(Table3[[#This Row],[Spread]]="",ISBLANK(Games!AC32)), "", IF(Table3[[#This Row],[Home Team Covered Market]]=Games!P32, "Y", "N")),"")</f>
        <v>Y</v>
      </c>
      <c r="V33" s="150" t="str">
        <f>IF(ISBLANK(Games!AC32), "",IF('Prediction Log'!$I33='Prediction Log'!$L33, "Y", "N"))</f>
        <v>Y</v>
      </c>
      <c r="W33" s="149" t="str">
        <f>IF(ISNUMBER(Table3[[#This Row],[Predicted Spread]]), IF(OR(Table3[[#This Row],[Model Spread Correct]]="",ISBLANK(Games!AC32)), "",IF('Prediction Log'!$H33&lt;&gt;'Prediction Log'!$L33, "N",IF(AND('Prediction Log'!$E33&gt;0, 'Prediction Log'!$M33&gt;'Prediction Log'!$E33, 'Prediction Log'!$H33='Prediction Log'!$C33), "Y", IF(AND('Prediction Log'!$E33&lt;0, 'Prediction Log'!$M33&lt;'Prediction Log'!$E33,'Prediction Log'!$H33='Prediction Log'!$B33 ), "Y", IF('Prediction Log'!$M33='Prediction Log'!$E33, "PUSH", "N"))))), "")</f>
        <v>N</v>
      </c>
      <c r="X33" s="149" t="str">
        <f>IF(ISNUMBER(Table3[[#This Row],[Predicted Spread]]), IF(OR(Table3[[#This Row],[Model Spread Correct]]="",ISBLANK(Games!AC32)), "",IF(AND('Prediction Log'!$T33="Y", 'Prediction Log'!$U33="Y"), "Y", "N")), "")</f>
        <v>Y</v>
      </c>
      <c r="Y33" s="148" t="n">
        <f>IFERROR(IF(ISNUMBER(Table3[[#This Row],[Predicted Spread]]), IF(ISBLANK(Games!AC32), "",IF('Prediction Log'!$D33&gt;0, 'Prediction Log'!$M33-'Prediction Log'!$D33, IF('Prediction Log'!$D33&lt;0, -'Prediction Log'!$M33+'Prediction Log'!$D33, "NA"))), ""), "")</f>
        <v>-1.5</v>
      </c>
      <c r="Z33" s="148" t="n">
        <f>IF(ISNUMBER(Table3[[#This Row],[Difference from Market]]), IF(ISBLANK(Games!AC32), "",ABS('Prediction Log'!$Y33)), "")</f>
        <v>1.5</v>
      </c>
      <c r="AA33" s="139" t="n">
        <f>IF(ISNUMBER(Table3[[#This Row],[Predicted Spread]]), IF(ISBLANK(Games!AC32), "",IF('Prediction Log'!$E33&gt;0, 'Prediction Log'!$M33-'Prediction Log'!$E33, IF('Prediction Log'!$E33&lt;0, -'Prediction Log'!$M33+'Prediction Log'!$E33, "NA"))), "")</f>
        <v>-13.600000000000001</v>
      </c>
      <c r="AB33" s="139" t="n">
        <f>IF(ISNUMBER(Table3[[#This Row],[Difference from Prediction]]), IF(ISBLANK(Games!AD32), "",ABS('Prediction Log'!$AA33)), "")</f>
        <v>13.600000000000001</v>
      </c>
      <c r="AC33" s="164" t="str">
        <f>IF(ISNUMBER(Table3[[#This Row],[Predicted Spread]]), IF(OR(ISBLANK(Games!AC32),Table3[[#This Row],[Market Side Correct]]="",ISBLANK('Prediction Log'!$L33)), "",IF(OR(AND('Prediction Log'!D33&lt;0, 'Prediction Log'!L33='Prediction Log'!B33), AND('Prediction Log'!D33&gt;0, 'Prediction Log'!C33='Prediction Log'!L33)),"Y", IF(ISBLANK(Games!$B$2), "","N"))), "")</f>
        <v>Y</v>
      </c>
      <c r="AD33" s="159" t="str">
        <f>'Prediction Log'!$S33</f>
        <v>Y</v>
      </c>
    </row>
    <row r="34">
      <c r="A34" s="165" t="n">
        <f>IF(ISBLANK(Games!$B33), "",Games!A33)</f>
        <v>1</v>
      </c>
      <c r="B34" s="165" t="str">
        <f>IF(ISBLANK(Games!$B33), "",Games!B33)</f>
        <v>Utah State</v>
      </c>
      <c r="C34" s="165" t="str">
        <f>IF(ISBLANK(Games!$B33), "",Games!C33)</f>
        <v>Robert Morris</v>
      </c>
      <c r="D34" s="140" t="str">
        <f>IF(ISBLANK(Games!$D33), "",IF(_xlfn.NUMBERVALUE(Games!D33)=0, "",_xlfn.NUMBERVALUE(Games!D33) ))</f>
      </c>
      <c r="E34" s="138" t="n">
        <f>IF(ISBLANK(_xlfn.NUMBERVALUE(Games!$B33)), "",_xlfn.NUMBERVALUE(Games!J33))</f>
        <v>-13.259568940560801</v>
      </c>
      <c r="F34" s="141" t="n">
        <f>IFERROR(IF(ISBLANK(Games!B33), "", IF(Games!N33=Games!B33, Games!O33, 1-Games!O33)), "")</f>
        <v>0.89989230134640896</v>
      </c>
      <c r="G34" s="142" t="str">
        <f>IF(OR(ISBLANK(Games!B33),Table3[[#This Row],[Spread]]=""), "", IF('Prediction Log'!$D34&lt;0, 'Prediction Log'!$B34, 'Prediction Log'!$C34))</f>
      </c>
      <c r="H34" s="143" t="str">
        <f>IF(ISBLANK(Games!$B33), "",Games!K33)</f>
        <v>Utah State</v>
      </c>
      <c r="I34" s="143" t="str">
        <f>IF('Prediction Log'!$F34&gt;0.5, 'Prediction Log'!$B34, IF('Prediction Log'!$F34&lt;0.5, 'Prediction Log'!$C34, "PICK"))</f>
        <v>Utah State</v>
      </c>
      <c r="J34" s="144" t="n">
        <f>IF(ISBLANK(Games!B33), "",IF('Prediction Log'!$I34='Prediction Log'!$B34, 'Prediction Log'!$F34, 1-'Prediction Log'!$F34))</f>
        <v>0.89989230134640896</v>
      </c>
      <c r="K34" s="145" t="str">
        <f>IF(ISBLANK(Games!$B33), "",Games!Q33)</f>
        <v>Y</v>
      </c>
      <c r="L34" s="124" t="str">
        <f>IF(ISBLANK(Games!AC33), "",Games!AE33)</f>
        <v>Utah State</v>
      </c>
      <c r="M34" s="161" t="n">
        <f>IF(ISBLANK(Games!AC33), "",Games!AD33-Games!AC33)</f>
        <v>-22</v>
      </c>
      <c r="N34" s="146" t="str">
        <f>IF(ISNUMBER(Table3[[#This Row],[Predicted Spread]]), IF(OR(ISBLANK(Games!AC33),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34" s="147" t="str">
        <f>IF(ISNUMBER(Table3[[#This Row],[Predicted Spread]]), IF(OR(ISBLANK(Games!AC33),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34" s="147" t="str">
        <f>IF(ISNUMBER(Table3[[#This Row],[Predicted Spread]]), IF(ISBLANK(Games!AC33),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4" s="148" t="str">
        <f>IF(OR(ISBLANK(Games!AC33), Table3[[#This Row],[Spread]]=""),"",IF('Prediction Log'!$L34='Prediction Log'!$G34, "Y", "N"))</f>
      </c>
      <c r="R34" s="148" t="str">
        <f>IF(ISNUMBER(Table3[[#This Row],[Predicted Spread]]), Table3[[#This Row],[Home Team Covered Market]],"")</f>
      </c>
      <c r="S34" s="148" t="str">
        <f>IF(ISNUMBER(Table3[[#This Row],[Predicted Spread]]), IF(OR(Table3[[#This Row],[Market Side Correct]]="",ISBLANK(Games!AC33)), "",IF(AND('Prediction Log'!$Q34="Y", 'Prediction Log'!$R34="Y"), "Y", "N")),"")</f>
      </c>
      <c r="T34" s="149" t="str">
        <f>IF(ISNUMBER(Table3[[#This Row],[Predicted Spread]]), IF(ISBLANK(Games!AC33),"",IF(Games!AE33='Prediction Log'!$H34, "Y", "N")), "")</f>
        <v>Y</v>
      </c>
      <c r="U34" s="149" t="str">
        <f>IF(ISNUMBER(Table3[[#This Row],[Predicted Spread]]), IF(OR(Table3[[#This Row],[Spread]]="",ISBLANK(Games!AC33)), "", IF(Table3[[#This Row],[Home Team Covered Market]]=Games!P33, "Y", "N")),"")</f>
      </c>
      <c r="V34" s="150" t="str">
        <f>IF(ISBLANK(Games!AC33), "",IF('Prediction Log'!$I34='Prediction Log'!$L34, "Y", "N"))</f>
        <v>Y</v>
      </c>
      <c r="W34" s="149" t="str">
        <f>IF(ISNUMBER(Table3[[#This Row],[Predicted Spread]]), IF(OR(Table3[[#This Row],[Model Spread Correct]]="",ISBLANK(Games!AC33)), "",IF('Prediction Log'!$H34&lt;&gt;'Prediction Log'!$L34, "N",IF(AND('Prediction Log'!$E34&gt;0, 'Prediction Log'!$M34&gt;'Prediction Log'!$E34, 'Prediction Log'!$H34='Prediction Log'!$C34), "Y", IF(AND('Prediction Log'!$E34&lt;0, 'Prediction Log'!$M34&lt;'Prediction Log'!$E34,'Prediction Log'!$H34='Prediction Log'!$B34 ), "Y", IF('Prediction Log'!$M34='Prediction Log'!$E34, "PUSH", "N"))))), "")</f>
      </c>
      <c r="X34" s="149" t="str">
        <f>IF(ISNUMBER(Table3[[#This Row],[Predicted Spread]]), IF(OR(Table3[[#This Row],[Model Spread Correct]]="",ISBLANK(Games!AC33)), "",IF(AND('Prediction Log'!$T34="Y", 'Prediction Log'!$U34="Y"), "Y", "N")), "")</f>
      </c>
      <c r="Y34" s="148" t="str">
        <f>IFERROR(IF(ISNUMBER(Table3[[#This Row],[Predicted Spread]]), IF(ISBLANK(Games!AC33), "",IF('Prediction Log'!$D34&gt;0, 'Prediction Log'!$M34-'Prediction Log'!$D34, IF('Prediction Log'!$D34&lt;0, -'Prediction Log'!$M34+'Prediction Log'!$D34, "NA"))), ""), "")</f>
      </c>
      <c r="Z34" s="148" t="str">
        <f>IF(ISNUMBER(Table3[[#This Row],[Difference from Market]]), IF(ISBLANK(Games!AC33), "",ABS('Prediction Log'!$Y34)), "")</f>
      </c>
      <c r="AA34" s="139" t="n">
        <f>IF(ISNUMBER(Table3[[#This Row],[Predicted Spread]]), IF(ISBLANK(Games!AC33), "",IF('Prediction Log'!$E34&gt;0, 'Prediction Log'!$M34-'Prediction Log'!$E34, IF('Prediction Log'!$E34&lt;0, -'Prediction Log'!$M34+'Prediction Log'!$E34, "NA"))), "")</f>
        <v>8.7404310594391994</v>
      </c>
      <c r="AB34" s="139" t="n">
        <f>IF(ISNUMBER(Table3[[#This Row],[Difference from Prediction]]), IF(ISBLANK(Games!AD33), "",ABS('Prediction Log'!$AA34)), "")</f>
        <v>8.7404310594391994</v>
      </c>
      <c r="AC34" s="164" t="str">
        <f>IF(ISNUMBER(Table3[[#This Row],[Predicted Spread]]), IF(OR(ISBLANK(Games!AC33),Table3[[#This Row],[Market Side Correct]]="",ISBLANK('Prediction Log'!$L34)), "",IF(OR(AND('Prediction Log'!D34&lt;0, 'Prediction Log'!L34='Prediction Log'!B34), AND('Prediction Log'!D34&gt;0, 'Prediction Log'!C34='Prediction Log'!L34)),"Y", IF(ISBLANK(Games!$B$2), "","N"))), "")</f>
      </c>
      <c r="AD34" s="159" t="str">
        <f>'Prediction Log'!$S34</f>
      </c>
    </row>
    <row r="35">
      <c r="A35" s="165" t="n">
        <f>IF(ISBLANK(Games!$B34), "",Games!A34)</f>
        <v>1</v>
      </c>
      <c r="B35" s="165" t="str">
        <f>IF(ISBLANK(Games!$B34), "",Games!B34)</f>
        <v>Iowa</v>
      </c>
      <c r="C35" s="165" t="str">
        <f>IF(ISBLANK(Games!$B34), "",Games!C34)</f>
        <v>Illinois State</v>
      </c>
      <c r="D35" s="140" t="str">
        <f>IF(ISBLANK(Games!$D34), "",IF(_xlfn.NUMBERVALUE(Games!D34)=0, "",_xlfn.NUMBERVALUE(Games!D34) ))</f>
      </c>
      <c r="E35" s="138" t="n">
        <f>IF(ISBLANK(_xlfn.NUMBERVALUE(Games!$B34)), "",_xlfn.NUMBERVALUE(Games!J34))</f>
        <v>-20.830312252837601</v>
      </c>
      <c r="F35" s="141" t="n">
        <f>IFERROR(IF(ISBLANK(Games!B34), "", IF(Games!N34=Games!B34, Games!O34, 1-Games!O34)), "")</f>
        <v>0.96392961261658183</v>
      </c>
      <c r="G35" s="142" t="str">
        <f>IF(OR(ISBLANK(Games!B34),Table3[[#This Row],[Spread]]=""), "", IF('Prediction Log'!$D35&lt;0, 'Prediction Log'!$B35, 'Prediction Log'!$C35))</f>
      </c>
      <c r="H35" s="143" t="str">
        <f>IF(ISBLANK(Games!$B34), "",Games!K34)</f>
        <v>Iowa</v>
      </c>
      <c r="I35" s="143" t="str">
        <f>IF('Prediction Log'!$F35&gt;0.5, 'Prediction Log'!$B35, IF('Prediction Log'!$F35&lt;0.5, 'Prediction Log'!$C35, "PICK"))</f>
        <v>Iowa</v>
      </c>
      <c r="J35" s="144" t="n">
        <f>IF(ISBLANK(Games!B34), "",IF('Prediction Log'!$I35='Prediction Log'!$B35, 'Prediction Log'!$F35, 1-'Prediction Log'!$F35))</f>
        <v>0.96392961261658183</v>
      </c>
      <c r="K35" s="145" t="str">
        <f>IF(ISBLANK(Games!$B34), "",Games!Q34)</f>
        <v>Y</v>
      </c>
      <c r="L35" s="124" t="str">
        <f>IF(ISBLANK(Games!AC34), "",Games!AE34)</f>
        <v>Iowa</v>
      </c>
      <c r="M35" s="161" t="n">
        <f>IF(ISBLANK(Games!AC34), "",Games!AD34-Games!AC34)</f>
        <v>-40</v>
      </c>
      <c r="N35" s="146" t="str">
        <f>IF(ISNUMBER(Table3[[#This Row],[Predicted Spread]]), IF(OR(ISBLANK(Games!AC34),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35" s="147" t="str">
        <f>IF(ISNUMBER(Table3[[#This Row],[Predicted Spread]]), IF(OR(ISBLANK(Games!AC34),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35" s="147" t="str">
        <f>IF(ISNUMBER(Table3[[#This Row],[Predicted Spread]]), IF(ISBLANK(Games!AC34),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5" s="148" t="str">
        <f>IF(OR(ISBLANK(Games!AC34), Table3[[#This Row],[Spread]]=""),"",IF('Prediction Log'!$L35='Prediction Log'!$G35, "Y", "N"))</f>
      </c>
      <c r="R35" s="148" t="str">
        <f>IF(ISNUMBER(Table3[[#This Row],[Predicted Spread]]), Table3[[#This Row],[Home Team Covered Market]],"")</f>
      </c>
      <c r="S35" s="148" t="str">
        <f>IF(ISNUMBER(Table3[[#This Row],[Predicted Spread]]), IF(OR(Table3[[#This Row],[Market Side Correct]]="",ISBLANK(Games!AC34)), "",IF(AND('Prediction Log'!$Q35="Y", 'Prediction Log'!$R35="Y"), "Y", "N")),"")</f>
      </c>
      <c r="T35" s="149" t="str">
        <f>IF(ISNUMBER(Table3[[#This Row],[Predicted Spread]]), IF(ISBLANK(Games!AC34),"",IF(Games!AE34='Prediction Log'!$H35, "Y", "N")), "")</f>
        <v>Y</v>
      </c>
      <c r="U35" s="149" t="str">
        <f>IF(ISNUMBER(Table3[[#This Row],[Predicted Spread]]), IF(OR(Table3[[#This Row],[Spread]]="",ISBLANK(Games!AC34)), "", IF(Table3[[#This Row],[Home Team Covered Market]]=Games!P34, "Y", "N")),"")</f>
      </c>
      <c r="V35" s="150" t="str">
        <f>IF(ISBLANK(Games!AC34), "",IF('Prediction Log'!$I35='Prediction Log'!$L35, "Y", "N"))</f>
        <v>Y</v>
      </c>
      <c r="W35" s="149" t="str">
        <f>IF(ISNUMBER(Table3[[#This Row],[Predicted Spread]]), IF(OR(Table3[[#This Row],[Model Spread Correct]]="",ISBLANK(Games!AC34)), "",IF('Prediction Log'!$H35&lt;&gt;'Prediction Log'!$L35, "N",IF(AND('Prediction Log'!$E35&gt;0, 'Prediction Log'!$M35&gt;'Prediction Log'!$E35, 'Prediction Log'!$H35='Prediction Log'!$C35), "Y", IF(AND('Prediction Log'!$E35&lt;0, 'Prediction Log'!$M35&lt;'Prediction Log'!$E35,'Prediction Log'!$H35='Prediction Log'!$B35 ), "Y", IF('Prediction Log'!$M35='Prediction Log'!$E35, "PUSH", "N"))))), "")</f>
      </c>
      <c r="X35" s="149" t="str">
        <f>IF(ISNUMBER(Table3[[#This Row],[Predicted Spread]]), IF(OR(Table3[[#This Row],[Model Spread Correct]]="",ISBLANK(Games!AC34)), "",IF(AND('Prediction Log'!$T35="Y", 'Prediction Log'!$U35="Y"), "Y", "N")), "")</f>
      </c>
      <c r="Y35" s="148" t="str">
        <f>IFERROR(IF(ISNUMBER(Table3[[#This Row],[Predicted Spread]]), IF(ISBLANK(Games!AC34), "",IF('Prediction Log'!$D35&gt;0, 'Prediction Log'!$M35-'Prediction Log'!$D35, IF('Prediction Log'!$D35&lt;0, -'Prediction Log'!$M35+'Prediction Log'!$D35, "NA"))), ""), "")</f>
      </c>
      <c r="Z35" s="148" t="str">
        <f>IF(ISNUMBER(Table3[[#This Row],[Difference from Market]]), IF(ISBLANK(Games!AC34), "",ABS('Prediction Log'!$Y35)), "")</f>
      </c>
      <c r="AA35" s="139" t="n">
        <f>IF(ISNUMBER(Table3[[#This Row],[Predicted Spread]]), IF(ISBLANK(Games!AC34), "",IF('Prediction Log'!$E35&gt;0, 'Prediction Log'!$M35-'Prediction Log'!$E35, IF('Prediction Log'!$E35&lt;0, -'Prediction Log'!$M35+'Prediction Log'!$E35, "NA"))), "")</f>
        <v>19.169687747162399</v>
      </c>
      <c r="AB35" s="139" t="n">
        <f>IF(ISNUMBER(Table3[[#This Row],[Difference from Prediction]]), IF(ISBLANK(Games!AD34), "",ABS('Prediction Log'!$AA35)), "")</f>
        <v>19.169687747162399</v>
      </c>
      <c r="AC35" s="164" t="str">
        <f>IF(ISNUMBER(Table3[[#This Row],[Predicted Spread]]), IF(OR(ISBLANK(Games!AC34),Table3[[#This Row],[Market Side Correct]]="",ISBLANK('Prediction Log'!$L35)), "",IF(OR(AND('Prediction Log'!D35&lt;0, 'Prediction Log'!L35='Prediction Log'!B35), AND('Prediction Log'!D35&gt;0, 'Prediction Log'!C35='Prediction Log'!L35)),"Y", IF(ISBLANK(Games!$B$2), "","N"))), "")</f>
      </c>
      <c r="AD35" s="159" t="str">
        <f>'Prediction Log'!$S35</f>
      </c>
    </row>
    <row r="36">
      <c r="A36" s="165" t="n">
        <f>IF(ISBLANK(Games!$B35), "",Games!A35)</f>
        <v>1</v>
      </c>
      <c r="B36" s="165" t="str">
        <f>IF(ISBLANK(Games!$B35), "",Games!B35)</f>
        <v>Purdue</v>
      </c>
      <c r="C36" s="165" t="str">
        <f>IF(ISBLANK(Games!$B35), "",Games!C35)</f>
        <v>Indiana State</v>
      </c>
      <c r="D36" s="140" t="str">
        <f>IF(ISBLANK(Games!$D35), "",IF(_xlfn.NUMBERVALUE(Games!D35)=0, "",_xlfn.NUMBERVALUE(Games!D35) ))</f>
      </c>
      <c r="E36" s="138" t="n">
        <f>IF(ISBLANK(_xlfn.NUMBERVALUE(Games!$B35)), "",_xlfn.NUMBERVALUE(Games!J35))</f>
        <v>-20.398106856005199</v>
      </c>
      <c r="F36" s="141" t="n">
        <f>IFERROR(IF(ISBLANK(Games!B35), "", IF(Games!N35=Games!B35, Games!O35, 1-Games!O35)), "")</f>
        <v>0.96170346324261458</v>
      </c>
      <c r="G36" s="142" t="str">
        <f>IF(OR(ISBLANK(Games!B35),Table3[[#This Row],[Spread]]=""), "", IF('Prediction Log'!$D36&lt;0, 'Prediction Log'!$B36, 'Prediction Log'!$C36))</f>
      </c>
      <c r="H36" s="143" t="str">
        <f>IF(ISBLANK(Games!$B35), "",Games!K35)</f>
        <v>Purdue</v>
      </c>
      <c r="I36" s="143" t="str">
        <f>IF('Prediction Log'!$F36&gt;0.5, 'Prediction Log'!$B36, IF('Prediction Log'!$F36&lt;0.5, 'Prediction Log'!$C36, "PICK"))</f>
        <v>Purdue</v>
      </c>
      <c r="J36" s="144" t="n">
        <f>IF(ISBLANK(Games!B35), "",IF('Prediction Log'!$I36='Prediction Log'!$B36, 'Prediction Log'!$F36, 1-'Prediction Log'!$F36))</f>
        <v>0.96170346324261458</v>
      </c>
      <c r="K36" s="145" t="str">
        <f>IF(ISBLANK(Games!$B35), "",Games!Q35)</f>
        <v>Y</v>
      </c>
      <c r="L36" s="124" t="str">
        <f>IF(ISBLANK(Games!AC35), "",Games!AE35)</f>
        <v>Purdue</v>
      </c>
      <c r="M36" s="161" t="n">
        <f>IF(ISBLANK(Games!AC35), "",Games!AD35-Games!AC35)</f>
        <v>-49</v>
      </c>
      <c r="N36" s="146" t="str">
        <f>IF(ISNUMBER(Table3[[#This Row],[Predicted Spread]]), IF(OR(ISBLANK(Games!AC35),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36" s="147" t="str">
        <f>IF(ISNUMBER(Table3[[#This Row],[Predicted Spread]]), IF(OR(ISBLANK(Games!AC35),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36" s="147" t="str">
        <f>IF(ISNUMBER(Table3[[#This Row],[Predicted Spread]]), IF(ISBLANK(Games!AC35),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6" s="148" t="str">
        <f>IF(OR(ISBLANK(Games!AC35), Table3[[#This Row],[Spread]]=""),"",IF('Prediction Log'!$L36='Prediction Log'!$G36, "Y", "N"))</f>
      </c>
      <c r="R36" s="148" t="str">
        <f>IF(ISNUMBER(Table3[[#This Row],[Predicted Spread]]), Table3[[#This Row],[Home Team Covered Market]],"")</f>
      </c>
      <c r="S36" s="148" t="str">
        <f>IF(ISNUMBER(Table3[[#This Row],[Predicted Spread]]), IF(OR(Table3[[#This Row],[Market Side Correct]]="",ISBLANK(Games!AC35)), "",IF(AND('Prediction Log'!$Q36="Y", 'Prediction Log'!$R36="Y"), "Y", "N")),"")</f>
      </c>
      <c r="T36" s="149" t="str">
        <f>IF(ISNUMBER(Table3[[#This Row],[Predicted Spread]]), IF(ISBLANK(Games!AC35),"",IF(Games!AE35='Prediction Log'!$H36, "Y", "N")), "")</f>
        <v>Y</v>
      </c>
      <c r="U36" s="149" t="str">
        <f>IF(ISNUMBER(Table3[[#This Row],[Predicted Spread]]), IF(OR(Table3[[#This Row],[Spread]]="",ISBLANK(Games!AC35)), "", IF(Table3[[#This Row],[Home Team Covered Market]]=Games!P35, "Y", "N")),"")</f>
      </c>
      <c r="V36" s="150" t="str">
        <f>IF(ISBLANK(Games!AC35), "",IF('Prediction Log'!$I36='Prediction Log'!$L36, "Y", "N"))</f>
        <v>Y</v>
      </c>
      <c r="W36" s="149" t="str">
        <f>IF(ISNUMBER(Table3[[#This Row],[Predicted Spread]]), IF(OR(Table3[[#This Row],[Model Spread Correct]]="",ISBLANK(Games!AC35)), "",IF('Prediction Log'!$H36&lt;&gt;'Prediction Log'!$L36, "N",IF(AND('Prediction Log'!$E36&gt;0, 'Prediction Log'!$M36&gt;'Prediction Log'!$E36, 'Prediction Log'!$H36='Prediction Log'!$C36), "Y", IF(AND('Prediction Log'!$E36&lt;0, 'Prediction Log'!$M36&lt;'Prediction Log'!$E36,'Prediction Log'!$H36='Prediction Log'!$B36 ), "Y", IF('Prediction Log'!$M36='Prediction Log'!$E36, "PUSH", "N"))))), "")</f>
      </c>
      <c r="X36" s="149" t="str">
        <f>IF(ISNUMBER(Table3[[#This Row],[Predicted Spread]]), IF(OR(Table3[[#This Row],[Model Spread Correct]]="",ISBLANK(Games!AC35)), "",IF(AND('Prediction Log'!$T36="Y", 'Prediction Log'!$U36="Y"), "Y", "N")), "")</f>
      </c>
      <c r="Y36" s="148" t="str">
        <f>IFERROR(IF(ISNUMBER(Table3[[#This Row],[Predicted Spread]]), IF(ISBLANK(Games!AC35), "",IF('Prediction Log'!$D36&gt;0, 'Prediction Log'!$M36-'Prediction Log'!$D36, IF('Prediction Log'!$D36&lt;0, -'Prediction Log'!$M36+'Prediction Log'!$D36, "NA"))), ""), "")</f>
      </c>
      <c r="Z36" s="148" t="str">
        <f>IF(ISNUMBER(Table3[[#This Row],[Difference from Market]]), IF(ISBLANK(Games!AC35), "",ABS('Prediction Log'!$Y36)), "")</f>
      </c>
      <c r="AA36" s="139" t="n">
        <f>IF(ISNUMBER(Table3[[#This Row],[Predicted Spread]]), IF(ISBLANK(Games!AC35), "",IF('Prediction Log'!$E36&gt;0, 'Prediction Log'!$M36-'Prediction Log'!$E36, IF('Prediction Log'!$E36&lt;0, -'Prediction Log'!$M36+'Prediction Log'!$E36, "NA"))), "")</f>
        <v>28.601893143994801</v>
      </c>
      <c r="AB36" s="139" t="n">
        <f>IF(ISNUMBER(Table3[[#This Row],[Difference from Prediction]]), IF(ISBLANK(Games!AD35), "",ABS('Prediction Log'!$AA36)), "")</f>
        <v>28.601893143994801</v>
      </c>
      <c r="AC36" s="164" t="str">
        <f>IF(ISNUMBER(Table3[[#This Row],[Predicted Spread]]), IF(OR(ISBLANK(Games!AC35),Table3[[#This Row],[Market Side Correct]]="",ISBLANK('Prediction Log'!$L36)), "",IF(OR(AND('Prediction Log'!D36&lt;0, 'Prediction Log'!L36='Prediction Log'!B36), AND('Prediction Log'!D36&gt;0, 'Prediction Log'!C36='Prediction Log'!L36)),"Y", IF(ISBLANK(Games!$B$2), "","N"))), "")</f>
      </c>
      <c r="AD36" s="159" t="str">
        <f>'Prediction Log'!$S36</f>
      </c>
    </row>
    <row r="37">
      <c r="A37" s="165" t="n">
        <f>IF(ISBLANK(Games!$B36), "",Games!A36)</f>
        <v>1</v>
      </c>
      <c r="B37" s="165" t="str">
        <f>IF(ISBLANK(Games!$B36), "",Games!B36)</f>
        <v>West Virginia</v>
      </c>
      <c r="C37" s="165" t="str">
        <f>IF(ISBLANK(Games!$B36), "",Games!C36)</f>
        <v>Penn State</v>
      </c>
      <c r="D37" s="140" t="n">
        <f>IF(ISBLANK(Games!$D36), "",IF(_xlfn.NUMBERVALUE(Games!D36)=0, "",_xlfn.NUMBERVALUE(Games!D36) ))</f>
        <v>7.5</v>
      </c>
      <c r="E37" s="138" t="n">
        <f>IF(ISBLANK(_xlfn.NUMBERVALUE(Games!$B36)), "",_xlfn.NUMBERVALUE(Games!J36))</f>
        <v>35.799999999999997</v>
      </c>
      <c r="F37" s="141" t="n">
        <f>IFERROR(IF(ISBLANK(Games!B36), "", IF(Games!N36=Games!B36, Games!O36, 1-Games!O36)), "")</f>
        <v>0.23017514788898963</v>
      </c>
      <c r="G37" s="142" t="str">
        <f>IF(OR(ISBLANK(Games!B36),Table3[[#This Row],[Spread]]=""), "", IF('Prediction Log'!$D37&lt;0, 'Prediction Log'!$B37, 'Prediction Log'!$C37))</f>
        <v>Penn State</v>
      </c>
      <c r="H37" s="143" t="str">
        <f>IF(ISBLANK(Games!$B36), "",Games!K36)</f>
        <v>Penn State</v>
      </c>
      <c r="I37" s="143" t="str">
        <f>IF('Prediction Log'!$F37&gt;0.5, 'Prediction Log'!$B37, IF('Prediction Log'!$F37&lt;0.5, 'Prediction Log'!$C37, "PICK"))</f>
        <v>Penn State</v>
      </c>
      <c r="J37" s="144" t="n">
        <f>IF(ISBLANK(Games!B36), "",IF('Prediction Log'!$I37='Prediction Log'!$B37, 'Prediction Log'!$F37, 1-'Prediction Log'!$F37))</f>
        <v>0.76982485211101037</v>
      </c>
      <c r="K37" s="145" t="str">
        <f>IF(ISBLANK(Games!$B36), "",Games!Q36)</f>
        <v>N</v>
      </c>
      <c r="L37" s="124" t="str">
        <f>IF(ISBLANK(Games!AC36), "",Games!AE36)</f>
        <v>Penn State</v>
      </c>
      <c r="M37" s="161" t="n">
        <f>IF(ISBLANK(Games!AC36), "",Games!AD36-Games!AC36)</f>
        <v>22</v>
      </c>
      <c r="N37" s="146" t="str">
        <f>IF(ISNUMBER(Table3[[#This Row],[Predicted Spread]]), IF(OR(ISBLANK(Games!AC36),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37" s="147" t="str">
        <f>IF(ISNUMBER(Table3[[#This Row],[Predicted Spread]]), IF(OR(ISBLANK(Games!AC36),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37" s="147" t="str">
        <f>IF(ISNUMBER(Table3[[#This Row],[Predicted Spread]]), IF(ISBLANK(Games!AC36),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37" s="148" t="str">
        <f>IF(OR(ISBLANK(Games!AC36), Table3[[#This Row],[Spread]]=""),"",IF('Prediction Log'!$L37='Prediction Log'!$G37, "Y", "N"))</f>
        <v>Y</v>
      </c>
      <c r="R37" s="148" t="str">
        <f>IF(ISNUMBER(Table3[[#This Row],[Predicted Spread]]), Table3[[#This Row],[Home Team Covered Market]],"")</f>
        <v>N</v>
      </c>
      <c r="S37" s="148" t="str">
        <f>IF(ISNUMBER(Table3[[#This Row],[Predicted Spread]]), IF(OR(Table3[[#This Row],[Market Side Correct]]="",ISBLANK(Games!AC36)), "",IF(AND('Prediction Log'!$Q37="Y", 'Prediction Log'!$R37="Y"), "Y", "N")),"")</f>
        <v>N</v>
      </c>
      <c r="T37" s="149" t="str">
        <f>IF(ISNUMBER(Table3[[#This Row],[Predicted Spread]]), IF(ISBLANK(Games!AC36),"",IF(Games!AE36='Prediction Log'!$H37, "Y", "N")), "")</f>
        <v>Y</v>
      </c>
      <c r="U37" s="149" t="str">
        <f>IF(ISNUMBER(Table3[[#This Row],[Predicted Spread]]), IF(OR(Table3[[#This Row],[Spread]]="",ISBLANK(Games!AC36)), "", IF(Table3[[#This Row],[Home Team Covered Market]]=Games!P36, "Y", "N")),"")</f>
        <v>Y</v>
      </c>
      <c r="V37" s="150" t="str">
        <f>IF(ISBLANK(Games!AC36), "",IF('Prediction Log'!$I37='Prediction Log'!$L37, "Y", "N"))</f>
        <v>Y</v>
      </c>
      <c r="W37" s="149" t="str">
        <f>IF(ISNUMBER(Table3[[#This Row],[Predicted Spread]]), IF(OR(Table3[[#This Row],[Model Spread Correct]]="",ISBLANK(Games!AC36)), "",IF('Prediction Log'!$H37&lt;&gt;'Prediction Log'!$L37, "N",IF(AND('Prediction Log'!$E37&gt;0, 'Prediction Log'!$M37&gt;'Prediction Log'!$E37, 'Prediction Log'!$H37='Prediction Log'!$C37), "Y", IF(AND('Prediction Log'!$E37&lt;0, 'Prediction Log'!$M37&lt;'Prediction Log'!$E37,'Prediction Log'!$H37='Prediction Log'!$B37 ), "Y", IF('Prediction Log'!$M37='Prediction Log'!$E37, "PUSH", "N"))))), "")</f>
        <v>N</v>
      </c>
      <c r="X37" s="149" t="str">
        <f>IF(ISNUMBER(Table3[[#This Row],[Predicted Spread]]), IF(OR(Table3[[#This Row],[Model Spread Correct]]="",ISBLANK(Games!AC36)), "",IF(AND('Prediction Log'!$T37="Y", 'Prediction Log'!$U37="Y"), "Y", "N")), "")</f>
        <v>Y</v>
      </c>
      <c r="Y37" s="148" t="n">
        <f>IFERROR(IF(ISNUMBER(Table3[[#This Row],[Predicted Spread]]), IF(ISBLANK(Games!AC36), "",IF('Prediction Log'!$D37&gt;0, 'Prediction Log'!$M37-'Prediction Log'!$D37, IF('Prediction Log'!$D37&lt;0, -'Prediction Log'!$M37+'Prediction Log'!$D37, "NA"))), ""), "")</f>
        <v>14.5</v>
      </c>
      <c r="Z37" s="148" t="n">
        <f>IF(ISNUMBER(Table3[[#This Row],[Difference from Market]]), IF(ISBLANK(Games!AC36), "",ABS('Prediction Log'!$Y37)), "")</f>
        <v>14.5</v>
      </c>
      <c r="AA37" s="139" t="n">
        <f>IF(ISNUMBER(Table3[[#This Row],[Predicted Spread]]), IF(ISBLANK(Games!AC36), "",IF('Prediction Log'!$E37&gt;0, 'Prediction Log'!$M37-'Prediction Log'!$E37, IF('Prediction Log'!$E37&lt;0, -'Prediction Log'!$M37+'Prediction Log'!$E37, "NA"))), "")</f>
        <v>-13.799999999999997</v>
      </c>
      <c r="AB37" s="139" t="n">
        <f>IF(ISNUMBER(Table3[[#This Row],[Difference from Prediction]]), IF(ISBLANK(Games!AD36), "",ABS('Prediction Log'!$AA37)), "")</f>
        <v>13.799999999999997</v>
      </c>
      <c r="AC37" s="164" t="str">
        <f>IF(ISNUMBER(Table3[[#This Row],[Predicted Spread]]), IF(OR(ISBLANK(Games!AC36),Table3[[#This Row],[Market Side Correct]]="",ISBLANK('Prediction Log'!$L37)), "",IF(OR(AND('Prediction Log'!D37&lt;0, 'Prediction Log'!L37='Prediction Log'!B37), AND('Prediction Log'!D37&gt;0, 'Prediction Log'!C37='Prediction Log'!L37)),"Y", IF(ISBLANK(Games!$B$2), "","N"))), "")</f>
        <v>Y</v>
      </c>
      <c r="AD37" s="159" t="str">
        <f>'Prediction Log'!$S37</f>
        <v>N</v>
      </c>
    </row>
    <row r="38">
      <c r="A38" s="165" t="n">
        <f>IF(ISBLANK(Games!$B37), "",Games!A37)</f>
        <v>1</v>
      </c>
      <c r="B38" s="165" t="str">
        <f>IF(ISBLANK(Games!$B37), "",Games!B37)</f>
        <v>Maryland</v>
      </c>
      <c r="C38" s="165" t="str">
        <f>IF(ISBLANK(Games!$B37), "",Games!C37)</f>
        <v>Connecticut</v>
      </c>
      <c r="D38" s="140" t="n">
        <f>IF(ISBLANK(Games!$D37), "",IF(_xlfn.NUMBERVALUE(Games!D37)=0, "",_xlfn.NUMBERVALUE(Games!D37) ))</f>
        <v>-20.5</v>
      </c>
      <c r="E38" s="138" t="n">
        <f>IF(ISBLANK(_xlfn.NUMBERVALUE(Games!$B37)), "",_xlfn.NUMBERVALUE(Games!J37))</f>
        <v>-50.1</v>
      </c>
      <c r="F38" s="141" t="n">
        <f>IFERROR(IF(ISBLANK(Games!B37), "", IF(Games!N37=Games!B37, Games!O37, 1-Games!O37)), "")</f>
        <v>0.95270374029961113</v>
      </c>
      <c r="G38" s="142" t="str">
        <f>IF(OR(ISBLANK(Games!B37),Table3[[#This Row],[Spread]]=""), "", IF('Prediction Log'!$D38&lt;0, 'Prediction Log'!$B38, 'Prediction Log'!$C38))</f>
        <v>Maryland</v>
      </c>
      <c r="H38" s="143" t="str">
        <f>IF(ISBLANK(Games!$B37), "",Games!K37)</f>
        <v>Maryland</v>
      </c>
      <c r="I38" s="143" t="str">
        <f>IF('Prediction Log'!$F38&gt;0.5, 'Prediction Log'!$B38, IF('Prediction Log'!$F38&lt;0.5, 'Prediction Log'!$C38, "PICK"))</f>
        <v>Maryland</v>
      </c>
      <c r="J38" s="144" t="n">
        <f>IF(ISBLANK(Games!B37), "",IF('Prediction Log'!$I38='Prediction Log'!$B38, 'Prediction Log'!$F38, 1-'Prediction Log'!$F38))</f>
        <v>0.95270374029961113</v>
      </c>
      <c r="K38" s="145" t="str">
        <f>IF(ISBLANK(Games!$B37), "",Games!Q37)</f>
        <v>Y</v>
      </c>
      <c r="L38" s="124" t="str">
        <f>IF(ISBLANK(Games!AC37), "",Games!AE37)</f>
        <v>Maryland</v>
      </c>
      <c r="M38" s="161" t="n">
        <f>IF(ISBLANK(Games!AC37), "",Games!AD37-Games!AC37)</f>
        <v>-43</v>
      </c>
      <c r="N38" s="146" t="str">
        <f>IF(ISNUMBER(Table3[[#This Row],[Predicted Spread]]), IF(OR(ISBLANK(Games!AC37),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38" s="147" t="str">
        <f>IF(ISNUMBER(Table3[[#This Row],[Predicted Spread]]), IF(OR(ISBLANK(Games!AC37),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38" s="147" t="str">
        <f>IF(ISNUMBER(Table3[[#This Row],[Predicted Spread]]), IF(ISBLANK(Games!AC37),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38" s="148" t="str">
        <f>IF(OR(ISBLANK(Games!AC37), Table3[[#This Row],[Spread]]=""),"",IF('Prediction Log'!$L38='Prediction Log'!$G38, "Y", "N"))</f>
        <v>Y</v>
      </c>
      <c r="R38" s="148" t="str">
        <f>IF(ISNUMBER(Table3[[#This Row],[Predicted Spread]]), Table3[[#This Row],[Home Team Covered Market]],"")</f>
        <v>Y</v>
      </c>
      <c r="S38" s="148" t="str">
        <f>IF(ISNUMBER(Table3[[#This Row],[Predicted Spread]]), IF(OR(Table3[[#This Row],[Market Side Correct]]="",ISBLANK(Games!AC37)), "",IF(AND('Prediction Log'!$Q38="Y", 'Prediction Log'!$R38="Y"), "Y", "N")),"")</f>
        <v>Y</v>
      </c>
      <c r="T38" s="149" t="str">
        <f>IF(ISNUMBER(Table3[[#This Row],[Predicted Spread]]), IF(ISBLANK(Games!AC37),"",IF(Games!AE37='Prediction Log'!$H38, "Y", "N")), "")</f>
        <v>Y</v>
      </c>
      <c r="U38" s="149" t="str">
        <f>IF(ISNUMBER(Table3[[#This Row],[Predicted Spread]]), IF(OR(Table3[[#This Row],[Spread]]="",ISBLANK(Games!AC37)), "", IF(Table3[[#This Row],[Home Team Covered Market]]=Games!P37, "Y", "N")),"")</f>
        <v>Y</v>
      </c>
      <c r="V38" s="150" t="str">
        <f>IF(ISBLANK(Games!AC37), "",IF('Prediction Log'!$I38='Prediction Log'!$L38, "Y", "N"))</f>
        <v>Y</v>
      </c>
      <c r="W38" s="149" t="str">
        <f>IF(ISNUMBER(Table3[[#This Row],[Predicted Spread]]), IF(OR(Table3[[#This Row],[Model Spread Correct]]="",ISBLANK(Games!AC37)), "",IF('Prediction Log'!$H38&lt;&gt;'Prediction Log'!$L38, "N",IF(AND('Prediction Log'!$E38&gt;0, 'Prediction Log'!$M38&gt;'Prediction Log'!$E38, 'Prediction Log'!$H38='Prediction Log'!$C38), "Y", IF(AND('Prediction Log'!$E38&lt;0, 'Prediction Log'!$M38&lt;'Prediction Log'!$E38,'Prediction Log'!$H38='Prediction Log'!$B38 ), "Y", IF('Prediction Log'!$M38='Prediction Log'!$E38, "PUSH", "N"))))), "")</f>
        <v>N</v>
      </c>
      <c r="X38" s="149" t="str">
        <f>IF(ISNUMBER(Table3[[#This Row],[Predicted Spread]]), IF(OR(Table3[[#This Row],[Model Spread Correct]]="",ISBLANK(Games!AC37)), "",IF(AND('Prediction Log'!$T38="Y", 'Prediction Log'!$U38="Y"), "Y", "N")), "")</f>
        <v>Y</v>
      </c>
      <c r="Y38" s="148" t="n">
        <f>IFERROR(IF(ISNUMBER(Table3[[#This Row],[Predicted Spread]]), IF(ISBLANK(Games!AC37), "",IF('Prediction Log'!$D38&gt;0, 'Prediction Log'!$M38-'Prediction Log'!$D38, IF('Prediction Log'!$D38&lt;0, -'Prediction Log'!$M38+'Prediction Log'!$D38, "NA"))), ""), "")</f>
        <v>22.5</v>
      </c>
      <c r="Z38" s="148" t="n">
        <f>IF(ISNUMBER(Table3[[#This Row],[Difference from Market]]), IF(ISBLANK(Games!AC37), "",ABS('Prediction Log'!$Y38)), "")</f>
        <v>22.5</v>
      </c>
      <c r="AA38" s="139" t="n">
        <f>IF(ISNUMBER(Table3[[#This Row],[Predicted Spread]]), IF(ISBLANK(Games!AC37), "",IF('Prediction Log'!$E38&gt;0, 'Prediction Log'!$M38-'Prediction Log'!$E38, IF('Prediction Log'!$E38&lt;0, -'Prediction Log'!$M38+'Prediction Log'!$E38, "NA"))), "")</f>
        <v>-7.1000000000000014</v>
      </c>
      <c r="AB38" s="139" t="n">
        <f>IF(ISNUMBER(Table3[[#This Row],[Difference from Prediction]]), IF(ISBLANK(Games!AD37), "",ABS('Prediction Log'!$AA38)), "")</f>
        <v>7.1000000000000014</v>
      </c>
      <c r="AC38" s="164" t="str">
        <f>IF(ISNUMBER(Table3[[#This Row],[Predicted Spread]]), IF(OR(ISBLANK(Games!AC37),Table3[[#This Row],[Market Side Correct]]="",ISBLANK('Prediction Log'!$L38)), "",IF(OR(AND('Prediction Log'!D38&lt;0, 'Prediction Log'!L38='Prediction Log'!B38), AND('Prediction Log'!D38&gt;0, 'Prediction Log'!C38='Prediction Log'!L38)),"Y", IF(ISBLANK(Games!$B$2), "","N"))), "")</f>
        <v>Y</v>
      </c>
      <c r="AD38" s="159" t="str">
        <f>'Prediction Log'!$S38</f>
        <v>Y</v>
      </c>
    </row>
    <row r="39">
      <c r="A39" s="165" t="n">
        <f>IF(ISBLANK(Games!$B38), "",Games!A38)</f>
        <v>1</v>
      </c>
      <c r="B39" s="165" t="str">
        <f>IF(ISBLANK(Games!$B38), "",Games!B38)</f>
        <v>Pittsburgh</v>
      </c>
      <c r="C39" s="165" t="str">
        <f>IF(ISBLANK(Games!$B38), "",Games!C38)</f>
        <v>Kent State</v>
      </c>
      <c r="D39" s="140" t="n">
        <f>IF(ISBLANK(Games!$D38), "",IF(_xlfn.NUMBERVALUE(Games!D38)=0, "",_xlfn.NUMBERVALUE(Games!D38) ))</f>
        <v>-23.5</v>
      </c>
      <c r="E39" s="138" t="n">
        <f>IF(ISBLANK(_xlfn.NUMBERVALUE(Games!$B38)), "",_xlfn.NUMBERVALUE(Games!J38))</f>
        <v>-64.3</v>
      </c>
      <c r="F39" s="141" t="n">
        <f>IFERROR(IF(ISBLANK(Games!B38), "", IF(Games!N38=Games!B38, Games!O38, 1-Games!O38)), "")</f>
        <v>0.90643185034289142</v>
      </c>
      <c r="G39" s="142" t="str">
        <f>IF(OR(ISBLANK(Games!B38),Table3[[#This Row],[Spread]]=""), "", IF('Prediction Log'!$D39&lt;0, 'Prediction Log'!$B39, 'Prediction Log'!$C39))</f>
        <v>Pittsburgh</v>
      </c>
      <c r="H39" s="143" t="str">
        <f>IF(ISBLANK(Games!$B38), "",Games!K38)</f>
        <v>Pittsburgh</v>
      </c>
      <c r="I39" s="143" t="str">
        <f>IF('Prediction Log'!$F39&gt;0.5, 'Prediction Log'!$B39, IF('Prediction Log'!$F39&lt;0.5, 'Prediction Log'!$C39, "PICK"))</f>
        <v>Pittsburgh</v>
      </c>
      <c r="J39" s="144" t="n">
        <f>IF(ISBLANK(Games!B38), "",IF('Prediction Log'!$I39='Prediction Log'!$B39, 'Prediction Log'!$F39, 1-'Prediction Log'!$F39))</f>
        <v>0.90643185034289142</v>
      </c>
      <c r="K39" s="145" t="str">
        <f>IF(ISBLANK(Games!$B38), "",Games!Q38)</f>
        <v>Y</v>
      </c>
      <c r="L39" s="124" t="str">
        <f>IF(ISBLANK(Games!AC38), "",Games!AE38)</f>
        <v>Pittsburgh</v>
      </c>
      <c r="M39" s="161" t="n">
        <f>IF(ISBLANK(Games!AC38), "",Games!AD38-Games!AC38)</f>
        <v>-31</v>
      </c>
      <c r="N39" s="146" t="str">
        <f>IF(ISNUMBER(Table3[[#This Row],[Predicted Spread]]), IF(OR(ISBLANK(Games!AC38),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39" s="147" t="str">
        <f>IF(ISNUMBER(Table3[[#This Row],[Predicted Spread]]), IF(OR(ISBLANK(Games!AC38),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39" s="147" t="str">
        <f>IF(ISNUMBER(Table3[[#This Row],[Predicted Spread]]), IF(ISBLANK(Games!AC38),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39" s="148" t="str">
        <f>IF(OR(ISBLANK(Games!AC38), Table3[[#This Row],[Spread]]=""),"",IF('Prediction Log'!$L39='Prediction Log'!$G39, "Y", "N"))</f>
        <v>Y</v>
      </c>
      <c r="R39" s="148" t="str">
        <f>IF(ISNUMBER(Table3[[#This Row],[Predicted Spread]]), Table3[[#This Row],[Home Team Covered Market]],"")</f>
        <v>Y</v>
      </c>
      <c r="S39" s="148" t="str">
        <f>IF(ISNUMBER(Table3[[#This Row],[Predicted Spread]]), IF(OR(Table3[[#This Row],[Market Side Correct]]="",ISBLANK(Games!AC38)), "",IF(AND('Prediction Log'!$Q39="Y", 'Prediction Log'!$R39="Y"), "Y", "N")),"")</f>
        <v>Y</v>
      </c>
      <c r="T39" s="149" t="str">
        <f>IF(ISNUMBER(Table3[[#This Row],[Predicted Spread]]), IF(ISBLANK(Games!AC38),"",IF(Games!AE38='Prediction Log'!$H39, "Y", "N")), "")</f>
        <v>Y</v>
      </c>
      <c r="U39" s="149" t="str">
        <f>IF(ISNUMBER(Table3[[#This Row],[Predicted Spread]]), IF(OR(Table3[[#This Row],[Spread]]="",ISBLANK(Games!AC38)), "", IF(Table3[[#This Row],[Home Team Covered Market]]=Games!P38, "Y", "N")),"")</f>
        <v>Y</v>
      </c>
      <c r="V39" s="150" t="str">
        <f>IF(ISBLANK(Games!AC38), "",IF('Prediction Log'!$I39='Prediction Log'!$L39, "Y", "N"))</f>
        <v>Y</v>
      </c>
      <c r="W39" s="149" t="str">
        <f>IF(ISNUMBER(Table3[[#This Row],[Predicted Spread]]), IF(OR(Table3[[#This Row],[Model Spread Correct]]="",ISBLANK(Games!AC38)), "",IF('Prediction Log'!$H39&lt;&gt;'Prediction Log'!$L39, "N",IF(AND('Prediction Log'!$E39&gt;0, 'Prediction Log'!$M39&gt;'Prediction Log'!$E39, 'Prediction Log'!$H39='Prediction Log'!$C39), "Y", IF(AND('Prediction Log'!$E39&lt;0, 'Prediction Log'!$M39&lt;'Prediction Log'!$E39,'Prediction Log'!$H39='Prediction Log'!$B39 ), "Y", IF('Prediction Log'!$M39='Prediction Log'!$E39, "PUSH", "N"))))), "")</f>
        <v>N</v>
      </c>
      <c r="X39" s="149" t="str">
        <f>IF(ISNUMBER(Table3[[#This Row],[Predicted Spread]]), IF(OR(Table3[[#This Row],[Model Spread Correct]]="",ISBLANK(Games!AC38)), "",IF(AND('Prediction Log'!$T39="Y", 'Prediction Log'!$U39="Y"), "Y", "N")), "")</f>
        <v>Y</v>
      </c>
      <c r="Y39" s="148" t="n">
        <f>IFERROR(IF(ISNUMBER(Table3[[#This Row],[Predicted Spread]]), IF(ISBLANK(Games!AC38), "",IF('Prediction Log'!$D39&gt;0, 'Prediction Log'!$M39-'Prediction Log'!$D39, IF('Prediction Log'!$D39&lt;0, -'Prediction Log'!$M39+'Prediction Log'!$D39, "NA"))), ""), "")</f>
        <v>7.5</v>
      </c>
      <c r="Z39" s="148" t="n">
        <f>IF(ISNUMBER(Table3[[#This Row],[Difference from Market]]), IF(ISBLANK(Games!AC38), "",ABS('Prediction Log'!$Y39)), "")</f>
        <v>7.5</v>
      </c>
      <c r="AA39" s="139" t="n">
        <f>IF(ISNUMBER(Table3[[#This Row],[Predicted Spread]]), IF(ISBLANK(Games!AC38), "",IF('Prediction Log'!$E39&gt;0, 'Prediction Log'!$M39-'Prediction Log'!$E39, IF('Prediction Log'!$E39&lt;0, -'Prediction Log'!$M39+'Prediction Log'!$E39, "NA"))), "")</f>
        <v>-33.299999999999997</v>
      </c>
      <c r="AB39" s="139" t="n">
        <f>IF(ISNUMBER(Table3[[#This Row],[Difference from Prediction]]), IF(ISBLANK(Games!AD38), "",ABS('Prediction Log'!$AA39)), "")</f>
        <v>33.299999999999997</v>
      </c>
      <c r="AC39" s="164" t="str">
        <f>IF(ISNUMBER(Table3[[#This Row],[Predicted Spread]]), IF(OR(ISBLANK(Games!AC38),Table3[[#This Row],[Market Side Correct]]="",ISBLANK('Prediction Log'!$L39)), "",IF(OR(AND('Prediction Log'!D39&lt;0, 'Prediction Log'!L39='Prediction Log'!B39), AND('Prediction Log'!D39&gt;0, 'Prediction Log'!C39='Prediction Log'!L39)),"Y", IF(ISBLANK(Games!$B$2), "","N"))), "")</f>
        <v>Y</v>
      </c>
      <c r="AD39" s="159" t="str">
        <f>'Prediction Log'!$S39</f>
        <v>Y</v>
      </c>
    </row>
    <row r="40">
      <c r="A40" s="165" t="n">
        <f>IF(ISBLANK(Games!$B39), "",Games!A39)</f>
        <v>1</v>
      </c>
      <c r="B40" s="165" t="str">
        <f>IF(ISBLANK(Games!$B39), "",Games!B39)</f>
        <v>Georgia</v>
      </c>
      <c r="C40" s="165" t="str">
        <f>IF(ISBLANK(Games!$B39), "",Games!C39)</f>
        <v>Clemson</v>
      </c>
      <c r="D40" s="140" t="n">
        <f>IF(ISBLANK(Games!$D39), "",IF(_xlfn.NUMBERVALUE(Games!D39)=0, "",_xlfn.NUMBERVALUE(Games!D39) ))</f>
        <v>-11.5</v>
      </c>
      <c r="E40" s="138" t="n">
        <f>IF(ISBLANK(_xlfn.NUMBERVALUE(Games!$B39)), "",_xlfn.NUMBERVALUE(Games!J39))</f>
        <v>-46.3</v>
      </c>
      <c r="F40" s="141" t="n">
        <f>IFERROR(IF(ISBLANK(Games!B39), "", IF(Games!N39=Games!B39, Games!O39, 1-Games!O39)), "")</f>
        <v>0.90456934995981964</v>
      </c>
      <c r="G40" s="142" t="str">
        <f>IF(OR(ISBLANK(Games!B39),Table3[[#This Row],[Spread]]=""), "", IF('Prediction Log'!$D40&lt;0, 'Prediction Log'!$B40, 'Prediction Log'!$C40))</f>
        <v>Georgia</v>
      </c>
      <c r="H40" s="143" t="str">
        <f>IF(ISBLANK(Games!$B39), "",Games!K39)</f>
        <v>Georgia</v>
      </c>
      <c r="I40" s="143" t="str">
        <f>IF('Prediction Log'!$F40&gt;0.5, 'Prediction Log'!$B40, IF('Prediction Log'!$F40&lt;0.5, 'Prediction Log'!$C40, "PICK"))</f>
        <v>Georgia</v>
      </c>
      <c r="J40" s="144" t="n">
        <f>IF(ISBLANK(Games!B39), "",IF('Prediction Log'!$I40='Prediction Log'!$B40, 'Prediction Log'!$F40, 1-'Prediction Log'!$F40))</f>
        <v>0.90456934995981964</v>
      </c>
      <c r="K40" s="145" t="str">
        <f>IF(ISBLANK(Games!$B39), "",Games!Q39)</f>
        <v>Y</v>
      </c>
      <c r="L40" s="124" t="str">
        <f>IF(ISBLANK(Games!AC39), "",Games!AE39)</f>
        <v>Georgia</v>
      </c>
      <c r="M40" s="161" t="n">
        <f>IF(ISBLANK(Games!AC39), "",Games!AD39-Games!AC39)</f>
        <v>-31</v>
      </c>
      <c r="N40" s="146" t="str">
        <f>IF(ISNUMBER(Table3[[#This Row],[Predicted Spread]]), IF(OR(ISBLANK(Games!AC39),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0" s="147" t="str">
        <f>IF(ISNUMBER(Table3[[#This Row],[Predicted Spread]]), IF(OR(ISBLANK(Games!AC39),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40" s="147" t="str">
        <f>IF(ISNUMBER(Table3[[#This Row],[Predicted Spread]]), IF(ISBLANK(Games!AC39),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40" s="148" t="str">
        <f>IF(OR(ISBLANK(Games!AC39), Table3[[#This Row],[Spread]]=""),"",IF('Prediction Log'!$L40='Prediction Log'!$G40, "Y", "N"))</f>
        <v>Y</v>
      </c>
      <c r="R40" s="148" t="str">
        <f>IF(ISNUMBER(Table3[[#This Row],[Predicted Spread]]), Table3[[#This Row],[Home Team Covered Market]],"")</f>
        <v>Y</v>
      </c>
      <c r="S40" s="148" t="str">
        <f>IF(ISNUMBER(Table3[[#This Row],[Predicted Spread]]), IF(OR(Table3[[#This Row],[Market Side Correct]]="",ISBLANK(Games!AC39)), "",IF(AND('Prediction Log'!$Q40="Y", 'Prediction Log'!$R40="Y"), "Y", "N")),"")</f>
        <v>Y</v>
      </c>
      <c r="T40" s="149" t="str">
        <f>IF(ISNUMBER(Table3[[#This Row],[Predicted Spread]]), IF(ISBLANK(Games!AC39),"",IF(Games!AE39='Prediction Log'!$H40, "Y", "N")), "")</f>
        <v>Y</v>
      </c>
      <c r="U40" s="149" t="str">
        <f>IF(ISNUMBER(Table3[[#This Row],[Predicted Spread]]), IF(OR(Table3[[#This Row],[Spread]]="",ISBLANK(Games!AC39)), "", IF(Table3[[#This Row],[Home Team Covered Market]]=Games!P39, "Y", "N")),"")</f>
        <v>Y</v>
      </c>
      <c r="V40" s="150" t="str">
        <f>IF(ISBLANK(Games!AC39), "",IF('Prediction Log'!$I40='Prediction Log'!$L40, "Y", "N"))</f>
        <v>Y</v>
      </c>
      <c r="W40" s="149" t="str">
        <f>IF(ISNUMBER(Table3[[#This Row],[Predicted Spread]]), IF(OR(Table3[[#This Row],[Model Spread Correct]]="",ISBLANK(Games!AC39)), "",IF('Prediction Log'!$H40&lt;&gt;'Prediction Log'!$L40, "N",IF(AND('Prediction Log'!$E40&gt;0, 'Prediction Log'!$M40&gt;'Prediction Log'!$E40, 'Prediction Log'!$H40='Prediction Log'!$C40), "Y", IF(AND('Prediction Log'!$E40&lt;0, 'Prediction Log'!$M40&lt;'Prediction Log'!$E40,'Prediction Log'!$H40='Prediction Log'!$B40 ), "Y", IF('Prediction Log'!$M40='Prediction Log'!$E40, "PUSH", "N"))))), "")</f>
        <v>N</v>
      </c>
      <c r="X40" s="149" t="str">
        <f>IF(ISNUMBER(Table3[[#This Row],[Predicted Spread]]), IF(OR(Table3[[#This Row],[Model Spread Correct]]="",ISBLANK(Games!AC39)), "",IF(AND('Prediction Log'!$T40="Y", 'Prediction Log'!$U40="Y"), "Y", "N")), "")</f>
        <v>Y</v>
      </c>
      <c r="Y40" s="148" t="n">
        <f>IFERROR(IF(ISNUMBER(Table3[[#This Row],[Predicted Spread]]), IF(ISBLANK(Games!AC39), "",IF('Prediction Log'!$D40&gt;0, 'Prediction Log'!$M40-'Prediction Log'!$D40, IF('Prediction Log'!$D40&lt;0, -'Prediction Log'!$M40+'Prediction Log'!$D40, "NA"))), ""), "")</f>
        <v>19.5</v>
      </c>
      <c r="Z40" s="148" t="n">
        <f>IF(ISNUMBER(Table3[[#This Row],[Difference from Market]]), IF(ISBLANK(Games!AC39), "",ABS('Prediction Log'!$Y40)), "")</f>
        <v>19.5</v>
      </c>
      <c r="AA40" s="139" t="n">
        <f>IF(ISNUMBER(Table3[[#This Row],[Predicted Spread]]), IF(ISBLANK(Games!AC39), "",IF('Prediction Log'!$E40&gt;0, 'Prediction Log'!$M40-'Prediction Log'!$E40, IF('Prediction Log'!$E40&lt;0, -'Prediction Log'!$M40+'Prediction Log'!$E40, "NA"))), "")</f>
        <v>-15.299999999999997</v>
      </c>
      <c r="AB40" s="139" t="n">
        <f>IF(ISNUMBER(Table3[[#This Row],[Difference from Prediction]]), IF(ISBLANK(Games!AD39), "",ABS('Prediction Log'!$AA40)), "")</f>
        <v>15.299999999999997</v>
      </c>
      <c r="AC40" s="164" t="str">
        <f>IF(ISNUMBER(Table3[[#This Row],[Predicted Spread]]), IF(OR(ISBLANK(Games!AC39),Table3[[#This Row],[Market Side Correct]]="",ISBLANK('Prediction Log'!$L40)), "",IF(OR(AND('Prediction Log'!D40&lt;0, 'Prediction Log'!L40='Prediction Log'!B40), AND('Prediction Log'!D40&gt;0, 'Prediction Log'!C40='Prediction Log'!L40)),"Y", IF(ISBLANK(Games!$B$2), "","N"))), "")</f>
        <v>Y</v>
      </c>
      <c r="AD40" s="159" t="str">
        <f>'Prediction Log'!$S40</f>
        <v>Y</v>
      </c>
    </row>
    <row r="41">
      <c r="A41" s="165" t="n">
        <f>IF(ISBLANK(Games!$B40), "",Games!A40)</f>
        <v>1</v>
      </c>
      <c r="B41" s="165" t="str">
        <f>IF(ISBLANK(Games!$B40), "",Games!B40)</f>
        <v>Vanderbilt</v>
      </c>
      <c r="C41" s="165" t="str">
        <f>IF(ISBLANK(Games!$B40), "",Games!C40)</f>
        <v>Virginia Tech</v>
      </c>
      <c r="D41" s="140" t="n">
        <f>IF(ISBLANK(Games!$D40), "",IF(_xlfn.NUMBERVALUE(Games!D40)=0, "",_xlfn.NUMBERVALUE(Games!D40) ))</f>
        <v>13.5</v>
      </c>
      <c r="E41" s="138" t="n">
        <f>IF(ISBLANK(_xlfn.NUMBERVALUE(Games!$B40)), "",_xlfn.NUMBERVALUE(Games!J40))</f>
        <v>21.8</v>
      </c>
      <c r="F41" s="141" t="n">
        <f>IFERROR(IF(ISBLANK(Games!B40), "", IF(Games!N40=Games!B40, Games!O40, 1-Games!O40)), "")</f>
        <v>0.10998623238796068</v>
      </c>
      <c r="G41" s="142" t="str">
        <f>IF(OR(ISBLANK(Games!B40),Table3[[#This Row],[Spread]]=""), "", IF('Prediction Log'!$D41&lt;0, 'Prediction Log'!$B41, 'Prediction Log'!$C41))</f>
        <v>Virginia Tech</v>
      </c>
      <c r="H41" s="143" t="str">
        <f>IF(ISBLANK(Games!$B40), "",Games!K40)</f>
        <v>Virginia Tech</v>
      </c>
      <c r="I41" s="143" t="str">
        <f>IF('Prediction Log'!$F41&gt;0.5, 'Prediction Log'!$B41, IF('Prediction Log'!$F41&lt;0.5, 'Prediction Log'!$C41, "PICK"))</f>
        <v>Virginia Tech</v>
      </c>
      <c r="J41" s="144" t="n">
        <f>IF(ISBLANK(Games!B40), "",IF('Prediction Log'!$I41='Prediction Log'!$B41, 'Prediction Log'!$F41, 1-'Prediction Log'!$F41))</f>
        <v>0.89001376761203932</v>
      </c>
      <c r="K41" s="145" t="str">
        <f>IF(ISBLANK(Games!$B40), "",Games!Q40)</f>
        <v>N</v>
      </c>
      <c r="L41" s="124" t="str">
        <f>IF(ISBLANK(Games!AC40), "",Games!AE40)</f>
        <v>Vanderbilt</v>
      </c>
      <c r="M41" s="161" t="n">
        <f>IF(ISBLANK(Games!AC40), "",Games!AD40-Games!AC40)</f>
        <v>-7</v>
      </c>
      <c r="N41" s="146" t="str">
        <f>IF(ISNUMBER(Table3[[#This Row],[Predicted Spread]]), IF(OR(ISBLANK(Games!AC40),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1" s="147" t="str">
        <f>IF(ISNUMBER(Table3[[#This Row],[Predicted Spread]]), IF(OR(ISBLANK(Games!AC40),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41" s="147" t="str">
        <f>IF(ISNUMBER(Table3[[#This Row],[Predicted Spread]]), IF(ISBLANK(Games!AC40),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41" s="148" t="str">
        <f>IF(OR(ISBLANK(Games!AC40), Table3[[#This Row],[Spread]]=""),"",IF('Prediction Log'!$L41='Prediction Log'!$G41, "Y", "N"))</f>
        <v>N</v>
      </c>
      <c r="R41" s="148" t="str">
        <f>IF(ISNUMBER(Table3[[#This Row],[Predicted Spread]]), Table3[[#This Row],[Home Team Covered Market]],"")</f>
        <v>Y</v>
      </c>
      <c r="S41" s="148" t="str">
        <f>IF(ISNUMBER(Table3[[#This Row],[Predicted Spread]]), IF(OR(Table3[[#This Row],[Market Side Correct]]="",ISBLANK(Games!AC40)), "",IF(AND('Prediction Log'!$Q41="Y", 'Prediction Log'!$R41="Y"), "Y", "N")),"")</f>
        <v>N</v>
      </c>
      <c r="T41" s="149" t="str">
        <f>IF(ISNUMBER(Table3[[#This Row],[Predicted Spread]]), IF(ISBLANK(Games!AC40),"",IF(Games!AE40='Prediction Log'!$H41, "Y", "N")), "")</f>
        <v>N</v>
      </c>
      <c r="U41" s="149" t="str">
        <f>IF(ISNUMBER(Table3[[#This Row],[Predicted Spread]]), IF(OR(Table3[[#This Row],[Spread]]="",ISBLANK(Games!AC40)), "", IF(Table3[[#This Row],[Home Team Covered Market]]=Games!P40, "Y", "N")),"")</f>
        <v>Y</v>
      </c>
      <c r="V41" s="150" t="str">
        <f>IF(ISBLANK(Games!AC40), "",IF('Prediction Log'!$I41='Prediction Log'!$L41, "Y", "N"))</f>
        <v>N</v>
      </c>
      <c r="W41" s="149" t="str">
        <f>IF(ISNUMBER(Table3[[#This Row],[Predicted Spread]]), IF(OR(Table3[[#This Row],[Model Spread Correct]]="",ISBLANK(Games!AC40)), "",IF('Prediction Log'!$H41&lt;&gt;'Prediction Log'!$L41, "N",IF(AND('Prediction Log'!$E41&gt;0, 'Prediction Log'!$M41&gt;'Prediction Log'!$E41, 'Prediction Log'!$H41='Prediction Log'!$C41), "Y", IF(AND('Prediction Log'!$E41&lt;0, 'Prediction Log'!$M41&lt;'Prediction Log'!$E41,'Prediction Log'!$H41='Prediction Log'!$B41 ), "Y", IF('Prediction Log'!$M41='Prediction Log'!$E41, "PUSH", "N"))))), "")</f>
        <v>N</v>
      </c>
      <c r="X41" s="149" t="str">
        <f>IF(ISNUMBER(Table3[[#This Row],[Predicted Spread]]), IF(OR(Table3[[#This Row],[Model Spread Correct]]="",ISBLANK(Games!AC40)), "",IF(AND('Prediction Log'!$T41="Y", 'Prediction Log'!$U41="Y"), "Y", "N")), "")</f>
        <v>N</v>
      </c>
      <c r="Y41" s="148" t="n">
        <f>IFERROR(IF(ISNUMBER(Table3[[#This Row],[Predicted Spread]]), IF(ISBLANK(Games!AC40), "",IF('Prediction Log'!$D41&gt;0, 'Prediction Log'!$M41-'Prediction Log'!$D41, IF('Prediction Log'!$D41&lt;0, -'Prediction Log'!$M41+'Prediction Log'!$D41, "NA"))), ""), "")</f>
        <v>-20.5</v>
      </c>
      <c r="Z41" s="148" t="n">
        <f>IF(ISNUMBER(Table3[[#This Row],[Difference from Market]]), IF(ISBLANK(Games!AC40), "",ABS('Prediction Log'!$Y41)), "")</f>
        <v>20.5</v>
      </c>
      <c r="AA41" s="139" t="n">
        <f>IF(ISNUMBER(Table3[[#This Row],[Predicted Spread]]), IF(ISBLANK(Games!AC40), "",IF('Prediction Log'!$E41&gt;0, 'Prediction Log'!$M41-'Prediction Log'!$E41, IF('Prediction Log'!$E41&lt;0, -'Prediction Log'!$M41+'Prediction Log'!$E41, "NA"))), "")</f>
        <v>-28.8</v>
      </c>
      <c r="AB41" s="139" t="n">
        <f>IF(ISNUMBER(Table3[[#This Row],[Difference from Prediction]]), IF(ISBLANK(Games!AD40), "",ABS('Prediction Log'!$AA41)), "")</f>
        <v>28.8</v>
      </c>
      <c r="AC41" s="164" t="str">
        <f>IF(ISNUMBER(Table3[[#This Row],[Predicted Spread]]), IF(OR(ISBLANK(Games!AC40),Table3[[#This Row],[Market Side Correct]]="",ISBLANK('Prediction Log'!$L41)), "",IF(OR(AND('Prediction Log'!D41&lt;0, 'Prediction Log'!L41='Prediction Log'!B41), AND('Prediction Log'!D41&gt;0, 'Prediction Log'!C41='Prediction Log'!L41)),"Y", IF(ISBLANK(Games!$B$2), "","N"))), "")</f>
        <v>N</v>
      </c>
      <c r="AD41" s="159" t="str">
        <f>'Prediction Log'!$S41</f>
        <v>N</v>
      </c>
    </row>
    <row r="42">
      <c r="A42" s="165" t="n">
        <f>IF(ISBLANK(Games!$B41), "",Games!A41)</f>
        <v>1</v>
      </c>
      <c r="B42" s="165" t="str">
        <f>IF(ISBLANK(Games!$B41), "",Games!B41)</f>
        <v>Louisville</v>
      </c>
      <c r="C42" s="165" t="str">
        <f>IF(ISBLANK(Games!$B41), "",Games!C41)</f>
        <v>Austin Peay</v>
      </c>
      <c r="D42" s="140" t="n">
        <f>IF(ISBLANK(Games!$D41), "",IF(_xlfn.NUMBERVALUE(Games!D41)=0, "",_xlfn.NUMBERVALUE(Games!D41) ))</f>
        <v>-37.5</v>
      </c>
      <c r="E42" s="138" t="n">
        <f>IF(ISBLANK(_xlfn.NUMBERVALUE(Games!$B41)), "",_xlfn.NUMBERVALUE(Games!J41))</f>
        <v>-23.7857281438252</v>
      </c>
      <c r="F42" s="141" t="n">
        <f>IFERROR(IF(ISBLANK(Games!B41), "", IF(Games!N41=Games!B41, Games!O41, 1-Games!O41)), "")</f>
        <v>0.97612746581420196</v>
      </c>
      <c r="G42" s="142" t="str">
        <f>IF(OR(ISBLANK(Games!B41),Table3[[#This Row],[Spread]]=""), "", IF('Prediction Log'!$D42&lt;0, 'Prediction Log'!$B42, 'Prediction Log'!$C42))</f>
        <v>Louisville</v>
      </c>
      <c r="H42" s="143" t="str">
        <f>IF(ISBLANK(Games!$B41), "",Games!K41)</f>
        <v>Louisville</v>
      </c>
      <c r="I42" s="143" t="str">
        <f>IF('Prediction Log'!$F42&gt;0.5, 'Prediction Log'!$B42, IF('Prediction Log'!$F42&lt;0.5, 'Prediction Log'!$C42, "PICK"))</f>
        <v>Louisville</v>
      </c>
      <c r="J42" s="144" t="n">
        <f>IF(ISBLANK(Games!B41), "",IF('Prediction Log'!$I42='Prediction Log'!$B42, 'Prediction Log'!$F42, 1-'Prediction Log'!$F42))</f>
        <v>0.97612746581420196</v>
      </c>
      <c r="K42" s="145" t="str">
        <f>IF(ISBLANK(Games!$B41), "",Games!Q41)</f>
        <v>N</v>
      </c>
      <c r="L42" s="124" t="str">
        <f>IF(ISBLANK(Games!AC41), "",Games!AE41)</f>
        <v>Louisville</v>
      </c>
      <c r="M42" s="161" t="n">
        <f>IF(ISBLANK(Games!AC41), "",Games!AD41-Games!AC41)</f>
        <v>-62</v>
      </c>
      <c r="N42" s="146" t="str">
        <f>IF(ISNUMBER(Table3[[#This Row],[Predicted Spread]]), IF(OR(ISBLANK(Games!AC41),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2" s="147" t="str">
        <f>IF(ISNUMBER(Table3[[#This Row],[Predicted Spread]]), IF(OR(ISBLANK(Games!AC41),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42" s="147" t="str">
        <f>IF(ISNUMBER(Table3[[#This Row],[Predicted Spread]]), IF(ISBLANK(Games!AC41),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42" s="148" t="str">
        <f>IF(OR(ISBLANK(Games!AC41), Table3[[#This Row],[Spread]]=""),"",IF('Prediction Log'!$L42='Prediction Log'!$G42, "Y", "N"))</f>
        <v>Y</v>
      </c>
      <c r="R42" s="148" t="str">
        <f>IF(ISNUMBER(Table3[[#This Row],[Predicted Spread]]), Table3[[#This Row],[Home Team Covered Market]],"")</f>
        <v>Y</v>
      </c>
      <c r="S42" s="148" t="str">
        <f>IF(ISNUMBER(Table3[[#This Row],[Predicted Spread]]), IF(OR(Table3[[#This Row],[Market Side Correct]]="",ISBLANK(Games!AC41)), "",IF(AND('Prediction Log'!$Q42="Y", 'Prediction Log'!$R42="Y"), "Y", "N")),"")</f>
        <v>Y</v>
      </c>
      <c r="T42" s="149" t="str">
        <f>IF(ISNUMBER(Table3[[#This Row],[Predicted Spread]]), IF(ISBLANK(Games!AC41),"",IF(Games!AE41='Prediction Log'!$H42, "Y", "N")), "")</f>
        <v>Y</v>
      </c>
      <c r="U42" s="149" t="str">
        <f>IF(ISNUMBER(Table3[[#This Row],[Predicted Spread]]), IF(OR(Table3[[#This Row],[Spread]]="",ISBLANK(Games!AC41)), "", IF(Table3[[#This Row],[Home Team Covered Market]]=Games!P41, "Y", "N")),"")</f>
        <v>N</v>
      </c>
      <c r="V42" s="150" t="str">
        <f>IF(ISBLANK(Games!AC41), "",IF('Prediction Log'!$I42='Prediction Log'!$L42, "Y", "N"))</f>
        <v>Y</v>
      </c>
      <c r="W42" s="149" t="str">
        <f>IF(ISNUMBER(Table3[[#This Row],[Predicted Spread]]), IF(OR(Table3[[#This Row],[Model Spread Correct]]="",ISBLANK(Games!AC41)), "",IF('Prediction Log'!$H42&lt;&gt;'Prediction Log'!$L42, "N",IF(AND('Prediction Log'!$E42&gt;0, 'Prediction Log'!$M42&gt;'Prediction Log'!$E42, 'Prediction Log'!$H42='Prediction Log'!$C42), "Y", IF(AND('Prediction Log'!$E42&lt;0, 'Prediction Log'!$M42&lt;'Prediction Log'!$E42,'Prediction Log'!$H42='Prediction Log'!$B42 ), "Y", IF('Prediction Log'!$M42='Prediction Log'!$E42, "PUSH", "N"))))), "")</f>
        <v>Y</v>
      </c>
      <c r="X42" s="149" t="str">
        <f>IF(ISNUMBER(Table3[[#This Row],[Predicted Spread]]), IF(OR(Table3[[#This Row],[Model Spread Correct]]="",ISBLANK(Games!AC41)), "",IF(AND('Prediction Log'!$T42="Y", 'Prediction Log'!$U42="Y"), "Y", "N")), "")</f>
        <v>N</v>
      </c>
      <c r="Y42" s="148" t="n">
        <f>IFERROR(IF(ISNUMBER(Table3[[#This Row],[Predicted Spread]]), IF(ISBLANK(Games!AC41), "",IF('Prediction Log'!$D42&gt;0, 'Prediction Log'!$M42-'Prediction Log'!$D42, IF('Prediction Log'!$D42&lt;0, -'Prediction Log'!$M42+'Prediction Log'!$D42, "NA"))), ""), "")</f>
        <v>24.5</v>
      </c>
      <c r="Z42" s="148" t="n">
        <f>IF(ISNUMBER(Table3[[#This Row],[Difference from Market]]), IF(ISBLANK(Games!AC41), "",ABS('Prediction Log'!$Y42)), "")</f>
        <v>24.5</v>
      </c>
      <c r="AA42" s="139" t="n">
        <f>IF(ISNUMBER(Table3[[#This Row],[Predicted Spread]]), IF(ISBLANK(Games!AC41), "",IF('Prediction Log'!$E42&gt;0, 'Prediction Log'!$M42-'Prediction Log'!$E42, IF('Prediction Log'!$E42&lt;0, -'Prediction Log'!$M42+'Prediction Log'!$E42, "NA"))), "")</f>
        <v>38.214271856174804</v>
      </c>
      <c r="AB42" s="139" t="n">
        <f>IF(ISNUMBER(Table3[[#This Row],[Difference from Prediction]]), IF(ISBLANK(Games!AD41), "",ABS('Prediction Log'!$AA42)), "")</f>
        <v>38.214271856174804</v>
      </c>
      <c r="AC42" s="164" t="str">
        <f>IF(ISNUMBER(Table3[[#This Row],[Predicted Spread]]), IF(OR(ISBLANK(Games!AC41),Table3[[#This Row],[Market Side Correct]]="",ISBLANK('Prediction Log'!$L42)), "",IF(OR(AND('Prediction Log'!D42&lt;0, 'Prediction Log'!L42='Prediction Log'!B42), AND('Prediction Log'!D42&gt;0, 'Prediction Log'!C42='Prediction Log'!L42)),"Y", IF(ISBLANK(Games!$B$2), "","N"))), "")</f>
        <v>Y</v>
      </c>
      <c r="AD42" s="159" t="str">
        <f>'Prediction Log'!$S42</f>
        <v>Y</v>
      </c>
    </row>
    <row r="43">
      <c r="A43" s="165" t="n">
        <f>IF(ISBLANK(Games!$B42), "",Games!A42)</f>
        <v>1</v>
      </c>
      <c r="B43" s="165" t="str">
        <f>IF(ISBLANK(Games!$B42), "",Games!B42)</f>
        <v>Navy</v>
      </c>
      <c r="C43" s="165" t="str">
        <f>IF(ISBLANK(Games!$B42), "",Games!C42)</f>
        <v>Bucknell</v>
      </c>
      <c r="D43" s="140" t="n">
        <f>IF(ISBLANK(Games!$D42), "",IF(_xlfn.NUMBERVALUE(Games!D42)=0, "",_xlfn.NUMBERVALUE(Games!D42) ))</f>
        <v>-31.5</v>
      </c>
      <c r="E43" s="138" t="n">
        <f>IF(ISBLANK(_xlfn.NUMBERVALUE(Games!$B42)), "",_xlfn.NUMBERVALUE(Games!J42))</f>
        <v>-9.9909327363639999</v>
      </c>
      <c r="F43" s="141" t="n">
        <f>IFERROR(IF(ISBLANK(Games!B42), "", IF(Games!N42=Games!B42, Games!O42, 1-Games!O42)), "")</f>
        <v>0.84885310037888273</v>
      </c>
      <c r="G43" s="142" t="str">
        <f>IF(OR(ISBLANK(Games!B42),Table3[[#This Row],[Spread]]=""), "", IF('Prediction Log'!$D43&lt;0, 'Prediction Log'!$B43, 'Prediction Log'!$C43))</f>
        <v>Navy</v>
      </c>
      <c r="H43" s="143" t="str">
        <f>IF(ISBLANK(Games!$B42), "",Games!K42)</f>
        <v>Navy</v>
      </c>
      <c r="I43" s="143" t="str">
        <f>IF('Prediction Log'!$F43&gt;0.5, 'Prediction Log'!$B43, IF('Prediction Log'!$F43&lt;0.5, 'Prediction Log'!$C43, "PICK"))</f>
        <v>Navy</v>
      </c>
      <c r="J43" s="144" t="n">
        <f>IF(ISBLANK(Games!B42), "",IF('Prediction Log'!$I43='Prediction Log'!$B43, 'Prediction Log'!$F43, 1-'Prediction Log'!$F43))</f>
        <v>0.84885310037888273</v>
      </c>
      <c r="K43" s="145" t="str">
        <f>IF(ISBLANK(Games!$B42), "",Games!Q42)</f>
        <v>N</v>
      </c>
      <c r="L43" s="124" t="str">
        <f>IF(ISBLANK(Games!AC42), "",Games!AE42)</f>
        <v>Navy</v>
      </c>
      <c r="M43" s="161" t="n">
        <f>IF(ISBLANK(Games!AC42), "",Games!AD42-Games!AC42)</f>
        <v>-28</v>
      </c>
      <c r="N43" s="146" t="str">
        <f>IF(ISNUMBER(Table3[[#This Row],[Predicted Spread]]), IF(OR(ISBLANK(Games!AC42),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43" s="147" t="str">
        <f>IF(ISNUMBER(Table3[[#This Row],[Predicted Spread]]), IF(OR(ISBLANK(Games!AC42),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43" s="147" t="str">
        <f>IF(ISNUMBER(Table3[[#This Row],[Predicted Spread]]), IF(ISBLANK(Games!AC42),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43" s="148" t="str">
        <f>IF(OR(ISBLANK(Games!AC42), Table3[[#This Row],[Spread]]=""),"",IF('Prediction Log'!$L43='Prediction Log'!$G43, "Y", "N"))</f>
        <v>Y</v>
      </c>
      <c r="R43" s="148" t="str">
        <f>IF(ISNUMBER(Table3[[#This Row],[Predicted Spread]]), Table3[[#This Row],[Home Team Covered Market]],"")</f>
        <v>N</v>
      </c>
      <c r="S43" s="148" t="str">
        <f>IF(ISNUMBER(Table3[[#This Row],[Predicted Spread]]), IF(OR(Table3[[#This Row],[Market Side Correct]]="",ISBLANK(Games!AC42)), "",IF(AND('Prediction Log'!$Q43="Y", 'Prediction Log'!$R43="Y"), "Y", "N")),"")</f>
        <v>N</v>
      </c>
      <c r="T43" s="149" t="str">
        <f>IF(ISNUMBER(Table3[[#This Row],[Predicted Spread]]), IF(ISBLANK(Games!AC42),"",IF(Games!AE42='Prediction Log'!$H43, "Y", "N")), "")</f>
        <v>Y</v>
      </c>
      <c r="U43" s="149" t="str">
        <f>IF(ISNUMBER(Table3[[#This Row],[Predicted Spread]]), IF(OR(Table3[[#This Row],[Spread]]="",ISBLANK(Games!AC42)), "", IF(Table3[[#This Row],[Home Team Covered Market]]=Games!P42, "Y", "N")),"")</f>
        <v>Y</v>
      </c>
      <c r="V43" s="150" t="str">
        <f>IF(ISBLANK(Games!AC42), "",IF('Prediction Log'!$I43='Prediction Log'!$L43, "Y", "N"))</f>
        <v>Y</v>
      </c>
      <c r="W43" s="149" t="str">
        <f>IF(ISNUMBER(Table3[[#This Row],[Predicted Spread]]), IF(OR(Table3[[#This Row],[Model Spread Correct]]="",ISBLANK(Games!AC42)), "",IF('Prediction Log'!$H43&lt;&gt;'Prediction Log'!$L43, "N",IF(AND('Prediction Log'!$E43&gt;0, 'Prediction Log'!$M43&gt;'Prediction Log'!$E43, 'Prediction Log'!$H43='Prediction Log'!$C43), "Y", IF(AND('Prediction Log'!$E43&lt;0, 'Prediction Log'!$M43&lt;'Prediction Log'!$E43,'Prediction Log'!$H43='Prediction Log'!$B43 ), "Y", IF('Prediction Log'!$M43='Prediction Log'!$E43, "PUSH", "N"))))), "")</f>
        <v>Y</v>
      </c>
      <c r="X43" s="149" t="str">
        <f>IF(ISNUMBER(Table3[[#This Row],[Predicted Spread]]), IF(OR(Table3[[#This Row],[Model Spread Correct]]="",ISBLANK(Games!AC42)), "",IF(AND('Prediction Log'!$T43="Y", 'Prediction Log'!$U43="Y"), "Y", "N")), "")</f>
        <v>Y</v>
      </c>
      <c r="Y43" s="148" t="n">
        <f>IFERROR(IF(ISNUMBER(Table3[[#This Row],[Predicted Spread]]), IF(ISBLANK(Games!AC42), "",IF('Prediction Log'!$D43&gt;0, 'Prediction Log'!$M43-'Prediction Log'!$D43, IF('Prediction Log'!$D43&lt;0, -'Prediction Log'!$M43+'Prediction Log'!$D43, "NA"))), ""), "")</f>
        <v>-3.5</v>
      </c>
      <c r="Z43" s="148" t="n">
        <f>IF(ISNUMBER(Table3[[#This Row],[Difference from Market]]), IF(ISBLANK(Games!AC42), "",ABS('Prediction Log'!$Y43)), "")</f>
        <v>3.5</v>
      </c>
      <c r="AA43" s="139" t="n">
        <f>IF(ISNUMBER(Table3[[#This Row],[Predicted Spread]]), IF(ISBLANK(Games!AC42), "",IF('Prediction Log'!$E43&gt;0, 'Prediction Log'!$M43-'Prediction Log'!$E43, IF('Prediction Log'!$E43&lt;0, -'Prediction Log'!$M43+'Prediction Log'!$E43, "NA"))), "")</f>
        <v>18.009067263635998</v>
      </c>
      <c r="AB43" s="139" t="n">
        <f>IF(ISNUMBER(Table3[[#This Row],[Difference from Prediction]]), IF(ISBLANK(Games!AD42), "",ABS('Prediction Log'!$AA43)), "")</f>
        <v>18.009067263635998</v>
      </c>
      <c r="AC43" s="164" t="str">
        <f>IF(ISNUMBER(Table3[[#This Row],[Predicted Spread]]), IF(OR(ISBLANK(Games!AC42),Table3[[#This Row],[Market Side Correct]]="",ISBLANK('Prediction Log'!$L43)), "",IF(OR(AND('Prediction Log'!D43&lt;0, 'Prediction Log'!L43='Prediction Log'!B43), AND('Prediction Log'!D43&gt;0, 'Prediction Log'!C43='Prediction Log'!L43)),"Y", IF(ISBLANK(Games!$B$2), "","N"))), "")</f>
        <v>Y</v>
      </c>
      <c r="AD43" s="159" t="str">
        <f>'Prediction Log'!$S43</f>
        <v>N</v>
      </c>
    </row>
    <row r="44">
      <c r="A44" s="165" t="n">
        <f>IF(ISBLANK(Games!$B43), "",Games!A43)</f>
        <v>1</v>
      </c>
      <c r="B44" s="165" t="str">
        <f>IF(ISBLANK(Games!$B43), "",Games!B43)</f>
        <v>Tennessee</v>
      </c>
      <c r="C44" s="165" t="str">
        <f>IF(ISBLANK(Games!$B43), "",Games!C43)</f>
        <v>Chattanooga</v>
      </c>
      <c r="D44" s="140" t="n">
        <f>IF(ISBLANK(Games!$D43), "",IF(_xlfn.NUMBERVALUE(Games!D43)=0, "",_xlfn.NUMBERVALUE(Games!D43) ))</f>
        <v>-38.5</v>
      </c>
      <c r="E44" s="138" t="n">
        <f>IF(ISBLANK(_xlfn.NUMBERVALUE(Games!$B43)), "",_xlfn.NUMBERVALUE(Games!J43))</f>
        <v>-30.887929505411201</v>
      </c>
      <c r="F44" s="141" t="n">
        <f>IFERROR(IF(ISBLANK(Games!B43), "", IF(Games!N43=Games!B43, Games!O43, 1-Games!O43)), "")</f>
        <v>0.99127633172591501</v>
      </c>
      <c r="G44" s="142" t="str">
        <f>IF(OR(ISBLANK(Games!B43),Table3[[#This Row],[Spread]]=""), "", IF('Prediction Log'!$D44&lt;0, 'Prediction Log'!$B44, 'Prediction Log'!$C44))</f>
        <v>Tennessee</v>
      </c>
      <c r="H44" s="143" t="str">
        <f>IF(ISBLANK(Games!$B43), "",Games!K43)</f>
        <v>Tennessee</v>
      </c>
      <c r="I44" s="143" t="str">
        <f>IF('Prediction Log'!$F44&gt;0.5, 'Prediction Log'!$B44, IF('Prediction Log'!$F44&lt;0.5, 'Prediction Log'!$C44, "PICK"))</f>
        <v>Tennessee</v>
      </c>
      <c r="J44" s="144" t="n">
        <f>IF(ISBLANK(Games!B43), "",IF('Prediction Log'!$I44='Prediction Log'!$B44, 'Prediction Log'!$F44, 1-'Prediction Log'!$F44))</f>
        <v>0.99127633172591501</v>
      </c>
      <c r="K44" s="145" t="str">
        <f>IF(ISBLANK(Games!$B43), "",Games!Q43)</f>
        <v>N</v>
      </c>
      <c r="L44" s="124" t="str">
        <f>IF(ISBLANK(Games!AC43), "",Games!AE43)</f>
        <v>Tennessee</v>
      </c>
      <c r="M44" s="161" t="n">
        <f>IF(ISBLANK(Games!AC43), "",Games!AD43-Games!AC43)</f>
        <v>-66</v>
      </c>
      <c r="N44" s="146" t="str">
        <f>IF(ISNUMBER(Table3[[#This Row],[Predicted Spread]]), IF(OR(ISBLANK(Games!AC43),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4" s="147" t="str">
        <f>IF(ISNUMBER(Table3[[#This Row],[Predicted Spread]]), IF(OR(ISBLANK(Games!AC43),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44" s="147" t="str">
        <f>IF(ISNUMBER(Table3[[#This Row],[Predicted Spread]]), IF(ISBLANK(Games!AC43),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44" s="148" t="str">
        <f>IF(OR(ISBLANK(Games!AC43), Table3[[#This Row],[Spread]]=""),"",IF('Prediction Log'!$L44='Prediction Log'!$G44, "Y", "N"))</f>
        <v>Y</v>
      </c>
      <c r="R44" s="148" t="str">
        <f>IF(ISNUMBER(Table3[[#This Row],[Predicted Spread]]), Table3[[#This Row],[Home Team Covered Market]],"")</f>
        <v>Y</v>
      </c>
      <c r="S44" s="148" t="str">
        <f>IF(ISNUMBER(Table3[[#This Row],[Predicted Spread]]), IF(OR(Table3[[#This Row],[Market Side Correct]]="",ISBLANK(Games!AC43)), "",IF(AND('Prediction Log'!$Q44="Y", 'Prediction Log'!$R44="Y"), "Y", "N")),"")</f>
        <v>Y</v>
      </c>
      <c r="T44" s="149" t="str">
        <f>IF(ISNUMBER(Table3[[#This Row],[Predicted Spread]]), IF(ISBLANK(Games!AC43),"",IF(Games!AE43='Prediction Log'!$H44, "Y", "N")), "")</f>
        <v>Y</v>
      </c>
      <c r="U44" s="149" t="str">
        <f>IF(ISNUMBER(Table3[[#This Row],[Predicted Spread]]), IF(OR(Table3[[#This Row],[Spread]]="",ISBLANK(Games!AC43)), "", IF(Table3[[#This Row],[Home Team Covered Market]]=Games!P43, "Y", "N")),"")</f>
        <v>N</v>
      </c>
      <c r="V44" s="150" t="str">
        <f>IF(ISBLANK(Games!AC43), "",IF('Prediction Log'!$I44='Prediction Log'!$L44, "Y", "N"))</f>
        <v>Y</v>
      </c>
      <c r="W44" s="149" t="str">
        <f>IF(ISNUMBER(Table3[[#This Row],[Predicted Spread]]), IF(OR(Table3[[#This Row],[Model Spread Correct]]="",ISBLANK(Games!AC43)), "",IF('Prediction Log'!$H44&lt;&gt;'Prediction Log'!$L44, "N",IF(AND('Prediction Log'!$E44&gt;0, 'Prediction Log'!$M44&gt;'Prediction Log'!$E44, 'Prediction Log'!$H44='Prediction Log'!$C44), "Y", IF(AND('Prediction Log'!$E44&lt;0, 'Prediction Log'!$M44&lt;'Prediction Log'!$E44,'Prediction Log'!$H44='Prediction Log'!$B44 ), "Y", IF('Prediction Log'!$M44='Prediction Log'!$E44, "PUSH", "N"))))), "")</f>
        <v>Y</v>
      </c>
      <c r="X44" s="149" t="str">
        <f>IF(ISNUMBER(Table3[[#This Row],[Predicted Spread]]), IF(OR(Table3[[#This Row],[Model Spread Correct]]="",ISBLANK(Games!AC43)), "",IF(AND('Prediction Log'!$T44="Y", 'Prediction Log'!$U44="Y"), "Y", "N")), "")</f>
        <v>N</v>
      </c>
      <c r="Y44" s="148" t="n">
        <f>IFERROR(IF(ISNUMBER(Table3[[#This Row],[Predicted Spread]]), IF(ISBLANK(Games!AC43), "",IF('Prediction Log'!$D44&gt;0, 'Prediction Log'!$M44-'Prediction Log'!$D44, IF('Prediction Log'!$D44&lt;0, -'Prediction Log'!$M44+'Prediction Log'!$D44, "NA"))), ""), "")</f>
        <v>27.5</v>
      </c>
      <c r="Z44" s="148" t="n">
        <f>IF(ISNUMBER(Table3[[#This Row],[Difference from Market]]), IF(ISBLANK(Games!AC43), "",ABS('Prediction Log'!$Y44)), "")</f>
        <v>27.5</v>
      </c>
      <c r="AA44" s="139" t="n">
        <f>IF(ISNUMBER(Table3[[#This Row],[Predicted Spread]]), IF(ISBLANK(Games!AC43), "",IF('Prediction Log'!$E44&gt;0, 'Prediction Log'!$M44-'Prediction Log'!$E44, IF('Prediction Log'!$E44&lt;0, -'Prediction Log'!$M44+'Prediction Log'!$E44, "NA"))), "")</f>
        <v>35.112070494588799</v>
      </c>
      <c r="AB44" s="139" t="n">
        <f>IF(ISNUMBER(Table3[[#This Row],[Difference from Prediction]]), IF(ISBLANK(Games!AD43), "",ABS('Prediction Log'!$AA44)), "")</f>
        <v>35.112070494588799</v>
      </c>
      <c r="AC44" s="164" t="str">
        <f>IF(ISNUMBER(Table3[[#This Row],[Predicted Spread]]), IF(OR(ISBLANK(Games!AC43),Table3[[#This Row],[Market Side Correct]]="",ISBLANK('Prediction Log'!$L44)), "",IF(OR(AND('Prediction Log'!D44&lt;0, 'Prediction Log'!L44='Prediction Log'!B44), AND('Prediction Log'!D44&gt;0, 'Prediction Log'!C44='Prediction Log'!L44)),"Y", IF(ISBLANK(Games!$B$2), "","N"))), "")</f>
        <v>Y</v>
      </c>
      <c r="AD44" s="159" t="str">
        <f>'Prediction Log'!$S44</f>
        <v>Y</v>
      </c>
    </row>
    <row r="45">
      <c r="A45" s="165" t="n">
        <f>IF(ISBLANK(Games!$B44), "",Games!A44)</f>
        <v>1</v>
      </c>
      <c r="B45" s="165" t="str">
        <f>IF(ISBLANK(Games!$B44), "",Games!B44)</f>
        <v>Oklahoma State</v>
      </c>
      <c r="C45" s="165" t="str">
        <f>IF(ISBLANK(Games!$B44), "",Games!C44)</f>
        <v>South Dakota State</v>
      </c>
      <c r="D45" s="140" t="n">
        <f>IF(ISBLANK(Games!$D44), "",IF(_xlfn.NUMBERVALUE(Games!D44)=0, "",_xlfn.NUMBERVALUE(Games!D44) ))</f>
        <v>-12.5</v>
      </c>
      <c r="E45" s="138" t="n">
        <f>IF(ISBLANK(_xlfn.NUMBERVALUE(Games!$B44)), "",_xlfn.NUMBERVALUE(Games!J44))</f>
        <v>-25.9579224265532</v>
      </c>
      <c r="F45" s="141" t="n">
        <f>IFERROR(IF(ISBLANK(Games!B44), "", IF(Games!N44=Games!B44, Games!O44, 1-Games!O44)), "")</f>
        <v>0.98242365139445431</v>
      </c>
      <c r="G45" s="142" t="str">
        <f>IF(OR(ISBLANK(Games!B44),Table3[[#This Row],[Spread]]=""), "", IF('Prediction Log'!$D45&lt;0, 'Prediction Log'!$B45, 'Prediction Log'!$C45))</f>
        <v>Oklahoma State</v>
      </c>
      <c r="H45" s="143" t="str">
        <f>IF(ISBLANK(Games!$B44), "",Games!K44)</f>
        <v>Oklahoma State</v>
      </c>
      <c r="I45" s="143" t="str">
        <f>IF('Prediction Log'!$F45&gt;0.5, 'Prediction Log'!$B45, IF('Prediction Log'!$F45&lt;0.5, 'Prediction Log'!$C45, "PICK"))</f>
        <v>Oklahoma State</v>
      </c>
      <c r="J45" s="144" t="n">
        <f>IF(ISBLANK(Games!B44), "",IF('Prediction Log'!$I45='Prediction Log'!$B45, 'Prediction Log'!$F45, 1-'Prediction Log'!$F45))</f>
        <v>0.98242365139445431</v>
      </c>
      <c r="K45" s="145" t="str">
        <f>IF(ISBLANK(Games!$B44), "",Games!Q44)</f>
        <v>Y</v>
      </c>
      <c r="L45" s="124" t="str">
        <f>IF(ISBLANK(Games!AC44), "",Games!AE44)</f>
        <v>Oklahoma State</v>
      </c>
      <c r="M45" s="161" t="n">
        <f>IF(ISBLANK(Games!AC44), "",Games!AD44-Games!AC44)</f>
        <v>-24</v>
      </c>
      <c r="N45" s="146" t="str">
        <f>IF(ISNUMBER(Table3[[#This Row],[Predicted Spread]]), IF(OR(ISBLANK(Games!AC44),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5" s="147" t="str">
        <f>IF(ISNUMBER(Table3[[#This Row],[Predicted Spread]]), IF(OR(ISBLANK(Games!AC44),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45" s="147" t="str">
        <f>IF(ISNUMBER(Table3[[#This Row],[Predicted Spread]]), IF(ISBLANK(Games!AC44),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45" s="148" t="str">
        <f>IF(OR(ISBLANK(Games!AC44), Table3[[#This Row],[Spread]]=""),"",IF('Prediction Log'!$L45='Prediction Log'!$G45, "Y", "N"))</f>
        <v>Y</v>
      </c>
      <c r="R45" s="148" t="str">
        <f>IF(ISNUMBER(Table3[[#This Row],[Predicted Spread]]), Table3[[#This Row],[Home Team Covered Market]],"")</f>
        <v>Y</v>
      </c>
      <c r="S45" s="148" t="str">
        <f>IF(ISNUMBER(Table3[[#This Row],[Predicted Spread]]), IF(OR(Table3[[#This Row],[Market Side Correct]]="",ISBLANK(Games!AC44)), "",IF(AND('Prediction Log'!$Q45="Y", 'Prediction Log'!$R45="Y"), "Y", "N")),"")</f>
        <v>Y</v>
      </c>
      <c r="T45" s="149" t="str">
        <f>IF(ISNUMBER(Table3[[#This Row],[Predicted Spread]]), IF(ISBLANK(Games!AC44),"",IF(Games!AE44='Prediction Log'!$H45, "Y", "N")), "")</f>
        <v>Y</v>
      </c>
      <c r="U45" s="149" t="str">
        <f>IF(ISNUMBER(Table3[[#This Row],[Predicted Spread]]), IF(OR(Table3[[#This Row],[Spread]]="",ISBLANK(Games!AC44)), "", IF(Table3[[#This Row],[Home Team Covered Market]]=Games!P44, "Y", "N")),"")</f>
        <v>Y</v>
      </c>
      <c r="V45" s="150" t="str">
        <f>IF(ISBLANK(Games!AC44), "",IF('Prediction Log'!$I45='Prediction Log'!$L45, "Y", "N"))</f>
        <v>Y</v>
      </c>
      <c r="W45" s="149" t="str">
        <f>IF(ISNUMBER(Table3[[#This Row],[Predicted Spread]]), IF(OR(Table3[[#This Row],[Model Spread Correct]]="",ISBLANK(Games!AC44)), "",IF('Prediction Log'!$H45&lt;&gt;'Prediction Log'!$L45, "N",IF(AND('Prediction Log'!$E45&gt;0, 'Prediction Log'!$M45&gt;'Prediction Log'!$E45, 'Prediction Log'!$H45='Prediction Log'!$C45), "Y", IF(AND('Prediction Log'!$E45&lt;0, 'Prediction Log'!$M45&lt;'Prediction Log'!$E45,'Prediction Log'!$H45='Prediction Log'!$B45 ), "Y", IF('Prediction Log'!$M45='Prediction Log'!$E45, "PUSH", "N"))))), "")</f>
        <v>N</v>
      </c>
      <c r="X45" s="149" t="str">
        <f>IF(ISNUMBER(Table3[[#This Row],[Predicted Spread]]), IF(OR(Table3[[#This Row],[Model Spread Correct]]="",ISBLANK(Games!AC44)), "",IF(AND('Prediction Log'!$T45="Y", 'Prediction Log'!$U45="Y"), "Y", "N")), "")</f>
        <v>Y</v>
      </c>
      <c r="Y45" s="148" t="n">
        <f>IFERROR(IF(ISNUMBER(Table3[[#This Row],[Predicted Spread]]), IF(ISBLANK(Games!AC44), "",IF('Prediction Log'!$D45&gt;0, 'Prediction Log'!$M45-'Prediction Log'!$D45, IF('Prediction Log'!$D45&lt;0, -'Prediction Log'!$M45+'Prediction Log'!$D45, "NA"))), ""), "")</f>
        <v>11.5</v>
      </c>
      <c r="Z45" s="148" t="n">
        <f>IF(ISNUMBER(Table3[[#This Row],[Difference from Market]]), IF(ISBLANK(Games!AC44), "",ABS('Prediction Log'!$Y45)), "")</f>
        <v>11.5</v>
      </c>
      <c r="AA45" s="139" t="n">
        <f>IF(ISNUMBER(Table3[[#This Row],[Predicted Spread]]), IF(ISBLANK(Games!AC44), "",IF('Prediction Log'!$E45&gt;0, 'Prediction Log'!$M45-'Prediction Log'!$E45, IF('Prediction Log'!$E45&lt;0, -'Prediction Log'!$M45+'Prediction Log'!$E45, "NA"))), "")</f>
        <v>-1.9579224265531998</v>
      </c>
      <c r="AB45" s="139" t="n">
        <f>IF(ISNUMBER(Table3[[#This Row],[Difference from Prediction]]), IF(ISBLANK(Games!AD44), "",ABS('Prediction Log'!$AA45)), "")</f>
        <v>1.9579224265531998</v>
      </c>
      <c r="AC45" s="164" t="str">
        <f>IF(ISNUMBER(Table3[[#This Row],[Predicted Spread]]), IF(OR(ISBLANK(Games!AC44),Table3[[#This Row],[Market Side Correct]]="",ISBLANK('Prediction Log'!$L45)), "",IF(OR(AND('Prediction Log'!D45&lt;0, 'Prediction Log'!L45='Prediction Log'!B45), AND('Prediction Log'!D45&gt;0, 'Prediction Log'!C45='Prediction Log'!L45)),"Y", IF(ISBLANK(Games!$B$2), "","N"))), "")</f>
        <v>Y</v>
      </c>
      <c r="AD45" s="159" t="str">
        <f>'Prediction Log'!$S45</f>
        <v>Y</v>
      </c>
    </row>
    <row r="46">
      <c r="A46" s="165" t="n">
        <f>IF(ISBLANK(Games!$B45), "",Games!A45)</f>
        <v>1</v>
      </c>
      <c r="B46" s="165" t="str">
        <f>IF(ISBLANK(Games!$B45), "",Games!B45)</f>
        <v>Cincinnati</v>
      </c>
      <c r="C46" s="165" t="str">
        <f>IF(ISBLANK(Games!$B45), "",Games!C45)</f>
        <v>Towson</v>
      </c>
      <c r="D46" s="140" t="n">
        <f>IF(ISBLANK(Games!$D45), "",IF(_xlfn.NUMBERVALUE(Games!D45)=0, "",_xlfn.NUMBERVALUE(Games!D45) ))</f>
        <v>-31.5</v>
      </c>
      <c r="E46" s="138" t="n">
        <f>IF(ISBLANK(_xlfn.NUMBERVALUE(Games!$B45)), "",_xlfn.NUMBERVALUE(Games!J45))</f>
        <v>-16.1003221913912</v>
      </c>
      <c r="F46" s="141" t="n">
        <f>IFERROR(IF(ISBLANK(Games!B45), "", IF(Games!N45=Games!B45, Games!O45, 1-Games!O45)), "")</f>
        <v>0.93117279373430939</v>
      </c>
      <c r="G46" s="142" t="str">
        <f>IF(OR(ISBLANK(Games!B45),Table3[[#This Row],[Spread]]=""), "", IF('Prediction Log'!$D46&lt;0, 'Prediction Log'!$B46, 'Prediction Log'!$C46))</f>
        <v>Cincinnati</v>
      </c>
      <c r="H46" s="143" t="str">
        <f>IF(ISBLANK(Games!$B45), "",Games!K45)</f>
        <v>Cincinnati</v>
      </c>
      <c r="I46" s="143" t="str">
        <f>IF('Prediction Log'!$F46&gt;0.5, 'Prediction Log'!$B46, IF('Prediction Log'!$F46&lt;0.5, 'Prediction Log'!$C46, "PICK"))</f>
        <v>Cincinnati</v>
      </c>
      <c r="J46" s="144" t="n">
        <f>IF(ISBLANK(Games!B45), "",IF('Prediction Log'!$I46='Prediction Log'!$B46, 'Prediction Log'!$F46, 1-'Prediction Log'!$F46))</f>
        <v>0.93117279373430939</v>
      </c>
      <c r="K46" s="145" t="str">
        <f>IF(ISBLANK(Games!$B45), "",Games!Q45)</f>
        <v>N</v>
      </c>
      <c r="L46" s="124" t="str">
        <f>IF(ISBLANK(Games!AC45), "",Games!AE45)</f>
        <v>Cincinnati</v>
      </c>
      <c r="M46" s="161" t="n">
        <f>IF(ISBLANK(Games!AC45), "",Games!AD45-Games!AC45)</f>
        <v>-18</v>
      </c>
      <c r="N46" s="146" t="str">
        <f>IF(ISNUMBER(Table3[[#This Row],[Predicted Spread]]), IF(OR(ISBLANK(Games!AC45),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46" s="147" t="str">
        <f>IF(ISNUMBER(Table3[[#This Row],[Predicted Spread]]), IF(OR(ISBLANK(Games!AC45),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46" s="147" t="str">
        <f>IF(ISNUMBER(Table3[[#This Row],[Predicted Spread]]), IF(ISBLANK(Games!AC45),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46" s="148" t="str">
        <f>IF(OR(ISBLANK(Games!AC45), Table3[[#This Row],[Spread]]=""),"",IF('Prediction Log'!$L46='Prediction Log'!$G46, "Y", "N"))</f>
        <v>Y</v>
      </c>
      <c r="R46" s="148" t="str">
        <f>IF(ISNUMBER(Table3[[#This Row],[Predicted Spread]]), Table3[[#This Row],[Home Team Covered Market]],"")</f>
        <v>N</v>
      </c>
      <c r="S46" s="148" t="str">
        <f>IF(ISNUMBER(Table3[[#This Row],[Predicted Spread]]), IF(OR(Table3[[#This Row],[Market Side Correct]]="",ISBLANK(Games!AC45)), "",IF(AND('Prediction Log'!$Q46="Y", 'Prediction Log'!$R46="Y"), "Y", "N")),"")</f>
        <v>N</v>
      </c>
      <c r="T46" s="149" t="str">
        <f>IF(ISNUMBER(Table3[[#This Row],[Predicted Spread]]), IF(ISBLANK(Games!AC45),"",IF(Games!AE45='Prediction Log'!$H46, "Y", "N")), "")</f>
        <v>Y</v>
      </c>
      <c r="U46" s="149" t="str">
        <f>IF(ISNUMBER(Table3[[#This Row],[Predicted Spread]]), IF(OR(Table3[[#This Row],[Spread]]="",ISBLANK(Games!AC45)), "", IF(Table3[[#This Row],[Home Team Covered Market]]=Games!P45, "Y", "N")),"")</f>
        <v>Y</v>
      </c>
      <c r="V46" s="150" t="str">
        <f>IF(ISBLANK(Games!AC45), "",IF('Prediction Log'!$I46='Prediction Log'!$L46, "Y", "N"))</f>
        <v>Y</v>
      </c>
      <c r="W46" s="149" t="str">
        <f>IF(ISNUMBER(Table3[[#This Row],[Predicted Spread]]), IF(OR(Table3[[#This Row],[Model Spread Correct]]="",ISBLANK(Games!AC45)), "",IF('Prediction Log'!$H46&lt;&gt;'Prediction Log'!$L46, "N",IF(AND('Prediction Log'!$E46&gt;0, 'Prediction Log'!$M46&gt;'Prediction Log'!$E46, 'Prediction Log'!$H46='Prediction Log'!$C46), "Y", IF(AND('Prediction Log'!$E46&lt;0, 'Prediction Log'!$M46&lt;'Prediction Log'!$E46,'Prediction Log'!$H46='Prediction Log'!$B46 ), "Y", IF('Prediction Log'!$M46='Prediction Log'!$E46, "PUSH", "N"))))), "")</f>
        <v>Y</v>
      </c>
      <c r="X46" s="149" t="str">
        <f>IF(ISNUMBER(Table3[[#This Row],[Predicted Spread]]), IF(OR(Table3[[#This Row],[Model Spread Correct]]="",ISBLANK(Games!AC45)), "",IF(AND('Prediction Log'!$T46="Y", 'Prediction Log'!$U46="Y"), "Y", "N")), "")</f>
        <v>Y</v>
      </c>
      <c r="Y46" s="148" t="n">
        <f>IFERROR(IF(ISNUMBER(Table3[[#This Row],[Predicted Spread]]), IF(ISBLANK(Games!AC45), "",IF('Prediction Log'!$D46&gt;0, 'Prediction Log'!$M46-'Prediction Log'!$D46, IF('Prediction Log'!$D46&lt;0, -'Prediction Log'!$M46+'Prediction Log'!$D46, "NA"))), ""), "")</f>
        <v>-13.5</v>
      </c>
      <c r="Z46" s="148" t="n">
        <f>IF(ISNUMBER(Table3[[#This Row],[Difference from Market]]), IF(ISBLANK(Games!AC45), "",ABS('Prediction Log'!$Y46)), "")</f>
        <v>13.5</v>
      </c>
      <c r="AA46" s="139" t="n">
        <f>IF(ISNUMBER(Table3[[#This Row],[Predicted Spread]]), IF(ISBLANK(Games!AC45), "",IF('Prediction Log'!$E46&gt;0, 'Prediction Log'!$M46-'Prediction Log'!$E46, IF('Prediction Log'!$E46&lt;0, -'Prediction Log'!$M46+'Prediction Log'!$E46, "NA"))), "")</f>
        <v>1.8996778086088</v>
      </c>
      <c r="AB46" s="139" t="n">
        <f>IF(ISNUMBER(Table3[[#This Row],[Difference from Prediction]]), IF(ISBLANK(Games!AD45), "",ABS('Prediction Log'!$AA46)), "")</f>
        <v>1.8996778086088</v>
      </c>
      <c r="AC46" s="164" t="str">
        <f>IF(ISNUMBER(Table3[[#This Row],[Predicted Spread]]), IF(OR(ISBLANK(Games!AC45),Table3[[#This Row],[Market Side Correct]]="",ISBLANK('Prediction Log'!$L46)), "",IF(OR(AND('Prediction Log'!D46&lt;0, 'Prediction Log'!L46='Prediction Log'!B46), AND('Prediction Log'!D46&gt;0, 'Prediction Log'!C46='Prediction Log'!L46)),"Y", IF(ISBLANK(Games!$B$2), "","N"))), "")</f>
        <v>Y</v>
      </c>
      <c r="AD46" s="159" t="str">
        <f>'Prediction Log'!$S46</f>
        <v>N</v>
      </c>
    </row>
    <row r="47">
      <c r="A47" s="165" t="n">
        <f>IF(ISBLANK(Games!$B46), "",Games!A46)</f>
        <v>1</v>
      </c>
      <c r="B47" s="165" t="str">
        <f>IF(ISBLANK(Games!$B46), "",Games!B46)</f>
        <v>Washington State</v>
      </c>
      <c r="C47" s="165" t="str">
        <f>IF(ISBLANK(Games!$B46), "",Games!C46)</f>
        <v>Portland State</v>
      </c>
      <c r="D47" s="140" t="n">
        <f>IF(ISBLANK(Games!$D46), "",IF(_xlfn.NUMBERVALUE(Games!D46)=0, "",_xlfn.NUMBERVALUE(Games!D46) ))</f>
        <v>-27.5</v>
      </c>
      <c r="E47" s="138" t="n">
        <f>IF(ISBLANK(_xlfn.NUMBERVALUE(Games!$B46)), "",_xlfn.NUMBERVALUE(Games!J46))</f>
        <v>-20.839141931078</v>
      </c>
      <c r="F47" s="141" t="n">
        <f>IFERROR(IF(ISBLANK(Games!B46), "", IF(Games!N46=Games!B46, Games!O46, 1-Games!O46)), "")</f>
        <v>0.96397376769983545</v>
      </c>
      <c r="G47" s="142" t="str">
        <f>IF(OR(ISBLANK(Games!B46),Table3[[#This Row],[Spread]]=""), "", IF('Prediction Log'!$D47&lt;0, 'Prediction Log'!$B47, 'Prediction Log'!$C47))</f>
        <v>Washington State</v>
      </c>
      <c r="H47" s="143" t="str">
        <f>IF(ISBLANK(Games!$B46), "",Games!K46)</f>
        <v>Washington State</v>
      </c>
      <c r="I47" s="143" t="str">
        <f>IF('Prediction Log'!$F47&gt;0.5, 'Prediction Log'!$B47, IF('Prediction Log'!$F47&lt;0.5, 'Prediction Log'!$C47, "PICK"))</f>
        <v>Washington State</v>
      </c>
      <c r="J47" s="144" t="n">
        <f>IF(ISBLANK(Games!B46), "",IF('Prediction Log'!$I47='Prediction Log'!$B47, 'Prediction Log'!$F47, 1-'Prediction Log'!$F47))</f>
        <v>0.96397376769983545</v>
      </c>
      <c r="K47" s="145" t="str">
        <f>IF(ISBLANK(Games!$B46), "",Games!Q46)</f>
        <v>N</v>
      </c>
      <c r="L47" s="124" t="str">
        <f>IF(ISBLANK(Games!AC46), "",Games!AE46)</f>
        <v>Washington State</v>
      </c>
      <c r="M47" s="161" t="n">
        <f>IF(ISBLANK(Games!AC46), "",Games!AD46-Games!AC46)</f>
        <v>-40</v>
      </c>
      <c r="N47" s="146" t="str">
        <f>IF(ISNUMBER(Table3[[#This Row],[Predicted Spread]]), IF(OR(ISBLANK(Games!AC46),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7" s="147" t="str">
        <f>IF(ISNUMBER(Table3[[#This Row],[Predicted Spread]]), IF(OR(ISBLANK(Games!AC46),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47" s="147" t="str">
        <f>IF(ISNUMBER(Table3[[#This Row],[Predicted Spread]]), IF(ISBLANK(Games!AC46),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47" s="148" t="str">
        <f>IF(OR(ISBLANK(Games!AC46), Table3[[#This Row],[Spread]]=""),"",IF('Prediction Log'!$L47='Prediction Log'!$G47, "Y", "N"))</f>
        <v>Y</v>
      </c>
      <c r="R47" s="148" t="str">
        <f>IF(ISNUMBER(Table3[[#This Row],[Predicted Spread]]), Table3[[#This Row],[Home Team Covered Market]],"")</f>
        <v>Y</v>
      </c>
      <c r="S47" s="148" t="str">
        <f>IF(ISNUMBER(Table3[[#This Row],[Predicted Spread]]), IF(OR(Table3[[#This Row],[Market Side Correct]]="",ISBLANK(Games!AC46)), "",IF(AND('Prediction Log'!$Q47="Y", 'Prediction Log'!$R47="Y"), "Y", "N")),"")</f>
        <v>Y</v>
      </c>
      <c r="T47" s="149" t="str">
        <f>IF(ISNUMBER(Table3[[#This Row],[Predicted Spread]]), IF(ISBLANK(Games!AC46),"",IF(Games!AE46='Prediction Log'!$H47, "Y", "N")), "")</f>
        <v>Y</v>
      </c>
      <c r="U47" s="149" t="str">
        <f>IF(ISNUMBER(Table3[[#This Row],[Predicted Spread]]), IF(OR(Table3[[#This Row],[Spread]]="",ISBLANK(Games!AC46)), "", IF(Table3[[#This Row],[Home Team Covered Market]]=Games!P46, "Y", "N")),"")</f>
        <v>N</v>
      </c>
      <c r="V47" s="150" t="str">
        <f>IF(ISBLANK(Games!AC46), "",IF('Prediction Log'!$I47='Prediction Log'!$L47, "Y", "N"))</f>
        <v>Y</v>
      </c>
      <c r="W47" s="149" t="str">
        <f>IF(ISNUMBER(Table3[[#This Row],[Predicted Spread]]), IF(OR(Table3[[#This Row],[Model Spread Correct]]="",ISBLANK(Games!AC46)), "",IF('Prediction Log'!$H47&lt;&gt;'Prediction Log'!$L47, "N",IF(AND('Prediction Log'!$E47&gt;0, 'Prediction Log'!$M47&gt;'Prediction Log'!$E47, 'Prediction Log'!$H47='Prediction Log'!$C47), "Y", IF(AND('Prediction Log'!$E47&lt;0, 'Prediction Log'!$M47&lt;'Prediction Log'!$E47,'Prediction Log'!$H47='Prediction Log'!$B47 ), "Y", IF('Prediction Log'!$M47='Prediction Log'!$E47, "PUSH", "N"))))), "")</f>
        <v>Y</v>
      </c>
      <c r="X47" s="149" t="str">
        <f>IF(ISNUMBER(Table3[[#This Row],[Predicted Spread]]), IF(OR(Table3[[#This Row],[Model Spread Correct]]="",ISBLANK(Games!AC46)), "",IF(AND('Prediction Log'!$T47="Y", 'Prediction Log'!$U47="Y"), "Y", "N")), "")</f>
        <v>N</v>
      </c>
      <c r="Y47" s="148" t="n">
        <f>IFERROR(IF(ISNUMBER(Table3[[#This Row],[Predicted Spread]]), IF(ISBLANK(Games!AC46), "",IF('Prediction Log'!$D47&gt;0, 'Prediction Log'!$M47-'Prediction Log'!$D47, IF('Prediction Log'!$D47&lt;0, -'Prediction Log'!$M47+'Prediction Log'!$D47, "NA"))), ""), "")</f>
        <v>12.5</v>
      </c>
      <c r="Z47" s="148" t="n">
        <f>IF(ISNUMBER(Table3[[#This Row],[Difference from Market]]), IF(ISBLANK(Games!AC46), "",ABS('Prediction Log'!$Y47)), "")</f>
        <v>12.5</v>
      </c>
      <c r="AA47" s="139" t="n">
        <f>IF(ISNUMBER(Table3[[#This Row],[Predicted Spread]]), IF(ISBLANK(Games!AC46), "",IF('Prediction Log'!$E47&gt;0, 'Prediction Log'!$M47-'Prediction Log'!$E47, IF('Prediction Log'!$E47&lt;0, -'Prediction Log'!$M47+'Prediction Log'!$E47, "NA"))), "")</f>
        <v>19.160858068922</v>
      </c>
      <c r="AB47" s="139" t="n">
        <f>IF(ISNUMBER(Table3[[#This Row],[Difference from Prediction]]), IF(ISBLANK(Games!AD46), "",ABS('Prediction Log'!$AA47)), "")</f>
        <v>19.160858068922</v>
      </c>
      <c r="AC47" s="164" t="str">
        <f>IF(ISNUMBER(Table3[[#This Row],[Predicted Spread]]), IF(OR(ISBLANK(Games!AC46),Table3[[#This Row],[Market Side Correct]]="",ISBLANK('Prediction Log'!$L47)), "",IF(OR(AND('Prediction Log'!D47&lt;0, 'Prediction Log'!L47='Prediction Log'!B47), AND('Prediction Log'!D47&gt;0, 'Prediction Log'!C47='Prediction Log'!L47)),"Y", IF(ISBLANK(Games!$B$2), "","N"))), "")</f>
        <v>Y</v>
      </c>
      <c r="AD47" s="159" t="str">
        <f>'Prediction Log'!$S47</f>
        <v>Y</v>
      </c>
    </row>
    <row r="48">
      <c r="A48" s="165" t="n">
        <f>IF(ISBLANK(Games!$B47), "",Games!A47)</f>
        <v>1</v>
      </c>
      <c r="B48" s="165" t="str">
        <f>IF(ISBLANK(Games!$B47), "",Games!B47)</f>
        <v>Indiana</v>
      </c>
      <c r="C48" s="165" t="str">
        <f>IF(ISBLANK(Games!$B47), "",Games!C47)</f>
        <v>Florida International</v>
      </c>
      <c r="D48" s="140" t="n">
        <f>IF(ISBLANK(Games!$D47), "",IF(_xlfn.NUMBERVALUE(Games!D47)=0, "",_xlfn.NUMBERVALUE(Games!D47) ))</f>
        <v>-20.5</v>
      </c>
      <c r="E48" s="138" t="n">
        <f>IF(ISBLANK(_xlfn.NUMBERVALUE(Games!$B47)), "",_xlfn.NUMBERVALUE(Games!J47))</f>
        <v>-42.6</v>
      </c>
      <c r="F48" s="141" t="n">
        <f>IFERROR(IF(ISBLANK(Games!B47), "", IF(Games!N47=Games!B47, Games!O47, 1-Games!O47)), "")</f>
        <v>0.83752027199209444</v>
      </c>
      <c r="G48" s="142" t="str">
        <f>IF(OR(ISBLANK(Games!B47),Table3[[#This Row],[Spread]]=""), "", IF('Prediction Log'!$D48&lt;0, 'Prediction Log'!$B48, 'Prediction Log'!$C48))</f>
        <v>Indiana</v>
      </c>
      <c r="H48" s="143" t="str">
        <f>IF(ISBLANK(Games!$B47), "",Games!K47)</f>
        <v>Indiana</v>
      </c>
      <c r="I48" s="143" t="str">
        <f>IF('Prediction Log'!$F48&gt;0.5, 'Prediction Log'!$B48, IF('Prediction Log'!$F48&lt;0.5, 'Prediction Log'!$C48, "PICK"))</f>
        <v>Indiana</v>
      </c>
      <c r="J48" s="144" t="n">
        <f>IF(ISBLANK(Games!B47), "",IF('Prediction Log'!$I48='Prediction Log'!$B48, 'Prediction Log'!$F48, 1-'Prediction Log'!$F48))</f>
        <v>0.83752027199209444</v>
      </c>
      <c r="K48" s="145" t="str">
        <f>IF(ISBLANK(Games!$B47), "",Games!Q47)</f>
        <v>Y</v>
      </c>
      <c r="L48" s="124" t="str">
        <f>IF(ISBLANK(Games!AC47), "",Games!AE47)</f>
        <v>Indiana</v>
      </c>
      <c r="M48" s="161" t="n">
        <f>IF(ISBLANK(Games!AC47), "",Games!AD47-Games!AC47)</f>
        <v>-14</v>
      </c>
      <c r="N48" s="146" t="str">
        <f>IF(ISNUMBER(Table3[[#This Row],[Predicted Spread]]), IF(OR(ISBLANK(Games!AC47),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48" s="147" t="str">
        <f>IF(ISNUMBER(Table3[[#This Row],[Predicted Spread]]), IF(OR(ISBLANK(Games!AC47),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48" s="147" t="str">
        <f>IF(ISNUMBER(Table3[[#This Row],[Predicted Spread]]), IF(ISBLANK(Games!AC47),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48" s="148" t="str">
        <f>IF(OR(ISBLANK(Games!AC47), Table3[[#This Row],[Spread]]=""),"",IF('Prediction Log'!$L48='Prediction Log'!$G48, "Y", "N"))</f>
        <v>Y</v>
      </c>
      <c r="R48" s="148" t="str">
        <f>IF(ISNUMBER(Table3[[#This Row],[Predicted Spread]]), Table3[[#This Row],[Home Team Covered Market]],"")</f>
        <v>N</v>
      </c>
      <c r="S48" s="148" t="str">
        <f>IF(ISNUMBER(Table3[[#This Row],[Predicted Spread]]), IF(OR(Table3[[#This Row],[Market Side Correct]]="",ISBLANK(Games!AC47)), "",IF(AND('Prediction Log'!$Q48="Y", 'Prediction Log'!$R48="Y"), "Y", "N")),"")</f>
        <v>N</v>
      </c>
      <c r="T48" s="149" t="str">
        <f>IF(ISNUMBER(Table3[[#This Row],[Predicted Spread]]), IF(ISBLANK(Games!AC47),"",IF(Games!AE47='Prediction Log'!$H48, "Y", "N")), "")</f>
        <v>Y</v>
      </c>
      <c r="U48" s="149" t="str">
        <f>IF(ISNUMBER(Table3[[#This Row],[Predicted Spread]]), IF(OR(Table3[[#This Row],[Spread]]="",ISBLANK(Games!AC47)), "", IF(Table3[[#This Row],[Home Team Covered Market]]=Games!P47, "Y", "N")),"")</f>
        <v>N</v>
      </c>
      <c r="V48" s="150" t="str">
        <f>IF(ISBLANK(Games!AC47), "",IF('Prediction Log'!$I48='Prediction Log'!$L48, "Y", "N"))</f>
        <v>Y</v>
      </c>
      <c r="W48" s="149" t="str">
        <f>IF(ISNUMBER(Table3[[#This Row],[Predicted Spread]]), IF(OR(Table3[[#This Row],[Model Spread Correct]]="",ISBLANK(Games!AC47)), "",IF('Prediction Log'!$H48&lt;&gt;'Prediction Log'!$L48, "N",IF(AND('Prediction Log'!$E48&gt;0, 'Prediction Log'!$M48&gt;'Prediction Log'!$E48, 'Prediction Log'!$H48='Prediction Log'!$C48), "Y", IF(AND('Prediction Log'!$E48&lt;0, 'Prediction Log'!$M48&lt;'Prediction Log'!$E48,'Prediction Log'!$H48='Prediction Log'!$B48 ), "Y", IF('Prediction Log'!$M48='Prediction Log'!$E48, "PUSH", "N"))))), "")</f>
        <v>N</v>
      </c>
      <c r="X48" s="149" t="str">
        <f>IF(ISNUMBER(Table3[[#This Row],[Predicted Spread]]), IF(OR(Table3[[#This Row],[Model Spread Correct]]="",ISBLANK(Games!AC47)), "",IF(AND('Prediction Log'!$T48="Y", 'Prediction Log'!$U48="Y"), "Y", "N")), "")</f>
        <v>N</v>
      </c>
      <c r="Y48" s="148" t="n">
        <f>IFERROR(IF(ISNUMBER(Table3[[#This Row],[Predicted Spread]]), IF(ISBLANK(Games!AC47), "",IF('Prediction Log'!$D48&gt;0, 'Prediction Log'!$M48-'Prediction Log'!$D48, IF('Prediction Log'!$D48&lt;0, -'Prediction Log'!$M48+'Prediction Log'!$D48, "NA"))), ""), "")</f>
        <v>-6.5</v>
      </c>
      <c r="Z48" s="148" t="n">
        <f>IF(ISNUMBER(Table3[[#This Row],[Difference from Market]]), IF(ISBLANK(Games!AC47), "",ABS('Prediction Log'!$Y48)), "")</f>
        <v>6.5</v>
      </c>
      <c r="AA48" s="139" t="n">
        <f>IF(ISNUMBER(Table3[[#This Row],[Predicted Spread]]), IF(ISBLANK(Games!AC47), "",IF('Prediction Log'!$E48&gt;0, 'Prediction Log'!$M48-'Prediction Log'!$E48, IF('Prediction Log'!$E48&lt;0, -'Prediction Log'!$M48+'Prediction Log'!$E48, "NA"))), "")</f>
        <v>-28.6</v>
      </c>
      <c r="AB48" s="139" t="n">
        <f>IF(ISNUMBER(Table3[[#This Row],[Difference from Prediction]]), IF(ISBLANK(Games!AD47), "",ABS('Prediction Log'!$AA48)), "")</f>
        <v>28.6</v>
      </c>
      <c r="AC48" s="164" t="str">
        <f>IF(ISNUMBER(Table3[[#This Row],[Predicted Spread]]), IF(OR(ISBLANK(Games!AC47),Table3[[#This Row],[Market Side Correct]]="",ISBLANK('Prediction Log'!$L48)), "",IF(OR(AND('Prediction Log'!D48&lt;0, 'Prediction Log'!L48='Prediction Log'!B48), AND('Prediction Log'!D48&gt;0, 'Prediction Log'!C48='Prediction Log'!L48)),"Y", IF(ISBLANK(Games!$B$2), "","N"))), "")</f>
        <v>Y</v>
      </c>
      <c r="AD48" s="159" t="str">
        <f>'Prediction Log'!$S48</f>
        <v>N</v>
      </c>
    </row>
    <row r="49">
      <c r="A49" s="165" t="n">
        <f>IF(ISBLANK(Games!$B48), "",Games!A48)</f>
        <v>1</v>
      </c>
      <c r="B49" s="165" t="str">
        <f>IF(ISBLANK(Games!$B48), "",Games!B48)</f>
        <v>UMass</v>
      </c>
      <c r="C49" s="165" t="str">
        <f>IF(ISBLANK(Games!$B48), "",Games!C48)</f>
        <v>Eastern Michigan</v>
      </c>
      <c r="D49" s="140" t="n">
        <f>IF(ISBLANK(Games!$D48), "",IF(_xlfn.NUMBERVALUE(Games!D48)=0, "",_xlfn.NUMBERVALUE(Games!D48) ))</f>
        <v>-2.5</v>
      </c>
      <c r="E49" s="138" t="n">
        <f>IF(ISBLANK(_xlfn.NUMBERVALUE(Games!$B48)), "",_xlfn.NUMBERVALUE(Games!J48))</f>
        <v>3.7</v>
      </c>
      <c r="F49" s="141" t="n">
        <f>IFERROR(IF(ISBLANK(Games!B48), "", IF(Games!N48=Games!B48, Games!O48, 1-Games!O48)), "")</f>
        <v>0.43584641201037899</v>
      </c>
      <c r="G49" s="142" t="str">
        <f>IF(OR(ISBLANK(Games!B48),Table3[[#This Row],[Spread]]=""), "", IF('Prediction Log'!$D49&lt;0, 'Prediction Log'!$B49, 'Prediction Log'!$C49))</f>
        <v>UMass</v>
      </c>
      <c r="H49" s="143" t="str">
        <f>IF(ISBLANK(Games!$B48), "",Games!K48)</f>
        <v>Eastern Michigan</v>
      </c>
      <c r="I49" s="143" t="str">
        <f>IF('Prediction Log'!$F49&gt;0.5, 'Prediction Log'!$B49, IF('Prediction Log'!$F49&lt;0.5, 'Prediction Log'!$C49, "PICK"))</f>
        <v>Eastern Michigan</v>
      </c>
      <c r="J49" s="144" t="n">
        <f>IF(ISBLANK(Games!B48), "",IF('Prediction Log'!$I49='Prediction Log'!$B49, 'Prediction Log'!$F49, 1-'Prediction Log'!$F49))</f>
        <v>0.56415358798962101</v>
      </c>
      <c r="K49" s="145" t="str">
        <f>IF(ISBLANK(Games!$B48), "",Games!Q48)</f>
        <v>N</v>
      </c>
      <c r="L49" s="124" t="str">
        <f>IF(ISBLANK(Games!AC48), "",Games!AE48)</f>
        <v>Eastern Michigan</v>
      </c>
      <c r="M49" s="161" t="n">
        <f>IF(ISBLANK(Games!AC48), "",Games!AD48-Games!AC48)</f>
        <v>14</v>
      </c>
      <c r="N49" s="146" t="str">
        <f>IF(ISNUMBER(Table3[[#This Row],[Predicted Spread]]), IF(OR(ISBLANK(Games!AC48),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49" s="147" t="str">
        <f>IF(ISNUMBER(Table3[[#This Row],[Predicted Spread]]), IF(OR(ISBLANK(Games!AC48),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49" s="147" t="str">
        <f>IF(ISNUMBER(Table3[[#This Row],[Predicted Spread]]), IF(ISBLANK(Games!AC48),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49" s="148" t="str">
        <f>IF(OR(ISBLANK(Games!AC48), Table3[[#This Row],[Spread]]=""),"",IF('Prediction Log'!$L49='Prediction Log'!$G49, "Y", "N"))</f>
        <v>N</v>
      </c>
      <c r="R49" s="148" t="str">
        <f>IF(ISNUMBER(Table3[[#This Row],[Predicted Spread]]), Table3[[#This Row],[Home Team Covered Market]],"")</f>
        <v>N</v>
      </c>
      <c r="S49" s="148" t="str">
        <f>IF(ISNUMBER(Table3[[#This Row],[Predicted Spread]]), IF(OR(Table3[[#This Row],[Market Side Correct]]="",ISBLANK(Games!AC48)), "",IF(AND('Prediction Log'!$Q49="Y", 'Prediction Log'!$R49="Y"), "Y", "N")),"")</f>
        <v>N</v>
      </c>
      <c r="T49" s="149" t="str">
        <f>IF(ISNUMBER(Table3[[#This Row],[Predicted Spread]]), IF(ISBLANK(Games!AC48),"",IF(Games!AE48='Prediction Log'!$H49, "Y", "N")), "")</f>
        <v>Y</v>
      </c>
      <c r="U49" s="149" t="str">
        <f>IF(ISNUMBER(Table3[[#This Row],[Predicted Spread]]), IF(OR(Table3[[#This Row],[Spread]]="",ISBLANK(Games!AC48)), "", IF(Table3[[#This Row],[Home Team Covered Market]]=Games!P48, "Y", "N")),"")</f>
        <v>N</v>
      </c>
      <c r="V49" s="150" t="str">
        <f>IF(ISBLANK(Games!AC48), "",IF('Prediction Log'!$I49='Prediction Log'!$L49, "Y", "N"))</f>
        <v>Y</v>
      </c>
      <c r="W49" s="149" t="str">
        <f>IF(ISNUMBER(Table3[[#This Row],[Predicted Spread]]), IF(OR(Table3[[#This Row],[Model Spread Correct]]="",ISBLANK(Games!AC48)), "",IF('Prediction Log'!$H49&lt;&gt;'Prediction Log'!$L49, "N",IF(AND('Prediction Log'!$E49&gt;0, 'Prediction Log'!$M49&gt;'Prediction Log'!$E49, 'Prediction Log'!$H49='Prediction Log'!$C49), "Y", IF(AND('Prediction Log'!$E49&lt;0, 'Prediction Log'!$M49&lt;'Prediction Log'!$E49,'Prediction Log'!$H49='Prediction Log'!$B49 ), "Y", IF('Prediction Log'!$M49='Prediction Log'!$E49, "PUSH", "N"))))), "")</f>
        <v>Y</v>
      </c>
      <c r="X49" s="149" t="str">
        <f>IF(ISNUMBER(Table3[[#This Row],[Predicted Spread]]), IF(OR(Table3[[#This Row],[Model Spread Correct]]="",ISBLANK(Games!AC48)), "",IF(AND('Prediction Log'!$T49="Y", 'Prediction Log'!$U49="Y"), "Y", "N")), "")</f>
        <v>N</v>
      </c>
      <c r="Y49" s="148" t="n">
        <f>IFERROR(IF(ISNUMBER(Table3[[#This Row],[Predicted Spread]]), IF(ISBLANK(Games!AC48), "",IF('Prediction Log'!$D49&gt;0, 'Prediction Log'!$M49-'Prediction Log'!$D49, IF('Prediction Log'!$D49&lt;0, -'Prediction Log'!$M49+'Prediction Log'!$D49, "NA"))), ""), "")</f>
        <v>-16.5</v>
      </c>
      <c r="Z49" s="148" t="n">
        <f>IF(ISNUMBER(Table3[[#This Row],[Difference from Market]]), IF(ISBLANK(Games!AC48), "",ABS('Prediction Log'!$Y49)), "")</f>
        <v>16.5</v>
      </c>
      <c r="AA49" s="139" t="n">
        <f>IF(ISNUMBER(Table3[[#This Row],[Predicted Spread]]), IF(ISBLANK(Games!AC48), "",IF('Prediction Log'!$E49&gt;0, 'Prediction Log'!$M49-'Prediction Log'!$E49, IF('Prediction Log'!$E49&lt;0, -'Prediction Log'!$M49+'Prediction Log'!$E49, "NA"))), "")</f>
        <v>10.3</v>
      </c>
      <c r="AB49" s="139" t="n">
        <f>IF(ISNUMBER(Table3[[#This Row],[Difference from Prediction]]), IF(ISBLANK(Games!AD48), "",ABS('Prediction Log'!$AA49)), "")</f>
        <v>10.3</v>
      </c>
      <c r="AC49" s="164" t="str">
        <f>IF(ISNUMBER(Table3[[#This Row],[Predicted Spread]]), IF(OR(ISBLANK(Games!AC48),Table3[[#This Row],[Market Side Correct]]="",ISBLANK('Prediction Log'!$L49)), "",IF(OR(AND('Prediction Log'!D49&lt;0, 'Prediction Log'!L49='Prediction Log'!B49), AND('Prediction Log'!D49&gt;0, 'Prediction Log'!C49='Prediction Log'!L49)),"Y", IF(ISBLANK(Games!$B$2), "","N"))), "")</f>
        <v>N</v>
      </c>
      <c r="AD49" s="159" t="str">
        <f>'Prediction Log'!$S49</f>
        <v>N</v>
      </c>
    </row>
    <row r="50">
      <c r="A50" s="165" t="n">
        <f>IF(ISBLANK(Games!$B49), "",Games!A49)</f>
        <v>1</v>
      </c>
      <c r="B50" s="165" t="str">
        <f>IF(ISBLANK(Games!$B49), "",Games!B49)</f>
        <v>Texas</v>
      </c>
      <c r="C50" s="165" t="str">
        <f>IF(ISBLANK(Games!$B49), "",Games!C49)</f>
        <v>Colorado State</v>
      </c>
      <c r="D50" s="140" t="n">
        <f>IF(ISBLANK(Games!$D49), "",IF(_xlfn.NUMBERVALUE(Games!D49)=0, "",_xlfn.NUMBERVALUE(Games!D49) ))</f>
        <v>-36.5</v>
      </c>
      <c r="E50" s="138" t="n">
        <f>IF(ISBLANK(_xlfn.NUMBERVALUE(Games!$B49)), "",_xlfn.NUMBERVALUE(Games!J49))</f>
        <v>-21.082517397685201</v>
      </c>
      <c r="F50" s="141" t="n">
        <f>IFERROR(IF(ISBLANK(Games!B49), "", IF(Games!N49=Games!B49, Games!O49, 1-Games!O49)), "")</f>
        <v>0.9651705416324482</v>
      </c>
      <c r="G50" s="142" t="str">
        <f>IF(OR(ISBLANK(Games!B49),Table3[[#This Row],[Spread]]=""), "", IF('Prediction Log'!$D50&lt;0, 'Prediction Log'!$B50, 'Prediction Log'!$C50))</f>
        <v>Texas</v>
      </c>
      <c r="H50" s="143" t="str">
        <f>IF(ISBLANK(Games!$B49), "",Games!K49)</f>
        <v>Texas</v>
      </c>
      <c r="I50" s="143" t="str">
        <f>IF('Prediction Log'!$F50&gt;0.5, 'Prediction Log'!$B50, IF('Prediction Log'!$F50&lt;0.5, 'Prediction Log'!$C50, "PICK"))</f>
        <v>Texas</v>
      </c>
      <c r="J50" s="144" t="n">
        <f>IF(ISBLANK(Games!B49), "",IF('Prediction Log'!$I50='Prediction Log'!$B50, 'Prediction Log'!$F50, 1-'Prediction Log'!$F50))</f>
        <v>0.9651705416324482</v>
      </c>
      <c r="K50" s="145" t="str">
        <f>IF(ISBLANK(Games!$B49), "",Games!Q49)</f>
        <v>N</v>
      </c>
      <c r="L50" s="124" t="str">
        <f>IF(ISBLANK(Games!AC49), "",Games!AE49)</f>
        <v>Texas</v>
      </c>
      <c r="M50" s="161" t="n">
        <f>IF(ISBLANK(Games!AC49), "",Games!AD49-Games!AC49)</f>
        <v>-52</v>
      </c>
      <c r="N50" s="146" t="str">
        <f>IF(ISNUMBER(Table3[[#This Row],[Predicted Spread]]), IF(OR(ISBLANK(Games!AC49),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50" s="147" t="str">
        <f>IF(ISNUMBER(Table3[[#This Row],[Predicted Spread]]), IF(OR(ISBLANK(Games!AC49),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50" s="147" t="str">
        <f>IF(ISNUMBER(Table3[[#This Row],[Predicted Spread]]), IF(ISBLANK(Games!AC49),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50" s="148" t="str">
        <f>IF(OR(ISBLANK(Games!AC49), Table3[[#This Row],[Spread]]=""),"",IF('Prediction Log'!$L50='Prediction Log'!$G50, "Y", "N"))</f>
        <v>Y</v>
      </c>
      <c r="R50" s="148" t="str">
        <f>IF(ISNUMBER(Table3[[#This Row],[Predicted Spread]]), Table3[[#This Row],[Home Team Covered Market]],"")</f>
        <v>Y</v>
      </c>
      <c r="S50" s="148" t="str">
        <f>IF(ISNUMBER(Table3[[#This Row],[Predicted Spread]]), IF(OR(Table3[[#This Row],[Market Side Correct]]="",ISBLANK(Games!AC49)), "",IF(AND('Prediction Log'!$Q50="Y", 'Prediction Log'!$R50="Y"), "Y", "N")),"")</f>
        <v>Y</v>
      </c>
      <c r="T50" s="149" t="str">
        <f>IF(ISNUMBER(Table3[[#This Row],[Predicted Spread]]), IF(ISBLANK(Games!AC49),"",IF(Games!AE49='Prediction Log'!$H50, "Y", "N")), "")</f>
        <v>Y</v>
      </c>
      <c r="U50" s="149" t="str">
        <f>IF(ISNUMBER(Table3[[#This Row],[Predicted Spread]]), IF(OR(Table3[[#This Row],[Spread]]="",ISBLANK(Games!AC49)), "", IF(Table3[[#This Row],[Home Team Covered Market]]=Games!P49, "Y", "N")),"")</f>
        <v>N</v>
      </c>
      <c r="V50" s="150" t="str">
        <f>IF(ISBLANK(Games!AC49), "",IF('Prediction Log'!$I50='Prediction Log'!$L50, "Y", "N"))</f>
        <v>Y</v>
      </c>
      <c r="W50" s="149" t="str">
        <f>IF(ISNUMBER(Table3[[#This Row],[Predicted Spread]]), IF(OR(Table3[[#This Row],[Model Spread Correct]]="",ISBLANK(Games!AC49)), "",IF('Prediction Log'!$H50&lt;&gt;'Prediction Log'!$L50, "N",IF(AND('Prediction Log'!$E50&gt;0, 'Prediction Log'!$M50&gt;'Prediction Log'!$E50, 'Prediction Log'!$H50='Prediction Log'!$C50), "Y", IF(AND('Prediction Log'!$E50&lt;0, 'Prediction Log'!$M50&lt;'Prediction Log'!$E50,'Prediction Log'!$H50='Prediction Log'!$B50 ), "Y", IF('Prediction Log'!$M50='Prediction Log'!$E50, "PUSH", "N"))))), "")</f>
        <v>Y</v>
      </c>
      <c r="X50" s="149" t="str">
        <f>IF(ISNUMBER(Table3[[#This Row],[Predicted Spread]]), IF(OR(Table3[[#This Row],[Model Spread Correct]]="",ISBLANK(Games!AC49)), "",IF(AND('Prediction Log'!$T50="Y", 'Prediction Log'!$U50="Y"), "Y", "N")), "")</f>
        <v>N</v>
      </c>
      <c r="Y50" s="148" t="n">
        <f>IFERROR(IF(ISNUMBER(Table3[[#This Row],[Predicted Spread]]), IF(ISBLANK(Games!AC49), "",IF('Prediction Log'!$D50&gt;0, 'Prediction Log'!$M50-'Prediction Log'!$D50, IF('Prediction Log'!$D50&lt;0, -'Prediction Log'!$M50+'Prediction Log'!$D50, "NA"))), ""), "")</f>
        <v>15.5</v>
      </c>
      <c r="Z50" s="148" t="n">
        <f>IF(ISNUMBER(Table3[[#This Row],[Difference from Market]]), IF(ISBLANK(Games!AC49), "",ABS('Prediction Log'!$Y50)), "")</f>
        <v>15.5</v>
      </c>
      <c r="AA50" s="139" t="n">
        <f>IF(ISNUMBER(Table3[[#This Row],[Predicted Spread]]), IF(ISBLANK(Games!AC49), "",IF('Prediction Log'!$E50&gt;0, 'Prediction Log'!$M50-'Prediction Log'!$E50, IF('Prediction Log'!$E50&lt;0, -'Prediction Log'!$M50+'Prediction Log'!$E50, "NA"))), "")</f>
        <v>30.917482602314799</v>
      </c>
      <c r="AB50" s="139" t="n">
        <f>IF(ISNUMBER(Table3[[#This Row],[Difference from Prediction]]), IF(ISBLANK(Games!AD49), "",ABS('Prediction Log'!$AA50)), "")</f>
        <v>30.917482602314799</v>
      </c>
      <c r="AC50" s="164" t="str">
        <f>IF(ISNUMBER(Table3[[#This Row],[Predicted Spread]]), IF(OR(ISBLANK(Games!AC49),Table3[[#This Row],[Market Side Correct]]="",ISBLANK('Prediction Log'!$L50)), "",IF(OR(AND('Prediction Log'!D50&lt;0, 'Prediction Log'!L50='Prediction Log'!B50), AND('Prediction Log'!D50&gt;0, 'Prediction Log'!C50='Prediction Log'!L50)),"Y", IF(ISBLANK(Games!$B$2), "","N"))), "")</f>
        <v>Y</v>
      </c>
      <c r="AD50" s="159" t="str">
        <f>'Prediction Log'!$S50</f>
        <v>Y</v>
      </c>
    </row>
    <row r="51">
      <c r="A51" s="165" t="n">
        <f>IF(ISBLANK(Games!$B50), "",Games!A50)</f>
        <v>1</v>
      </c>
      <c r="B51" s="165" t="str">
        <f>IF(ISBLANK(Games!$B50), "",Games!B50)</f>
        <v>Iowa State</v>
      </c>
      <c r="C51" s="165" t="str">
        <f>IF(ISBLANK(Games!$B50), "",Games!C50)</f>
        <v>North Dakota</v>
      </c>
      <c r="D51" s="140" t="n">
        <f>IF(ISBLANK(Games!$D50), "",IF(_xlfn.NUMBERVALUE(Games!D50)=0, "",_xlfn.NUMBERVALUE(Games!D50) ))</f>
        <v>-28.5</v>
      </c>
      <c r="E51" s="138" t="n">
        <f>IF(ISBLANK(_xlfn.NUMBERVALUE(Games!$B50)), "",_xlfn.NUMBERVALUE(Games!J50))</f>
        <v>-28.6257778734456</v>
      </c>
      <c r="F51" s="141" t="n">
        <f>IFERROR(IF(ISBLANK(Games!B50), "", IF(Games!N50=Games!B50, Games!O50, 1-Games!O50)), "")</f>
        <v>0.98795995186459507</v>
      </c>
      <c r="G51" s="142" t="str">
        <f>IF(OR(ISBLANK(Games!B50),Table3[[#This Row],[Spread]]=""), "", IF('Prediction Log'!$D51&lt;0, 'Prediction Log'!$B51, 'Prediction Log'!$C51))</f>
        <v>Iowa State</v>
      </c>
      <c r="H51" s="143" t="str">
        <f>IF(ISBLANK(Games!$B50), "",Games!K50)</f>
        <v>Iowa State</v>
      </c>
      <c r="I51" s="143" t="str">
        <f>IF('Prediction Log'!$F51&gt;0.5, 'Prediction Log'!$B51, IF('Prediction Log'!$F51&lt;0.5, 'Prediction Log'!$C51, "PICK"))</f>
        <v>Iowa State</v>
      </c>
      <c r="J51" s="144" t="n">
        <f>IF(ISBLANK(Games!B50), "",IF('Prediction Log'!$I51='Prediction Log'!$B51, 'Prediction Log'!$F51, 1-'Prediction Log'!$F51))</f>
        <v>0.98795995186459507</v>
      </c>
      <c r="K51" s="145" t="str">
        <f>IF(ISBLANK(Games!$B50), "",Games!Q50)</f>
        <v>Y</v>
      </c>
      <c r="L51" s="124" t="str">
        <f>IF(ISBLANK(Games!AC50), "",Games!AE50)</f>
        <v>Iowa State</v>
      </c>
      <c r="M51" s="161" t="n">
        <f>IF(ISBLANK(Games!AC50), "",Games!AD50-Games!AC50)</f>
        <v>-18</v>
      </c>
      <c r="N51" s="146" t="str">
        <f>IF(ISNUMBER(Table3[[#This Row],[Predicted Spread]]), IF(OR(ISBLANK(Games!AC50),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51" s="147" t="str">
        <f>IF(ISNUMBER(Table3[[#This Row],[Predicted Spread]]), IF(OR(ISBLANK(Games!AC50),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51" s="147" t="str">
        <f>IF(ISNUMBER(Table3[[#This Row],[Predicted Spread]]), IF(ISBLANK(Games!AC50),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51" s="148" t="str">
        <f>IF(OR(ISBLANK(Games!AC50), Table3[[#This Row],[Spread]]=""),"",IF('Prediction Log'!$L51='Prediction Log'!$G51, "Y", "N"))</f>
        <v>Y</v>
      </c>
      <c r="R51" s="148" t="str">
        <f>IF(ISNUMBER(Table3[[#This Row],[Predicted Spread]]), Table3[[#This Row],[Home Team Covered Market]],"")</f>
        <v>N</v>
      </c>
      <c r="S51" s="148" t="str">
        <f>IF(ISNUMBER(Table3[[#This Row],[Predicted Spread]]), IF(OR(Table3[[#This Row],[Market Side Correct]]="",ISBLANK(Games!AC50)), "",IF(AND('Prediction Log'!$Q51="Y", 'Prediction Log'!$R51="Y"), "Y", "N")),"")</f>
        <v>N</v>
      </c>
      <c r="T51" s="149" t="str">
        <f>IF(ISNUMBER(Table3[[#This Row],[Predicted Spread]]), IF(ISBLANK(Games!AC50),"",IF(Games!AE50='Prediction Log'!$H51, "Y", "N")), "")</f>
        <v>Y</v>
      </c>
      <c r="U51" s="149" t="str">
        <f>IF(ISNUMBER(Table3[[#This Row],[Predicted Spread]]), IF(OR(Table3[[#This Row],[Spread]]="",ISBLANK(Games!AC50)), "", IF(Table3[[#This Row],[Home Team Covered Market]]=Games!P50, "Y", "N")),"")</f>
        <v>N</v>
      </c>
      <c r="V51" s="150" t="str">
        <f>IF(ISBLANK(Games!AC50), "",IF('Prediction Log'!$I51='Prediction Log'!$L51, "Y", "N"))</f>
        <v>Y</v>
      </c>
      <c r="W51" s="149" t="str">
        <f>IF(ISNUMBER(Table3[[#This Row],[Predicted Spread]]), IF(OR(Table3[[#This Row],[Model Spread Correct]]="",ISBLANK(Games!AC50)), "",IF('Prediction Log'!$H51&lt;&gt;'Prediction Log'!$L51, "N",IF(AND('Prediction Log'!$E51&gt;0, 'Prediction Log'!$M51&gt;'Prediction Log'!$E51, 'Prediction Log'!$H51='Prediction Log'!$C51), "Y", IF(AND('Prediction Log'!$E51&lt;0, 'Prediction Log'!$M51&lt;'Prediction Log'!$E51,'Prediction Log'!$H51='Prediction Log'!$B51 ), "Y", IF('Prediction Log'!$M51='Prediction Log'!$E51, "PUSH", "N"))))), "")</f>
        <v>N</v>
      </c>
      <c r="X51" s="149" t="str">
        <f>IF(ISNUMBER(Table3[[#This Row],[Predicted Spread]]), IF(OR(Table3[[#This Row],[Model Spread Correct]]="",ISBLANK(Games!AC50)), "",IF(AND('Prediction Log'!$T51="Y", 'Prediction Log'!$U51="Y"), "Y", "N")), "")</f>
        <v>N</v>
      </c>
      <c r="Y51" s="148" t="n">
        <f>IFERROR(IF(ISNUMBER(Table3[[#This Row],[Predicted Spread]]), IF(ISBLANK(Games!AC50), "",IF('Prediction Log'!$D51&gt;0, 'Prediction Log'!$M51-'Prediction Log'!$D51, IF('Prediction Log'!$D51&lt;0, -'Prediction Log'!$M51+'Prediction Log'!$D51, "NA"))), ""), "")</f>
        <v>-10.5</v>
      </c>
      <c r="Z51" s="148" t="n">
        <f>IF(ISNUMBER(Table3[[#This Row],[Difference from Market]]), IF(ISBLANK(Games!AC50), "",ABS('Prediction Log'!$Y51)), "")</f>
        <v>10.5</v>
      </c>
      <c r="AA51" s="139" t="n">
        <f>IF(ISNUMBER(Table3[[#This Row],[Predicted Spread]]), IF(ISBLANK(Games!AC50), "",IF('Prediction Log'!$E51&gt;0, 'Prediction Log'!$M51-'Prediction Log'!$E51, IF('Prediction Log'!$E51&lt;0, -'Prediction Log'!$M51+'Prediction Log'!$E51, "NA"))), "")</f>
        <v>-10.6257778734456</v>
      </c>
      <c r="AB51" s="139" t="n">
        <f>IF(ISNUMBER(Table3[[#This Row],[Difference from Prediction]]), IF(ISBLANK(Games!AD50), "",ABS('Prediction Log'!$AA51)), "")</f>
        <v>10.6257778734456</v>
      </c>
      <c r="AC51" s="164" t="str">
        <f>IF(ISNUMBER(Table3[[#This Row],[Predicted Spread]]), IF(OR(ISBLANK(Games!AC50),Table3[[#This Row],[Market Side Correct]]="",ISBLANK('Prediction Log'!$L51)), "",IF(OR(AND('Prediction Log'!D51&lt;0, 'Prediction Log'!L51='Prediction Log'!B51), AND('Prediction Log'!D51&gt;0, 'Prediction Log'!C51='Prediction Log'!L51)),"Y", IF(ISBLANK(Games!$B$2), "","N"))), "")</f>
        <v>Y</v>
      </c>
      <c r="AD51" s="159" t="str">
        <f>'Prediction Log'!$S51</f>
        <v>N</v>
      </c>
    </row>
    <row r="52">
      <c r="A52" s="165" t="n">
        <f>IF(ISBLANK(Games!$B51), "",Games!A51)</f>
        <v>1</v>
      </c>
      <c r="B52" s="165" t="str">
        <f>IF(ISBLANK(Games!$B51), "",Games!B51)</f>
        <v>Nebraska</v>
      </c>
      <c r="C52" s="165" t="str">
        <f>IF(ISBLANK(Games!$B51), "",Games!C51)</f>
        <v>UTEP</v>
      </c>
      <c r="D52" s="140" t="n">
        <f>IF(ISBLANK(Games!$D51), "",IF(_xlfn.NUMBERVALUE(Games!D51)=0, "",_xlfn.NUMBERVALUE(Games!D51) ))</f>
        <v>-27.5</v>
      </c>
      <c r="E52" s="138" t="n">
        <f>IF(ISBLANK(_xlfn.NUMBERVALUE(Games!$B51)), "",_xlfn.NUMBERVALUE(Games!J51))</f>
        <v>-42.7</v>
      </c>
      <c r="F52" s="141" t="n">
        <f>IFERROR(IF(ISBLANK(Games!B51), "", IF(Games!N51=Games!B51, Games!O51, 1-Games!O51)), "")</f>
        <v>0.87172545954058944</v>
      </c>
      <c r="G52" s="142" t="str">
        <f>IF(OR(ISBLANK(Games!B51),Table3[[#This Row],[Spread]]=""), "", IF('Prediction Log'!$D52&lt;0, 'Prediction Log'!$B52, 'Prediction Log'!$C52))</f>
        <v>Nebraska</v>
      </c>
      <c r="H52" s="143" t="str">
        <f>IF(ISBLANK(Games!$B51), "",Games!K51)</f>
        <v>Nebraska</v>
      </c>
      <c r="I52" s="143" t="str">
        <f>IF('Prediction Log'!$F52&gt;0.5, 'Prediction Log'!$B52, IF('Prediction Log'!$F52&lt;0.5, 'Prediction Log'!$C52, "PICK"))</f>
        <v>Nebraska</v>
      </c>
      <c r="J52" s="144" t="n">
        <f>IF(ISBLANK(Games!B51), "",IF('Prediction Log'!$I52='Prediction Log'!$B52, 'Prediction Log'!$F52, 1-'Prediction Log'!$F52))</f>
        <v>0.87172545954058944</v>
      </c>
      <c r="K52" s="145" t="str">
        <f>IF(ISBLANK(Games!$B51), "",Games!Q51)</f>
        <v>Y</v>
      </c>
      <c r="L52" s="124" t="str">
        <f>IF(ISBLANK(Games!AC51), "",Games!AE51)</f>
        <v>Nebraska</v>
      </c>
      <c r="M52" s="161" t="n">
        <f>IF(ISBLANK(Games!AC51), "",Games!AD51-Games!AC51)</f>
        <v>-33</v>
      </c>
      <c r="N52" s="146" t="str">
        <f>IF(ISNUMBER(Table3[[#This Row],[Predicted Spread]]), IF(OR(ISBLANK(Games!AC51),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52" s="147" t="str">
        <f>IF(ISNUMBER(Table3[[#This Row],[Predicted Spread]]), IF(OR(ISBLANK(Games!AC51),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52" s="147" t="str">
        <f>IF(ISNUMBER(Table3[[#This Row],[Predicted Spread]]), IF(ISBLANK(Games!AC51),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52" s="148" t="str">
        <f>IF(OR(ISBLANK(Games!AC51), Table3[[#This Row],[Spread]]=""),"",IF('Prediction Log'!$L52='Prediction Log'!$G52, "Y", "N"))</f>
        <v>Y</v>
      </c>
      <c r="R52" s="148" t="str">
        <f>IF(ISNUMBER(Table3[[#This Row],[Predicted Spread]]), Table3[[#This Row],[Home Team Covered Market]],"")</f>
        <v>Y</v>
      </c>
      <c r="S52" s="148" t="str">
        <f>IF(ISNUMBER(Table3[[#This Row],[Predicted Spread]]), IF(OR(Table3[[#This Row],[Market Side Correct]]="",ISBLANK(Games!AC51)), "",IF(AND('Prediction Log'!$Q52="Y", 'Prediction Log'!$R52="Y"), "Y", "N")),"")</f>
        <v>Y</v>
      </c>
      <c r="T52" s="149" t="str">
        <f>IF(ISNUMBER(Table3[[#This Row],[Predicted Spread]]), IF(ISBLANK(Games!AC51),"",IF(Games!AE51='Prediction Log'!$H52, "Y", "N")), "")</f>
        <v>Y</v>
      </c>
      <c r="U52" s="149" t="str">
        <f>IF(ISNUMBER(Table3[[#This Row],[Predicted Spread]]), IF(OR(Table3[[#This Row],[Spread]]="",ISBLANK(Games!AC51)), "", IF(Table3[[#This Row],[Home Team Covered Market]]=Games!P51, "Y", "N")),"")</f>
        <v>Y</v>
      </c>
      <c r="V52" s="150" t="str">
        <f>IF(ISBLANK(Games!AC51), "",IF('Prediction Log'!$I52='Prediction Log'!$L52, "Y", "N"))</f>
        <v>Y</v>
      </c>
      <c r="W52" s="149" t="str">
        <f>IF(ISNUMBER(Table3[[#This Row],[Predicted Spread]]), IF(OR(Table3[[#This Row],[Model Spread Correct]]="",ISBLANK(Games!AC51)), "",IF('Prediction Log'!$H52&lt;&gt;'Prediction Log'!$L52, "N",IF(AND('Prediction Log'!$E52&gt;0, 'Prediction Log'!$M52&gt;'Prediction Log'!$E52, 'Prediction Log'!$H52='Prediction Log'!$C52), "Y", IF(AND('Prediction Log'!$E52&lt;0, 'Prediction Log'!$M52&lt;'Prediction Log'!$E52,'Prediction Log'!$H52='Prediction Log'!$B52 ), "Y", IF('Prediction Log'!$M52='Prediction Log'!$E52, "PUSH", "N"))))), "")</f>
        <v>N</v>
      </c>
      <c r="X52" s="149" t="str">
        <f>IF(ISNUMBER(Table3[[#This Row],[Predicted Spread]]), IF(OR(Table3[[#This Row],[Model Spread Correct]]="",ISBLANK(Games!AC51)), "",IF(AND('Prediction Log'!$T52="Y", 'Prediction Log'!$U52="Y"), "Y", "N")), "")</f>
        <v>Y</v>
      </c>
      <c r="Y52" s="148" t="n">
        <f>IFERROR(IF(ISNUMBER(Table3[[#This Row],[Predicted Spread]]), IF(ISBLANK(Games!AC51), "",IF('Prediction Log'!$D52&gt;0, 'Prediction Log'!$M52-'Prediction Log'!$D52, IF('Prediction Log'!$D52&lt;0, -'Prediction Log'!$M52+'Prediction Log'!$D52, "NA"))), ""), "")</f>
        <v>5.5</v>
      </c>
      <c r="Z52" s="148" t="n">
        <f>IF(ISNUMBER(Table3[[#This Row],[Difference from Market]]), IF(ISBLANK(Games!AC51), "",ABS('Prediction Log'!$Y52)), "")</f>
        <v>5.5</v>
      </c>
      <c r="AA52" s="139" t="n">
        <f>IF(ISNUMBER(Table3[[#This Row],[Predicted Spread]]), IF(ISBLANK(Games!AC51), "",IF('Prediction Log'!$E52&gt;0, 'Prediction Log'!$M52-'Prediction Log'!$E52, IF('Prediction Log'!$E52&lt;0, -'Prediction Log'!$M52+'Prediction Log'!$E52, "NA"))), "")</f>
        <v>-9.7000000000000028</v>
      </c>
      <c r="AB52" s="139" t="n">
        <f>IF(ISNUMBER(Table3[[#This Row],[Difference from Prediction]]), IF(ISBLANK(Games!AD51), "",ABS('Prediction Log'!$AA52)), "")</f>
        <v>9.7000000000000028</v>
      </c>
      <c r="AC52" s="164" t="str">
        <f>IF(ISNUMBER(Table3[[#This Row],[Predicted Spread]]), IF(OR(ISBLANK(Games!AC51),Table3[[#This Row],[Market Side Correct]]="",ISBLANK('Prediction Log'!$L52)), "",IF(OR(AND('Prediction Log'!D52&lt;0, 'Prediction Log'!L52='Prediction Log'!B52), AND('Prediction Log'!D52&gt;0, 'Prediction Log'!C52='Prediction Log'!L52)),"Y", IF(ISBLANK(Games!$B$2), "","N"))), "")</f>
        <v>Y</v>
      </c>
      <c r="AD52" s="159" t="str">
        <f>'Prediction Log'!$S52</f>
        <v>Y</v>
      </c>
    </row>
    <row r="53">
      <c r="A53" s="165" t="n">
        <f>IF(ISBLANK(Games!$B52), "",Games!A52)</f>
        <v>1</v>
      </c>
      <c r="B53" s="165" t="str">
        <f>IF(ISBLANK(Games!$B52), "",Games!B52)</f>
        <v>Ohio State</v>
      </c>
      <c r="C53" s="165" t="str">
        <f>IF(ISBLANK(Games!$B52), "",Games!C52)</f>
        <v>Akron</v>
      </c>
      <c r="D53" s="140" t="n">
        <f>IF(ISBLANK(Games!$D52), "",IF(_xlfn.NUMBERVALUE(Games!D52)=0, "",_xlfn.NUMBERVALUE(Games!D52) ))</f>
        <v>-50.5</v>
      </c>
      <c r="E53" s="138" t="n">
        <f>IF(ISBLANK(_xlfn.NUMBERVALUE(Games!$B52)), "",_xlfn.NUMBERVALUE(Games!J52))</f>
        <v>-28.679564356093199</v>
      </c>
      <c r="F53" s="141" t="n">
        <f>IFERROR(IF(ISBLANK(Games!B52), "", IF(Games!N52=Games!B52, Games!O52, 1-Games!O52)), "")</f>
        <v>0.98805167882258937</v>
      </c>
      <c r="G53" s="142" t="str">
        <f>IF(OR(ISBLANK(Games!B52),Table3[[#This Row],[Spread]]=""), "", IF('Prediction Log'!$D53&lt;0, 'Prediction Log'!$B53, 'Prediction Log'!$C53))</f>
        <v>Ohio State</v>
      </c>
      <c r="H53" s="143" t="str">
        <f>IF(ISBLANK(Games!$B52), "",Games!K52)</f>
        <v>Ohio State</v>
      </c>
      <c r="I53" s="143" t="str">
        <f>IF('Prediction Log'!$F53&gt;0.5, 'Prediction Log'!$B53, IF('Prediction Log'!$F53&lt;0.5, 'Prediction Log'!$C53, "PICK"))</f>
        <v>Ohio State</v>
      </c>
      <c r="J53" s="144" t="n">
        <f>IF(ISBLANK(Games!B52), "",IF('Prediction Log'!$I53='Prediction Log'!$B53, 'Prediction Log'!$F53, 1-'Prediction Log'!$F53))</f>
        <v>0.98805167882258937</v>
      </c>
      <c r="K53" s="145" t="str">
        <f>IF(ISBLANK(Games!$B52), "",Games!Q52)</f>
        <v>Y</v>
      </c>
      <c r="L53" s="124" t="str">
        <f>IF(ISBLANK(Games!AC52), "",Games!AE52)</f>
        <v>Ohio State</v>
      </c>
      <c r="M53" s="161" t="n">
        <f>IF(ISBLANK(Games!AC52), "",Games!AD52-Games!AC52)</f>
        <v>-46</v>
      </c>
      <c r="N53" s="146" t="str">
        <f>IF(ISNUMBER(Table3[[#This Row],[Predicted Spread]]), IF(OR(ISBLANK(Games!AC52),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53" s="147" t="str">
        <f>IF(ISNUMBER(Table3[[#This Row],[Predicted Spread]]), IF(OR(ISBLANK(Games!AC52),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53" s="147" t="str">
        <f>IF(ISNUMBER(Table3[[#This Row],[Predicted Spread]]), IF(ISBLANK(Games!AC52),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53" s="148" t="str">
        <f>IF(OR(ISBLANK(Games!AC52), Table3[[#This Row],[Spread]]=""),"",IF('Prediction Log'!$L53='Prediction Log'!$G53, "Y", "N"))</f>
        <v>Y</v>
      </c>
      <c r="R53" s="148" t="str">
        <f>IF(ISNUMBER(Table3[[#This Row],[Predicted Spread]]), Table3[[#This Row],[Home Team Covered Market]],"")</f>
        <v>N</v>
      </c>
      <c r="S53" s="148" t="str">
        <f>IF(ISNUMBER(Table3[[#This Row],[Predicted Spread]]), IF(OR(Table3[[#This Row],[Market Side Correct]]="",ISBLANK(Games!AC52)), "",IF(AND('Prediction Log'!$Q53="Y", 'Prediction Log'!$R53="Y"), "Y", "N")),"")</f>
        <v>N</v>
      </c>
      <c r="T53" s="149" t="str">
        <f>IF(ISNUMBER(Table3[[#This Row],[Predicted Spread]]), IF(ISBLANK(Games!AC52),"",IF(Games!AE52='Prediction Log'!$H53, "Y", "N")), "")</f>
        <v>Y</v>
      </c>
      <c r="U53" s="149" t="str">
        <f>IF(ISNUMBER(Table3[[#This Row],[Predicted Spread]]), IF(OR(Table3[[#This Row],[Spread]]="",ISBLANK(Games!AC52)), "", IF(Table3[[#This Row],[Home Team Covered Market]]=Games!P52, "Y", "N")),"")</f>
        <v>N</v>
      </c>
      <c r="V53" s="150" t="str">
        <f>IF(ISBLANK(Games!AC52), "",IF('Prediction Log'!$I53='Prediction Log'!$L53, "Y", "N"))</f>
        <v>Y</v>
      </c>
      <c r="W53" s="149" t="str">
        <f>IF(ISNUMBER(Table3[[#This Row],[Predicted Spread]]), IF(OR(Table3[[#This Row],[Model Spread Correct]]="",ISBLANK(Games!AC52)), "",IF('Prediction Log'!$H53&lt;&gt;'Prediction Log'!$L53, "N",IF(AND('Prediction Log'!$E53&gt;0, 'Prediction Log'!$M53&gt;'Prediction Log'!$E53, 'Prediction Log'!$H53='Prediction Log'!$C53), "Y", IF(AND('Prediction Log'!$E53&lt;0, 'Prediction Log'!$M53&lt;'Prediction Log'!$E53,'Prediction Log'!$H53='Prediction Log'!$B53 ), "Y", IF('Prediction Log'!$M53='Prediction Log'!$E53, "PUSH", "N"))))), "")</f>
        <v>Y</v>
      </c>
      <c r="X53" s="149" t="str">
        <f>IF(ISNUMBER(Table3[[#This Row],[Predicted Spread]]), IF(OR(Table3[[#This Row],[Model Spread Correct]]="",ISBLANK(Games!AC52)), "",IF(AND('Prediction Log'!$T53="Y", 'Prediction Log'!$U53="Y"), "Y", "N")), "")</f>
        <v>N</v>
      </c>
      <c r="Y53" s="148" t="n">
        <f>IFERROR(IF(ISNUMBER(Table3[[#This Row],[Predicted Spread]]), IF(ISBLANK(Games!AC52), "",IF('Prediction Log'!$D53&gt;0, 'Prediction Log'!$M53-'Prediction Log'!$D53, IF('Prediction Log'!$D53&lt;0, -'Prediction Log'!$M53+'Prediction Log'!$D53, "NA"))), ""), "")</f>
        <v>-4.5</v>
      </c>
      <c r="Z53" s="148" t="n">
        <f>IF(ISNUMBER(Table3[[#This Row],[Difference from Market]]), IF(ISBLANK(Games!AC52), "",ABS('Prediction Log'!$Y53)), "")</f>
        <v>4.5</v>
      </c>
      <c r="AA53" s="139" t="n">
        <f>IF(ISNUMBER(Table3[[#This Row],[Predicted Spread]]), IF(ISBLANK(Games!AC52), "",IF('Prediction Log'!$E53&gt;0, 'Prediction Log'!$M53-'Prediction Log'!$E53, IF('Prediction Log'!$E53&lt;0, -'Prediction Log'!$M53+'Prediction Log'!$E53, "NA"))), "")</f>
        <v>17.320435643906801</v>
      </c>
      <c r="AB53" s="139" t="n">
        <f>IF(ISNUMBER(Table3[[#This Row],[Difference from Prediction]]), IF(ISBLANK(Games!AD52), "",ABS('Prediction Log'!$AA53)), "")</f>
        <v>17.320435643906801</v>
      </c>
      <c r="AC53" s="164" t="str">
        <f>IF(ISNUMBER(Table3[[#This Row],[Predicted Spread]]), IF(OR(ISBLANK(Games!AC52),Table3[[#This Row],[Market Side Correct]]="",ISBLANK('Prediction Log'!$L53)), "",IF(OR(AND('Prediction Log'!D53&lt;0, 'Prediction Log'!L53='Prediction Log'!B53), AND('Prediction Log'!D53&gt;0, 'Prediction Log'!C53='Prediction Log'!L53)),"Y", IF(ISBLANK(Games!$B$2), "","N"))), "")</f>
        <v>Y</v>
      </c>
      <c r="AD53" s="159" t="str">
        <f>'Prediction Log'!$S53</f>
        <v>N</v>
      </c>
    </row>
    <row r="54">
      <c r="A54" s="165" t="n">
        <f>IF(ISBLANK(Games!$B53), "",Games!A53)</f>
        <v>1</v>
      </c>
      <c r="B54" s="165" t="str">
        <f>IF(ISBLANK(Games!$B53), "",Games!B53)</f>
        <v>Northern Illinois</v>
      </c>
      <c r="C54" s="165" t="str">
        <f>IF(ISBLANK(Games!$B53), "",Games!C53)</f>
        <v>Western Illinois</v>
      </c>
      <c r="D54" s="140" t="n">
        <f>IF(ISBLANK(Games!$D53), "",IF(_xlfn.NUMBERVALUE(Games!D53)=0, "",_xlfn.NUMBERVALUE(Games!D53) ))</f>
        <v>-35.5</v>
      </c>
      <c r="E54" s="138" t="n">
        <f>IF(ISBLANK(_xlfn.NUMBERVALUE(Games!$B53)), "",_xlfn.NUMBERVALUE(Games!J53))</f>
        <v>-17.122648652459599</v>
      </c>
      <c r="F54" s="141" t="n">
        <f>IFERROR(IF(ISBLANK(Games!B53), "", IF(Games!N53=Games!B53, Games!O53, 1-Games!O53)), "")</f>
        <v>0.9400245318313204</v>
      </c>
      <c r="G54" s="142" t="str">
        <f>IF(OR(ISBLANK(Games!B53),Table3[[#This Row],[Spread]]=""), "", IF('Prediction Log'!$D54&lt;0, 'Prediction Log'!$B54, 'Prediction Log'!$C54))</f>
        <v>Northern Illinois</v>
      </c>
      <c r="H54" s="143" t="str">
        <f>IF(ISBLANK(Games!$B53), "",Games!K53)</f>
        <v>Northern Illinois</v>
      </c>
      <c r="I54" s="143" t="str">
        <f>IF('Prediction Log'!$F54&gt;0.5, 'Prediction Log'!$B54, IF('Prediction Log'!$F54&lt;0.5, 'Prediction Log'!$C54, "PICK"))</f>
        <v>Northern Illinois</v>
      </c>
      <c r="J54" s="144" t="n">
        <f>IF(ISBLANK(Games!B53), "",IF('Prediction Log'!$I54='Prediction Log'!$B54, 'Prediction Log'!$F54, 1-'Prediction Log'!$F54))</f>
        <v>0.9400245318313204</v>
      </c>
      <c r="K54" s="145" t="str">
        <f>IF(ISBLANK(Games!$B53), "",Games!Q53)</f>
        <v>N</v>
      </c>
      <c r="L54" s="124" t="str">
        <f>IF(ISBLANK(Games!AC53), "",Games!AE53)</f>
        <v>Northern Illinois</v>
      </c>
      <c r="M54" s="161" t="n">
        <f>IF(ISBLANK(Games!AC53), "",Games!AD53-Games!AC53)</f>
        <v>-39</v>
      </c>
      <c r="N54" s="146" t="str">
        <f>IF(ISNUMBER(Table3[[#This Row],[Predicted Spread]]), IF(OR(ISBLANK(Games!AC53),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54" s="147" t="str">
        <f>IF(ISNUMBER(Table3[[#This Row],[Predicted Spread]]), IF(OR(ISBLANK(Games!AC53),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54" s="147" t="str">
        <f>IF(ISNUMBER(Table3[[#This Row],[Predicted Spread]]), IF(ISBLANK(Games!AC53),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54" s="148" t="str">
        <f>IF(OR(ISBLANK(Games!AC53), Table3[[#This Row],[Spread]]=""),"",IF('Prediction Log'!$L54='Prediction Log'!$G54, "Y", "N"))</f>
        <v>Y</v>
      </c>
      <c r="R54" s="148" t="str">
        <f>IF(ISNUMBER(Table3[[#This Row],[Predicted Spread]]), Table3[[#This Row],[Home Team Covered Market]],"")</f>
        <v>Y</v>
      </c>
      <c r="S54" s="148" t="str">
        <f>IF(ISNUMBER(Table3[[#This Row],[Predicted Spread]]), IF(OR(Table3[[#This Row],[Market Side Correct]]="",ISBLANK(Games!AC53)), "",IF(AND('Prediction Log'!$Q54="Y", 'Prediction Log'!$R54="Y"), "Y", "N")),"")</f>
        <v>Y</v>
      </c>
      <c r="T54" s="149" t="str">
        <f>IF(ISNUMBER(Table3[[#This Row],[Predicted Spread]]), IF(ISBLANK(Games!AC53),"",IF(Games!AE53='Prediction Log'!$H54, "Y", "N")), "")</f>
        <v>Y</v>
      </c>
      <c r="U54" s="149" t="str">
        <f>IF(ISNUMBER(Table3[[#This Row],[Predicted Spread]]), IF(OR(Table3[[#This Row],[Spread]]="",ISBLANK(Games!AC53)), "", IF(Table3[[#This Row],[Home Team Covered Market]]=Games!P53, "Y", "N")),"")</f>
        <v>N</v>
      </c>
      <c r="V54" s="150" t="str">
        <f>IF(ISBLANK(Games!AC53), "",IF('Prediction Log'!$I54='Prediction Log'!$L54, "Y", "N"))</f>
        <v>Y</v>
      </c>
      <c r="W54" s="149" t="str">
        <f>IF(ISNUMBER(Table3[[#This Row],[Predicted Spread]]), IF(OR(Table3[[#This Row],[Model Spread Correct]]="",ISBLANK(Games!AC53)), "",IF('Prediction Log'!$H54&lt;&gt;'Prediction Log'!$L54, "N",IF(AND('Prediction Log'!$E54&gt;0, 'Prediction Log'!$M54&gt;'Prediction Log'!$E54, 'Prediction Log'!$H54='Prediction Log'!$C54), "Y", IF(AND('Prediction Log'!$E54&lt;0, 'Prediction Log'!$M54&lt;'Prediction Log'!$E54,'Prediction Log'!$H54='Prediction Log'!$B54 ), "Y", IF('Prediction Log'!$M54='Prediction Log'!$E54, "PUSH", "N"))))), "")</f>
        <v>Y</v>
      </c>
      <c r="X54" s="149" t="str">
        <f>IF(ISNUMBER(Table3[[#This Row],[Predicted Spread]]), IF(OR(Table3[[#This Row],[Model Spread Correct]]="",ISBLANK(Games!AC53)), "",IF(AND('Prediction Log'!$T54="Y", 'Prediction Log'!$U54="Y"), "Y", "N")), "")</f>
        <v>N</v>
      </c>
      <c r="Y54" s="148" t="n">
        <f>IFERROR(IF(ISNUMBER(Table3[[#This Row],[Predicted Spread]]), IF(ISBLANK(Games!AC53), "",IF('Prediction Log'!$D54&gt;0, 'Prediction Log'!$M54-'Prediction Log'!$D54, IF('Prediction Log'!$D54&lt;0, -'Prediction Log'!$M54+'Prediction Log'!$D54, "NA"))), ""), "")</f>
        <v>3.5</v>
      </c>
      <c r="Z54" s="148" t="n">
        <f>IF(ISNUMBER(Table3[[#This Row],[Difference from Market]]), IF(ISBLANK(Games!AC53), "",ABS('Prediction Log'!$Y54)), "")</f>
        <v>3.5</v>
      </c>
      <c r="AA54" s="139" t="n">
        <f>IF(ISNUMBER(Table3[[#This Row],[Predicted Spread]]), IF(ISBLANK(Games!AC53), "",IF('Prediction Log'!$E54&gt;0, 'Prediction Log'!$M54-'Prediction Log'!$E54, IF('Prediction Log'!$E54&lt;0, -'Prediction Log'!$M54+'Prediction Log'!$E54, "NA"))), "")</f>
        <v>21.877351347540401</v>
      </c>
      <c r="AB54" s="139" t="n">
        <f>IF(ISNUMBER(Table3[[#This Row],[Difference from Prediction]]), IF(ISBLANK(Games!AD53), "",ABS('Prediction Log'!$AA54)), "")</f>
        <v>21.877351347540401</v>
      </c>
      <c r="AC54" s="164" t="str">
        <f>IF(ISNUMBER(Table3[[#This Row],[Predicted Spread]]), IF(OR(ISBLANK(Games!AC53),Table3[[#This Row],[Market Side Correct]]="",ISBLANK('Prediction Log'!$L54)), "",IF(OR(AND('Prediction Log'!D54&lt;0, 'Prediction Log'!L54='Prediction Log'!B54), AND('Prediction Log'!D54&gt;0, 'Prediction Log'!C54='Prediction Log'!L54)),"Y", IF(ISBLANK(Games!$B$2), "","N"))), "")</f>
        <v>Y</v>
      </c>
      <c r="AD54" s="159" t="str">
        <f>'Prediction Log'!$S54</f>
        <v>Y</v>
      </c>
    </row>
    <row r="55">
      <c r="A55" s="165" t="n">
        <f>IF(ISBLANK(Games!$B54), "",Games!A54)</f>
        <v>1</v>
      </c>
      <c r="B55" s="165" t="str">
        <f>IF(ISBLANK(Games!$B54), "",Games!B54)</f>
        <v>Northwestern</v>
      </c>
      <c r="C55" s="165" t="str">
        <f>IF(ISBLANK(Games!$B54), "",Games!C54)</f>
        <v>Miami (OH)</v>
      </c>
      <c r="D55" s="140" t="n">
        <f>IF(ISBLANK(Games!$D54), "",IF(_xlfn.NUMBERVALUE(Games!D54)=0, "",_xlfn.NUMBERVALUE(Games!D54) ))</f>
        <v>-4</v>
      </c>
      <c r="E55" s="138" t="n">
        <f>IF(ISBLANK(_xlfn.NUMBERVALUE(Games!$B54)), "",_xlfn.NUMBERVALUE(Games!J54))</f>
        <v>-16.5</v>
      </c>
      <c r="F55" s="141" t="n">
        <f>IFERROR(IF(ISBLANK(Games!B54), "", IF(Games!N54=Games!B54, Games!O54, 1-Games!O54)), "")</f>
        <v>0.46939564352475105</v>
      </c>
      <c r="G55" s="142" t="str">
        <f>IF(OR(ISBLANK(Games!B54),Table3[[#This Row],[Spread]]=""), "", IF('Prediction Log'!$D55&lt;0, 'Prediction Log'!$B55, 'Prediction Log'!$C55))</f>
        <v>Northwestern</v>
      </c>
      <c r="H55" s="143" t="str">
        <f>IF(ISBLANK(Games!$B54), "",Games!K54)</f>
        <v>Northwestern</v>
      </c>
      <c r="I55" s="143" t="str">
        <f>IF('Prediction Log'!$F55&gt;0.5, 'Prediction Log'!$B55, IF('Prediction Log'!$F55&lt;0.5, 'Prediction Log'!$C55, "PICK"))</f>
        <v>Miami (OH)</v>
      </c>
      <c r="J55" s="144" t="n">
        <f>IF(ISBLANK(Games!B54), "",IF('Prediction Log'!$I55='Prediction Log'!$B55, 'Prediction Log'!$F55, 1-'Prediction Log'!$F55))</f>
        <v>0.53060435647524895</v>
      </c>
      <c r="K55" s="145" t="str">
        <f>IF(ISBLANK(Games!$B54), "",Games!Q54)</f>
        <v>Y</v>
      </c>
      <c r="L55" s="124" t="str">
        <f>IF(ISBLANK(Games!AC54), "",Games!AE54)</f>
        <v>Northwestern</v>
      </c>
      <c r="M55" s="161" t="n">
        <f>IF(ISBLANK(Games!AC54), "",Games!AD54-Games!AC54)</f>
        <v>-7</v>
      </c>
      <c r="N55" s="146" t="str">
        <f>IF(ISNUMBER(Table3[[#This Row],[Predicted Spread]]), IF(OR(ISBLANK(Games!AC54),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55" s="147" t="str">
        <f>IF(ISNUMBER(Table3[[#This Row],[Predicted Spread]]), IF(OR(ISBLANK(Games!AC54),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55" s="147" t="str">
        <f>IF(ISNUMBER(Table3[[#This Row],[Predicted Spread]]), IF(ISBLANK(Games!AC54),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55" s="148" t="str">
        <f>IF(OR(ISBLANK(Games!AC54), Table3[[#This Row],[Spread]]=""),"",IF('Prediction Log'!$L55='Prediction Log'!$G55, "Y", "N"))</f>
        <v>Y</v>
      </c>
      <c r="R55" s="148" t="str">
        <f>IF(ISNUMBER(Table3[[#This Row],[Predicted Spread]]), Table3[[#This Row],[Home Team Covered Market]],"")</f>
        <v>Y</v>
      </c>
      <c r="S55" s="148" t="str">
        <f>IF(ISNUMBER(Table3[[#This Row],[Predicted Spread]]), IF(OR(Table3[[#This Row],[Market Side Correct]]="",ISBLANK(Games!AC54)), "",IF(AND('Prediction Log'!$Q55="Y", 'Prediction Log'!$R55="Y"), "Y", "N")),"")</f>
        <v>Y</v>
      </c>
      <c r="T55" s="149" t="str">
        <f>IF(ISNUMBER(Table3[[#This Row],[Predicted Spread]]), IF(ISBLANK(Games!AC54),"",IF(Games!AE54='Prediction Log'!$H55, "Y", "N")), "")</f>
        <v>Y</v>
      </c>
      <c r="U55" s="149" t="str">
        <f>IF(ISNUMBER(Table3[[#This Row],[Predicted Spread]]), IF(OR(Table3[[#This Row],[Spread]]="",ISBLANK(Games!AC54)), "", IF(Table3[[#This Row],[Home Team Covered Market]]=Games!P54, "Y", "N")),"")</f>
        <v>Y</v>
      </c>
      <c r="V55" s="150" t="str">
        <f>IF(ISBLANK(Games!AC54), "",IF('Prediction Log'!$I55='Prediction Log'!$L55, "Y", "N"))</f>
        <v>N</v>
      </c>
      <c r="W55" s="149" t="str">
        <f>IF(ISNUMBER(Table3[[#This Row],[Predicted Spread]]), IF(OR(Table3[[#This Row],[Model Spread Correct]]="",ISBLANK(Games!AC54)), "",IF('Prediction Log'!$H55&lt;&gt;'Prediction Log'!$L55, "N",IF(AND('Prediction Log'!$E55&gt;0, 'Prediction Log'!$M55&gt;'Prediction Log'!$E55, 'Prediction Log'!$H55='Prediction Log'!$C55), "Y", IF(AND('Prediction Log'!$E55&lt;0, 'Prediction Log'!$M55&lt;'Prediction Log'!$E55,'Prediction Log'!$H55='Prediction Log'!$B55 ), "Y", IF('Prediction Log'!$M55='Prediction Log'!$E55, "PUSH", "N"))))), "")</f>
        <v>N</v>
      </c>
      <c r="X55" s="149" t="str">
        <f>IF(ISNUMBER(Table3[[#This Row],[Predicted Spread]]), IF(OR(Table3[[#This Row],[Model Spread Correct]]="",ISBLANK(Games!AC54)), "",IF(AND('Prediction Log'!$T55="Y", 'Prediction Log'!$U55="Y"), "Y", "N")), "")</f>
        <v>Y</v>
      </c>
      <c r="Y55" s="148" t="n">
        <f>IFERROR(IF(ISNUMBER(Table3[[#This Row],[Predicted Spread]]), IF(ISBLANK(Games!AC54), "",IF('Prediction Log'!$D55&gt;0, 'Prediction Log'!$M55-'Prediction Log'!$D55, IF('Prediction Log'!$D55&lt;0, -'Prediction Log'!$M55+'Prediction Log'!$D55, "NA"))), ""), "")</f>
        <v>3</v>
      </c>
      <c r="Z55" s="148" t="n">
        <f>IF(ISNUMBER(Table3[[#This Row],[Difference from Market]]), IF(ISBLANK(Games!AC54), "",ABS('Prediction Log'!$Y55)), "")</f>
        <v>3</v>
      </c>
      <c r="AA55" s="139" t="n">
        <f>IF(ISNUMBER(Table3[[#This Row],[Predicted Spread]]), IF(ISBLANK(Games!AC54), "",IF('Prediction Log'!$E55&gt;0, 'Prediction Log'!$M55-'Prediction Log'!$E55, IF('Prediction Log'!$E55&lt;0, -'Prediction Log'!$M55+'Prediction Log'!$E55, "NA"))), "")</f>
        <v>-9.5</v>
      </c>
      <c r="AB55" s="139" t="n">
        <f>IF(ISNUMBER(Table3[[#This Row],[Difference from Prediction]]), IF(ISBLANK(Games!AD54), "",ABS('Prediction Log'!$AA55)), "")</f>
        <v>9.5</v>
      </c>
      <c r="AC55" s="164" t="str">
        <f>IF(ISNUMBER(Table3[[#This Row],[Predicted Spread]]), IF(OR(ISBLANK(Games!AC54),Table3[[#This Row],[Market Side Correct]]="",ISBLANK('Prediction Log'!$L55)), "",IF(OR(AND('Prediction Log'!D55&lt;0, 'Prediction Log'!L55='Prediction Log'!B55), AND('Prediction Log'!D55&gt;0, 'Prediction Log'!C55='Prediction Log'!L55)),"Y", IF(ISBLANK(Games!$B$2), "","N"))), "")</f>
        <v>Y</v>
      </c>
      <c r="AD55" s="159" t="str">
        <f>'Prediction Log'!$S55</f>
        <v>Y</v>
      </c>
    </row>
    <row r="56">
      <c r="A56" s="165" t="n">
        <f>IF(ISBLANK(Games!$B55), "",Games!A55)</f>
        <v>1</v>
      </c>
      <c r="B56" s="165" t="str">
        <f>IF(ISBLANK(Games!$B55), "",Games!B55)</f>
        <v>UT San Antonio</v>
      </c>
      <c r="C56" s="165" t="str">
        <f>IF(ISBLANK(Games!$B55), "",Games!C55)</f>
        <v>Kennesaw State</v>
      </c>
      <c r="D56" s="140" t="n">
        <f>IF(ISBLANK(Games!$D55), "",IF(_xlfn.NUMBERVALUE(Games!D55)=0, "",_xlfn.NUMBERVALUE(Games!D55) ))</f>
        <v>-24</v>
      </c>
      <c r="E56" s="138" t="n">
        <f>IF(ISBLANK(_xlfn.NUMBERVALUE(Games!$B55)), "",_xlfn.NUMBERVALUE(Games!J55))</f>
        <v>-18.257670405506801</v>
      </c>
      <c r="F56" s="141" t="n">
        <f>IFERROR(IF(ISBLANK(Games!B55), "", IF(Games!N55=Games!B55, Games!O55, 1-Games!O55)), "")</f>
        <v>0.94859824845739149</v>
      </c>
      <c r="G56" s="142" t="str">
        <f>IF(OR(ISBLANK(Games!B55),Table3[[#This Row],[Spread]]=""), "", IF('Prediction Log'!$D56&lt;0, 'Prediction Log'!$B56, 'Prediction Log'!$C56))</f>
        <v>UT San Antonio</v>
      </c>
      <c r="H56" s="143" t="str">
        <f>IF(ISBLANK(Games!$B55), "",Games!K55)</f>
        <v>UT San Antonio</v>
      </c>
      <c r="I56" s="143" t="str">
        <f>IF('Prediction Log'!$F56&gt;0.5, 'Prediction Log'!$B56, IF('Prediction Log'!$F56&lt;0.5, 'Prediction Log'!$C56, "PICK"))</f>
        <v>UT San Antonio</v>
      </c>
      <c r="J56" s="144" t="n">
        <f>IF(ISBLANK(Games!B55), "",IF('Prediction Log'!$I56='Prediction Log'!$B56, 'Prediction Log'!$F56, 1-'Prediction Log'!$F56))</f>
        <v>0.94859824845739149</v>
      </c>
      <c r="K56" s="145" t="str">
        <f>IF(ISBLANK(Games!$B55), "",Games!Q55)</f>
        <v>Y</v>
      </c>
      <c r="L56" s="124" t="str">
        <f>IF(ISBLANK(Games!AC55), "",Games!AE55)</f>
        <v>UT San Antonio</v>
      </c>
      <c r="M56" s="161" t="n">
        <f>IF(ISBLANK(Games!AC55), "",Games!AD55-Games!AC55)</f>
        <v>-12</v>
      </c>
      <c r="N56" s="146" t="str">
        <f>IF(ISNUMBER(Table3[[#This Row],[Predicted Spread]]), IF(OR(ISBLANK(Games!AC55),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56" s="147" t="str">
        <f>IF(ISNUMBER(Table3[[#This Row],[Predicted Spread]]), IF(OR(ISBLANK(Games!AC55),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56" s="147" t="str">
        <f>IF(ISNUMBER(Table3[[#This Row],[Predicted Spread]]), IF(ISBLANK(Games!AC55),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56" s="148" t="str">
        <f>IF(OR(ISBLANK(Games!AC55), Table3[[#This Row],[Spread]]=""),"",IF('Prediction Log'!$L56='Prediction Log'!$G56, "Y", "N"))</f>
        <v>Y</v>
      </c>
      <c r="R56" s="148" t="str">
        <f>IF(ISNUMBER(Table3[[#This Row],[Predicted Spread]]), Table3[[#This Row],[Home Team Covered Market]],"")</f>
        <v>N</v>
      </c>
      <c r="S56" s="148" t="str">
        <f>IF(ISNUMBER(Table3[[#This Row],[Predicted Spread]]), IF(OR(Table3[[#This Row],[Market Side Correct]]="",ISBLANK(Games!AC55)), "",IF(AND('Prediction Log'!$Q56="Y", 'Prediction Log'!$R56="Y"), "Y", "N")),"")</f>
        <v>N</v>
      </c>
      <c r="T56" s="149" t="str">
        <f>IF(ISNUMBER(Table3[[#This Row],[Predicted Spread]]), IF(ISBLANK(Games!AC55),"",IF(Games!AE55='Prediction Log'!$H56, "Y", "N")), "")</f>
        <v>Y</v>
      </c>
      <c r="U56" s="149" t="str">
        <f>IF(ISNUMBER(Table3[[#This Row],[Predicted Spread]]), IF(OR(Table3[[#This Row],[Spread]]="",ISBLANK(Games!AC55)), "", IF(Table3[[#This Row],[Home Team Covered Market]]=Games!P55, "Y", "N")),"")</f>
        <v>N</v>
      </c>
      <c r="V56" s="150" t="str">
        <f>IF(ISBLANK(Games!AC55), "",IF('Prediction Log'!$I56='Prediction Log'!$L56, "Y", "N"))</f>
        <v>Y</v>
      </c>
      <c r="W56" s="149" t="str">
        <f>IF(ISNUMBER(Table3[[#This Row],[Predicted Spread]]), IF(OR(Table3[[#This Row],[Model Spread Correct]]="",ISBLANK(Games!AC55)), "",IF('Prediction Log'!$H56&lt;&gt;'Prediction Log'!$L56, "N",IF(AND('Prediction Log'!$E56&gt;0, 'Prediction Log'!$M56&gt;'Prediction Log'!$E56, 'Prediction Log'!$H56='Prediction Log'!$C56), "Y", IF(AND('Prediction Log'!$E56&lt;0, 'Prediction Log'!$M56&lt;'Prediction Log'!$E56,'Prediction Log'!$H56='Prediction Log'!$B56 ), "Y", IF('Prediction Log'!$M56='Prediction Log'!$E56, "PUSH", "N"))))), "")</f>
        <v>N</v>
      </c>
      <c r="X56" s="149" t="str">
        <f>IF(ISNUMBER(Table3[[#This Row],[Predicted Spread]]), IF(OR(Table3[[#This Row],[Model Spread Correct]]="",ISBLANK(Games!AC55)), "",IF(AND('Prediction Log'!$T56="Y", 'Prediction Log'!$U56="Y"), "Y", "N")), "")</f>
        <v>N</v>
      </c>
      <c r="Y56" s="148" t="n">
        <f>IFERROR(IF(ISNUMBER(Table3[[#This Row],[Predicted Spread]]), IF(ISBLANK(Games!AC55), "",IF('Prediction Log'!$D56&gt;0, 'Prediction Log'!$M56-'Prediction Log'!$D56, IF('Prediction Log'!$D56&lt;0, -'Prediction Log'!$M56+'Prediction Log'!$D56, "NA"))), ""), "")</f>
        <v>-12</v>
      </c>
      <c r="Z56" s="148" t="n">
        <f>IF(ISNUMBER(Table3[[#This Row],[Difference from Market]]), IF(ISBLANK(Games!AC55), "",ABS('Prediction Log'!$Y56)), "")</f>
        <v>12</v>
      </c>
      <c r="AA56" s="139" t="n">
        <f>IF(ISNUMBER(Table3[[#This Row],[Predicted Spread]]), IF(ISBLANK(Games!AC55), "",IF('Prediction Log'!$E56&gt;0, 'Prediction Log'!$M56-'Prediction Log'!$E56, IF('Prediction Log'!$E56&lt;0, -'Prediction Log'!$M56+'Prediction Log'!$E56, "NA"))), "")</f>
        <v>-6.2576704055068006</v>
      </c>
      <c r="AB56" s="139" t="n">
        <f>IF(ISNUMBER(Table3[[#This Row],[Difference from Prediction]]), IF(ISBLANK(Games!AD55), "",ABS('Prediction Log'!$AA56)), "")</f>
        <v>6.2576704055068006</v>
      </c>
      <c r="AC56" s="164" t="str">
        <f>IF(ISNUMBER(Table3[[#This Row],[Predicted Spread]]), IF(OR(ISBLANK(Games!AC55),Table3[[#This Row],[Market Side Correct]]="",ISBLANK('Prediction Log'!$L56)), "",IF(OR(AND('Prediction Log'!D56&lt;0, 'Prediction Log'!L56='Prediction Log'!B56), AND('Prediction Log'!D56&gt;0, 'Prediction Log'!C56='Prediction Log'!L56)),"Y", IF(ISBLANK(Games!$B$2), "","N"))), "")</f>
        <v>Y</v>
      </c>
      <c r="AD56" s="159" t="str">
        <f>'Prediction Log'!$S56</f>
        <v>N</v>
      </c>
    </row>
    <row r="57">
      <c r="A57" s="165" t="n">
        <f>IF(ISBLANK(Games!$B56), "",Games!A56)</f>
        <v>1</v>
      </c>
      <c r="B57" s="165" t="str">
        <f>IF(ISBLANK(Games!$B56), "",Games!B56)</f>
        <v>Syracuse</v>
      </c>
      <c r="C57" s="165" t="str">
        <f>IF(ISBLANK(Games!$B56), "",Games!C56)</f>
        <v>Ohio</v>
      </c>
      <c r="D57" s="140" t="n">
        <f>IF(ISBLANK(Games!$D56), "",IF(_xlfn.NUMBERVALUE(Games!D56)=0, "",_xlfn.NUMBERVALUE(Games!D56) ))</f>
        <v>-17.5</v>
      </c>
      <c r="E57" s="138" t="n">
        <f>IF(ISBLANK(_xlfn.NUMBERVALUE(Games!$B56)), "",_xlfn.NUMBERVALUE(Games!J56))</f>
        <v>-12.5</v>
      </c>
      <c r="F57" s="141" t="n">
        <f>IFERROR(IF(ISBLANK(Games!B56), "", IF(Games!N56=Games!B56, Games!O56, 1-Games!O56)), "")</f>
        <v>0.45391955199925815</v>
      </c>
      <c r="G57" s="142" t="str">
        <f>IF(OR(ISBLANK(Games!B56),Table3[[#This Row],[Spread]]=""), "", IF('Prediction Log'!$D57&lt;0, 'Prediction Log'!$B57, 'Prediction Log'!$C57))</f>
        <v>Syracuse</v>
      </c>
      <c r="H57" s="143" t="str">
        <f>IF(ISBLANK(Games!$B56), "",Games!K56)</f>
        <v>Syracuse</v>
      </c>
      <c r="I57" s="143" t="str">
        <f>IF('Prediction Log'!$F57&gt;0.5, 'Prediction Log'!$B57, IF('Prediction Log'!$F57&lt;0.5, 'Prediction Log'!$C57, "PICK"))</f>
        <v>Ohio</v>
      </c>
      <c r="J57" s="144" t="n">
        <f>IF(ISBLANK(Games!B56), "",IF('Prediction Log'!$I57='Prediction Log'!$B57, 'Prediction Log'!$F57, 1-'Prediction Log'!$F57))</f>
        <v>0.54608044800074185</v>
      </c>
      <c r="K57" s="145" t="str">
        <f>IF(ISBLANK(Games!$B56), "",Games!Q56)</f>
        <v>Y</v>
      </c>
      <c r="L57" s="124" t="str">
        <f>IF(ISBLANK(Games!AC56), "",Games!AE56)</f>
        <v>Syracuse</v>
      </c>
      <c r="M57" s="161" t="n">
        <f>IF(ISBLANK(Games!AC56), "",Games!AD56-Games!AC56)</f>
        <v>-16</v>
      </c>
      <c r="N57" s="146" t="str">
        <f>IF(ISNUMBER(Table3[[#This Row],[Predicted Spread]]), IF(OR(ISBLANK(Games!AC56),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57" s="147" t="str">
        <f>IF(ISNUMBER(Table3[[#This Row],[Predicted Spread]]), IF(OR(ISBLANK(Games!AC56),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57" s="147" t="str">
        <f>IF(ISNUMBER(Table3[[#This Row],[Predicted Spread]]), IF(ISBLANK(Games!AC56),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57" s="148" t="str">
        <f>IF(OR(ISBLANK(Games!AC56), Table3[[#This Row],[Spread]]=""),"",IF('Prediction Log'!$L57='Prediction Log'!$G57, "Y", "N"))</f>
        <v>Y</v>
      </c>
      <c r="R57" s="148" t="str">
        <f>IF(ISNUMBER(Table3[[#This Row],[Predicted Spread]]), Table3[[#This Row],[Home Team Covered Market]],"")</f>
        <v>N</v>
      </c>
      <c r="S57" s="148" t="str">
        <f>IF(ISNUMBER(Table3[[#This Row],[Predicted Spread]]), IF(OR(Table3[[#This Row],[Market Side Correct]]="",ISBLANK(Games!AC56)), "",IF(AND('Prediction Log'!$Q57="Y", 'Prediction Log'!$R57="Y"), "Y", "N")),"")</f>
        <v>N</v>
      </c>
      <c r="T57" s="149" t="str">
        <f>IF(ISNUMBER(Table3[[#This Row],[Predicted Spread]]), IF(ISBLANK(Games!AC56),"",IF(Games!AE56='Prediction Log'!$H57, "Y", "N")), "")</f>
        <v>Y</v>
      </c>
      <c r="U57" s="149" t="str">
        <f>IF(ISNUMBER(Table3[[#This Row],[Predicted Spread]]), IF(OR(Table3[[#This Row],[Spread]]="",ISBLANK(Games!AC56)), "", IF(Table3[[#This Row],[Home Team Covered Market]]=Games!P56, "Y", "N")),"")</f>
        <v>N</v>
      </c>
      <c r="V57" s="150" t="str">
        <f>IF(ISBLANK(Games!AC56), "",IF('Prediction Log'!$I57='Prediction Log'!$L57, "Y", "N"))</f>
        <v>N</v>
      </c>
      <c r="W57" s="149" t="str">
        <f>IF(ISNUMBER(Table3[[#This Row],[Predicted Spread]]), IF(OR(Table3[[#This Row],[Model Spread Correct]]="",ISBLANK(Games!AC56)), "",IF('Prediction Log'!$H57&lt;&gt;'Prediction Log'!$L57, "N",IF(AND('Prediction Log'!$E57&gt;0, 'Prediction Log'!$M57&gt;'Prediction Log'!$E57, 'Prediction Log'!$H57='Prediction Log'!$C57), "Y", IF(AND('Prediction Log'!$E57&lt;0, 'Prediction Log'!$M57&lt;'Prediction Log'!$E57,'Prediction Log'!$H57='Prediction Log'!$B57 ), "Y", IF('Prediction Log'!$M57='Prediction Log'!$E57, "PUSH", "N"))))), "")</f>
        <v>Y</v>
      </c>
      <c r="X57" s="149" t="str">
        <f>IF(ISNUMBER(Table3[[#This Row],[Predicted Spread]]), IF(OR(Table3[[#This Row],[Model Spread Correct]]="",ISBLANK(Games!AC56)), "",IF(AND('Prediction Log'!$T57="Y", 'Prediction Log'!$U57="Y"), "Y", "N")), "")</f>
        <v>N</v>
      </c>
      <c r="Y57" s="148" t="n">
        <f>IFERROR(IF(ISNUMBER(Table3[[#This Row],[Predicted Spread]]), IF(ISBLANK(Games!AC56), "",IF('Prediction Log'!$D57&gt;0, 'Prediction Log'!$M57-'Prediction Log'!$D57, IF('Prediction Log'!$D57&lt;0, -'Prediction Log'!$M57+'Prediction Log'!$D57, "NA"))), ""), "")</f>
        <v>-1.5</v>
      </c>
      <c r="Z57" s="148" t="n">
        <f>IF(ISNUMBER(Table3[[#This Row],[Difference from Market]]), IF(ISBLANK(Games!AC56), "",ABS('Prediction Log'!$Y57)), "")</f>
        <v>1.5</v>
      </c>
      <c r="AA57" s="139" t="n">
        <f>IF(ISNUMBER(Table3[[#This Row],[Predicted Spread]]), IF(ISBLANK(Games!AC56), "",IF('Prediction Log'!$E57&gt;0, 'Prediction Log'!$M57-'Prediction Log'!$E57, IF('Prediction Log'!$E57&lt;0, -'Prediction Log'!$M57+'Prediction Log'!$E57, "NA"))), "")</f>
        <v>3.5</v>
      </c>
      <c r="AB57" s="139" t="n">
        <f>IF(ISNUMBER(Table3[[#This Row],[Difference from Prediction]]), IF(ISBLANK(Games!AD56), "",ABS('Prediction Log'!$AA57)), "")</f>
        <v>3.5</v>
      </c>
      <c r="AC57" s="164" t="str">
        <f>IF(ISNUMBER(Table3[[#This Row],[Predicted Spread]]), IF(OR(ISBLANK(Games!AC56),Table3[[#This Row],[Market Side Correct]]="",ISBLANK('Prediction Log'!$L57)), "",IF(OR(AND('Prediction Log'!D57&lt;0, 'Prediction Log'!L57='Prediction Log'!B57), AND('Prediction Log'!D57&gt;0, 'Prediction Log'!C57='Prediction Log'!L57)),"Y", IF(ISBLANK(Games!$B$2), "","N"))), "")</f>
        <v>Y</v>
      </c>
      <c r="AD57" s="159" t="str">
        <f>'Prediction Log'!$S57</f>
        <v>N</v>
      </c>
    </row>
    <row r="58">
      <c r="A58" s="165" t="n">
        <f>IF(ISBLANK(Games!$B57), "",Games!A57)</f>
        <v>1</v>
      </c>
      <c r="B58" s="165" t="str">
        <f>IF(ISBLANK(Games!$B57), "",Games!B57)</f>
        <v>Florida</v>
      </c>
      <c r="C58" s="165" t="str">
        <f>IF(ISBLANK(Games!$B57), "",Games!C57)</f>
        <v>Miami</v>
      </c>
      <c r="D58" s="140" t="n">
        <f>IF(ISBLANK(Games!$D57), "",IF(_xlfn.NUMBERVALUE(Games!D57)=0, "",_xlfn.NUMBERVALUE(Games!D57) ))</f>
        <v>2.5</v>
      </c>
      <c r="E58" s="138" t="n">
        <f>IF(ISBLANK(_xlfn.NUMBERVALUE(Games!$B57)), "",_xlfn.NUMBERVALUE(Games!J57))</f>
        <v>0.7</v>
      </c>
      <c r="F58" s="141" t="n">
        <f>IFERROR(IF(ISBLANK(Games!B57), "", IF(Games!N57=Games!B57, Games!O57, 1-Games!O57)), "")</f>
        <v>0.59466691018927809</v>
      </c>
      <c r="G58" s="142" t="str">
        <f>IF(OR(ISBLANK(Games!B57),Table3[[#This Row],[Spread]]=""), "", IF('Prediction Log'!$D58&lt;0, 'Prediction Log'!$B58, 'Prediction Log'!$C58))</f>
        <v>Miami</v>
      </c>
      <c r="H58" s="143" t="str">
        <f>IF(ISBLANK(Games!$B57), "",Games!K57)</f>
        <v>Miami</v>
      </c>
      <c r="I58" s="143" t="str">
        <f>IF('Prediction Log'!$F58&gt;0.5, 'Prediction Log'!$B58, IF('Prediction Log'!$F58&lt;0.5, 'Prediction Log'!$C58, "PICK"))</f>
        <v>Florida</v>
      </c>
      <c r="J58" s="144" t="n">
        <f>IF(ISBLANK(Games!B57), "",IF('Prediction Log'!$I58='Prediction Log'!$B58, 'Prediction Log'!$F58, 1-'Prediction Log'!$F58))</f>
        <v>0.59466691018927809</v>
      </c>
      <c r="K58" s="145" t="str">
        <f>IF(ISBLANK(Games!$B57), "",Games!Q57)</f>
        <v>N</v>
      </c>
      <c r="L58" s="124" t="str">
        <f>IF(ISBLANK(Games!AC57), "",Games!AE57)</f>
        <v>Miami</v>
      </c>
      <c r="M58" s="161" t="n">
        <f>IF(ISBLANK(Games!AC57), "",Games!AD57-Games!AC57)</f>
        <v>24</v>
      </c>
      <c r="N58" s="146" t="str">
        <f>IF(ISNUMBER(Table3[[#This Row],[Predicted Spread]]), IF(OR(ISBLANK(Games!AC57),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58" s="147" t="str">
        <f>IF(ISNUMBER(Table3[[#This Row],[Predicted Spread]]), IF(OR(ISBLANK(Games!AC57),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58" s="147" t="str">
        <f>IF(ISNUMBER(Table3[[#This Row],[Predicted Spread]]), IF(ISBLANK(Games!AC57),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58" s="148" t="str">
        <f>IF(OR(ISBLANK(Games!AC57), Table3[[#This Row],[Spread]]=""),"",IF('Prediction Log'!$L58='Prediction Log'!$G58, "Y", "N"))</f>
        <v>Y</v>
      </c>
      <c r="R58" s="148" t="str">
        <f>IF(ISNUMBER(Table3[[#This Row],[Predicted Spread]]), Table3[[#This Row],[Home Team Covered Market]],"")</f>
        <v>N</v>
      </c>
      <c r="S58" s="148" t="str">
        <f>IF(ISNUMBER(Table3[[#This Row],[Predicted Spread]]), IF(OR(Table3[[#This Row],[Market Side Correct]]="",ISBLANK(Games!AC57)), "",IF(AND('Prediction Log'!$Q58="Y", 'Prediction Log'!$R58="Y"), "Y", "N")),"")</f>
        <v>N</v>
      </c>
      <c r="T58" s="149" t="str">
        <f>IF(ISNUMBER(Table3[[#This Row],[Predicted Spread]]), IF(ISBLANK(Games!AC57),"",IF(Games!AE57='Prediction Log'!$H58, "Y", "N")), "")</f>
        <v>Y</v>
      </c>
      <c r="U58" s="149" t="str">
        <f>IF(ISNUMBER(Table3[[#This Row],[Predicted Spread]]), IF(OR(Table3[[#This Row],[Spread]]="",ISBLANK(Games!AC57)), "", IF(Table3[[#This Row],[Home Team Covered Market]]=Games!P57, "Y", "N")),"")</f>
        <v>N</v>
      </c>
      <c r="V58" s="150" t="str">
        <f>IF(ISBLANK(Games!AC57), "",IF('Prediction Log'!$I58='Prediction Log'!$L58, "Y", "N"))</f>
        <v>N</v>
      </c>
      <c r="W58" s="149" t="str">
        <f>IF(ISNUMBER(Table3[[#This Row],[Predicted Spread]]), IF(OR(Table3[[#This Row],[Model Spread Correct]]="",ISBLANK(Games!AC57)), "",IF('Prediction Log'!$H58&lt;&gt;'Prediction Log'!$L58, "N",IF(AND('Prediction Log'!$E58&gt;0, 'Prediction Log'!$M58&gt;'Prediction Log'!$E58, 'Prediction Log'!$H58='Prediction Log'!$C58), "Y", IF(AND('Prediction Log'!$E58&lt;0, 'Prediction Log'!$M58&lt;'Prediction Log'!$E58,'Prediction Log'!$H58='Prediction Log'!$B58 ), "Y", IF('Prediction Log'!$M58='Prediction Log'!$E58, "PUSH", "N"))))), "")</f>
        <v>Y</v>
      </c>
      <c r="X58" s="149" t="str">
        <f>IF(ISNUMBER(Table3[[#This Row],[Predicted Spread]]), IF(OR(Table3[[#This Row],[Model Spread Correct]]="",ISBLANK(Games!AC57)), "",IF(AND('Prediction Log'!$T58="Y", 'Prediction Log'!$U58="Y"), "Y", "N")), "")</f>
        <v>N</v>
      </c>
      <c r="Y58" s="148" t="n">
        <f>IFERROR(IF(ISNUMBER(Table3[[#This Row],[Predicted Spread]]), IF(ISBLANK(Games!AC57), "",IF('Prediction Log'!$D58&gt;0, 'Prediction Log'!$M58-'Prediction Log'!$D58, IF('Prediction Log'!$D58&lt;0, -'Prediction Log'!$M58+'Prediction Log'!$D58, "NA"))), ""), "")</f>
        <v>21.5</v>
      </c>
      <c r="Z58" s="148" t="n">
        <f>IF(ISNUMBER(Table3[[#This Row],[Difference from Market]]), IF(ISBLANK(Games!AC57), "",ABS('Prediction Log'!$Y58)), "")</f>
        <v>21.5</v>
      </c>
      <c r="AA58" s="139" t="n">
        <f>IF(ISNUMBER(Table3[[#This Row],[Predicted Spread]]), IF(ISBLANK(Games!AC57), "",IF('Prediction Log'!$E58&gt;0, 'Prediction Log'!$M58-'Prediction Log'!$E58, IF('Prediction Log'!$E58&lt;0, -'Prediction Log'!$M58+'Prediction Log'!$E58, "NA"))), "")</f>
        <v>23.3</v>
      </c>
      <c r="AB58" s="139" t="n">
        <f>IF(ISNUMBER(Table3[[#This Row],[Difference from Prediction]]), IF(ISBLANK(Games!AD57), "",ABS('Prediction Log'!$AA58)), "")</f>
        <v>23.3</v>
      </c>
      <c r="AC58" s="164" t="str">
        <f>IF(ISNUMBER(Table3[[#This Row],[Predicted Spread]]), IF(OR(ISBLANK(Games!AC57),Table3[[#This Row],[Market Side Correct]]="",ISBLANK('Prediction Log'!$L58)), "",IF(OR(AND('Prediction Log'!D58&lt;0, 'Prediction Log'!L58='Prediction Log'!B58), AND('Prediction Log'!D58&gt;0, 'Prediction Log'!C58='Prediction Log'!L58)),"Y", IF(ISBLANK(Games!$B$2), "","N"))), "")</f>
        <v>Y</v>
      </c>
      <c r="AD58" s="159" t="str">
        <f>'Prediction Log'!$S58</f>
        <v>N</v>
      </c>
    </row>
    <row r="59">
      <c r="A59" s="165" t="n">
        <f>IF(ISBLANK(Games!$B58), "",Games!A58)</f>
        <v>1</v>
      </c>
      <c r="B59" s="165" t="str">
        <f>IF(ISBLANK(Games!$B58), "",Games!B58)</f>
        <v>Appalachian State</v>
      </c>
      <c r="C59" s="165" t="str">
        <f>IF(ISBLANK(Games!$B58), "",Games!C58)</f>
        <v>East Tennessee State</v>
      </c>
      <c r="D59" s="140" t="n">
        <f>IF(ISBLANK(Games!$D58), "",IF(_xlfn.NUMBERVALUE(Games!D58)=0, "",_xlfn.NUMBERVALUE(Games!D58) ))</f>
        <v>-34.5</v>
      </c>
      <c r="E59" s="138" t="n">
        <f>IF(ISBLANK(_xlfn.NUMBERVALUE(Games!$B58)), "",_xlfn.NUMBERVALUE(Games!J58))</f>
        <v>-27.708633939054401</v>
      </c>
      <c r="F59" s="141" t="n">
        <f>IFERROR(IF(ISBLANK(Games!B58), "", IF(Games!N58=Games!B58, Games!O58, 1-Games!O58)), "")</f>
        <v>0.98628447064828917</v>
      </c>
      <c r="G59" s="142" t="str">
        <f>IF(OR(ISBLANK(Games!B58),Table3[[#This Row],[Spread]]=""), "", IF('Prediction Log'!$D59&lt;0, 'Prediction Log'!$B59, 'Prediction Log'!$C59))</f>
        <v>Appalachian State</v>
      </c>
      <c r="H59" s="143" t="str">
        <f>IF(ISBLANK(Games!$B58), "",Games!K58)</f>
        <v>Appalachian State</v>
      </c>
      <c r="I59" s="143" t="str">
        <f>IF('Prediction Log'!$F59&gt;0.5, 'Prediction Log'!$B59, IF('Prediction Log'!$F59&lt;0.5, 'Prediction Log'!$C59, "PICK"))</f>
        <v>Appalachian State</v>
      </c>
      <c r="J59" s="144" t="n">
        <f>IF(ISBLANK(Games!B58), "",IF('Prediction Log'!$I59='Prediction Log'!$B59, 'Prediction Log'!$F59, 1-'Prediction Log'!$F59))</f>
        <v>0.98628447064828917</v>
      </c>
      <c r="K59" s="145" t="str">
        <f>IF(ISBLANK(Games!$B58), "",Games!Q58)</f>
        <v>N</v>
      </c>
      <c r="L59" s="124" t="str">
        <f>IF(ISBLANK(Games!AC58), "",Games!AE58)</f>
        <v>Appalachian State</v>
      </c>
      <c r="M59" s="161" t="n">
        <f>IF(ISBLANK(Games!AC58), "",Games!AD58-Games!AC58)</f>
        <v>-28</v>
      </c>
      <c r="N59" s="146" t="str">
        <f>IF(ISNUMBER(Table3[[#This Row],[Predicted Spread]]), IF(OR(ISBLANK(Games!AC58),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59" s="147" t="str">
        <f>IF(ISNUMBER(Table3[[#This Row],[Predicted Spread]]), IF(OR(ISBLANK(Games!AC58),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59" s="147" t="str">
        <f>IF(ISNUMBER(Table3[[#This Row],[Predicted Spread]]), IF(ISBLANK(Games!AC58),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59" s="148" t="str">
        <f>IF(OR(ISBLANK(Games!AC58), Table3[[#This Row],[Spread]]=""),"",IF('Prediction Log'!$L59='Prediction Log'!$G59, "Y", "N"))</f>
        <v>Y</v>
      </c>
      <c r="R59" s="148" t="str">
        <f>IF(ISNUMBER(Table3[[#This Row],[Predicted Spread]]), Table3[[#This Row],[Home Team Covered Market]],"")</f>
        <v>N</v>
      </c>
      <c r="S59" s="148" t="str">
        <f>IF(ISNUMBER(Table3[[#This Row],[Predicted Spread]]), IF(OR(Table3[[#This Row],[Market Side Correct]]="",ISBLANK(Games!AC58)), "",IF(AND('Prediction Log'!$Q59="Y", 'Prediction Log'!$R59="Y"), "Y", "N")),"")</f>
        <v>N</v>
      </c>
      <c r="T59" s="149" t="str">
        <f>IF(ISNUMBER(Table3[[#This Row],[Predicted Spread]]), IF(ISBLANK(Games!AC58),"",IF(Games!AE58='Prediction Log'!$H59, "Y", "N")), "")</f>
        <v>Y</v>
      </c>
      <c r="U59" s="149" t="str">
        <f>IF(ISNUMBER(Table3[[#This Row],[Predicted Spread]]), IF(OR(Table3[[#This Row],[Spread]]="",ISBLANK(Games!AC58)), "", IF(Table3[[#This Row],[Home Team Covered Market]]=Games!P58, "Y", "N")),"")</f>
        <v>Y</v>
      </c>
      <c r="V59" s="150" t="str">
        <f>IF(ISBLANK(Games!AC58), "",IF('Prediction Log'!$I59='Prediction Log'!$L59, "Y", "N"))</f>
        <v>Y</v>
      </c>
      <c r="W59" s="149" t="str">
        <f>IF(ISNUMBER(Table3[[#This Row],[Predicted Spread]]), IF(OR(Table3[[#This Row],[Model Spread Correct]]="",ISBLANK(Games!AC58)), "",IF('Prediction Log'!$H59&lt;&gt;'Prediction Log'!$L59, "N",IF(AND('Prediction Log'!$E59&gt;0, 'Prediction Log'!$M59&gt;'Prediction Log'!$E59, 'Prediction Log'!$H59='Prediction Log'!$C59), "Y", IF(AND('Prediction Log'!$E59&lt;0, 'Prediction Log'!$M59&lt;'Prediction Log'!$E59,'Prediction Log'!$H59='Prediction Log'!$B59 ), "Y", IF('Prediction Log'!$M59='Prediction Log'!$E59, "PUSH", "N"))))), "")</f>
        <v>Y</v>
      </c>
      <c r="X59" s="149" t="str">
        <f>IF(ISNUMBER(Table3[[#This Row],[Predicted Spread]]), IF(OR(Table3[[#This Row],[Model Spread Correct]]="",ISBLANK(Games!AC58)), "",IF(AND('Prediction Log'!$T59="Y", 'Prediction Log'!$U59="Y"), "Y", "N")), "")</f>
        <v>Y</v>
      </c>
      <c r="Y59" s="148" t="n">
        <f>IFERROR(IF(ISNUMBER(Table3[[#This Row],[Predicted Spread]]), IF(ISBLANK(Games!AC58), "",IF('Prediction Log'!$D59&gt;0, 'Prediction Log'!$M59-'Prediction Log'!$D59, IF('Prediction Log'!$D59&lt;0, -'Prediction Log'!$M59+'Prediction Log'!$D59, "NA"))), ""), "")</f>
        <v>-6.5</v>
      </c>
      <c r="Z59" s="148" t="n">
        <f>IF(ISNUMBER(Table3[[#This Row],[Difference from Market]]), IF(ISBLANK(Games!AC58), "",ABS('Prediction Log'!$Y59)), "")</f>
        <v>6.5</v>
      </c>
      <c r="AA59" s="139" t="n">
        <f>IF(ISNUMBER(Table3[[#This Row],[Predicted Spread]]), IF(ISBLANK(Games!AC58), "",IF('Prediction Log'!$E59&gt;0, 'Prediction Log'!$M59-'Prediction Log'!$E59, IF('Prediction Log'!$E59&lt;0, -'Prediction Log'!$M59+'Prediction Log'!$E59, "NA"))), "")</f>
        <v>0.2913660609455988</v>
      </c>
      <c r="AB59" s="139" t="n">
        <f>IF(ISNUMBER(Table3[[#This Row],[Difference from Prediction]]), IF(ISBLANK(Games!AD58), "",ABS('Prediction Log'!$AA59)), "")</f>
        <v>0.2913660609455988</v>
      </c>
      <c r="AC59" s="164" t="str">
        <f>IF(ISNUMBER(Table3[[#This Row],[Predicted Spread]]), IF(OR(ISBLANK(Games!AC58),Table3[[#This Row],[Market Side Correct]]="",ISBLANK('Prediction Log'!$L59)), "",IF(OR(AND('Prediction Log'!D59&lt;0, 'Prediction Log'!L59='Prediction Log'!B59), AND('Prediction Log'!D59&gt;0, 'Prediction Log'!C59='Prediction Log'!L59)),"Y", IF(ISBLANK(Games!$B$2), "","N"))), "")</f>
        <v>Y</v>
      </c>
      <c r="AD59" s="159" t="str">
        <f>'Prediction Log'!$S59</f>
        <v>N</v>
      </c>
    </row>
    <row r="60">
      <c r="A60" s="165" t="n">
        <f>IF(ISBLANK(Games!$B59), "",Games!A59)</f>
        <v>1</v>
      </c>
      <c r="B60" s="165" t="str">
        <f>IF(ISBLANK(Games!$B59), "",Games!B59)</f>
        <v>Air Force</v>
      </c>
      <c r="C60" s="165" t="str">
        <f>IF(ISBLANK(Games!$B59), "",Games!C59)</f>
        <v>Merrimack</v>
      </c>
      <c r="D60" s="140" t="n">
        <f>IF(ISBLANK(Games!$D59), "",IF(_xlfn.NUMBERVALUE(Games!D59)=0, "",_xlfn.NUMBERVALUE(Games!D59) ))</f>
        <v>-29.5</v>
      </c>
      <c r="E60" s="138" t="n">
        <f>IF(ISBLANK(_xlfn.NUMBERVALUE(Games!$B59)), "",_xlfn.NUMBERVALUE(Games!J59))</f>
        <v>-18.0024122748708</v>
      </c>
      <c r="F60" s="141" t="n">
        <f>IFERROR(IF(ISBLANK(Games!B59), "", IF(Games!N59=Games!B59, Games!O59, 1-Games!O59)), "")</f>
        <v>0.94677728063592437</v>
      </c>
      <c r="G60" s="142" t="str">
        <f>IF(OR(ISBLANK(Games!B59),Table3[[#This Row],[Spread]]=""), "", IF('Prediction Log'!$D60&lt;0, 'Prediction Log'!$B60, 'Prediction Log'!$C60))</f>
        <v>Air Force</v>
      </c>
      <c r="H60" s="143" t="str">
        <f>IF(ISBLANK(Games!$B59), "",Games!K59)</f>
        <v>Air Force</v>
      </c>
      <c r="I60" s="143" t="str">
        <f>IF('Prediction Log'!$F60&gt;0.5, 'Prediction Log'!$B60, IF('Prediction Log'!$F60&lt;0.5, 'Prediction Log'!$C60, "PICK"))</f>
        <v>Air Force</v>
      </c>
      <c r="J60" s="144" t="n">
        <f>IF(ISBLANK(Games!B59), "",IF('Prediction Log'!$I60='Prediction Log'!$B60, 'Prediction Log'!$F60, 1-'Prediction Log'!$F60))</f>
        <v>0.94677728063592437</v>
      </c>
      <c r="K60" s="145" t="str">
        <f>IF(ISBLANK(Games!$B59), "",Games!Q59)</f>
        <v>N</v>
      </c>
      <c r="L60" s="124" t="str">
        <f>IF(ISBLANK(Games!AC59), "",Games!AE59)</f>
        <v>Air Force</v>
      </c>
      <c r="M60" s="161" t="n">
        <f>IF(ISBLANK(Games!AC59), "",Games!AD59-Games!AC59)</f>
        <v>-15</v>
      </c>
      <c r="N60" s="146" t="str">
        <f>IF(ISNUMBER(Table3[[#This Row],[Predicted Spread]]), IF(OR(ISBLANK(Games!AC59),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60" s="147" t="str">
        <f>IF(ISNUMBER(Table3[[#This Row],[Predicted Spread]]), IF(OR(ISBLANK(Games!AC59),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60" s="147" t="str">
        <f>IF(ISNUMBER(Table3[[#This Row],[Predicted Spread]]), IF(ISBLANK(Games!AC59),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60" s="148" t="str">
        <f>IF(OR(ISBLANK(Games!AC59), Table3[[#This Row],[Spread]]=""),"",IF('Prediction Log'!$L60='Prediction Log'!$G60, "Y", "N"))</f>
        <v>Y</v>
      </c>
      <c r="R60" s="148" t="str">
        <f>IF(ISNUMBER(Table3[[#This Row],[Predicted Spread]]), Table3[[#This Row],[Home Team Covered Market]],"")</f>
        <v>N</v>
      </c>
      <c r="S60" s="148" t="str">
        <f>IF(ISNUMBER(Table3[[#This Row],[Predicted Spread]]), IF(OR(Table3[[#This Row],[Market Side Correct]]="",ISBLANK(Games!AC59)), "",IF(AND('Prediction Log'!$Q60="Y", 'Prediction Log'!$R60="Y"), "Y", "N")),"")</f>
        <v>N</v>
      </c>
      <c r="T60" s="149" t="str">
        <f>IF(ISNUMBER(Table3[[#This Row],[Predicted Spread]]), IF(ISBLANK(Games!AC59),"",IF(Games!AE59='Prediction Log'!$H60, "Y", "N")), "")</f>
        <v>Y</v>
      </c>
      <c r="U60" s="149" t="str">
        <f>IF(ISNUMBER(Table3[[#This Row],[Predicted Spread]]), IF(OR(Table3[[#This Row],[Spread]]="",ISBLANK(Games!AC59)), "", IF(Table3[[#This Row],[Home Team Covered Market]]=Games!P59, "Y", "N")),"")</f>
        <v>Y</v>
      </c>
      <c r="V60" s="150" t="str">
        <f>IF(ISBLANK(Games!AC59), "",IF('Prediction Log'!$I60='Prediction Log'!$L60, "Y", "N"))</f>
        <v>Y</v>
      </c>
      <c r="W60" s="149" t="str">
        <f>IF(ISNUMBER(Table3[[#This Row],[Predicted Spread]]), IF(OR(Table3[[#This Row],[Model Spread Correct]]="",ISBLANK(Games!AC59)), "",IF('Prediction Log'!$H60&lt;&gt;'Prediction Log'!$L60, "N",IF(AND('Prediction Log'!$E60&gt;0, 'Prediction Log'!$M60&gt;'Prediction Log'!$E60, 'Prediction Log'!$H60='Prediction Log'!$C60), "Y", IF(AND('Prediction Log'!$E60&lt;0, 'Prediction Log'!$M60&lt;'Prediction Log'!$E60,'Prediction Log'!$H60='Prediction Log'!$B60 ), "Y", IF('Prediction Log'!$M60='Prediction Log'!$E60, "PUSH", "N"))))), "")</f>
        <v>N</v>
      </c>
      <c r="X60" s="149" t="str">
        <f>IF(ISNUMBER(Table3[[#This Row],[Predicted Spread]]), IF(OR(Table3[[#This Row],[Model Spread Correct]]="",ISBLANK(Games!AC59)), "",IF(AND('Prediction Log'!$T60="Y", 'Prediction Log'!$U60="Y"), "Y", "N")), "")</f>
        <v>Y</v>
      </c>
      <c r="Y60" s="148" t="n">
        <f>IFERROR(IF(ISNUMBER(Table3[[#This Row],[Predicted Spread]]), IF(ISBLANK(Games!AC59), "",IF('Prediction Log'!$D60&gt;0, 'Prediction Log'!$M60-'Prediction Log'!$D60, IF('Prediction Log'!$D60&lt;0, -'Prediction Log'!$M60+'Prediction Log'!$D60, "NA"))), ""), "")</f>
        <v>-14.5</v>
      </c>
      <c r="Z60" s="148" t="n">
        <f>IF(ISNUMBER(Table3[[#This Row],[Difference from Market]]), IF(ISBLANK(Games!AC59), "",ABS('Prediction Log'!$Y60)), "")</f>
        <v>14.5</v>
      </c>
      <c r="AA60" s="139" t="n">
        <f>IF(ISNUMBER(Table3[[#This Row],[Predicted Spread]]), IF(ISBLANK(Games!AC59), "",IF('Prediction Log'!$E60&gt;0, 'Prediction Log'!$M60-'Prediction Log'!$E60, IF('Prediction Log'!$E60&lt;0, -'Prediction Log'!$M60+'Prediction Log'!$E60, "NA"))), "")</f>
        <v>-3.0024122748707995</v>
      </c>
      <c r="AB60" s="139" t="n">
        <f>IF(ISNUMBER(Table3[[#This Row],[Difference from Prediction]]), IF(ISBLANK(Games!AD59), "",ABS('Prediction Log'!$AA60)), "")</f>
        <v>3.0024122748707995</v>
      </c>
      <c r="AC60" s="164" t="str">
        <f>IF(ISNUMBER(Table3[[#This Row],[Predicted Spread]]), IF(OR(ISBLANK(Games!AC59),Table3[[#This Row],[Market Side Correct]]="",ISBLANK('Prediction Log'!$L60)), "",IF(OR(AND('Prediction Log'!D60&lt;0, 'Prediction Log'!L60='Prediction Log'!B60), AND('Prediction Log'!D60&gt;0, 'Prediction Log'!C60='Prediction Log'!L60)),"Y", IF(ISBLANK(Games!$B$2), "","N"))), "")</f>
        <v>Y</v>
      </c>
      <c r="AD60" s="159" t="str">
        <f>'Prediction Log'!$S60</f>
        <v>N</v>
      </c>
    </row>
    <row r="61">
      <c r="A61" s="165" t="n">
        <f>IF(ISBLANK(Games!$B60), "",Games!A60)</f>
        <v>1</v>
      </c>
      <c r="B61" s="165" t="str">
        <f>IF(ISBLANK(Games!$B60), "",Games!B60)</f>
        <v>Georgia Southern</v>
      </c>
      <c r="C61" s="165" t="str">
        <f>IF(ISBLANK(Games!$B60), "",Games!C60)</f>
        <v>Boise State</v>
      </c>
      <c r="D61" s="140" t="n">
        <f>IF(ISBLANK(Games!$D60), "",IF(_xlfn.NUMBERVALUE(Games!D60)=0, "",_xlfn.NUMBERVALUE(Games!D60) ))</f>
        <v>12</v>
      </c>
      <c r="E61" s="138" t="n">
        <f>IF(ISBLANK(_xlfn.NUMBERVALUE(Games!$B60)), "",_xlfn.NUMBERVALUE(Games!J60))</f>
        <v>23.7</v>
      </c>
      <c r="F61" s="141" t="n">
        <f>IFERROR(IF(ISBLANK(Games!B60), "", IF(Games!N60=Games!B60, Games!O60, 1-Games!O60)), "")</f>
        <v>0.23050192457876884</v>
      </c>
      <c r="G61" s="142" t="str">
        <f>IF(OR(ISBLANK(Games!B60),Table3[[#This Row],[Spread]]=""), "", IF('Prediction Log'!$D61&lt;0, 'Prediction Log'!$B61, 'Prediction Log'!$C61))</f>
        <v>Boise State</v>
      </c>
      <c r="H61" s="143" t="str">
        <f>IF(ISBLANK(Games!$B60), "",Games!K60)</f>
        <v>Boise State</v>
      </c>
      <c r="I61" s="143" t="str">
        <f>IF('Prediction Log'!$F61&gt;0.5, 'Prediction Log'!$B61, IF('Prediction Log'!$F61&lt;0.5, 'Prediction Log'!$C61, "PICK"))</f>
        <v>Boise State</v>
      </c>
      <c r="J61" s="144" t="n">
        <f>IF(ISBLANK(Games!B60), "",IF('Prediction Log'!$I61='Prediction Log'!$B61, 'Prediction Log'!$F61, 1-'Prediction Log'!$F61))</f>
        <v>0.76949807542123116</v>
      </c>
      <c r="K61" s="145" t="str">
        <f>IF(ISBLANK(Games!$B60), "",Games!Q60)</f>
        <v>N</v>
      </c>
      <c r="L61" s="124" t="str">
        <f>IF(ISBLANK(Games!AC60), "",Games!AE60)</f>
        <v>Boise State</v>
      </c>
      <c r="M61" s="161" t="n">
        <f>IF(ISBLANK(Games!AC60), "",Games!AD60-Games!AC60)</f>
        <v>11</v>
      </c>
      <c r="N61" s="146" t="str">
        <f>IF(ISNUMBER(Table3[[#This Row],[Predicted Spread]]), IF(OR(ISBLANK(Games!AC60),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61" s="147" t="str">
        <f>IF(ISNUMBER(Table3[[#This Row],[Predicted Spread]]), IF(OR(ISBLANK(Games!AC60),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61" s="147" t="str">
        <f>IF(ISNUMBER(Table3[[#This Row],[Predicted Spread]]), IF(ISBLANK(Games!AC60),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61" s="148" t="str">
        <f>IF(OR(ISBLANK(Games!AC60), Table3[[#This Row],[Spread]]=""),"",IF('Prediction Log'!$L61='Prediction Log'!$G61, "Y", "N"))</f>
        <v>Y</v>
      </c>
      <c r="R61" s="148" t="str">
        <f>IF(ISNUMBER(Table3[[#This Row],[Predicted Spread]]), Table3[[#This Row],[Home Team Covered Market]],"")</f>
        <v>Y</v>
      </c>
      <c r="S61" s="148" t="str">
        <f>IF(ISNUMBER(Table3[[#This Row],[Predicted Spread]]), IF(OR(Table3[[#This Row],[Market Side Correct]]="",ISBLANK(Games!AC60)), "",IF(AND('Prediction Log'!$Q61="Y", 'Prediction Log'!$R61="Y"), "Y", "N")),"")</f>
        <v>Y</v>
      </c>
      <c r="T61" s="149" t="str">
        <f>IF(ISNUMBER(Table3[[#This Row],[Predicted Spread]]), IF(ISBLANK(Games!AC60),"",IF(Games!AE60='Prediction Log'!$H61, "Y", "N")), "")</f>
        <v>Y</v>
      </c>
      <c r="U61" s="149" t="str">
        <f>IF(ISNUMBER(Table3[[#This Row],[Predicted Spread]]), IF(OR(Table3[[#This Row],[Spread]]="",ISBLANK(Games!AC60)), "", IF(Table3[[#This Row],[Home Team Covered Market]]=Games!P60, "Y", "N")),"")</f>
        <v>Y</v>
      </c>
      <c r="V61" s="150" t="str">
        <f>IF(ISBLANK(Games!AC60), "",IF('Prediction Log'!$I61='Prediction Log'!$L61, "Y", "N"))</f>
        <v>Y</v>
      </c>
      <c r="W61" s="149" t="str">
        <f>IF(ISNUMBER(Table3[[#This Row],[Predicted Spread]]), IF(OR(Table3[[#This Row],[Model Spread Correct]]="",ISBLANK(Games!AC60)), "",IF('Prediction Log'!$H61&lt;&gt;'Prediction Log'!$L61, "N",IF(AND('Prediction Log'!$E61&gt;0, 'Prediction Log'!$M61&gt;'Prediction Log'!$E61, 'Prediction Log'!$H61='Prediction Log'!$C61), "Y", IF(AND('Prediction Log'!$E61&lt;0, 'Prediction Log'!$M61&lt;'Prediction Log'!$E61,'Prediction Log'!$H61='Prediction Log'!$B61 ), "Y", IF('Prediction Log'!$M61='Prediction Log'!$E61, "PUSH", "N"))))), "")</f>
        <v>N</v>
      </c>
      <c r="X61" s="149" t="str">
        <f>IF(ISNUMBER(Table3[[#This Row],[Predicted Spread]]), IF(OR(Table3[[#This Row],[Model Spread Correct]]="",ISBLANK(Games!AC60)), "",IF(AND('Prediction Log'!$T61="Y", 'Prediction Log'!$U61="Y"), "Y", "N")), "")</f>
        <v>Y</v>
      </c>
      <c r="Y61" s="148" t="n">
        <f>IFERROR(IF(ISNUMBER(Table3[[#This Row],[Predicted Spread]]), IF(ISBLANK(Games!AC60), "",IF('Prediction Log'!$D61&gt;0, 'Prediction Log'!$M61-'Prediction Log'!$D61, IF('Prediction Log'!$D61&lt;0, -'Prediction Log'!$M61+'Prediction Log'!$D61, "NA"))), ""), "")</f>
        <v>-1</v>
      </c>
      <c r="Z61" s="148" t="n">
        <f>IF(ISNUMBER(Table3[[#This Row],[Difference from Market]]), IF(ISBLANK(Games!AC60), "",ABS('Prediction Log'!$Y61)), "")</f>
        <v>1</v>
      </c>
      <c r="AA61" s="139" t="n">
        <f>IF(ISNUMBER(Table3[[#This Row],[Predicted Spread]]), IF(ISBLANK(Games!AC60), "",IF('Prediction Log'!$E61&gt;0, 'Prediction Log'!$M61-'Prediction Log'!$E61, IF('Prediction Log'!$E61&lt;0, -'Prediction Log'!$M61+'Prediction Log'!$E61, "NA"))), "")</f>
        <v>-12.7</v>
      </c>
      <c r="AB61" s="139" t="n">
        <f>IF(ISNUMBER(Table3[[#This Row],[Difference from Prediction]]), IF(ISBLANK(Games!AD60), "",ABS('Prediction Log'!$AA61)), "")</f>
        <v>12.7</v>
      </c>
      <c r="AC61" s="164" t="str">
        <f>IF(ISNUMBER(Table3[[#This Row],[Predicted Spread]]), IF(OR(ISBLANK(Games!AC60),Table3[[#This Row],[Market Side Correct]]="",ISBLANK('Prediction Log'!$L61)), "",IF(OR(AND('Prediction Log'!D61&lt;0, 'Prediction Log'!L61='Prediction Log'!B61), AND('Prediction Log'!D61&gt;0, 'Prediction Log'!C61='Prediction Log'!L61)),"Y", IF(ISBLANK(Games!$B$2), "","N"))), "")</f>
        <v>Y</v>
      </c>
      <c r="AD61" s="159" t="str">
        <f>'Prediction Log'!$S61</f>
        <v>Y</v>
      </c>
    </row>
    <row r="62">
      <c r="A62" s="165" t="n">
        <f>IF(ISBLANK(Games!$B61), "",Games!A61)</f>
        <v>1</v>
      </c>
      <c r="B62" s="165" t="str">
        <f>IF(ISBLANK(Games!$B61), "",Games!B61)</f>
        <v>South Carolina</v>
      </c>
      <c r="C62" s="165" t="str">
        <f>IF(ISBLANK(Games!$B61), "",Games!C61)</f>
        <v>Old Dominion</v>
      </c>
      <c r="D62" s="140" t="n">
        <f>IF(ISBLANK(Games!$D61), "",IF(_xlfn.NUMBERVALUE(Games!D61)=0, "",_xlfn.NUMBERVALUE(Games!D61) ))</f>
        <v>-20</v>
      </c>
      <c r="E62" s="138" t="n">
        <f>IF(ISBLANK(_xlfn.NUMBERVALUE(Games!$B61)), "",_xlfn.NUMBERVALUE(Games!J61))</f>
        <v>-37.700000000000003</v>
      </c>
      <c r="F62" s="141" t="n">
        <f>IFERROR(IF(ISBLANK(Games!B61), "", IF(Games!N61=Games!B61, Games!O61, 1-Games!O61)), "")</f>
        <v>0.79120889876425871</v>
      </c>
      <c r="G62" s="142" t="str">
        <f>IF(OR(ISBLANK(Games!B61),Table3[[#This Row],[Spread]]=""), "", IF('Prediction Log'!$D62&lt;0, 'Prediction Log'!$B62, 'Prediction Log'!$C62))</f>
        <v>South Carolina</v>
      </c>
      <c r="H62" s="143" t="str">
        <f>IF(ISBLANK(Games!$B61), "",Games!K61)</f>
        <v>South Carolina</v>
      </c>
      <c r="I62" s="143" t="str">
        <f>IF('Prediction Log'!$F62&gt;0.5, 'Prediction Log'!$B62, IF('Prediction Log'!$F62&lt;0.5, 'Prediction Log'!$C62, "PICK"))</f>
        <v>South Carolina</v>
      </c>
      <c r="J62" s="144" t="n">
        <f>IF(ISBLANK(Games!B61), "",IF('Prediction Log'!$I62='Prediction Log'!$B62, 'Prediction Log'!$F62, 1-'Prediction Log'!$F62))</f>
        <v>0.79120889876425871</v>
      </c>
      <c r="K62" s="145" t="str">
        <f>IF(ISBLANK(Games!$B61), "",Games!Q61)</f>
        <v>Y</v>
      </c>
      <c r="L62" s="124" t="str">
        <f>IF(ISBLANK(Games!AC61), "",Games!AE61)</f>
        <v>South Carolina</v>
      </c>
      <c r="M62" s="161" t="n">
        <f>IF(ISBLANK(Games!AC61), "",Games!AD61-Games!AC61)</f>
        <v>-4</v>
      </c>
      <c r="N62" s="146" t="str">
        <f>IF(ISNUMBER(Table3[[#This Row],[Predicted Spread]]), IF(OR(ISBLANK(Games!AC61),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62" s="147" t="str">
        <f>IF(ISNUMBER(Table3[[#This Row],[Predicted Spread]]), IF(OR(ISBLANK(Games!AC61),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62" s="147" t="str">
        <f>IF(ISNUMBER(Table3[[#This Row],[Predicted Spread]]), IF(ISBLANK(Games!AC61),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62" s="148" t="str">
        <f>IF(OR(ISBLANK(Games!AC61), Table3[[#This Row],[Spread]]=""),"",IF('Prediction Log'!$L62='Prediction Log'!$G62, "Y", "N"))</f>
        <v>Y</v>
      </c>
      <c r="R62" s="148" t="str">
        <f>IF(ISNUMBER(Table3[[#This Row],[Predicted Spread]]), Table3[[#This Row],[Home Team Covered Market]],"")</f>
        <v>N</v>
      </c>
      <c r="S62" s="148" t="str">
        <f>IF(ISNUMBER(Table3[[#This Row],[Predicted Spread]]), IF(OR(Table3[[#This Row],[Market Side Correct]]="",ISBLANK(Games!AC61)), "",IF(AND('Prediction Log'!$Q62="Y", 'Prediction Log'!$R62="Y"), "Y", "N")),"")</f>
        <v>N</v>
      </c>
      <c r="T62" s="149" t="str">
        <f>IF(ISNUMBER(Table3[[#This Row],[Predicted Spread]]), IF(ISBLANK(Games!AC61),"",IF(Games!AE61='Prediction Log'!$H62, "Y", "N")), "")</f>
        <v>Y</v>
      </c>
      <c r="U62" s="149" t="str">
        <f>IF(ISNUMBER(Table3[[#This Row],[Predicted Spread]]), IF(OR(Table3[[#This Row],[Spread]]="",ISBLANK(Games!AC61)), "", IF(Table3[[#This Row],[Home Team Covered Market]]=Games!P61, "Y", "N")),"")</f>
        <v>N</v>
      </c>
      <c r="V62" s="150" t="str">
        <f>IF(ISBLANK(Games!AC61), "",IF('Prediction Log'!$I62='Prediction Log'!$L62, "Y", "N"))</f>
        <v>Y</v>
      </c>
      <c r="W62" s="149" t="str">
        <f>IF(ISNUMBER(Table3[[#This Row],[Predicted Spread]]), IF(OR(Table3[[#This Row],[Model Spread Correct]]="",ISBLANK(Games!AC61)), "",IF('Prediction Log'!$H62&lt;&gt;'Prediction Log'!$L62, "N",IF(AND('Prediction Log'!$E62&gt;0, 'Prediction Log'!$M62&gt;'Prediction Log'!$E62, 'Prediction Log'!$H62='Prediction Log'!$C62), "Y", IF(AND('Prediction Log'!$E62&lt;0, 'Prediction Log'!$M62&lt;'Prediction Log'!$E62,'Prediction Log'!$H62='Prediction Log'!$B62 ), "Y", IF('Prediction Log'!$M62='Prediction Log'!$E62, "PUSH", "N"))))), "")</f>
        <v>N</v>
      </c>
      <c r="X62" s="149" t="str">
        <f>IF(ISNUMBER(Table3[[#This Row],[Predicted Spread]]), IF(OR(Table3[[#This Row],[Model Spread Correct]]="",ISBLANK(Games!AC61)), "",IF(AND('Prediction Log'!$T62="Y", 'Prediction Log'!$U62="Y"), "Y", "N")), "")</f>
        <v>N</v>
      </c>
      <c r="Y62" s="148" t="n">
        <f>IFERROR(IF(ISNUMBER(Table3[[#This Row],[Predicted Spread]]), IF(ISBLANK(Games!AC61), "",IF('Prediction Log'!$D62&gt;0, 'Prediction Log'!$M62-'Prediction Log'!$D62, IF('Prediction Log'!$D62&lt;0, -'Prediction Log'!$M62+'Prediction Log'!$D62, "NA"))), ""), "")</f>
        <v>-16</v>
      </c>
      <c r="Z62" s="148" t="n">
        <f>IF(ISNUMBER(Table3[[#This Row],[Difference from Market]]), IF(ISBLANK(Games!AC61), "",ABS('Prediction Log'!$Y62)), "")</f>
        <v>16</v>
      </c>
      <c r="AA62" s="139" t="n">
        <f>IF(ISNUMBER(Table3[[#This Row],[Predicted Spread]]), IF(ISBLANK(Games!AC61), "",IF('Prediction Log'!$E62&gt;0, 'Prediction Log'!$M62-'Prediction Log'!$E62, IF('Prediction Log'!$E62&lt;0, -'Prediction Log'!$M62+'Prediction Log'!$E62, "NA"))), "")</f>
        <v>-33.700000000000003</v>
      </c>
      <c r="AB62" s="139" t="n">
        <f>IF(ISNUMBER(Table3[[#This Row],[Difference from Prediction]]), IF(ISBLANK(Games!AD61), "",ABS('Prediction Log'!$AA62)), "")</f>
        <v>33.700000000000003</v>
      </c>
      <c r="AC62" s="164" t="str">
        <f>IF(ISNUMBER(Table3[[#This Row],[Predicted Spread]]), IF(OR(ISBLANK(Games!AC61),Table3[[#This Row],[Market Side Correct]]="",ISBLANK('Prediction Log'!$L62)), "",IF(OR(AND('Prediction Log'!D62&lt;0, 'Prediction Log'!L62='Prediction Log'!B62), AND('Prediction Log'!D62&gt;0, 'Prediction Log'!C62='Prediction Log'!L62)),"Y", IF(ISBLANK(Games!$B$2), "","N"))), "")</f>
        <v>Y</v>
      </c>
      <c r="AD62" s="159" t="str">
        <f>'Prediction Log'!$S62</f>
        <v>N</v>
      </c>
    </row>
    <row r="63">
      <c r="A63" s="165" t="n">
        <f>IF(ISBLANK(Games!$B62), "",Games!A62)</f>
        <v>1</v>
      </c>
      <c r="B63" s="165" t="str">
        <f>IF(ISBLANK(Games!$B62), "",Games!B62)</f>
        <v>South Alabama</v>
      </c>
      <c r="C63" s="165" t="str">
        <f>IF(ISBLANK(Games!$B62), "",Games!C62)</f>
        <v>North Texas</v>
      </c>
      <c r="D63" s="140" t="n">
        <f>IF(ISBLANK(Games!$D62), "",IF(_xlfn.NUMBERVALUE(Games!D62)=0, "",_xlfn.NUMBERVALUE(Games!D62) ))</f>
        <v>-6</v>
      </c>
      <c r="E63" s="138" t="n">
        <f>IF(ISBLANK(_xlfn.NUMBERVALUE(Games!$B62)), "",_xlfn.NUMBERVALUE(Games!J62))</f>
        <v>-21.2</v>
      </c>
      <c r="F63" s="141" t="n">
        <f>IFERROR(IF(ISBLANK(Games!B62), "", IF(Games!N62=Games!B62, Games!O62, 1-Games!O62)), "")</f>
        <v>0.85869095779635407</v>
      </c>
      <c r="G63" s="142" t="str">
        <f>IF(OR(ISBLANK(Games!B62),Table3[[#This Row],[Spread]]=""), "", IF('Prediction Log'!$D63&lt;0, 'Prediction Log'!$B63, 'Prediction Log'!$C63))</f>
        <v>South Alabama</v>
      </c>
      <c r="H63" s="143" t="str">
        <f>IF(ISBLANK(Games!$B62), "",Games!K62)</f>
        <v>South Alabama</v>
      </c>
      <c r="I63" s="143" t="str">
        <f>IF('Prediction Log'!$F63&gt;0.5, 'Prediction Log'!$B63, IF('Prediction Log'!$F63&lt;0.5, 'Prediction Log'!$C63, "PICK"))</f>
        <v>South Alabama</v>
      </c>
      <c r="J63" s="144" t="n">
        <f>IF(ISBLANK(Games!B62), "",IF('Prediction Log'!$I63='Prediction Log'!$B63, 'Prediction Log'!$F63, 1-'Prediction Log'!$F63))</f>
        <v>0.85869095779635407</v>
      </c>
      <c r="K63" s="145" t="str">
        <f>IF(ISBLANK(Games!$B62), "",Games!Q62)</f>
        <v>Y</v>
      </c>
      <c r="L63" s="124" t="str">
        <f>IF(ISBLANK(Games!AC62), "",Games!AE62)</f>
        <v>North Texas</v>
      </c>
      <c r="M63" s="161" t="n">
        <f>IF(ISBLANK(Games!AC62), "",Games!AD62-Games!AC62)</f>
        <v>14</v>
      </c>
      <c r="N63" s="146" t="str">
        <f>IF(ISNUMBER(Table3[[#This Row],[Predicted Spread]]), IF(OR(ISBLANK(Games!AC62),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63" s="147" t="str">
        <f>IF(ISNUMBER(Table3[[#This Row],[Predicted Spread]]), IF(OR(ISBLANK(Games!AC62),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63" s="147" t="str">
        <f>IF(ISNUMBER(Table3[[#This Row],[Predicted Spread]]), IF(ISBLANK(Games!AC62),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63" s="148" t="str">
        <f>IF(OR(ISBLANK(Games!AC62), Table3[[#This Row],[Spread]]=""),"",IF('Prediction Log'!$L63='Prediction Log'!$G63, "Y", "N"))</f>
        <v>N</v>
      </c>
      <c r="R63" s="148" t="str">
        <f>IF(ISNUMBER(Table3[[#This Row],[Predicted Spread]]), Table3[[#This Row],[Home Team Covered Market]],"")</f>
        <v>N</v>
      </c>
      <c r="S63" s="148" t="str">
        <f>IF(ISNUMBER(Table3[[#This Row],[Predicted Spread]]), IF(OR(Table3[[#This Row],[Market Side Correct]]="",ISBLANK(Games!AC62)), "",IF(AND('Prediction Log'!$Q63="Y", 'Prediction Log'!$R63="Y"), "Y", "N")),"")</f>
        <v>N</v>
      </c>
      <c r="T63" s="149" t="str">
        <f>IF(ISNUMBER(Table3[[#This Row],[Predicted Spread]]), IF(ISBLANK(Games!AC62),"",IF(Games!AE62='Prediction Log'!$H63, "Y", "N")), "")</f>
        <v>N</v>
      </c>
      <c r="U63" s="149" t="str">
        <f>IF(ISNUMBER(Table3[[#This Row],[Predicted Spread]]), IF(OR(Table3[[#This Row],[Spread]]="",ISBLANK(Games!AC62)), "", IF(Table3[[#This Row],[Home Team Covered Market]]=Games!P62, "Y", "N")),"")</f>
        <v>N</v>
      </c>
      <c r="V63" s="150" t="str">
        <f>IF(ISBLANK(Games!AC62), "",IF('Prediction Log'!$I63='Prediction Log'!$L63, "Y", "N"))</f>
        <v>N</v>
      </c>
      <c r="W63" s="149" t="str">
        <f>IF(ISNUMBER(Table3[[#This Row],[Predicted Spread]]), IF(OR(Table3[[#This Row],[Model Spread Correct]]="",ISBLANK(Games!AC62)), "",IF('Prediction Log'!$H63&lt;&gt;'Prediction Log'!$L63, "N",IF(AND('Prediction Log'!$E63&gt;0, 'Prediction Log'!$M63&gt;'Prediction Log'!$E63, 'Prediction Log'!$H63='Prediction Log'!$C63), "Y", IF(AND('Prediction Log'!$E63&lt;0, 'Prediction Log'!$M63&lt;'Prediction Log'!$E63,'Prediction Log'!$H63='Prediction Log'!$B63 ), "Y", IF('Prediction Log'!$M63='Prediction Log'!$E63, "PUSH", "N"))))), "")</f>
        <v>N</v>
      </c>
      <c r="X63" s="149" t="str">
        <f>IF(ISNUMBER(Table3[[#This Row],[Predicted Spread]]), IF(OR(Table3[[#This Row],[Model Spread Correct]]="",ISBLANK(Games!AC62)), "",IF(AND('Prediction Log'!$T63="Y", 'Prediction Log'!$U63="Y"), "Y", "N")), "")</f>
        <v>N</v>
      </c>
      <c r="Y63" s="148" t="n">
        <f>IFERROR(IF(ISNUMBER(Table3[[#This Row],[Predicted Spread]]), IF(ISBLANK(Games!AC62), "",IF('Prediction Log'!$D63&gt;0, 'Prediction Log'!$M63-'Prediction Log'!$D63, IF('Prediction Log'!$D63&lt;0, -'Prediction Log'!$M63+'Prediction Log'!$D63, "NA"))), ""), "")</f>
        <v>-20</v>
      </c>
      <c r="Z63" s="148" t="n">
        <f>IF(ISNUMBER(Table3[[#This Row],[Difference from Market]]), IF(ISBLANK(Games!AC62), "",ABS('Prediction Log'!$Y63)), "")</f>
        <v>20</v>
      </c>
      <c r="AA63" s="139" t="n">
        <f>IF(ISNUMBER(Table3[[#This Row],[Predicted Spread]]), IF(ISBLANK(Games!AC62), "",IF('Prediction Log'!$E63&gt;0, 'Prediction Log'!$M63-'Prediction Log'!$E63, IF('Prediction Log'!$E63&lt;0, -'Prediction Log'!$M63+'Prediction Log'!$E63, "NA"))), "")</f>
        <v>-35.200000000000003</v>
      </c>
      <c r="AB63" s="139" t="n">
        <f>IF(ISNUMBER(Table3[[#This Row],[Difference from Prediction]]), IF(ISBLANK(Games!AD62), "",ABS('Prediction Log'!$AA63)), "")</f>
        <v>35.200000000000003</v>
      </c>
      <c r="AC63" s="164" t="str">
        <f>IF(ISNUMBER(Table3[[#This Row],[Predicted Spread]]), IF(OR(ISBLANK(Games!AC62),Table3[[#This Row],[Market Side Correct]]="",ISBLANK('Prediction Log'!$L63)), "",IF(OR(AND('Prediction Log'!D63&lt;0, 'Prediction Log'!L63='Prediction Log'!B63), AND('Prediction Log'!D63&gt;0, 'Prediction Log'!C63='Prediction Log'!L63)),"Y", IF(ISBLANK(Games!$B$2), "","N"))), "")</f>
        <v>N</v>
      </c>
      <c r="AD63" s="159" t="str">
        <f>'Prediction Log'!$S63</f>
        <v>N</v>
      </c>
    </row>
    <row r="64">
      <c r="A64" s="165" t="n">
        <f>IF(ISBLANK(Games!$B63), "",Games!A63)</f>
        <v>1</v>
      </c>
      <c r="B64" s="165" t="str">
        <f>IF(ISBLANK(Games!$B63), "",Games!B63)</f>
        <v>California</v>
      </c>
      <c r="C64" s="165" t="str">
        <f>IF(ISBLANK(Games!$B63), "",Games!C63)</f>
        <v>UC Davis</v>
      </c>
      <c r="D64" s="140" t="n">
        <f>IF(ISBLANK(Games!$D63), "",IF(_xlfn.NUMBERVALUE(Games!D63)=0, "",_xlfn.NUMBERVALUE(Games!D63) ))</f>
        <v>-20.5</v>
      </c>
      <c r="E64" s="138" t="n">
        <f>IF(ISBLANK(_xlfn.NUMBERVALUE(Games!$B63)), "",_xlfn.NUMBERVALUE(Games!J63))</f>
        <v>-20.978759530909599</v>
      </c>
      <c r="F64" s="141" t="n">
        <f>IFERROR(IF(ISBLANK(Games!B63), "", IF(Games!N63=Games!B63, Games!O63, 1-Games!O63)), "")</f>
        <v>0.9646650819878112</v>
      </c>
      <c r="G64" s="142" t="str">
        <f>IF(OR(ISBLANK(Games!B63),Table3[[#This Row],[Spread]]=""), "", IF('Prediction Log'!$D64&lt;0, 'Prediction Log'!$B64, 'Prediction Log'!$C64))</f>
        <v>California</v>
      </c>
      <c r="H64" s="143" t="str">
        <f>IF(ISBLANK(Games!$B63), "",Games!K63)</f>
        <v>California</v>
      </c>
      <c r="I64" s="143" t="str">
        <f>IF('Prediction Log'!$F64&gt;0.5, 'Prediction Log'!$B64, IF('Prediction Log'!$F64&lt;0.5, 'Prediction Log'!$C64, "PICK"))</f>
        <v>California</v>
      </c>
      <c r="J64" s="144" t="n">
        <f>IF(ISBLANK(Games!B63), "",IF('Prediction Log'!$I64='Prediction Log'!$B64, 'Prediction Log'!$F64, 1-'Prediction Log'!$F64))</f>
        <v>0.9646650819878112</v>
      </c>
      <c r="K64" s="145" t="str">
        <f>IF(ISBLANK(Games!$B63), "",Games!Q63)</f>
        <v>Y</v>
      </c>
      <c r="L64" s="124" t="str">
        <f>IF(ISBLANK(Games!AC63), "",Games!AE63)</f>
        <v>California</v>
      </c>
      <c r="M64" s="161" t="n">
        <f>IF(ISBLANK(Games!AC63), "",Games!AD63-Games!AC63)</f>
        <v>-18</v>
      </c>
      <c r="N64" s="146" t="str">
        <f>IF(ISNUMBER(Table3[[#This Row],[Predicted Spread]]), IF(OR(ISBLANK(Games!AC63),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64" s="147" t="str">
        <f>IF(ISNUMBER(Table3[[#This Row],[Predicted Spread]]), IF(OR(ISBLANK(Games!AC63),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64" s="147" t="str">
        <f>IF(ISNUMBER(Table3[[#This Row],[Predicted Spread]]), IF(ISBLANK(Games!AC63),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64" s="148" t="str">
        <f>IF(OR(ISBLANK(Games!AC63), Table3[[#This Row],[Spread]]=""),"",IF('Prediction Log'!$L64='Prediction Log'!$G64, "Y", "N"))</f>
        <v>Y</v>
      </c>
      <c r="R64" s="148" t="str">
        <f>IF(ISNUMBER(Table3[[#This Row],[Predicted Spread]]), Table3[[#This Row],[Home Team Covered Market]],"")</f>
        <v>N</v>
      </c>
      <c r="S64" s="148" t="str">
        <f>IF(ISNUMBER(Table3[[#This Row],[Predicted Spread]]), IF(OR(Table3[[#This Row],[Market Side Correct]]="",ISBLANK(Games!AC63)), "",IF(AND('Prediction Log'!$Q64="Y", 'Prediction Log'!$R64="Y"), "Y", "N")),"")</f>
        <v>N</v>
      </c>
      <c r="T64" s="149" t="str">
        <f>IF(ISNUMBER(Table3[[#This Row],[Predicted Spread]]), IF(ISBLANK(Games!AC63),"",IF(Games!AE63='Prediction Log'!$H64, "Y", "N")), "")</f>
        <v>Y</v>
      </c>
      <c r="U64" s="149" t="str">
        <f>IF(ISNUMBER(Table3[[#This Row],[Predicted Spread]]), IF(OR(Table3[[#This Row],[Spread]]="",ISBLANK(Games!AC63)), "", IF(Table3[[#This Row],[Home Team Covered Market]]=Games!P63, "Y", "N")),"")</f>
        <v>N</v>
      </c>
      <c r="V64" s="150" t="str">
        <f>IF(ISBLANK(Games!AC63), "",IF('Prediction Log'!$I64='Prediction Log'!$L64, "Y", "N"))</f>
        <v>Y</v>
      </c>
      <c r="W64" s="149" t="str">
        <f>IF(ISNUMBER(Table3[[#This Row],[Predicted Spread]]), IF(OR(Table3[[#This Row],[Model Spread Correct]]="",ISBLANK(Games!AC63)), "",IF('Prediction Log'!$H64&lt;&gt;'Prediction Log'!$L64, "N",IF(AND('Prediction Log'!$E64&gt;0, 'Prediction Log'!$M64&gt;'Prediction Log'!$E64, 'Prediction Log'!$H64='Prediction Log'!$C64), "Y", IF(AND('Prediction Log'!$E64&lt;0, 'Prediction Log'!$M64&lt;'Prediction Log'!$E64,'Prediction Log'!$H64='Prediction Log'!$B64 ), "Y", IF('Prediction Log'!$M64='Prediction Log'!$E64, "PUSH", "N"))))), "")</f>
        <v>N</v>
      </c>
      <c r="X64" s="149" t="str">
        <f>IF(ISNUMBER(Table3[[#This Row],[Predicted Spread]]), IF(OR(Table3[[#This Row],[Model Spread Correct]]="",ISBLANK(Games!AC63)), "",IF(AND('Prediction Log'!$T64="Y", 'Prediction Log'!$U64="Y"), "Y", "N")), "")</f>
        <v>N</v>
      </c>
      <c r="Y64" s="148" t="n">
        <f>IFERROR(IF(ISNUMBER(Table3[[#This Row],[Predicted Spread]]), IF(ISBLANK(Games!AC63), "",IF('Prediction Log'!$D64&gt;0, 'Prediction Log'!$M64-'Prediction Log'!$D64, IF('Prediction Log'!$D64&lt;0, -'Prediction Log'!$M64+'Prediction Log'!$D64, "NA"))), ""), "")</f>
        <v>-2.5</v>
      </c>
      <c r="Z64" s="148" t="n">
        <f>IF(ISNUMBER(Table3[[#This Row],[Difference from Market]]), IF(ISBLANK(Games!AC63), "",ABS('Prediction Log'!$Y64)), "")</f>
        <v>2.5</v>
      </c>
      <c r="AA64" s="139" t="n">
        <f>IF(ISNUMBER(Table3[[#This Row],[Predicted Spread]]), IF(ISBLANK(Games!AC63), "",IF('Prediction Log'!$E64&gt;0, 'Prediction Log'!$M64-'Prediction Log'!$E64, IF('Prediction Log'!$E64&lt;0, -'Prediction Log'!$M64+'Prediction Log'!$E64, "NA"))), "")</f>
        <v>-2.9787595309095991</v>
      </c>
      <c r="AB64" s="139" t="n">
        <f>IF(ISNUMBER(Table3[[#This Row],[Difference from Prediction]]), IF(ISBLANK(Games!AD63), "",ABS('Prediction Log'!$AA64)), "")</f>
        <v>2.9787595309095991</v>
      </c>
      <c r="AC64" s="164" t="str">
        <f>IF(ISNUMBER(Table3[[#This Row],[Predicted Spread]]), IF(OR(ISBLANK(Games!AC63),Table3[[#This Row],[Market Side Correct]]="",ISBLANK('Prediction Log'!$L64)), "",IF(OR(AND('Prediction Log'!D64&lt;0, 'Prediction Log'!L64='Prediction Log'!B64), AND('Prediction Log'!D64&gt;0, 'Prediction Log'!C64='Prediction Log'!L64)),"Y", IF(ISBLANK(Games!$B$2), "","N"))), "")</f>
        <v>Y</v>
      </c>
      <c r="AD64" s="159" t="str">
        <f>'Prediction Log'!$S64</f>
        <v>N</v>
      </c>
    </row>
    <row r="65">
      <c r="A65" s="165" t="n">
        <f>IF(ISBLANK(Games!$B64), "",Games!A64)</f>
        <v>1</v>
      </c>
      <c r="B65" s="165" t="str">
        <f>IF(ISBLANK(Games!$B64), "",Games!B64)</f>
        <v>Marshall</v>
      </c>
      <c r="C65" s="165" t="str">
        <f>IF(ISBLANK(Games!$B64), "",Games!C64)</f>
        <v>Stony Brook</v>
      </c>
      <c r="D65" s="140" t="n">
        <f>IF(ISBLANK(Games!$D64), "",IF(_xlfn.NUMBERVALUE(Games!D64)=0, "",_xlfn.NUMBERVALUE(Games!D64) ))</f>
        <v>-32.5</v>
      </c>
      <c r="E65" s="138" t="n">
        <f>IF(ISBLANK(_xlfn.NUMBERVALUE(Games!$B64)), "",_xlfn.NUMBERVALUE(Games!J64))</f>
        <v>-13.957726528456</v>
      </c>
      <c r="F65" s="141" t="n">
        <f>IFERROR(IF(ISBLANK(Games!B64), "", IF(Games!N64=Games!B64, Games!O64, 1-Games!O64)), "")</f>
        <v>0.90858687593012633</v>
      </c>
      <c r="G65" s="142" t="str">
        <f>IF(OR(ISBLANK(Games!B64),Table3[[#This Row],[Spread]]=""), "", IF('Prediction Log'!$D65&lt;0, 'Prediction Log'!$B65, 'Prediction Log'!$C65))</f>
        <v>Marshall</v>
      </c>
      <c r="H65" s="143" t="str">
        <f>IF(ISBLANK(Games!$B64), "",Games!K64)</f>
        <v>Marshall</v>
      </c>
      <c r="I65" s="143" t="str">
        <f>IF('Prediction Log'!$F65&gt;0.5, 'Prediction Log'!$B65, IF('Prediction Log'!$F65&lt;0.5, 'Prediction Log'!$C65, "PICK"))</f>
        <v>Marshall</v>
      </c>
      <c r="J65" s="144" t="n">
        <f>IF(ISBLANK(Games!B64), "",IF('Prediction Log'!$I65='Prediction Log'!$B65, 'Prediction Log'!$F65, 1-'Prediction Log'!$F65))</f>
        <v>0.90858687593012633</v>
      </c>
      <c r="K65" s="145" t="str">
        <f>IF(ISBLANK(Games!$B64), "",Games!Q64)</f>
        <v>N</v>
      </c>
      <c r="L65" s="124" t="str">
        <f>IF(ISBLANK(Games!AC64), "",Games!AE64)</f>
        <v>Marshall</v>
      </c>
      <c r="M65" s="161" t="n">
        <f>IF(ISBLANK(Games!AC64), "",Games!AD64-Games!AC64)</f>
        <v>-42</v>
      </c>
      <c r="N65" s="146" t="str">
        <f>IF(ISNUMBER(Table3[[#This Row],[Predicted Spread]]), IF(OR(ISBLANK(Games!AC64),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65" s="147" t="str">
        <f>IF(ISNUMBER(Table3[[#This Row],[Predicted Spread]]), IF(OR(ISBLANK(Games!AC64),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65" s="147" t="str">
        <f>IF(ISNUMBER(Table3[[#This Row],[Predicted Spread]]), IF(ISBLANK(Games!AC64),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65" s="148" t="str">
        <f>IF(OR(ISBLANK(Games!AC64), Table3[[#This Row],[Spread]]=""),"",IF('Prediction Log'!$L65='Prediction Log'!$G65, "Y", "N"))</f>
        <v>Y</v>
      </c>
      <c r="R65" s="148" t="str">
        <f>IF(ISNUMBER(Table3[[#This Row],[Predicted Spread]]), Table3[[#This Row],[Home Team Covered Market]],"")</f>
        <v>Y</v>
      </c>
      <c r="S65" s="148" t="str">
        <f>IF(ISNUMBER(Table3[[#This Row],[Predicted Spread]]), IF(OR(Table3[[#This Row],[Market Side Correct]]="",ISBLANK(Games!AC64)), "",IF(AND('Prediction Log'!$Q65="Y", 'Prediction Log'!$R65="Y"), "Y", "N")),"")</f>
        <v>Y</v>
      </c>
      <c r="T65" s="149" t="str">
        <f>IF(ISNUMBER(Table3[[#This Row],[Predicted Spread]]), IF(ISBLANK(Games!AC64),"",IF(Games!AE64='Prediction Log'!$H65, "Y", "N")), "")</f>
        <v>Y</v>
      </c>
      <c r="U65" s="149" t="str">
        <f>IF(ISNUMBER(Table3[[#This Row],[Predicted Spread]]), IF(OR(Table3[[#This Row],[Spread]]="",ISBLANK(Games!AC64)), "", IF(Table3[[#This Row],[Home Team Covered Market]]=Games!P64, "Y", "N")),"")</f>
        <v>N</v>
      </c>
      <c r="V65" s="150" t="str">
        <f>IF(ISBLANK(Games!AC64), "",IF('Prediction Log'!$I65='Prediction Log'!$L65, "Y", "N"))</f>
        <v>Y</v>
      </c>
      <c r="W65" s="149" t="str">
        <f>IF(ISNUMBER(Table3[[#This Row],[Predicted Spread]]), IF(OR(Table3[[#This Row],[Model Spread Correct]]="",ISBLANK(Games!AC64)), "",IF('Prediction Log'!$H65&lt;&gt;'Prediction Log'!$L65, "N",IF(AND('Prediction Log'!$E65&gt;0, 'Prediction Log'!$M65&gt;'Prediction Log'!$E65, 'Prediction Log'!$H65='Prediction Log'!$C65), "Y", IF(AND('Prediction Log'!$E65&lt;0, 'Prediction Log'!$M65&lt;'Prediction Log'!$E65,'Prediction Log'!$H65='Prediction Log'!$B65 ), "Y", IF('Prediction Log'!$M65='Prediction Log'!$E65, "PUSH", "N"))))), "")</f>
        <v>Y</v>
      </c>
      <c r="X65" s="149" t="str">
        <f>IF(ISNUMBER(Table3[[#This Row],[Predicted Spread]]), IF(OR(Table3[[#This Row],[Model Spread Correct]]="",ISBLANK(Games!AC64)), "",IF(AND('Prediction Log'!$T65="Y", 'Prediction Log'!$U65="Y"), "Y", "N")), "")</f>
        <v>N</v>
      </c>
      <c r="Y65" s="148" t="n">
        <f>IFERROR(IF(ISNUMBER(Table3[[#This Row],[Predicted Spread]]), IF(ISBLANK(Games!AC64), "",IF('Prediction Log'!$D65&gt;0, 'Prediction Log'!$M65-'Prediction Log'!$D65, IF('Prediction Log'!$D65&lt;0, -'Prediction Log'!$M65+'Prediction Log'!$D65, "NA"))), ""), "")</f>
        <v>9.5</v>
      </c>
      <c r="Z65" s="148" t="n">
        <f>IF(ISNUMBER(Table3[[#This Row],[Difference from Market]]), IF(ISBLANK(Games!AC64), "",ABS('Prediction Log'!$Y65)), "")</f>
        <v>9.5</v>
      </c>
      <c r="AA65" s="139" t="n">
        <f>IF(ISNUMBER(Table3[[#This Row],[Predicted Spread]]), IF(ISBLANK(Games!AC64), "",IF('Prediction Log'!$E65&gt;0, 'Prediction Log'!$M65-'Prediction Log'!$E65, IF('Prediction Log'!$E65&lt;0, -'Prediction Log'!$M65+'Prediction Log'!$E65, "NA"))), "")</f>
        <v>28.042273471544</v>
      </c>
      <c r="AB65" s="139" t="n">
        <f>IF(ISNUMBER(Table3[[#This Row],[Difference from Prediction]]), IF(ISBLANK(Games!AD64), "",ABS('Prediction Log'!$AA65)), "")</f>
        <v>28.042273471544</v>
      </c>
      <c r="AC65" s="164" t="str">
        <f>IF(ISNUMBER(Table3[[#This Row],[Predicted Spread]]), IF(OR(ISBLANK(Games!AC64),Table3[[#This Row],[Market Side Correct]]="",ISBLANK('Prediction Log'!$L65)), "",IF(OR(AND('Prediction Log'!D65&lt;0, 'Prediction Log'!L65='Prediction Log'!B65), AND('Prediction Log'!D65&gt;0, 'Prediction Log'!C65='Prediction Log'!L65)),"Y", IF(ISBLANK(Games!$B$2), "","N"))), "")</f>
        <v>Y</v>
      </c>
      <c r="AD65" s="159" t="str">
        <f>'Prediction Log'!$S65</f>
        <v>Y</v>
      </c>
    </row>
    <row r="66">
      <c r="A66" s="165" t="n">
        <f>IF(ISBLANK(Games!$B65), "",Games!A65)</f>
        <v>1</v>
      </c>
      <c r="B66" s="165" t="str">
        <f>IF(ISBLANK(Games!$B65), "",Games!B65)</f>
        <v>Virginia</v>
      </c>
      <c r="C66" s="165" t="str">
        <f>IF(ISBLANK(Games!$B65), "",Games!C65)</f>
        <v>Richmond</v>
      </c>
      <c r="D66" s="140" t="n">
        <f>IF(ISBLANK(Games!$D65), "",IF(_xlfn.NUMBERVALUE(Games!D65)=0, "",_xlfn.NUMBERVALUE(Games!D65) ))</f>
        <v>-19.5</v>
      </c>
      <c r="E66" s="138" t="n">
        <f>IF(ISBLANK(_xlfn.NUMBERVALUE(Games!$B65)), "",_xlfn.NUMBERVALUE(Games!J65))</f>
        <v>-14.4648093673324</v>
      </c>
      <c r="F66" s="141" t="n">
        <f>IFERROR(IF(ISBLANK(Games!B65), "", IF(Games!N65=Games!B65, Games!O65, 1-Games!O65)), "")</f>
        <v>0.91446992703545049</v>
      </c>
      <c r="G66" s="142" t="str">
        <f>IF(OR(ISBLANK(Games!B65),Table3[[#This Row],[Spread]]=""), "", IF('Prediction Log'!$D66&lt;0, 'Prediction Log'!$B66, 'Prediction Log'!$C66))</f>
        <v>Virginia</v>
      </c>
      <c r="H66" s="143" t="str">
        <f>IF(ISBLANK(Games!$B65), "",Games!K65)</f>
        <v>Virginia</v>
      </c>
      <c r="I66" s="143" t="str">
        <f>IF('Prediction Log'!$F66&gt;0.5, 'Prediction Log'!$B66, IF('Prediction Log'!$F66&lt;0.5, 'Prediction Log'!$C66, "PICK"))</f>
        <v>Virginia</v>
      </c>
      <c r="J66" s="144" t="n">
        <f>IF(ISBLANK(Games!B65), "",IF('Prediction Log'!$I66='Prediction Log'!$B66, 'Prediction Log'!$F66, 1-'Prediction Log'!$F66))</f>
        <v>0.91446992703545049</v>
      </c>
      <c r="K66" s="145" t="str">
        <f>IF(ISBLANK(Games!$B65), "",Games!Q65)</f>
        <v>N</v>
      </c>
      <c r="L66" s="124" t="str">
        <f>IF(ISBLANK(Games!AC65), "",Games!AE65)</f>
        <v>Virginia</v>
      </c>
      <c r="M66" s="161" t="n">
        <f>IF(ISBLANK(Games!AC65), "",Games!AD65-Games!AC65)</f>
        <v>-21</v>
      </c>
      <c r="N66" s="146" t="str">
        <f>IF(ISNUMBER(Table3[[#This Row],[Predicted Spread]]), IF(OR(ISBLANK(Games!AC65),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66" s="147" t="str">
        <f>IF(ISNUMBER(Table3[[#This Row],[Predicted Spread]]), IF(OR(ISBLANK(Games!AC65),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66" s="147" t="str">
        <f>IF(ISNUMBER(Table3[[#This Row],[Predicted Spread]]), IF(ISBLANK(Games!AC65),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66" s="148" t="str">
        <f>IF(OR(ISBLANK(Games!AC65), Table3[[#This Row],[Spread]]=""),"",IF('Prediction Log'!$L66='Prediction Log'!$G66, "Y", "N"))</f>
        <v>Y</v>
      </c>
      <c r="R66" s="148" t="str">
        <f>IF(ISNUMBER(Table3[[#This Row],[Predicted Spread]]), Table3[[#This Row],[Home Team Covered Market]],"")</f>
        <v>Y</v>
      </c>
      <c r="S66" s="148" t="str">
        <f>IF(ISNUMBER(Table3[[#This Row],[Predicted Spread]]), IF(OR(Table3[[#This Row],[Market Side Correct]]="",ISBLANK(Games!AC65)), "",IF(AND('Prediction Log'!$Q66="Y", 'Prediction Log'!$R66="Y"), "Y", "N")),"")</f>
        <v>Y</v>
      </c>
      <c r="T66" s="149" t="str">
        <f>IF(ISNUMBER(Table3[[#This Row],[Predicted Spread]]), IF(ISBLANK(Games!AC65),"",IF(Games!AE65='Prediction Log'!$H66, "Y", "N")), "")</f>
        <v>Y</v>
      </c>
      <c r="U66" s="149" t="str">
        <f>IF(ISNUMBER(Table3[[#This Row],[Predicted Spread]]), IF(OR(Table3[[#This Row],[Spread]]="",ISBLANK(Games!AC65)), "", IF(Table3[[#This Row],[Home Team Covered Market]]=Games!P65, "Y", "N")),"")</f>
        <v>N</v>
      </c>
      <c r="V66" s="150" t="str">
        <f>IF(ISBLANK(Games!AC65), "",IF('Prediction Log'!$I66='Prediction Log'!$L66, "Y", "N"))</f>
        <v>Y</v>
      </c>
      <c r="W66" s="149" t="str">
        <f>IF(ISNUMBER(Table3[[#This Row],[Predicted Spread]]), IF(OR(Table3[[#This Row],[Model Spread Correct]]="",ISBLANK(Games!AC65)), "",IF('Prediction Log'!$H66&lt;&gt;'Prediction Log'!$L66, "N",IF(AND('Prediction Log'!$E66&gt;0, 'Prediction Log'!$M66&gt;'Prediction Log'!$E66, 'Prediction Log'!$H66='Prediction Log'!$C66), "Y", IF(AND('Prediction Log'!$E66&lt;0, 'Prediction Log'!$M66&lt;'Prediction Log'!$E66,'Prediction Log'!$H66='Prediction Log'!$B66 ), "Y", IF('Prediction Log'!$M66='Prediction Log'!$E66, "PUSH", "N"))))), "")</f>
        <v>Y</v>
      </c>
      <c r="X66" s="149" t="str">
        <f>IF(ISNUMBER(Table3[[#This Row],[Predicted Spread]]), IF(OR(Table3[[#This Row],[Model Spread Correct]]="",ISBLANK(Games!AC65)), "",IF(AND('Prediction Log'!$T66="Y", 'Prediction Log'!$U66="Y"), "Y", "N")), "")</f>
        <v>N</v>
      </c>
      <c r="Y66" s="148" t="n">
        <f>IFERROR(IF(ISNUMBER(Table3[[#This Row],[Predicted Spread]]), IF(ISBLANK(Games!AC65), "",IF('Prediction Log'!$D66&gt;0, 'Prediction Log'!$M66-'Prediction Log'!$D66, IF('Prediction Log'!$D66&lt;0, -'Prediction Log'!$M66+'Prediction Log'!$D66, "NA"))), ""), "")</f>
        <v>1.5</v>
      </c>
      <c r="Z66" s="148" t="n">
        <f>IF(ISNUMBER(Table3[[#This Row],[Difference from Market]]), IF(ISBLANK(Games!AC65), "",ABS('Prediction Log'!$Y66)), "")</f>
        <v>1.5</v>
      </c>
      <c r="AA66" s="139" t="n">
        <f>IF(ISNUMBER(Table3[[#This Row],[Predicted Spread]]), IF(ISBLANK(Games!AC65), "",IF('Prediction Log'!$E66&gt;0, 'Prediction Log'!$M66-'Prediction Log'!$E66, IF('Prediction Log'!$E66&lt;0, -'Prediction Log'!$M66+'Prediction Log'!$E66, "NA"))), "")</f>
        <v>6.5351906326676001</v>
      </c>
      <c r="AB66" s="139" t="n">
        <f>IF(ISNUMBER(Table3[[#This Row],[Difference from Prediction]]), IF(ISBLANK(Games!AD65), "",ABS('Prediction Log'!$AA66)), "")</f>
        <v>6.5351906326676001</v>
      </c>
      <c r="AC66" s="164" t="str">
        <f>IF(ISNUMBER(Table3[[#This Row],[Predicted Spread]]), IF(OR(ISBLANK(Games!AC65),Table3[[#This Row],[Market Side Correct]]="",ISBLANK('Prediction Log'!$L66)), "",IF(OR(AND('Prediction Log'!D66&lt;0, 'Prediction Log'!L66='Prediction Log'!B66), AND('Prediction Log'!D66&gt;0, 'Prediction Log'!C66='Prediction Log'!L66)),"Y", IF(ISBLANK(Games!$B$2), "","N"))), "")</f>
        <v>Y</v>
      </c>
      <c r="AD66" s="159" t="str">
        <f>'Prediction Log'!$S66</f>
        <v>Y</v>
      </c>
    </row>
    <row r="67">
      <c r="A67" s="165" t="n">
        <f>IF(ISBLANK(Games!$B66), "",Games!A66)</f>
        <v>1</v>
      </c>
      <c r="B67" s="165" t="str">
        <f>IF(ISBLANK(Games!$B66), "",Games!B66)</f>
        <v>Liberty</v>
      </c>
      <c r="C67" s="165" t="str">
        <f>IF(ISBLANK(Games!$B66), "",Games!C66)</f>
        <v>Campbell</v>
      </c>
      <c r="D67" s="140" t="n">
        <f>IF(ISBLANK(Games!$D66), "",IF(_xlfn.NUMBERVALUE(Games!D66)=0, "",_xlfn.NUMBERVALUE(Games!D66) ))</f>
        <v>-39.5</v>
      </c>
      <c r="E67" s="138" t="n">
        <f>IF(ISBLANK(_xlfn.NUMBERVALUE(Games!$B66)), "",_xlfn.NUMBERVALUE(Games!J66))</f>
        <v>-27.442964084423199</v>
      </c>
      <c r="F67" s="141" t="n">
        <f>IFERROR(IF(ISBLANK(Games!B66), "", IF(Games!N66=Games!B66, Games!O66, 1-Games!O66)), "")</f>
        <v>0.98575754504433444</v>
      </c>
      <c r="G67" s="142" t="str">
        <f>IF(OR(ISBLANK(Games!B66),Table3[[#This Row],[Spread]]=""), "", IF('Prediction Log'!$D67&lt;0, 'Prediction Log'!$B67, 'Prediction Log'!$C67))</f>
        <v>Liberty</v>
      </c>
      <c r="H67" s="143" t="str">
        <f>IF(ISBLANK(Games!$B66), "",Games!K66)</f>
        <v>Liberty</v>
      </c>
      <c r="I67" s="143" t="str">
        <f>IF('Prediction Log'!$F67&gt;0.5, 'Prediction Log'!$B67, IF('Prediction Log'!$F67&lt;0.5, 'Prediction Log'!$C67, "PICK"))</f>
        <v>Liberty</v>
      </c>
      <c r="J67" s="144" t="n">
        <f>IF(ISBLANK(Games!B66), "",IF('Prediction Log'!$I67='Prediction Log'!$B67, 'Prediction Log'!$F67, 1-'Prediction Log'!$F67))</f>
        <v>0.98575754504433444</v>
      </c>
      <c r="K67" s="145" t="str">
        <f>IF(ISBLANK(Games!$B66), "",Games!Q66)</f>
        <v>N</v>
      </c>
      <c r="L67" s="124" t="str">
        <f>IF(ISBLANK(Games!AC66), "",Games!AE66)</f>
        <v>Liberty</v>
      </c>
      <c r="M67" s="161" t="n">
        <f>IF(ISBLANK(Games!AC66), "",Games!AD66-Games!AC66)</f>
        <v>-18</v>
      </c>
      <c r="N67" s="146" t="str">
        <f>IF(ISNUMBER(Table3[[#This Row],[Predicted Spread]]), IF(OR(ISBLANK(Games!AC66),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67" s="147" t="str">
        <f>IF(ISNUMBER(Table3[[#This Row],[Predicted Spread]]), IF(OR(ISBLANK(Games!AC66),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67" s="147" t="str">
        <f>IF(ISNUMBER(Table3[[#This Row],[Predicted Spread]]), IF(ISBLANK(Games!AC66),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67" s="148" t="str">
        <f>IF(OR(ISBLANK(Games!AC66), Table3[[#This Row],[Spread]]=""),"",IF('Prediction Log'!$L67='Prediction Log'!$G67, "Y", "N"))</f>
        <v>Y</v>
      </c>
      <c r="R67" s="148" t="str">
        <f>IF(ISNUMBER(Table3[[#This Row],[Predicted Spread]]), Table3[[#This Row],[Home Team Covered Market]],"")</f>
        <v>N</v>
      </c>
      <c r="S67" s="148" t="str">
        <f>IF(ISNUMBER(Table3[[#This Row],[Predicted Spread]]), IF(OR(Table3[[#This Row],[Market Side Correct]]="",ISBLANK(Games!AC66)), "",IF(AND('Prediction Log'!$Q67="Y", 'Prediction Log'!$R67="Y"), "Y", "N")),"")</f>
        <v>N</v>
      </c>
      <c r="T67" s="149" t="str">
        <f>IF(ISNUMBER(Table3[[#This Row],[Predicted Spread]]), IF(ISBLANK(Games!AC66),"",IF(Games!AE66='Prediction Log'!$H67, "Y", "N")), "")</f>
        <v>Y</v>
      </c>
      <c r="U67" s="149" t="str">
        <f>IF(ISNUMBER(Table3[[#This Row],[Predicted Spread]]), IF(OR(Table3[[#This Row],[Spread]]="",ISBLANK(Games!AC66)), "", IF(Table3[[#This Row],[Home Team Covered Market]]=Games!P66, "Y", "N")),"")</f>
        <v>Y</v>
      </c>
      <c r="V67" s="150" t="str">
        <f>IF(ISBLANK(Games!AC66), "",IF('Prediction Log'!$I67='Prediction Log'!$L67, "Y", "N"))</f>
        <v>Y</v>
      </c>
      <c r="W67" s="149" t="str">
        <f>IF(ISNUMBER(Table3[[#This Row],[Predicted Spread]]), IF(OR(Table3[[#This Row],[Model Spread Correct]]="",ISBLANK(Games!AC66)), "",IF('Prediction Log'!$H67&lt;&gt;'Prediction Log'!$L67, "N",IF(AND('Prediction Log'!$E67&gt;0, 'Prediction Log'!$M67&gt;'Prediction Log'!$E67, 'Prediction Log'!$H67='Prediction Log'!$C67), "Y", IF(AND('Prediction Log'!$E67&lt;0, 'Prediction Log'!$M67&lt;'Prediction Log'!$E67,'Prediction Log'!$H67='Prediction Log'!$B67 ), "Y", IF('Prediction Log'!$M67='Prediction Log'!$E67, "PUSH", "N"))))), "")</f>
        <v>N</v>
      </c>
      <c r="X67" s="149" t="str">
        <f>IF(ISNUMBER(Table3[[#This Row],[Predicted Spread]]), IF(OR(Table3[[#This Row],[Model Spread Correct]]="",ISBLANK(Games!AC66)), "",IF(AND('Prediction Log'!$T67="Y", 'Prediction Log'!$U67="Y"), "Y", "N")), "")</f>
        <v>Y</v>
      </c>
      <c r="Y67" s="148" t="n">
        <f>IFERROR(IF(ISNUMBER(Table3[[#This Row],[Predicted Spread]]), IF(ISBLANK(Games!AC66), "",IF('Prediction Log'!$D67&gt;0, 'Prediction Log'!$M67-'Prediction Log'!$D67, IF('Prediction Log'!$D67&lt;0, -'Prediction Log'!$M67+'Prediction Log'!$D67, "NA"))), ""), "")</f>
        <v>-21.5</v>
      </c>
      <c r="Z67" s="148" t="n">
        <f>IF(ISNUMBER(Table3[[#This Row],[Difference from Market]]), IF(ISBLANK(Games!AC66), "",ABS('Prediction Log'!$Y67)), "")</f>
        <v>21.5</v>
      </c>
      <c r="AA67" s="139" t="n">
        <f>IF(ISNUMBER(Table3[[#This Row],[Predicted Spread]]), IF(ISBLANK(Games!AC66), "",IF('Prediction Log'!$E67&gt;0, 'Prediction Log'!$M67-'Prediction Log'!$E67, IF('Prediction Log'!$E67&lt;0, -'Prediction Log'!$M67+'Prediction Log'!$E67, "NA"))), "")</f>
        <v>-9.442964084423199</v>
      </c>
      <c r="AB67" s="139" t="n">
        <f>IF(ISNUMBER(Table3[[#This Row],[Difference from Prediction]]), IF(ISBLANK(Games!AD66), "",ABS('Prediction Log'!$AA67)), "")</f>
        <v>9.442964084423199</v>
      </c>
      <c r="AC67" s="164" t="str">
        <f>IF(ISNUMBER(Table3[[#This Row],[Predicted Spread]]), IF(OR(ISBLANK(Games!AC66),Table3[[#This Row],[Market Side Correct]]="",ISBLANK('Prediction Log'!$L67)), "",IF(OR(AND('Prediction Log'!D67&lt;0, 'Prediction Log'!L67='Prediction Log'!B67), AND('Prediction Log'!D67&gt;0, 'Prediction Log'!C67='Prediction Log'!L67)),"Y", IF(ISBLANK(Games!$B$2), "","N"))), "")</f>
        <v>Y</v>
      </c>
      <c r="AD67" s="159" t="str">
        <f>'Prediction Log'!$S67</f>
        <v>N</v>
      </c>
    </row>
    <row r="68">
      <c r="A68" s="165" t="n">
        <f>IF(ISBLANK(Games!$B67), "",Games!A67)</f>
        <v>1</v>
      </c>
      <c r="B68" s="165" t="str">
        <f>IF(ISBLANK(Games!$B67), "",Games!B67)</f>
        <v>East Carolina</v>
      </c>
      <c r="C68" s="165" t="str">
        <f>IF(ISBLANK(Games!$B67), "",Games!C67)</f>
        <v>Norfolk State</v>
      </c>
      <c r="D68" s="140" t="n">
        <f>IF(ISBLANK(Games!$D67), "",IF(_xlfn.NUMBERVALUE(Games!D67)=0, "",_xlfn.NUMBERVALUE(Games!D67) ))</f>
        <v>-33.5</v>
      </c>
      <c r="E68" s="138" t="n">
        <f>IF(ISBLANK(_xlfn.NUMBERVALUE(Games!$B67)), "",_xlfn.NUMBERVALUE(Games!J67))</f>
        <v>-13.568660050672401</v>
      </c>
      <c r="F68" s="141" t="n">
        <f>IFERROR(IF(ISBLANK(Games!B67), "", IF(Games!N67=Games!B67, Games!O67, 1-Games!O67)), "")</f>
        <v>0.90382882251586749</v>
      </c>
      <c r="G68" s="142" t="str">
        <f>IF(OR(ISBLANK(Games!B67),Table3[[#This Row],[Spread]]=""), "", IF('Prediction Log'!$D68&lt;0, 'Prediction Log'!$B68, 'Prediction Log'!$C68))</f>
        <v>East Carolina</v>
      </c>
      <c r="H68" s="143" t="str">
        <f>IF(ISBLANK(Games!$B67), "",Games!K67)</f>
        <v>East Carolina</v>
      </c>
      <c r="I68" s="143" t="str">
        <f>IF('Prediction Log'!$F68&gt;0.5, 'Prediction Log'!$B68, IF('Prediction Log'!$F68&lt;0.5, 'Prediction Log'!$C68, "PICK"))</f>
        <v>East Carolina</v>
      </c>
      <c r="J68" s="144" t="n">
        <f>IF(ISBLANK(Games!B67), "",IF('Prediction Log'!$I68='Prediction Log'!$B68, 'Prediction Log'!$F68, 1-'Prediction Log'!$F68))</f>
        <v>0.90382882251586749</v>
      </c>
      <c r="K68" s="145" t="str">
        <f>IF(ISBLANK(Games!$B67), "",Games!Q67)</f>
        <v>N</v>
      </c>
      <c r="L68" s="124" t="str">
        <f>IF(ISBLANK(Games!AC67), "",Games!AE67)</f>
        <v>East Carolina</v>
      </c>
      <c r="M68" s="161" t="n">
        <f>IF(ISBLANK(Games!AC67), "",Games!AD67-Games!AC67)</f>
        <v>-39</v>
      </c>
      <c r="N68" s="146" t="str">
        <f>IF(ISNUMBER(Table3[[#This Row],[Predicted Spread]]), IF(OR(ISBLANK(Games!AC67),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68" s="147" t="str">
        <f>IF(ISNUMBER(Table3[[#This Row],[Predicted Spread]]), IF(OR(ISBLANK(Games!AC67),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68" s="147" t="str">
        <f>IF(ISNUMBER(Table3[[#This Row],[Predicted Spread]]), IF(ISBLANK(Games!AC67),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68" s="148" t="str">
        <f>IF(OR(ISBLANK(Games!AC67), Table3[[#This Row],[Spread]]=""),"",IF('Prediction Log'!$L68='Prediction Log'!$G68, "Y", "N"))</f>
        <v>Y</v>
      </c>
      <c r="R68" s="148" t="str">
        <f>IF(ISNUMBER(Table3[[#This Row],[Predicted Spread]]), Table3[[#This Row],[Home Team Covered Market]],"")</f>
        <v>Y</v>
      </c>
      <c r="S68" s="148" t="str">
        <f>IF(ISNUMBER(Table3[[#This Row],[Predicted Spread]]), IF(OR(Table3[[#This Row],[Market Side Correct]]="",ISBLANK(Games!AC67)), "",IF(AND('Prediction Log'!$Q68="Y", 'Prediction Log'!$R68="Y"), "Y", "N")),"")</f>
        <v>Y</v>
      </c>
      <c r="T68" s="149" t="str">
        <f>IF(ISNUMBER(Table3[[#This Row],[Predicted Spread]]), IF(ISBLANK(Games!AC67),"",IF(Games!AE67='Prediction Log'!$H68, "Y", "N")), "")</f>
        <v>Y</v>
      </c>
      <c r="U68" s="149" t="str">
        <f>IF(ISNUMBER(Table3[[#This Row],[Predicted Spread]]), IF(OR(Table3[[#This Row],[Spread]]="",ISBLANK(Games!AC67)), "", IF(Table3[[#This Row],[Home Team Covered Market]]=Games!P67, "Y", "N")),"")</f>
        <v>N</v>
      </c>
      <c r="V68" s="150" t="str">
        <f>IF(ISBLANK(Games!AC67), "",IF('Prediction Log'!$I68='Prediction Log'!$L68, "Y", "N"))</f>
        <v>Y</v>
      </c>
      <c r="W68" s="149" t="str">
        <f>IF(ISNUMBER(Table3[[#This Row],[Predicted Spread]]), IF(OR(Table3[[#This Row],[Model Spread Correct]]="",ISBLANK(Games!AC67)), "",IF('Prediction Log'!$H68&lt;&gt;'Prediction Log'!$L68, "N",IF(AND('Prediction Log'!$E68&gt;0, 'Prediction Log'!$M68&gt;'Prediction Log'!$E68, 'Prediction Log'!$H68='Prediction Log'!$C68), "Y", IF(AND('Prediction Log'!$E68&lt;0, 'Prediction Log'!$M68&lt;'Prediction Log'!$E68,'Prediction Log'!$H68='Prediction Log'!$B68 ), "Y", IF('Prediction Log'!$M68='Prediction Log'!$E68, "PUSH", "N"))))), "")</f>
        <v>Y</v>
      </c>
      <c r="X68" s="149" t="str">
        <f>IF(ISNUMBER(Table3[[#This Row],[Predicted Spread]]), IF(OR(Table3[[#This Row],[Model Spread Correct]]="",ISBLANK(Games!AC67)), "",IF(AND('Prediction Log'!$T68="Y", 'Prediction Log'!$U68="Y"), "Y", "N")), "")</f>
        <v>N</v>
      </c>
      <c r="Y68" s="148" t="n">
        <f>IFERROR(IF(ISNUMBER(Table3[[#This Row],[Predicted Spread]]), IF(ISBLANK(Games!AC67), "",IF('Prediction Log'!$D68&gt;0, 'Prediction Log'!$M68-'Prediction Log'!$D68, IF('Prediction Log'!$D68&lt;0, -'Prediction Log'!$M68+'Prediction Log'!$D68, "NA"))), ""), "")</f>
        <v>5.5</v>
      </c>
      <c r="Z68" s="148" t="n">
        <f>IF(ISNUMBER(Table3[[#This Row],[Difference from Market]]), IF(ISBLANK(Games!AC67), "",ABS('Prediction Log'!$Y68)), "")</f>
        <v>5.5</v>
      </c>
      <c r="AA68" s="139" t="n">
        <f>IF(ISNUMBER(Table3[[#This Row],[Predicted Spread]]), IF(ISBLANK(Games!AC67), "",IF('Prediction Log'!$E68&gt;0, 'Prediction Log'!$M68-'Prediction Log'!$E68, IF('Prediction Log'!$E68&lt;0, -'Prediction Log'!$M68+'Prediction Log'!$E68, "NA"))), "")</f>
        <v>25.431339949327601</v>
      </c>
      <c r="AB68" s="139" t="n">
        <f>IF(ISNUMBER(Table3[[#This Row],[Difference from Prediction]]), IF(ISBLANK(Games!AD67), "",ABS('Prediction Log'!$AA68)), "")</f>
        <v>25.431339949327601</v>
      </c>
      <c r="AC68" s="164" t="str">
        <f>IF(ISNUMBER(Table3[[#This Row],[Predicted Spread]]), IF(OR(ISBLANK(Games!AC67),Table3[[#This Row],[Market Side Correct]]="",ISBLANK('Prediction Log'!$L68)), "",IF(OR(AND('Prediction Log'!D68&lt;0, 'Prediction Log'!L68='Prediction Log'!B68), AND('Prediction Log'!D68&gt;0, 'Prediction Log'!C68='Prediction Log'!L68)),"Y", IF(ISBLANK(Games!$B$2), "","N"))), "")</f>
        <v>Y</v>
      </c>
      <c r="AD68" s="159" t="str">
        <f>'Prediction Log'!$S68</f>
        <v>Y</v>
      </c>
    </row>
    <row r="69">
      <c r="A69" s="165" t="n">
        <f>IF(ISBLANK(Games!$B68), "",Games!A68)</f>
        <v>1</v>
      </c>
      <c r="B69" s="165" t="str">
        <f>IF(ISBLANK(Games!$B68), "",Games!B68)</f>
        <v>Mississippi State</v>
      </c>
      <c r="C69" s="165" t="str">
        <f>IF(ISBLANK(Games!$B68), "",Games!C68)</f>
        <v>Eastern Kentucky</v>
      </c>
      <c r="D69" s="140" t="n">
        <f>IF(ISBLANK(Games!$D68), "",IF(_xlfn.NUMBERVALUE(Games!D68)=0, "",_xlfn.NUMBERVALUE(Games!D68) ))</f>
        <v>-24.5</v>
      </c>
      <c r="E69" s="138" t="n">
        <f>IF(ISBLANK(_xlfn.NUMBERVALUE(Games!$B68)), "",_xlfn.NUMBERVALUE(Games!J68))</f>
        <v>-17.032140609722401</v>
      </c>
      <c r="F69" s="141" t="n">
        <f>IFERROR(IF(ISBLANK(Games!B68), "", IF(Games!N68=Games!B68, Games!O68, 1-Games!O68)), "")</f>
        <v>0.93928597178746076</v>
      </c>
      <c r="G69" s="142" t="str">
        <f>IF(OR(ISBLANK(Games!B68),Table3[[#This Row],[Spread]]=""), "", IF('Prediction Log'!$D69&lt;0, 'Prediction Log'!$B69, 'Prediction Log'!$C69))</f>
        <v>Mississippi State</v>
      </c>
      <c r="H69" s="143" t="str">
        <f>IF(ISBLANK(Games!$B68), "",Games!K68)</f>
        <v>Mississippi State</v>
      </c>
      <c r="I69" s="143" t="str">
        <f>IF('Prediction Log'!$F69&gt;0.5, 'Prediction Log'!$B69, IF('Prediction Log'!$F69&lt;0.5, 'Prediction Log'!$C69, "PICK"))</f>
        <v>Mississippi State</v>
      </c>
      <c r="J69" s="144" t="n">
        <f>IF(ISBLANK(Games!B68), "",IF('Prediction Log'!$I69='Prediction Log'!$B69, 'Prediction Log'!$F69, 1-'Prediction Log'!$F69))</f>
        <v>0.93928597178746076</v>
      </c>
      <c r="K69" s="145" t="str">
        <f>IF(ISBLANK(Games!$B68), "",Games!Q68)</f>
        <v>N</v>
      </c>
      <c r="L69" s="124" t="str">
        <f>IF(ISBLANK(Games!AC68), "",Games!AE68)</f>
        <v>Mississippi State</v>
      </c>
      <c r="M69" s="161" t="n">
        <f>IF(ISBLANK(Games!AC68), "",Games!AD68-Games!AC68)</f>
        <v>-49</v>
      </c>
      <c r="N69" s="146" t="str">
        <f>IF(ISNUMBER(Table3[[#This Row],[Predicted Spread]]), IF(OR(ISBLANK(Games!AC68),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69" s="147" t="str">
        <f>IF(ISNUMBER(Table3[[#This Row],[Predicted Spread]]), IF(OR(ISBLANK(Games!AC68),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69" s="147" t="str">
        <f>IF(ISNUMBER(Table3[[#This Row],[Predicted Spread]]), IF(ISBLANK(Games!AC68),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69" s="148" t="str">
        <f>IF(OR(ISBLANK(Games!AC68), Table3[[#This Row],[Spread]]=""),"",IF('Prediction Log'!$L69='Prediction Log'!$G69, "Y", "N"))</f>
        <v>Y</v>
      </c>
      <c r="R69" s="148" t="str">
        <f>IF(ISNUMBER(Table3[[#This Row],[Predicted Spread]]), Table3[[#This Row],[Home Team Covered Market]],"")</f>
        <v>Y</v>
      </c>
      <c r="S69" s="148" t="str">
        <f>IF(ISNUMBER(Table3[[#This Row],[Predicted Spread]]), IF(OR(Table3[[#This Row],[Market Side Correct]]="",ISBLANK(Games!AC68)), "",IF(AND('Prediction Log'!$Q69="Y", 'Prediction Log'!$R69="Y"), "Y", "N")),"")</f>
        <v>Y</v>
      </c>
      <c r="T69" s="149" t="str">
        <f>IF(ISNUMBER(Table3[[#This Row],[Predicted Spread]]), IF(ISBLANK(Games!AC68),"",IF(Games!AE68='Prediction Log'!$H69, "Y", "N")), "")</f>
        <v>Y</v>
      </c>
      <c r="U69" s="149" t="str">
        <f>IF(ISNUMBER(Table3[[#This Row],[Predicted Spread]]), IF(OR(Table3[[#This Row],[Spread]]="",ISBLANK(Games!AC68)), "", IF(Table3[[#This Row],[Home Team Covered Market]]=Games!P68, "Y", "N")),"")</f>
        <v>N</v>
      </c>
      <c r="V69" s="150" t="str">
        <f>IF(ISBLANK(Games!AC68), "",IF('Prediction Log'!$I69='Prediction Log'!$L69, "Y", "N"))</f>
        <v>Y</v>
      </c>
      <c r="W69" s="149" t="str">
        <f>IF(ISNUMBER(Table3[[#This Row],[Predicted Spread]]), IF(OR(Table3[[#This Row],[Model Spread Correct]]="",ISBLANK(Games!AC68)), "",IF('Prediction Log'!$H69&lt;&gt;'Prediction Log'!$L69, "N",IF(AND('Prediction Log'!$E69&gt;0, 'Prediction Log'!$M69&gt;'Prediction Log'!$E69, 'Prediction Log'!$H69='Prediction Log'!$C69), "Y", IF(AND('Prediction Log'!$E69&lt;0, 'Prediction Log'!$M69&lt;'Prediction Log'!$E69,'Prediction Log'!$H69='Prediction Log'!$B69 ), "Y", IF('Prediction Log'!$M69='Prediction Log'!$E69, "PUSH", "N"))))), "")</f>
        <v>Y</v>
      </c>
      <c r="X69" s="149" t="str">
        <f>IF(ISNUMBER(Table3[[#This Row],[Predicted Spread]]), IF(OR(Table3[[#This Row],[Model Spread Correct]]="",ISBLANK(Games!AC68)), "",IF(AND('Prediction Log'!$T69="Y", 'Prediction Log'!$U69="Y"), "Y", "N")), "")</f>
        <v>N</v>
      </c>
      <c r="Y69" s="148" t="n">
        <f>IFERROR(IF(ISNUMBER(Table3[[#This Row],[Predicted Spread]]), IF(ISBLANK(Games!AC68), "",IF('Prediction Log'!$D69&gt;0, 'Prediction Log'!$M69-'Prediction Log'!$D69, IF('Prediction Log'!$D69&lt;0, -'Prediction Log'!$M69+'Prediction Log'!$D69, "NA"))), ""), "")</f>
        <v>24.5</v>
      </c>
      <c r="Z69" s="148" t="n">
        <f>IF(ISNUMBER(Table3[[#This Row],[Difference from Market]]), IF(ISBLANK(Games!AC68), "",ABS('Prediction Log'!$Y69)), "")</f>
        <v>24.5</v>
      </c>
      <c r="AA69" s="139" t="n">
        <f>IF(ISNUMBER(Table3[[#This Row],[Predicted Spread]]), IF(ISBLANK(Games!AC68), "",IF('Prediction Log'!$E69&gt;0, 'Prediction Log'!$M69-'Prediction Log'!$E69, IF('Prediction Log'!$E69&lt;0, -'Prediction Log'!$M69+'Prediction Log'!$E69, "NA"))), "")</f>
        <v>31.967859390277599</v>
      </c>
      <c r="AB69" s="139" t="n">
        <f>IF(ISNUMBER(Table3[[#This Row],[Difference from Prediction]]), IF(ISBLANK(Games!AD68), "",ABS('Prediction Log'!$AA69)), "")</f>
        <v>31.967859390277599</v>
      </c>
      <c r="AC69" s="164" t="str">
        <f>IF(ISNUMBER(Table3[[#This Row],[Predicted Spread]]), IF(OR(ISBLANK(Games!AC68),Table3[[#This Row],[Market Side Correct]]="",ISBLANK('Prediction Log'!$L69)), "",IF(OR(AND('Prediction Log'!D69&lt;0, 'Prediction Log'!L69='Prediction Log'!B69), AND('Prediction Log'!D69&gt;0, 'Prediction Log'!C69='Prediction Log'!L69)),"Y", IF(ISBLANK(Games!$B$2), "","N"))), "")</f>
        <v>Y</v>
      </c>
      <c r="AD69" s="159" t="str">
        <f>'Prediction Log'!$S69</f>
        <v>Y</v>
      </c>
    </row>
    <row r="70">
      <c r="A70" s="165" t="n">
        <f>IF(ISBLANK(Games!$B69), "",Games!A69)</f>
        <v>1</v>
      </c>
      <c r="B70" s="165" t="str">
        <f>IF(ISBLANK(Games!$B69), "",Games!B69)</f>
        <v>Oregon State</v>
      </c>
      <c r="C70" s="165" t="str">
        <f>IF(ISBLANK(Games!$B69), "",Games!C69)</f>
        <v>Idaho State</v>
      </c>
      <c r="D70" s="140" t="n">
        <f>IF(ISBLANK(Games!$D69), "",IF(_xlfn.NUMBERVALUE(Games!D69)=0, "",_xlfn.NUMBERVALUE(Games!D69) ))</f>
        <v>-27.5</v>
      </c>
      <c r="E70" s="138" t="n">
        <f>IF(ISBLANK(_xlfn.NUMBERVALUE(Games!$B69)), "",_xlfn.NUMBERVALUE(Games!J69))</f>
        <v>-23.587774250653599</v>
      </c>
      <c r="F70" s="141" t="n">
        <f>IFERROR(IF(ISBLANK(Games!B69), "", IF(Games!N69=Games!B69, Games!O69, 1-Games!O69)), "")</f>
        <v>0.97545454175300605</v>
      </c>
      <c r="G70" s="142" t="str">
        <f>IF(OR(ISBLANK(Games!B69),Table3[[#This Row],[Spread]]=""), "", IF('Prediction Log'!$D70&lt;0, 'Prediction Log'!$B70, 'Prediction Log'!$C70))</f>
        <v>Oregon State</v>
      </c>
      <c r="H70" s="143" t="str">
        <f>IF(ISBLANK(Games!$B69), "",Games!K69)</f>
        <v>Oregon State</v>
      </c>
      <c r="I70" s="143" t="str">
        <f>IF('Prediction Log'!$F70&gt;0.5, 'Prediction Log'!$B70, IF('Prediction Log'!$F70&lt;0.5, 'Prediction Log'!$C70, "PICK"))</f>
        <v>Oregon State</v>
      </c>
      <c r="J70" s="144" t="n">
        <f>IF(ISBLANK(Games!B69), "",IF('Prediction Log'!$I70='Prediction Log'!$B70, 'Prediction Log'!$F70, 1-'Prediction Log'!$F70))</f>
        <v>0.97545454175300605</v>
      </c>
      <c r="K70" s="145" t="str">
        <f>IF(ISBLANK(Games!$B69), "",Games!Q69)</f>
        <v>N</v>
      </c>
      <c r="L70" s="124" t="str">
        <f>IF(ISBLANK(Games!AC69), "",Games!AE69)</f>
        <v>Oregon State</v>
      </c>
      <c r="M70" s="161" t="n">
        <f>IF(ISBLANK(Games!AC69), "",Games!AD69-Games!AC69)</f>
        <v>-23</v>
      </c>
      <c r="N70" s="146" t="str">
        <f>IF(ISNUMBER(Table3[[#This Row],[Predicted Spread]]), IF(OR(ISBLANK(Games!AC69),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70" s="147" t="str">
        <f>IF(ISNUMBER(Table3[[#This Row],[Predicted Spread]]), IF(OR(ISBLANK(Games!AC69),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0" s="147" t="str">
        <f>IF(ISNUMBER(Table3[[#This Row],[Predicted Spread]]), IF(ISBLANK(Games!AC69),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70" s="148" t="str">
        <f>IF(OR(ISBLANK(Games!AC69), Table3[[#This Row],[Spread]]=""),"",IF('Prediction Log'!$L70='Prediction Log'!$G70, "Y", "N"))</f>
        <v>Y</v>
      </c>
      <c r="R70" s="148" t="str">
        <f>IF(ISNUMBER(Table3[[#This Row],[Predicted Spread]]), Table3[[#This Row],[Home Team Covered Market]],"")</f>
        <v>N</v>
      </c>
      <c r="S70" s="148" t="str">
        <f>IF(ISNUMBER(Table3[[#This Row],[Predicted Spread]]), IF(OR(Table3[[#This Row],[Market Side Correct]]="",ISBLANK(Games!AC69)), "",IF(AND('Prediction Log'!$Q70="Y", 'Prediction Log'!$R70="Y"), "Y", "N")),"")</f>
        <v>N</v>
      </c>
      <c r="T70" s="149" t="str">
        <f>IF(ISNUMBER(Table3[[#This Row],[Predicted Spread]]), IF(ISBLANK(Games!AC69),"",IF(Games!AE69='Prediction Log'!$H70, "Y", "N")), "")</f>
        <v>Y</v>
      </c>
      <c r="U70" s="149" t="str">
        <f>IF(ISNUMBER(Table3[[#This Row],[Predicted Spread]]), IF(OR(Table3[[#This Row],[Spread]]="",ISBLANK(Games!AC69)), "", IF(Table3[[#This Row],[Home Team Covered Market]]=Games!P69, "Y", "N")),"")</f>
        <v>Y</v>
      </c>
      <c r="V70" s="150" t="str">
        <f>IF(ISBLANK(Games!AC69), "",IF('Prediction Log'!$I70='Prediction Log'!$L70, "Y", "N"))</f>
        <v>Y</v>
      </c>
      <c r="W70" s="149" t="str">
        <f>IF(ISNUMBER(Table3[[#This Row],[Predicted Spread]]), IF(OR(Table3[[#This Row],[Model Spread Correct]]="",ISBLANK(Games!AC69)), "",IF('Prediction Log'!$H70&lt;&gt;'Prediction Log'!$L70, "N",IF(AND('Prediction Log'!$E70&gt;0, 'Prediction Log'!$M70&gt;'Prediction Log'!$E70, 'Prediction Log'!$H70='Prediction Log'!$C70), "Y", IF(AND('Prediction Log'!$E70&lt;0, 'Prediction Log'!$M70&lt;'Prediction Log'!$E70,'Prediction Log'!$H70='Prediction Log'!$B70 ), "Y", IF('Prediction Log'!$M70='Prediction Log'!$E70, "PUSH", "N"))))), "")</f>
        <v>N</v>
      </c>
      <c r="X70" s="149" t="str">
        <f>IF(ISNUMBER(Table3[[#This Row],[Predicted Spread]]), IF(OR(Table3[[#This Row],[Model Spread Correct]]="",ISBLANK(Games!AC69)), "",IF(AND('Prediction Log'!$T70="Y", 'Prediction Log'!$U70="Y"), "Y", "N")), "")</f>
        <v>Y</v>
      </c>
      <c r="Y70" s="148" t="n">
        <f>IFERROR(IF(ISNUMBER(Table3[[#This Row],[Predicted Spread]]), IF(ISBLANK(Games!AC69), "",IF('Prediction Log'!$D70&gt;0, 'Prediction Log'!$M70-'Prediction Log'!$D70, IF('Prediction Log'!$D70&lt;0, -'Prediction Log'!$M70+'Prediction Log'!$D70, "NA"))), ""), "")</f>
        <v>-4.5</v>
      </c>
      <c r="Z70" s="148" t="n">
        <f>IF(ISNUMBER(Table3[[#This Row],[Difference from Market]]), IF(ISBLANK(Games!AC69), "",ABS('Prediction Log'!$Y70)), "")</f>
        <v>4.5</v>
      </c>
      <c r="AA70" s="139" t="n">
        <f>IF(ISNUMBER(Table3[[#This Row],[Predicted Spread]]), IF(ISBLANK(Games!AC69), "",IF('Prediction Log'!$E70&gt;0, 'Prediction Log'!$M70-'Prediction Log'!$E70, IF('Prediction Log'!$E70&lt;0, -'Prediction Log'!$M70+'Prediction Log'!$E70, "NA"))), "")</f>
        <v>-0.58777425065359878</v>
      </c>
      <c r="AB70" s="139" t="n">
        <f>IF(ISNUMBER(Table3[[#This Row],[Difference from Prediction]]), IF(ISBLANK(Games!AD69), "",ABS('Prediction Log'!$AA70)), "")</f>
        <v>0.58777425065359878</v>
      </c>
      <c r="AC70" s="164" t="str">
        <f>IF(ISNUMBER(Table3[[#This Row],[Predicted Spread]]), IF(OR(ISBLANK(Games!AC69),Table3[[#This Row],[Market Side Correct]]="",ISBLANK('Prediction Log'!$L70)), "",IF(OR(AND('Prediction Log'!D70&lt;0, 'Prediction Log'!L70='Prediction Log'!B70), AND('Prediction Log'!D70&gt;0, 'Prediction Log'!C70='Prediction Log'!L70)),"Y", IF(ISBLANK(Games!$B$2), "","N"))), "")</f>
        <v>Y</v>
      </c>
      <c r="AD70" s="159" t="str">
        <f>'Prediction Log'!$S70</f>
        <v>N</v>
      </c>
    </row>
    <row r="71">
      <c r="A71" s="165" t="n">
        <f>IF(ISBLANK(Games!$B70), "",Games!A70)</f>
        <v>1</v>
      </c>
      <c r="B71" s="165" t="str">
        <f>IF(ISBLANK(Games!$B70), "",Games!B70)</f>
        <v>Arkansas State</v>
      </c>
      <c r="C71" s="165" t="str">
        <f>IF(ISBLANK(Games!$B70), "",Games!C70)</f>
        <v>Central Arkansas</v>
      </c>
      <c r="D71" s="140" t="n">
        <f>IF(ISBLANK(Games!$D70), "",IF(_xlfn.NUMBERVALUE(Games!D70)=0, "",_xlfn.NUMBERVALUE(Games!D70) ))</f>
        <v>-12.5</v>
      </c>
      <c r="E71" s="138" t="n">
        <f>IF(ISBLANK(_xlfn.NUMBERVALUE(Games!$B70)), "",_xlfn.NUMBERVALUE(Games!J70))</f>
        <v>-18.506807423166801</v>
      </c>
      <c r="F71" s="141" t="n">
        <f>IFERROR(IF(ISBLANK(Games!B70), "", IF(Games!N70=Games!B70, Games!O70, 1-Games!O70)), "")</f>
        <v>0.95031860652169164</v>
      </c>
      <c r="G71" s="142" t="str">
        <f>IF(OR(ISBLANK(Games!B70),Table3[[#This Row],[Spread]]=""), "", IF('Prediction Log'!$D71&lt;0, 'Prediction Log'!$B71, 'Prediction Log'!$C71))</f>
        <v>Arkansas State</v>
      </c>
      <c r="H71" s="143" t="str">
        <f>IF(ISBLANK(Games!$B70), "",Games!K70)</f>
        <v>Arkansas State</v>
      </c>
      <c r="I71" s="143" t="str">
        <f>IF('Prediction Log'!$F71&gt;0.5, 'Prediction Log'!$B71, IF('Prediction Log'!$F71&lt;0.5, 'Prediction Log'!$C71, "PICK"))</f>
        <v>Arkansas State</v>
      </c>
      <c r="J71" s="144" t="n">
        <f>IF(ISBLANK(Games!B70), "",IF('Prediction Log'!$I71='Prediction Log'!$B71, 'Prediction Log'!$F71, 1-'Prediction Log'!$F71))</f>
        <v>0.95031860652169164</v>
      </c>
      <c r="K71" s="145" t="str">
        <f>IF(ISBLANK(Games!$B70), "",Games!Q70)</f>
        <v>Y</v>
      </c>
      <c r="L71" s="124" t="str">
        <f>IF(ISBLANK(Games!AC70), "",Games!AE70)</f>
        <v>Arkansas State</v>
      </c>
      <c r="M71" s="161" t="n">
        <f>IF(ISBLANK(Games!AC70), "",Games!AD70-Games!AC70)</f>
        <v>-3</v>
      </c>
      <c r="N71" s="146" t="str">
        <f>IF(ISNUMBER(Table3[[#This Row],[Predicted Spread]]), IF(OR(ISBLANK(Games!AC70),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71" s="147" t="str">
        <f>IF(ISNUMBER(Table3[[#This Row],[Predicted Spread]]), IF(OR(ISBLANK(Games!AC70),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1" s="147" t="str">
        <f>IF(ISNUMBER(Table3[[#This Row],[Predicted Spread]]), IF(ISBLANK(Games!AC70),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71" s="148" t="str">
        <f>IF(OR(ISBLANK(Games!AC70), Table3[[#This Row],[Spread]]=""),"",IF('Prediction Log'!$L71='Prediction Log'!$G71, "Y", "N"))</f>
        <v>Y</v>
      </c>
      <c r="R71" s="148" t="str">
        <f>IF(ISNUMBER(Table3[[#This Row],[Predicted Spread]]), Table3[[#This Row],[Home Team Covered Market]],"")</f>
        <v>N</v>
      </c>
      <c r="S71" s="148" t="str">
        <f>IF(ISNUMBER(Table3[[#This Row],[Predicted Spread]]), IF(OR(Table3[[#This Row],[Market Side Correct]]="",ISBLANK(Games!AC70)), "",IF(AND('Prediction Log'!$Q71="Y", 'Prediction Log'!$R71="Y"), "Y", "N")),"")</f>
        <v>N</v>
      </c>
      <c r="T71" s="149" t="str">
        <f>IF(ISNUMBER(Table3[[#This Row],[Predicted Spread]]), IF(ISBLANK(Games!AC70),"",IF(Games!AE70='Prediction Log'!$H71, "Y", "N")), "")</f>
        <v>Y</v>
      </c>
      <c r="U71" s="149" t="str">
        <f>IF(ISNUMBER(Table3[[#This Row],[Predicted Spread]]), IF(OR(Table3[[#This Row],[Spread]]="",ISBLANK(Games!AC70)), "", IF(Table3[[#This Row],[Home Team Covered Market]]=Games!P70, "Y", "N")),"")</f>
        <v>N</v>
      </c>
      <c r="V71" s="150" t="str">
        <f>IF(ISBLANK(Games!AC70), "",IF('Prediction Log'!$I71='Prediction Log'!$L71, "Y", "N"))</f>
        <v>Y</v>
      </c>
      <c r="W71" s="149" t="str">
        <f>IF(ISNUMBER(Table3[[#This Row],[Predicted Spread]]), IF(OR(Table3[[#This Row],[Model Spread Correct]]="",ISBLANK(Games!AC70)), "",IF('Prediction Log'!$H71&lt;&gt;'Prediction Log'!$L71, "N",IF(AND('Prediction Log'!$E71&gt;0, 'Prediction Log'!$M71&gt;'Prediction Log'!$E71, 'Prediction Log'!$H71='Prediction Log'!$C71), "Y", IF(AND('Prediction Log'!$E71&lt;0, 'Prediction Log'!$M71&lt;'Prediction Log'!$E71,'Prediction Log'!$H71='Prediction Log'!$B71 ), "Y", IF('Prediction Log'!$M71='Prediction Log'!$E71, "PUSH", "N"))))), "")</f>
        <v>N</v>
      </c>
      <c r="X71" s="149" t="str">
        <f>IF(ISNUMBER(Table3[[#This Row],[Predicted Spread]]), IF(OR(Table3[[#This Row],[Model Spread Correct]]="",ISBLANK(Games!AC70)), "",IF(AND('Prediction Log'!$T71="Y", 'Prediction Log'!$U71="Y"), "Y", "N")), "")</f>
        <v>N</v>
      </c>
      <c r="Y71" s="148" t="n">
        <f>IFERROR(IF(ISNUMBER(Table3[[#This Row],[Predicted Spread]]), IF(ISBLANK(Games!AC70), "",IF('Prediction Log'!$D71&gt;0, 'Prediction Log'!$M71-'Prediction Log'!$D71, IF('Prediction Log'!$D71&lt;0, -'Prediction Log'!$M71+'Prediction Log'!$D71, "NA"))), ""), "")</f>
        <v>-9.5</v>
      </c>
      <c r="Z71" s="148" t="n">
        <f>IF(ISNUMBER(Table3[[#This Row],[Difference from Market]]), IF(ISBLANK(Games!AC70), "",ABS('Prediction Log'!$Y71)), "")</f>
        <v>9.5</v>
      </c>
      <c r="AA71" s="139" t="n">
        <f>IF(ISNUMBER(Table3[[#This Row],[Predicted Spread]]), IF(ISBLANK(Games!AC70), "",IF('Prediction Log'!$E71&gt;0, 'Prediction Log'!$M71-'Prediction Log'!$E71, IF('Prediction Log'!$E71&lt;0, -'Prediction Log'!$M71+'Prediction Log'!$E71, "NA"))), "")</f>
        <v>-15.506807423166801</v>
      </c>
      <c r="AB71" s="139" t="n">
        <f>IF(ISNUMBER(Table3[[#This Row],[Difference from Prediction]]), IF(ISBLANK(Games!AD70), "",ABS('Prediction Log'!$AA71)), "")</f>
        <v>15.506807423166801</v>
      </c>
      <c r="AC71" s="164" t="str">
        <f>IF(ISNUMBER(Table3[[#This Row],[Predicted Spread]]), IF(OR(ISBLANK(Games!AC70),Table3[[#This Row],[Market Side Correct]]="",ISBLANK('Prediction Log'!$L71)), "",IF(OR(AND('Prediction Log'!D71&lt;0, 'Prediction Log'!L71='Prediction Log'!B71), AND('Prediction Log'!D71&gt;0, 'Prediction Log'!C71='Prediction Log'!L71)),"Y", IF(ISBLANK(Games!$B$2), "","N"))), "")</f>
        <v>Y</v>
      </c>
      <c r="AD71" s="159" t="str">
        <f>'Prediction Log'!$S71</f>
        <v>N</v>
      </c>
    </row>
    <row r="72">
      <c r="A72" s="165" t="n">
        <f>IF(ISBLANK(Games!$B71), "",Games!A71)</f>
        <v>1</v>
      </c>
      <c r="B72" s="165" t="str">
        <f>IF(ISBLANK(Games!$B71), "",Games!B71)</f>
        <v>Ole Miss</v>
      </c>
      <c r="C72" s="165" t="str">
        <f>IF(ISBLANK(Games!$B71), "",Games!C71)</f>
        <v>Furman</v>
      </c>
      <c r="D72" s="140" t="n">
        <f>IF(ISBLANK(Games!$D71), "",IF(_xlfn.NUMBERVALUE(Games!D71)=0, "",_xlfn.NUMBERVALUE(Games!D71) ))</f>
        <v>-42.5</v>
      </c>
      <c r="E72" s="138" t="n">
        <f>IF(ISBLANK(_xlfn.NUMBERVALUE(Games!$B71)), "",_xlfn.NUMBERVALUE(Games!J71))</f>
        <v>-33.142400142335603</v>
      </c>
      <c r="F72" s="141" t="n">
        <f>IFERROR(IF(ISBLANK(Games!B71), "", IF(Games!N71=Games!B71, Games!O71, 1-Games!O71)), "")</f>
        <v>0.99367812766227892</v>
      </c>
      <c r="G72" s="142" t="str">
        <f>IF(OR(ISBLANK(Games!B71),Table3[[#This Row],[Spread]]=""), "", IF('Prediction Log'!$D72&lt;0, 'Prediction Log'!$B72, 'Prediction Log'!$C72))</f>
        <v>Ole Miss</v>
      </c>
      <c r="H72" s="143" t="str">
        <f>IF(ISBLANK(Games!$B71), "",Games!K71)</f>
        <v>Ole Miss</v>
      </c>
      <c r="I72" s="143" t="str">
        <f>IF('Prediction Log'!$F72&gt;0.5, 'Prediction Log'!$B72, IF('Prediction Log'!$F72&lt;0.5, 'Prediction Log'!$C72, "PICK"))</f>
        <v>Ole Miss</v>
      </c>
      <c r="J72" s="144" t="n">
        <f>IF(ISBLANK(Games!B71), "",IF('Prediction Log'!$I72='Prediction Log'!$B72, 'Prediction Log'!$F72, 1-'Prediction Log'!$F72))</f>
        <v>0.99367812766227892</v>
      </c>
      <c r="K72" s="145" t="str">
        <f>IF(ISBLANK(Games!$B71), "",Games!Q71)</f>
        <v>N</v>
      </c>
      <c r="L72" s="124" t="str">
        <f>IF(ISBLANK(Games!AC71), "",Games!AE71)</f>
        <v>Ole Miss</v>
      </c>
      <c r="M72" s="161" t="n">
        <f>IF(ISBLANK(Games!AC71), "",Games!AD71-Games!AC71)</f>
        <v>-76</v>
      </c>
      <c r="N72" s="146" t="str">
        <f>IF(ISNUMBER(Table3[[#This Row],[Predicted Spread]]), IF(OR(ISBLANK(Games!AC71),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2" s="147" t="str">
        <f>IF(ISNUMBER(Table3[[#This Row],[Predicted Spread]]), IF(OR(ISBLANK(Games!AC71),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72" s="147" t="str">
        <f>IF(ISNUMBER(Table3[[#This Row],[Predicted Spread]]), IF(ISBLANK(Games!AC71),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72" s="148" t="str">
        <f>IF(OR(ISBLANK(Games!AC71), Table3[[#This Row],[Spread]]=""),"",IF('Prediction Log'!$L72='Prediction Log'!$G72, "Y", "N"))</f>
        <v>Y</v>
      </c>
      <c r="R72" s="148" t="str">
        <f>IF(ISNUMBER(Table3[[#This Row],[Predicted Spread]]), Table3[[#This Row],[Home Team Covered Market]],"")</f>
        <v>Y</v>
      </c>
      <c r="S72" s="148" t="str">
        <f>IF(ISNUMBER(Table3[[#This Row],[Predicted Spread]]), IF(OR(Table3[[#This Row],[Market Side Correct]]="",ISBLANK(Games!AC71)), "",IF(AND('Prediction Log'!$Q72="Y", 'Prediction Log'!$R72="Y"), "Y", "N")),"")</f>
        <v>Y</v>
      </c>
      <c r="T72" s="149" t="str">
        <f>IF(ISNUMBER(Table3[[#This Row],[Predicted Spread]]), IF(ISBLANK(Games!AC71),"",IF(Games!AE71='Prediction Log'!$H72, "Y", "N")), "")</f>
        <v>Y</v>
      </c>
      <c r="U72" s="149" t="str">
        <f>IF(ISNUMBER(Table3[[#This Row],[Predicted Spread]]), IF(OR(Table3[[#This Row],[Spread]]="",ISBLANK(Games!AC71)), "", IF(Table3[[#This Row],[Home Team Covered Market]]=Games!P71, "Y", "N")),"")</f>
        <v>N</v>
      </c>
      <c r="V72" s="150" t="str">
        <f>IF(ISBLANK(Games!AC71), "",IF('Prediction Log'!$I72='Prediction Log'!$L72, "Y", "N"))</f>
        <v>Y</v>
      </c>
      <c r="W72" s="149" t="str">
        <f>IF(ISNUMBER(Table3[[#This Row],[Predicted Spread]]), IF(OR(Table3[[#This Row],[Model Spread Correct]]="",ISBLANK(Games!AC71)), "",IF('Prediction Log'!$H72&lt;&gt;'Prediction Log'!$L72, "N",IF(AND('Prediction Log'!$E72&gt;0, 'Prediction Log'!$M72&gt;'Prediction Log'!$E72, 'Prediction Log'!$H72='Prediction Log'!$C72), "Y", IF(AND('Prediction Log'!$E72&lt;0, 'Prediction Log'!$M72&lt;'Prediction Log'!$E72,'Prediction Log'!$H72='Prediction Log'!$B72 ), "Y", IF('Prediction Log'!$M72='Prediction Log'!$E72, "PUSH", "N"))))), "")</f>
        <v>Y</v>
      </c>
      <c r="X72" s="149" t="str">
        <f>IF(ISNUMBER(Table3[[#This Row],[Predicted Spread]]), IF(OR(Table3[[#This Row],[Model Spread Correct]]="",ISBLANK(Games!AC71)), "",IF(AND('Prediction Log'!$T72="Y", 'Prediction Log'!$U72="Y"), "Y", "N")), "")</f>
        <v>N</v>
      </c>
      <c r="Y72" s="148" t="n">
        <f>IFERROR(IF(ISNUMBER(Table3[[#This Row],[Predicted Spread]]), IF(ISBLANK(Games!AC71), "",IF('Prediction Log'!$D72&gt;0, 'Prediction Log'!$M72-'Prediction Log'!$D72, IF('Prediction Log'!$D72&lt;0, -'Prediction Log'!$M72+'Prediction Log'!$D72, "NA"))), ""), "")</f>
        <v>33.5</v>
      </c>
      <c r="Z72" s="148" t="n">
        <f>IF(ISNUMBER(Table3[[#This Row],[Difference from Market]]), IF(ISBLANK(Games!AC71), "",ABS('Prediction Log'!$Y72)), "")</f>
        <v>33.5</v>
      </c>
      <c r="AA72" s="139" t="n">
        <f>IF(ISNUMBER(Table3[[#This Row],[Predicted Spread]]), IF(ISBLANK(Games!AC71), "",IF('Prediction Log'!$E72&gt;0, 'Prediction Log'!$M72-'Prediction Log'!$E72, IF('Prediction Log'!$E72&lt;0, -'Prediction Log'!$M72+'Prediction Log'!$E72, "NA"))), "")</f>
        <v>42.857599857664397</v>
      </c>
      <c r="AB72" s="139" t="n">
        <f>IF(ISNUMBER(Table3[[#This Row],[Difference from Prediction]]), IF(ISBLANK(Games!AD71), "",ABS('Prediction Log'!$AA72)), "")</f>
        <v>42.857599857664397</v>
      </c>
      <c r="AC72" s="164" t="str">
        <f>IF(ISNUMBER(Table3[[#This Row],[Predicted Spread]]), IF(OR(ISBLANK(Games!AC71),Table3[[#This Row],[Market Side Correct]]="",ISBLANK('Prediction Log'!$L72)), "",IF(OR(AND('Prediction Log'!D72&lt;0, 'Prediction Log'!L72='Prediction Log'!B72), AND('Prediction Log'!D72&gt;0, 'Prediction Log'!C72='Prediction Log'!L72)),"Y", IF(ISBLANK(Games!$B$2), "","N"))), "")</f>
        <v>Y</v>
      </c>
      <c r="AD72" s="159" t="str">
        <f>'Prediction Log'!$S72</f>
        <v>Y</v>
      </c>
    </row>
    <row r="73">
      <c r="A73" s="165" t="n">
        <f>IF(ISBLANK(Games!$B72), "",Games!A72)</f>
        <v>1</v>
      </c>
      <c r="B73" s="165" t="str">
        <f>IF(ISBLANK(Games!$B72), "",Games!B72)</f>
        <v>Memphis</v>
      </c>
      <c r="C73" s="165" t="str">
        <f>IF(ISBLANK(Games!$B72), "",Games!C72)</f>
        <v>North Alabama</v>
      </c>
      <c r="D73" s="140" t="n">
        <f>IF(ISBLANK(Games!$D72), "",IF(_xlfn.NUMBERVALUE(Games!D72)=0, "",_xlfn.NUMBERVALUE(Games!D72) ))</f>
        <v>-36.5</v>
      </c>
      <c r="E73" s="138" t="n">
        <f>IF(ISBLANK(_xlfn.NUMBERVALUE(Games!$B72)), "",_xlfn.NUMBERVALUE(Games!J72))</f>
        <v>-28.273732135845599</v>
      </c>
      <c r="F73" s="141" t="n">
        <f>IFERROR(IF(ISBLANK(Games!B72), "", IF(Games!N72=Games!B72, Games!O72, 1-Games!O72)), "")</f>
        <v>0.98734216512841411</v>
      </c>
      <c r="G73" s="142" t="str">
        <f>IF(OR(ISBLANK(Games!B72),Table3[[#This Row],[Spread]]=""), "", IF('Prediction Log'!$D73&lt;0, 'Prediction Log'!$B73, 'Prediction Log'!$C73))</f>
        <v>Memphis</v>
      </c>
      <c r="H73" s="143" t="str">
        <f>IF(ISBLANK(Games!$B72), "",Games!K72)</f>
        <v>Memphis</v>
      </c>
      <c r="I73" s="143" t="str">
        <f>IF('Prediction Log'!$F73&gt;0.5, 'Prediction Log'!$B73, IF('Prediction Log'!$F73&lt;0.5, 'Prediction Log'!$C73, "PICK"))</f>
        <v>Memphis</v>
      </c>
      <c r="J73" s="144" t="n">
        <f>IF(ISBLANK(Games!B72), "",IF('Prediction Log'!$I73='Prediction Log'!$B73, 'Prediction Log'!$F73, 1-'Prediction Log'!$F73))</f>
        <v>0.98734216512841411</v>
      </c>
      <c r="K73" s="145" t="str">
        <f>IF(ISBLANK(Games!$B72), "",Games!Q72)</f>
        <v>N</v>
      </c>
      <c r="L73" s="124" t="str">
        <f>IF(ISBLANK(Games!AC72), "",Games!AE72)</f>
        <v>Memphis</v>
      </c>
      <c r="M73" s="161" t="n">
        <f>IF(ISBLANK(Games!AC72), "",Games!AD72-Games!AC72)</f>
        <v>-40</v>
      </c>
      <c r="N73" s="146" t="str">
        <f>IF(ISNUMBER(Table3[[#This Row],[Predicted Spread]]), IF(OR(ISBLANK(Games!AC72),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3" s="147" t="str">
        <f>IF(ISNUMBER(Table3[[#This Row],[Predicted Spread]]), IF(OR(ISBLANK(Games!AC72),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73" s="147" t="str">
        <f>IF(ISNUMBER(Table3[[#This Row],[Predicted Spread]]), IF(ISBLANK(Games!AC72),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73" s="148" t="str">
        <f>IF(OR(ISBLANK(Games!AC72), Table3[[#This Row],[Spread]]=""),"",IF('Prediction Log'!$L73='Prediction Log'!$G73, "Y", "N"))</f>
        <v>Y</v>
      </c>
      <c r="R73" s="148" t="str">
        <f>IF(ISNUMBER(Table3[[#This Row],[Predicted Spread]]), Table3[[#This Row],[Home Team Covered Market]],"")</f>
        <v>Y</v>
      </c>
      <c r="S73" s="148" t="str">
        <f>IF(ISNUMBER(Table3[[#This Row],[Predicted Spread]]), IF(OR(Table3[[#This Row],[Market Side Correct]]="",ISBLANK(Games!AC72)), "",IF(AND('Prediction Log'!$Q73="Y", 'Prediction Log'!$R73="Y"), "Y", "N")),"")</f>
        <v>Y</v>
      </c>
      <c r="T73" s="149" t="str">
        <f>IF(ISNUMBER(Table3[[#This Row],[Predicted Spread]]), IF(ISBLANK(Games!AC72),"",IF(Games!AE72='Prediction Log'!$H73, "Y", "N")), "")</f>
        <v>Y</v>
      </c>
      <c r="U73" s="149" t="str">
        <f>IF(ISNUMBER(Table3[[#This Row],[Predicted Spread]]), IF(OR(Table3[[#This Row],[Spread]]="",ISBLANK(Games!AC72)), "", IF(Table3[[#This Row],[Home Team Covered Market]]=Games!P72, "Y", "N")),"")</f>
        <v>N</v>
      </c>
      <c r="V73" s="150" t="str">
        <f>IF(ISBLANK(Games!AC72), "",IF('Prediction Log'!$I73='Prediction Log'!$L73, "Y", "N"))</f>
        <v>Y</v>
      </c>
      <c r="W73" s="149" t="str">
        <f>IF(ISNUMBER(Table3[[#This Row],[Predicted Spread]]), IF(OR(Table3[[#This Row],[Model Spread Correct]]="",ISBLANK(Games!AC72)), "",IF('Prediction Log'!$H73&lt;&gt;'Prediction Log'!$L73, "N",IF(AND('Prediction Log'!$E73&gt;0, 'Prediction Log'!$M73&gt;'Prediction Log'!$E73, 'Prediction Log'!$H73='Prediction Log'!$C73), "Y", IF(AND('Prediction Log'!$E73&lt;0, 'Prediction Log'!$M73&lt;'Prediction Log'!$E73,'Prediction Log'!$H73='Prediction Log'!$B73 ), "Y", IF('Prediction Log'!$M73='Prediction Log'!$E73, "PUSH", "N"))))), "")</f>
        <v>Y</v>
      </c>
      <c r="X73" s="149" t="str">
        <f>IF(ISNUMBER(Table3[[#This Row],[Predicted Spread]]), IF(OR(Table3[[#This Row],[Model Spread Correct]]="",ISBLANK(Games!AC72)), "",IF(AND('Prediction Log'!$T73="Y", 'Prediction Log'!$U73="Y"), "Y", "N")), "")</f>
        <v>N</v>
      </c>
      <c r="Y73" s="148" t="n">
        <f>IFERROR(IF(ISNUMBER(Table3[[#This Row],[Predicted Spread]]), IF(ISBLANK(Games!AC72), "",IF('Prediction Log'!$D73&gt;0, 'Prediction Log'!$M73-'Prediction Log'!$D73, IF('Prediction Log'!$D73&lt;0, -'Prediction Log'!$M73+'Prediction Log'!$D73, "NA"))), ""), "")</f>
        <v>3.5</v>
      </c>
      <c r="Z73" s="148" t="n">
        <f>IF(ISNUMBER(Table3[[#This Row],[Difference from Market]]), IF(ISBLANK(Games!AC72), "",ABS('Prediction Log'!$Y73)), "")</f>
        <v>3.5</v>
      </c>
      <c r="AA73" s="139" t="n">
        <f>IF(ISNUMBER(Table3[[#This Row],[Predicted Spread]]), IF(ISBLANK(Games!AC72), "",IF('Prediction Log'!$E73&gt;0, 'Prediction Log'!$M73-'Prediction Log'!$E73, IF('Prediction Log'!$E73&lt;0, -'Prediction Log'!$M73+'Prediction Log'!$E73, "NA"))), "")</f>
        <v>11.726267864154401</v>
      </c>
      <c r="AB73" s="139" t="n">
        <f>IF(ISNUMBER(Table3[[#This Row],[Difference from Prediction]]), IF(ISBLANK(Games!AD72), "",ABS('Prediction Log'!$AA73)), "")</f>
        <v>11.726267864154401</v>
      </c>
      <c r="AC73" s="164" t="str">
        <f>IF(ISNUMBER(Table3[[#This Row],[Predicted Spread]]), IF(OR(ISBLANK(Games!AC72),Table3[[#This Row],[Market Side Correct]]="",ISBLANK('Prediction Log'!$L73)), "",IF(OR(AND('Prediction Log'!D73&lt;0, 'Prediction Log'!L73='Prediction Log'!B73), AND('Prediction Log'!D73&gt;0, 'Prediction Log'!C73='Prediction Log'!L73)),"Y", IF(ISBLANK(Games!$B$2), "","N"))), "")</f>
        <v>Y</v>
      </c>
      <c r="AD73" s="159" t="str">
        <f>'Prediction Log'!$S73</f>
        <v>Y</v>
      </c>
    </row>
    <row r="74">
      <c r="A74" s="165" t="n">
        <f>IF(ISBLANK(Games!$B73), "",Games!A73)</f>
        <v>1</v>
      </c>
      <c r="B74" s="165" t="str">
        <f>IF(ISBLANK(Games!$B73), "",Games!B73)</f>
        <v>Middle Tennessee</v>
      </c>
      <c r="C74" s="165" t="str">
        <f>IF(ISBLANK(Games!$B73), "",Games!C73)</f>
        <v>Tennessee Tech</v>
      </c>
      <c r="D74" s="140" t="n">
        <f>IF(ISBLANK(Games!$D73), "",IF(_xlfn.NUMBERVALUE(Games!D73)=0, "",_xlfn.NUMBERVALUE(Games!D73) ))</f>
        <v>-24.5</v>
      </c>
      <c r="E74" s="138" t="n">
        <f>IF(ISBLANK(_xlfn.NUMBERVALUE(Games!$B73)), "",_xlfn.NUMBERVALUE(Games!J73))</f>
        <v>-15.411515110351599</v>
      </c>
      <c r="F74" s="141" t="n">
        <f>IFERROR(IF(ISBLANK(Games!B73), "", IF(Games!N73=Games!B73, Games!O73, 1-Games!O73)), "")</f>
        <v>0.9245417332593856</v>
      </c>
      <c r="G74" s="142" t="str">
        <f>IF(OR(ISBLANK(Games!B73),Table3[[#This Row],[Spread]]=""), "", IF('Prediction Log'!$D74&lt;0, 'Prediction Log'!$B74, 'Prediction Log'!$C74))</f>
        <v>Middle Tennessee</v>
      </c>
      <c r="H74" s="143" t="str">
        <f>IF(ISBLANK(Games!$B73), "",Games!K73)</f>
        <v>Middle Tennessee</v>
      </c>
      <c r="I74" s="143" t="str">
        <f>IF('Prediction Log'!$F74&gt;0.5, 'Prediction Log'!$B74, IF('Prediction Log'!$F74&lt;0.5, 'Prediction Log'!$C74, "PICK"))</f>
        <v>Middle Tennessee</v>
      </c>
      <c r="J74" s="144" t="n">
        <f>IF(ISBLANK(Games!B73), "",IF('Prediction Log'!$I74='Prediction Log'!$B74, 'Prediction Log'!$F74, 1-'Prediction Log'!$F74))</f>
        <v>0.9245417332593856</v>
      </c>
      <c r="K74" s="145" t="str">
        <f>IF(ISBLANK(Games!$B73), "",Games!Q73)</f>
        <v>N</v>
      </c>
      <c r="L74" s="124" t="str">
        <f>IF(ISBLANK(Games!AC73), "",Games!AE73)</f>
        <v>Middle Tennessee</v>
      </c>
      <c r="M74" s="161" t="n">
        <f>IF(ISBLANK(Games!AC73), "",Games!AD73-Games!AC73)</f>
        <v>-7</v>
      </c>
      <c r="N74" s="146" t="str">
        <f>IF(ISNUMBER(Table3[[#This Row],[Predicted Spread]]), IF(OR(ISBLANK(Games!AC73),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74" s="147" t="str">
        <f>IF(ISNUMBER(Table3[[#This Row],[Predicted Spread]]), IF(OR(ISBLANK(Games!AC73),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4" s="147" t="str">
        <f>IF(ISNUMBER(Table3[[#This Row],[Predicted Spread]]), IF(ISBLANK(Games!AC73),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74" s="148" t="str">
        <f>IF(OR(ISBLANK(Games!AC73), Table3[[#This Row],[Spread]]=""),"",IF('Prediction Log'!$L74='Prediction Log'!$G74, "Y", "N"))</f>
        <v>Y</v>
      </c>
      <c r="R74" s="148" t="str">
        <f>IF(ISNUMBER(Table3[[#This Row],[Predicted Spread]]), Table3[[#This Row],[Home Team Covered Market]],"")</f>
        <v>N</v>
      </c>
      <c r="S74" s="148" t="str">
        <f>IF(ISNUMBER(Table3[[#This Row],[Predicted Spread]]), IF(OR(Table3[[#This Row],[Market Side Correct]]="",ISBLANK(Games!AC73)), "",IF(AND('Prediction Log'!$Q74="Y", 'Prediction Log'!$R74="Y"), "Y", "N")),"")</f>
        <v>N</v>
      </c>
      <c r="T74" s="149" t="str">
        <f>IF(ISNUMBER(Table3[[#This Row],[Predicted Spread]]), IF(ISBLANK(Games!AC73),"",IF(Games!AE73='Prediction Log'!$H74, "Y", "N")), "")</f>
        <v>Y</v>
      </c>
      <c r="U74" s="149" t="str">
        <f>IF(ISNUMBER(Table3[[#This Row],[Predicted Spread]]), IF(OR(Table3[[#This Row],[Spread]]="",ISBLANK(Games!AC73)), "", IF(Table3[[#This Row],[Home Team Covered Market]]=Games!P73, "Y", "N")),"")</f>
        <v>Y</v>
      </c>
      <c r="V74" s="150" t="str">
        <f>IF(ISBLANK(Games!AC73), "",IF('Prediction Log'!$I74='Prediction Log'!$L74, "Y", "N"))</f>
        <v>Y</v>
      </c>
      <c r="W74" s="149" t="str">
        <f>IF(ISNUMBER(Table3[[#This Row],[Predicted Spread]]), IF(OR(Table3[[#This Row],[Model Spread Correct]]="",ISBLANK(Games!AC73)), "",IF('Prediction Log'!$H74&lt;&gt;'Prediction Log'!$L74, "N",IF(AND('Prediction Log'!$E74&gt;0, 'Prediction Log'!$M74&gt;'Prediction Log'!$E74, 'Prediction Log'!$H74='Prediction Log'!$C74), "Y", IF(AND('Prediction Log'!$E74&lt;0, 'Prediction Log'!$M74&lt;'Prediction Log'!$E74,'Prediction Log'!$H74='Prediction Log'!$B74 ), "Y", IF('Prediction Log'!$M74='Prediction Log'!$E74, "PUSH", "N"))))), "")</f>
        <v>N</v>
      </c>
      <c r="X74" s="149" t="str">
        <f>IF(ISNUMBER(Table3[[#This Row],[Predicted Spread]]), IF(OR(Table3[[#This Row],[Model Spread Correct]]="",ISBLANK(Games!AC73)), "",IF(AND('Prediction Log'!$T74="Y", 'Prediction Log'!$U74="Y"), "Y", "N")), "")</f>
        <v>Y</v>
      </c>
      <c r="Y74" s="148" t="n">
        <f>IFERROR(IF(ISNUMBER(Table3[[#This Row],[Predicted Spread]]), IF(ISBLANK(Games!AC73), "",IF('Prediction Log'!$D74&gt;0, 'Prediction Log'!$M74-'Prediction Log'!$D74, IF('Prediction Log'!$D74&lt;0, -'Prediction Log'!$M74+'Prediction Log'!$D74, "NA"))), ""), "")</f>
        <v>-17.5</v>
      </c>
      <c r="Z74" s="148" t="n">
        <f>IF(ISNUMBER(Table3[[#This Row],[Difference from Market]]), IF(ISBLANK(Games!AC73), "",ABS('Prediction Log'!$Y74)), "")</f>
        <v>17.5</v>
      </c>
      <c r="AA74" s="139" t="n">
        <f>IF(ISNUMBER(Table3[[#This Row],[Predicted Spread]]), IF(ISBLANK(Games!AC73), "",IF('Prediction Log'!$E74&gt;0, 'Prediction Log'!$M74-'Prediction Log'!$E74, IF('Prediction Log'!$E74&lt;0, -'Prediction Log'!$M74+'Prediction Log'!$E74, "NA"))), "")</f>
        <v>-8.4115151103515995</v>
      </c>
      <c r="AB74" s="139" t="n">
        <f>IF(ISNUMBER(Table3[[#This Row],[Difference from Prediction]]), IF(ISBLANK(Games!AD73), "",ABS('Prediction Log'!$AA74)), "")</f>
        <v>8.4115151103515995</v>
      </c>
      <c r="AC74" s="164" t="str">
        <f>IF(ISNUMBER(Table3[[#This Row],[Predicted Spread]]), IF(OR(ISBLANK(Games!AC73),Table3[[#This Row],[Market Side Correct]]="",ISBLANK('Prediction Log'!$L74)), "",IF(OR(AND('Prediction Log'!D74&lt;0, 'Prediction Log'!L74='Prediction Log'!B74), AND('Prediction Log'!D74&gt;0, 'Prediction Log'!C74='Prediction Log'!L74)),"Y", IF(ISBLANK(Games!$B$2), "","N"))), "")</f>
        <v>Y</v>
      </c>
      <c r="AD74" s="159" t="str">
        <f>'Prediction Log'!$S74</f>
        <v>N</v>
      </c>
    </row>
    <row r="75">
      <c r="A75" s="165" t="n">
        <f>IF(ISBLANK(Games!$B74), "",Games!A74)</f>
        <v>1</v>
      </c>
      <c r="B75" s="165" t="str">
        <f>IF(ISBLANK(Games!$B74), "",Games!B74)</f>
        <v>Alabama</v>
      </c>
      <c r="C75" s="165" t="str">
        <f>IF(ISBLANK(Games!$B74), "",Games!C74)</f>
        <v>Western Kentucky</v>
      </c>
      <c r="D75" s="140" t="n">
        <f>IF(ISBLANK(Games!$D74), "",IF(_xlfn.NUMBERVALUE(Games!D74)=0, "",_xlfn.NUMBERVALUE(Games!D74) ))</f>
        <v>-32.5</v>
      </c>
      <c r="E75" s="138" t="n">
        <f>IF(ISBLANK(_xlfn.NUMBERVALUE(Games!$B74)), "",_xlfn.NUMBERVALUE(Games!J74))</f>
        <v>-21.189766836254002</v>
      </c>
      <c r="F75" s="141" t="n">
        <f>IFERROR(IF(ISBLANK(Games!B74), "", IF(Games!N74=Games!B74, Games!O74, 1-Games!O74)), "")</f>
        <v>0.96568568250892706</v>
      </c>
      <c r="G75" s="142" t="str">
        <f>IF(OR(ISBLANK(Games!B74),Table3[[#This Row],[Spread]]=""), "", IF('Prediction Log'!$D75&lt;0, 'Prediction Log'!$B75, 'Prediction Log'!$C75))</f>
        <v>Alabama</v>
      </c>
      <c r="H75" s="143" t="str">
        <f>IF(ISBLANK(Games!$B74), "",Games!K74)</f>
        <v>Alabama</v>
      </c>
      <c r="I75" s="143" t="str">
        <f>IF('Prediction Log'!$F75&gt;0.5, 'Prediction Log'!$B75, IF('Prediction Log'!$F75&lt;0.5, 'Prediction Log'!$C75, "PICK"))</f>
        <v>Alabama</v>
      </c>
      <c r="J75" s="144" t="n">
        <f>IF(ISBLANK(Games!B74), "",IF('Prediction Log'!$I75='Prediction Log'!$B75, 'Prediction Log'!$F75, 1-'Prediction Log'!$F75))</f>
        <v>0.96568568250892706</v>
      </c>
      <c r="K75" s="145" t="str">
        <f>IF(ISBLANK(Games!$B74), "",Games!Q74)</f>
        <v>N</v>
      </c>
      <c r="L75" s="124" t="str">
        <f>IF(ISBLANK(Games!AC74), "",Games!AE74)</f>
        <v>Alabama</v>
      </c>
      <c r="M75" s="161" t="n">
        <f>IF(ISBLANK(Games!AC74), "",Games!AD74-Games!AC74)</f>
        <v>-63</v>
      </c>
      <c r="N75" s="146" t="str">
        <f>IF(ISNUMBER(Table3[[#This Row],[Predicted Spread]]), IF(OR(ISBLANK(Games!AC74),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5" s="147" t="str">
        <f>IF(ISNUMBER(Table3[[#This Row],[Predicted Spread]]), IF(OR(ISBLANK(Games!AC74),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75" s="147" t="str">
        <f>IF(ISNUMBER(Table3[[#This Row],[Predicted Spread]]), IF(ISBLANK(Games!AC74),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75" s="148" t="str">
        <f>IF(OR(ISBLANK(Games!AC74), Table3[[#This Row],[Spread]]=""),"",IF('Prediction Log'!$L75='Prediction Log'!$G75, "Y", "N"))</f>
        <v>Y</v>
      </c>
      <c r="R75" s="148" t="str">
        <f>IF(ISNUMBER(Table3[[#This Row],[Predicted Spread]]), Table3[[#This Row],[Home Team Covered Market]],"")</f>
        <v>Y</v>
      </c>
      <c r="S75" s="148" t="str">
        <f>IF(ISNUMBER(Table3[[#This Row],[Predicted Spread]]), IF(OR(Table3[[#This Row],[Market Side Correct]]="",ISBLANK(Games!AC74)), "",IF(AND('Prediction Log'!$Q75="Y", 'Prediction Log'!$R75="Y"), "Y", "N")),"")</f>
        <v>Y</v>
      </c>
      <c r="T75" s="149" t="str">
        <f>IF(ISNUMBER(Table3[[#This Row],[Predicted Spread]]), IF(ISBLANK(Games!AC74),"",IF(Games!AE74='Prediction Log'!$H75, "Y", "N")), "")</f>
        <v>Y</v>
      </c>
      <c r="U75" s="149" t="str">
        <f>IF(ISNUMBER(Table3[[#This Row],[Predicted Spread]]), IF(OR(Table3[[#This Row],[Spread]]="",ISBLANK(Games!AC74)), "", IF(Table3[[#This Row],[Home Team Covered Market]]=Games!P74, "Y", "N")),"")</f>
        <v>N</v>
      </c>
      <c r="V75" s="150" t="str">
        <f>IF(ISBLANK(Games!AC74), "",IF('Prediction Log'!$I75='Prediction Log'!$L75, "Y", "N"))</f>
        <v>Y</v>
      </c>
      <c r="W75" s="149" t="str">
        <f>IF(ISNUMBER(Table3[[#This Row],[Predicted Spread]]), IF(OR(Table3[[#This Row],[Model Spread Correct]]="",ISBLANK(Games!AC74)), "",IF('Prediction Log'!$H75&lt;&gt;'Prediction Log'!$L75, "N",IF(AND('Prediction Log'!$E75&gt;0, 'Prediction Log'!$M75&gt;'Prediction Log'!$E75, 'Prediction Log'!$H75='Prediction Log'!$C75), "Y", IF(AND('Prediction Log'!$E75&lt;0, 'Prediction Log'!$M75&lt;'Prediction Log'!$E75,'Prediction Log'!$H75='Prediction Log'!$B75 ), "Y", IF('Prediction Log'!$M75='Prediction Log'!$E75, "PUSH", "N"))))), "")</f>
        <v>Y</v>
      </c>
      <c r="X75" s="149" t="str">
        <f>IF(ISNUMBER(Table3[[#This Row],[Predicted Spread]]), IF(OR(Table3[[#This Row],[Model Spread Correct]]="",ISBLANK(Games!AC74)), "",IF(AND('Prediction Log'!$T75="Y", 'Prediction Log'!$U75="Y"), "Y", "N")), "")</f>
        <v>N</v>
      </c>
      <c r="Y75" s="148" t="n">
        <f>IFERROR(IF(ISNUMBER(Table3[[#This Row],[Predicted Spread]]), IF(ISBLANK(Games!AC74), "",IF('Prediction Log'!$D75&gt;0, 'Prediction Log'!$M75-'Prediction Log'!$D75, IF('Prediction Log'!$D75&lt;0, -'Prediction Log'!$M75+'Prediction Log'!$D75, "NA"))), ""), "")</f>
        <v>30.5</v>
      </c>
      <c r="Z75" s="148" t="n">
        <f>IF(ISNUMBER(Table3[[#This Row],[Difference from Market]]), IF(ISBLANK(Games!AC74), "",ABS('Prediction Log'!$Y75)), "")</f>
        <v>30.5</v>
      </c>
      <c r="AA75" s="139" t="n">
        <f>IF(ISNUMBER(Table3[[#This Row],[Predicted Spread]]), IF(ISBLANK(Games!AC74), "",IF('Prediction Log'!$E75&gt;0, 'Prediction Log'!$M75-'Prediction Log'!$E75, IF('Prediction Log'!$E75&lt;0, -'Prediction Log'!$M75+'Prediction Log'!$E75, "NA"))), "")</f>
        <v>41.810233163745998</v>
      </c>
      <c r="AB75" s="139" t="n">
        <f>IF(ISNUMBER(Table3[[#This Row],[Difference from Prediction]]), IF(ISBLANK(Games!AD74), "",ABS('Prediction Log'!$AA75)), "")</f>
        <v>41.810233163745998</v>
      </c>
      <c r="AC75" s="164" t="str">
        <f>IF(ISNUMBER(Table3[[#This Row],[Predicted Spread]]), IF(OR(ISBLANK(Games!AC74),Table3[[#This Row],[Market Side Correct]]="",ISBLANK('Prediction Log'!$L75)), "",IF(OR(AND('Prediction Log'!D75&lt;0, 'Prediction Log'!L75='Prediction Log'!B75), AND('Prediction Log'!D75&gt;0, 'Prediction Log'!C75='Prediction Log'!L75)),"Y", IF(ISBLANK(Games!$B$2), "","N"))), "")</f>
        <v>Y</v>
      </c>
      <c r="AD75" s="159" t="str">
        <f>'Prediction Log'!$S75</f>
        <v>Y</v>
      </c>
    </row>
    <row r="76">
      <c r="A76" s="165" t="n">
        <f>IF(ISBLANK(Games!$B75), "",Games!A75)</f>
        <v>1</v>
      </c>
      <c r="B76" s="165" t="str">
        <f>IF(ISBLANK(Games!$B75), "",Games!B75)</f>
        <v>Houston</v>
      </c>
      <c r="C76" s="165" t="str">
        <f>IF(ISBLANK(Games!$B75), "",Games!C75)</f>
        <v>UNLV</v>
      </c>
      <c r="D76" s="140" t="n">
        <f>IF(ISBLANK(Games!$D75), "",IF(_xlfn.NUMBERVALUE(Games!D75)=0, "",_xlfn.NUMBERVALUE(Games!D75) ))</f>
        <v>-1.5</v>
      </c>
      <c r="E76" s="138" t="n">
        <f>IF(ISBLANK(_xlfn.NUMBERVALUE(Games!$B75)), "",_xlfn.NUMBERVALUE(Games!J75))</f>
        <v>4.3</v>
      </c>
      <c r="F76" s="141" t="n">
        <f>IFERROR(IF(ISBLANK(Games!B75), "", IF(Games!N75=Games!B75, Games!O75, 1-Games!O75)), "")</f>
        <v>0.52476409220898812</v>
      </c>
      <c r="G76" s="142" t="str">
        <f>IF(OR(ISBLANK(Games!B75),Table3[[#This Row],[Spread]]=""), "", IF('Prediction Log'!$D76&lt;0, 'Prediction Log'!$B76, 'Prediction Log'!$C76))</f>
        <v>Houston</v>
      </c>
      <c r="H76" s="143" t="str">
        <f>IF(ISBLANK(Games!$B75), "",Games!K75)</f>
        <v>UNLV</v>
      </c>
      <c r="I76" s="143" t="str">
        <f>IF('Prediction Log'!$F76&gt;0.5, 'Prediction Log'!$B76, IF('Prediction Log'!$F76&lt;0.5, 'Prediction Log'!$C76, "PICK"))</f>
        <v>Houston</v>
      </c>
      <c r="J76" s="144" t="n">
        <f>IF(ISBLANK(Games!B75), "",IF('Prediction Log'!$I76='Prediction Log'!$B76, 'Prediction Log'!$F76, 1-'Prediction Log'!$F76))</f>
        <v>0.52476409220898812</v>
      </c>
      <c r="K76" s="145" t="str">
        <f>IF(ISBLANK(Games!$B75), "",Games!Q75)</f>
        <v>N</v>
      </c>
      <c r="L76" s="124" t="str">
        <f>IF(ISBLANK(Games!AC75), "",Games!AE75)</f>
        <v>UNLV</v>
      </c>
      <c r="M76" s="161" t="n">
        <f>IF(ISBLANK(Games!AC75), "",Games!AD75-Games!AC75)</f>
        <v>20</v>
      </c>
      <c r="N76" s="146" t="str">
        <f>IF(ISNUMBER(Table3[[#This Row],[Predicted Spread]]), IF(OR(ISBLANK(Games!AC75),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6" s="147" t="str">
        <f>IF(ISNUMBER(Table3[[#This Row],[Predicted Spread]]), IF(OR(ISBLANK(Games!AC75),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6" s="147" t="str">
        <f>IF(ISNUMBER(Table3[[#This Row],[Predicted Spread]]), IF(ISBLANK(Games!AC75),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76" s="148" t="str">
        <f>IF(OR(ISBLANK(Games!AC75), Table3[[#This Row],[Spread]]=""),"",IF('Prediction Log'!$L76='Prediction Log'!$G76, "Y", "N"))</f>
        <v>N</v>
      </c>
      <c r="R76" s="148" t="str">
        <f>IF(ISNUMBER(Table3[[#This Row],[Predicted Spread]]), Table3[[#This Row],[Home Team Covered Market]],"")</f>
        <v>N</v>
      </c>
      <c r="S76" s="148" t="str">
        <f>IF(ISNUMBER(Table3[[#This Row],[Predicted Spread]]), IF(OR(Table3[[#This Row],[Market Side Correct]]="",ISBLANK(Games!AC75)), "",IF(AND('Prediction Log'!$Q76="Y", 'Prediction Log'!$R76="Y"), "Y", "N")),"")</f>
        <v>N</v>
      </c>
      <c r="T76" s="149" t="str">
        <f>IF(ISNUMBER(Table3[[#This Row],[Predicted Spread]]), IF(ISBLANK(Games!AC75),"",IF(Games!AE75='Prediction Log'!$H76, "Y", "N")), "")</f>
        <v>Y</v>
      </c>
      <c r="U76" s="149" t="str">
        <f>IF(ISNUMBER(Table3[[#This Row],[Predicted Spread]]), IF(OR(Table3[[#This Row],[Spread]]="",ISBLANK(Games!AC75)), "", IF(Table3[[#This Row],[Home Team Covered Market]]=Games!P75, "Y", "N")),"")</f>
        <v>N</v>
      </c>
      <c r="V76" s="150" t="str">
        <f>IF(ISBLANK(Games!AC75), "",IF('Prediction Log'!$I76='Prediction Log'!$L76, "Y", "N"))</f>
        <v>N</v>
      </c>
      <c r="W76" s="149" t="str">
        <f>IF(ISNUMBER(Table3[[#This Row],[Predicted Spread]]), IF(OR(Table3[[#This Row],[Model Spread Correct]]="",ISBLANK(Games!AC75)), "",IF('Prediction Log'!$H76&lt;&gt;'Prediction Log'!$L76, "N",IF(AND('Prediction Log'!$E76&gt;0, 'Prediction Log'!$M76&gt;'Prediction Log'!$E76, 'Prediction Log'!$H76='Prediction Log'!$C76), "Y", IF(AND('Prediction Log'!$E76&lt;0, 'Prediction Log'!$M76&lt;'Prediction Log'!$E76,'Prediction Log'!$H76='Prediction Log'!$B76 ), "Y", IF('Prediction Log'!$M76='Prediction Log'!$E76, "PUSH", "N"))))), "")</f>
        <v>Y</v>
      </c>
      <c r="X76" s="149" t="str">
        <f>IF(ISNUMBER(Table3[[#This Row],[Predicted Spread]]), IF(OR(Table3[[#This Row],[Model Spread Correct]]="",ISBLANK(Games!AC75)), "",IF(AND('Prediction Log'!$T76="Y", 'Prediction Log'!$U76="Y"), "Y", "N")), "")</f>
        <v>N</v>
      </c>
      <c r="Y76" s="148" t="n">
        <f>IFERROR(IF(ISNUMBER(Table3[[#This Row],[Predicted Spread]]), IF(ISBLANK(Games!AC75), "",IF('Prediction Log'!$D76&gt;0, 'Prediction Log'!$M76-'Prediction Log'!$D76, IF('Prediction Log'!$D76&lt;0, -'Prediction Log'!$M76+'Prediction Log'!$D76, "NA"))), ""), "")</f>
        <v>-21.5</v>
      </c>
      <c r="Z76" s="148" t="n">
        <f>IF(ISNUMBER(Table3[[#This Row],[Difference from Market]]), IF(ISBLANK(Games!AC75), "",ABS('Prediction Log'!$Y76)), "")</f>
        <v>21.5</v>
      </c>
      <c r="AA76" s="139" t="n">
        <f>IF(ISNUMBER(Table3[[#This Row],[Predicted Spread]]), IF(ISBLANK(Games!AC75), "",IF('Prediction Log'!$E76&gt;0, 'Prediction Log'!$M76-'Prediction Log'!$E76, IF('Prediction Log'!$E76&lt;0, -'Prediction Log'!$M76+'Prediction Log'!$E76, "NA"))), "")</f>
        <v>15.7</v>
      </c>
      <c r="AB76" s="139" t="n">
        <f>IF(ISNUMBER(Table3[[#This Row],[Difference from Prediction]]), IF(ISBLANK(Games!AD75), "",ABS('Prediction Log'!$AA76)), "")</f>
        <v>15.7</v>
      </c>
      <c r="AC76" s="164" t="str">
        <f>IF(ISNUMBER(Table3[[#This Row],[Predicted Spread]]), IF(OR(ISBLANK(Games!AC75),Table3[[#This Row],[Market Side Correct]]="",ISBLANK('Prediction Log'!$L76)), "",IF(OR(AND('Prediction Log'!D76&lt;0, 'Prediction Log'!L76='Prediction Log'!B76), AND('Prediction Log'!D76&gt;0, 'Prediction Log'!C76='Prediction Log'!L76)),"Y", IF(ISBLANK(Games!$B$2), "","N"))), "")</f>
        <v>N</v>
      </c>
      <c r="AD76" s="159" t="str">
        <f>'Prediction Log'!$S76</f>
        <v>N</v>
      </c>
    </row>
    <row r="77">
      <c r="A77" s="165" t="n">
        <f>IF(ISBLANK(Games!$B76), "",Games!A76)</f>
        <v>1</v>
      </c>
      <c r="B77" s="165" t="str">
        <f>IF(ISBLANK(Games!$B76), "",Games!B76)</f>
        <v>Baylor</v>
      </c>
      <c r="C77" s="165" t="str">
        <f>IF(ISBLANK(Games!$B76), "",Games!C76)</f>
        <v>Tarleton State</v>
      </c>
      <c r="D77" s="140" t="n">
        <f>IF(ISBLANK(Games!$D76), "",IF(_xlfn.NUMBERVALUE(Games!D76)=0, "",_xlfn.NUMBERVALUE(Games!D76) ))</f>
        <v>-30.5</v>
      </c>
      <c r="E77" s="138" t="n">
        <f>IF(ISBLANK(_xlfn.NUMBERVALUE(Games!$B76)), "",_xlfn.NUMBERVALUE(Games!J76))</f>
        <v>-17.313905471667201</v>
      </c>
      <c r="F77" s="141" t="n">
        <f>IFERROR(IF(ISBLANK(Games!B76), "", IF(Games!N76=Games!B76, Games!O76, 1-Games!O76)), "")</f>
        <v>0.94155763055451192</v>
      </c>
      <c r="G77" s="142" t="str">
        <f>IF(OR(ISBLANK(Games!B76),Table3[[#This Row],[Spread]]=""), "", IF('Prediction Log'!$D77&lt;0, 'Prediction Log'!$B77, 'Prediction Log'!$C77))</f>
        <v>Baylor</v>
      </c>
      <c r="H77" s="143" t="str">
        <f>IF(ISBLANK(Games!$B76), "",Games!K76)</f>
        <v>Baylor</v>
      </c>
      <c r="I77" s="143" t="str">
        <f>IF('Prediction Log'!$F77&gt;0.5, 'Prediction Log'!$B77, IF('Prediction Log'!$F77&lt;0.5, 'Prediction Log'!$C77, "PICK"))</f>
        <v>Baylor</v>
      </c>
      <c r="J77" s="144" t="n">
        <f>IF(ISBLANK(Games!B76), "",IF('Prediction Log'!$I77='Prediction Log'!$B77, 'Prediction Log'!$F77, 1-'Prediction Log'!$F77))</f>
        <v>0.94155763055451192</v>
      </c>
      <c r="K77" s="145" t="str">
        <f>IF(ISBLANK(Games!$B76), "",Games!Q76)</f>
        <v>N</v>
      </c>
      <c r="L77" s="124" t="str">
        <f>IF(ISBLANK(Games!AC76), "",Games!AE76)</f>
        <v>Baylor</v>
      </c>
      <c r="M77" s="161" t="n">
        <f>IF(ISBLANK(Games!AC76), "",Games!AD76-Games!AC76)</f>
        <v>-42</v>
      </c>
      <c r="N77" s="146" t="str">
        <f>IF(ISNUMBER(Table3[[#This Row],[Predicted Spread]]), IF(OR(ISBLANK(Games!AC76),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7" s="147" t="str">
        <f>IF(ISNUMBER(Table3[[#This Row],[Predicted Spread]]), IF(OR(ISBLANK(Games!AC76),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77" s="147" t="str">
        <f>IF(ISNUMBER(Table3[[#This Row],[Predicted Spread]]), IF(ISBLANK(Games!AC76),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77" s="148" t="str">
        <f>IF(OR(ISBLANK(Games!AC76), Table3[[#This Row],[Spread]]=""),"",IF('Prediction Log'!$L77='Prediction Log'!$G77, "Y", "N"))</f>
        <v>Y</v>
      </c>
      <c r="R77" s="148" t="str">
        <f>IF(ISNUMBER(Table3[[#This Row],[Predicted Spread]]), Table3[[#This Row],[Home Team Covered Market]],"")</f>
        <v>Y</v>
      </c>
      <c r="S77" s="148" t="str">
        <f>IF(ISNUMBER(Table3[[#This Row],[Predicted Spread]]), IF(OR(Table3[[#This Row],[Market Side Correct]]="",ISBLANK(Games!AC76)), "",IF(AND('Prediction Log'!$Q77="Y", 'Prediction Log'!$R77="Y"), "Y", "N")),"")</f>
        <v>Y</v>
      </c>
      <c r="T77" s="149" t="str">
        <f>IF(ISNUMBER(Table3[[#This Row],[Predicted Spread]]), IF(ISBLANK(Games!AC76),"",IF(Games!AE76='Prediction Log'!$H77, "Y", "N")), "")</f>
        <v>Y</v>
      </c>
      <c r="U77" s="149" t="str">
        <f>IF(ISNUMBER(Table3[[#This Row],[Predicted Spread]]), IF(OR(Table3[[#This Row],[Spread]]="",ISBLANK(Games!AC76)), "", IF(Table3[[#This Row],[Home Team Covered Market]]=Games!P76, "Y", "N")),"")</f>
        <v>N</v>
      </c>
      <c r="V77" s="150" t="str">
        <f>IF(ISBLANK(Games!AC76), "",IF('Prediction Log'!$I77='Prediction Log'!$L77, "Y", "N"))</f>
        <v>Y</v>
      </c>
      <c r="W77" s="149" t="str">
        <f>IF(ISNUMBER(Table3[[#This Row],[Predicted Spread]]), IF(OR(Table3[[#This Row],[Model Spread Correct]]="",ISBLANK(Games!AC76)), "",IF('Prediction Log'!$H77&lt;&gt;'Prediction Log'!$L77, "N",IF(AND('Prediction Log'!$E77&gt;0, 'Prediction Log'!$M77&gt;'Prediction Log'!$E77, 'Prediction Log'!$H77='Prediction Log'!$C77), "Y", IF(AND('Prediction Log'!$E77&lt;0, 'Prediction Log'!$M77&lt;'Prediction Log'!$E77,'Prediction Log'!$H77='Prediction Log'!$B77 ), "Y", IF('Prediction Log'!$M77='Prediction Log'!$E77, "PUSH", "N"))))), "")</f>
        <v>Y</v>
      </c>
      <c r="X77" s="149" t="str">
        <f>IF(ISNUMBER(Table3[[#This Row],[Predicted Spread]]), IF(OR(Table3[[#This Row],[Model Spread Correct]]="",ISBLANK(Games!AC76)), "",IF(AND('Prediction Log'!$T77="Y", 'Prediction Log'!$U77="Y"), "Y", "N")), "")</f>
        <v>N</v>
      </c>
      <c r="Y77" s="148" t="n">
        <f>IFERROR(IF(ISNUMBER(Table3[[#This Row],[Predicted Spread]]), IF(ISBLANK(Games!AC76), "",IF('Prediction Log'!$D77&gt;0, 'Prediction Log'!$M77-'Prediction Log'!$D77, IF('Prediction Log'!$D77&lt;0, -'Prediction Log'!$M77+'Prediction Log'!$D77, "NA"))), ""), "")</f>
        <v>11.5</v>
      </c>
      <c r="Z77" s="148" t="n">
        <f>IF(ISNUMBER(Table3[[#This Row],[Difference from Market]]), IF(ISBLANK(Games!AC76), "",ABS('Prediction Log'!$Y77)), "")</f>
        <v>11.5</v>
      </c>
      <c r="AA77" s="139" t="n">
        <f>IF(ISNUMBER(Table3[[#This Row],[Predicted Spread]]), IF(ISBLANK(Games!AC76), "",IF('Prediction Log'!$E77&gt;0, 'Prediction Log'!$M77-'Prediction Log'!$E77, IF('Prediction Log'!$E77&lt;0, -'Prediction Log'!$M77+'Prediction Log'!$E77, "NA"))), "")</f>
        <v>24.686094528332799</v>
      </c>
      <c r="AB77" s="139" t="n">
        <f>IF(ISNUMBER(Table3[[#This Row],[Difference from Prediction]]), IF(ISBLANK(Games!AD76), "",ABS('Prediction Log'!$AA77)), "")</f>
        <v>24.686094528332799</v>
      </c>
      <c r="AC77" s="164" t="str">
        <f>IF(ISNUMBER(Table3[[#This Row],[Predicted Spread]]), IF(OR(ISBLANK(Games!AC76),Table3[[#This Row],[Market Side Correct]]="",ISBLANK('Prediction Log'!$L77)), "",IF(OR(AND('Prediction Log'!D77&lt;0, 'Prediction Log'!L77='Prediction Log'!B77), AND('Prediction Log'!D77&gt;0, 'Prediction Log'!C77='Prediction Log'!L77)),"Y", IF(ISBLANK(Games!$B$2), "","N"))), "")</f>
        <v>Y</v>
      </c>
      <c r="AD77" s="159" t="str">
        <f>'Prediction Log'!$S77</f>
        <v>Y</v>
      </c>
    </row>
    <row r="78">
      <c r="A78" s="165" t="n">
        <f>IF(ISBLANK(Games!$B77), "",Games!A77)</f>
        <v>1</v>
      </c>
      <c r="B78" s="165" t="str">
        <f>IF(ISBLANK(Games!$B77), "",Games!B77)</f>
        <v>Rice</v>
      </c>
      <c r="C78" s="165" t="str">
        <f>IF(ISBLANK(Games!$B77), "",Games!C77)</f>
        <v>Sam Houston State</v>
      </c>
      <c r="D78" s="140" t="n">
        <f>IF(ISBLANK(Games!$D77), "",IF(_xlfn.NUMBERVALUE(Games!D77)=0, "",_xlfn.NUMBERVALUE(Games!D77) ))</f>
        <v>-10.5</v>
      </c>
      <c r="E78" s="138" t="n">
        <f>IF(ISBLANK(_xlfn.NUMBERVALUE(Games!$B77)), "",_xlfn.NUMBERVALUE(Games!J77))</f>
        <v>-15.7</v>
      </c>
      <c r="F78" s="141" t="n">
        <f>IFERROR(IF(ISBLANK(Games!B77), "", IF(Games!N77=Games!B77, Games!O77, 1-Games!O77)), "")</f>
        <v>0.66157422404750521</v>
      </c>
      <c r="G78" s="142" t="str">
        <f>IF(OR(ISBLANK(Games!B77),Table3[[#This Row],[Spread]]=""), "", IF('Prediction Log'!$D78&lt;0, 'Prediction Log'!$B78, 'Prediction Log'!$C78))</f>
        <v>Rice</v>
      </c>
      <c r="H78" s="143" t="str">
        <f>IF(ISBLANK(Games!$B77), "",Games!K77)</f>
        <v>Rice</v>
      </c>
      <c r="I78" s="143" t="str">
        <f>IF('Prediction Log'!$F78&gt;0.5, 'Prediction Log'!$B78, IF('Prediction Log'!$F78&lt;0.5, 'Prediction Log'!$C78, "PICK"))</f>
        <v>Rice</v>
      </c>
      <c r="J78" s="144" t="n">
        <f>IF(ISBLANK(Games!B77), "",IF('Prediction Log'!$I78='Prediction Log'!$B78, 'Prediction Log'!$F78, 1-'Prediction Log'!$F78))</f>
        <v>0.66157422404750521</v>
      </c>
      <c r="K78" s="145" t="str">
        <f>IF(ISBLANK(Games!$B77), "",Games!Q77)</f>
        <v>Y</v>
      </c>
      <c r="L78" s="124" t="str">
        <f>IF(ISBLANK(Games!AC77), "",Games!AE77)</f>
        <v>Sam Houston State</v>
      </c>
      <c r="M78" s="161" t="n">
        <f>IF(ISBLANK(Games!AC77), "",Games!AD77-Games!AC77)</f>
        <v>20</v>
      </c>
      <c r="N78" s="146" t="str">
        <f>IF(ISNUMBER(Table3[[#This Row],[Predicted Spread]]), IF(OR(ISBLANK(Games!AC77),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8" s="147" t="str">
        <f>IF(ISNUMBER(Table3[[#This Row],[Predicted Spread]]), IF(OR(ISBLANK(Games!AC77),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8" s="147" t="str">
        <f>IF(ISNUMBER(Table3[[#This Row],[Predicted Spread]]), IF(ISBLANK(Games!AC77),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78" s="148" t="str">
        <f>IF(OR(ISBLANK(Games!AC77), Table3[[#This Row],[Spread]]=""),"",IF('Prediction Log'!$L78='Prediction Log'!$G78, "Y", "N"))</f>
        <v>N</v>
      </c>
      <c r="R78" s="148" t="str">
        <f>IF(ISNUMBER(Table3[[#This Row],[Predicted Spread]]), Table3[[#This Row],[Home Team Covered Market]],"")</f>
        <v>N</v>
      </c>
      <c r="S78" s="148" t="str">
        <f>IF(ISNUMBER(Table3[[#This Row],[Predicted Spread]]), IF(OR(Table3[[#This Row],[Market Side Correct]]="",ISBLANK(Games!AC77)), "",IF(AND('Prediction Log'!$Q78="Y", 'Prediction Log'!$R78="Y"), "Y", "N")),"")</f>
        <v>N</v>
      </c>
      <c r="T78" s="149" t="str">
        <f>IF(ISNUMBER(Table3[[#This Row],[Predicted Spread]]), IF(ISBLANK(Games!AC77),"",IF(Games!AE77='Prediction Log'!$H78, "Y", "N")), "")</f>
        <v>N</v>
      </c>
      <c r="U78" s="149" t="str">
        <f>IF(ISNUMBER(Table3[[#This Row],[Predicted Spread]]), IF(OR(Table3[[#This Row],[Spread]]="",ISBLANK(Games!AC77)), "", IF(Table3[[#This Row],[Home Team Covered Market]]=Games!P77, "Y", "N")),"")</f>
        <v>N</v>
      </c>
      <c r="V78" s="150" t="str">
        <f>IF(ISBLANK(Games!AC77), "",IF('Prediction Log'!$I78='Prediction Log'!$L78, "Y", "N"))</f>
        <v>N</v>
      </c>
      <c r="W78" s="149" t="str">
        <f>IF(ISNUMBER(Table3[[#This Row],[Predicted Spread]]), IF(OR(Table3[[#This Row],[Model Spread Correct]]="",ISBLANK(Games!AC77)), "",IF('Prediction Log'!$H78&lt;&gt;'Prediction Log'!$L78, "N",IF(AND('Prediction Log'!$E78&gt;0, 'Prediction Log'!$M78&gt;'Prediction Log'!$E78, 'Prediction Log'!$H78='Prediction Log'!$C78), "Y", IF(AND('Prediction Log'!$E78&lt;0, 'Prediction Log'!$M78&lt;'Prediction Log'!$E78,'Prediction Log'!$H78='Prediction Log'!$B78 ), "Y", IF('Prediction Log'!$M78='Prediction Log'!$E78, "PUSH", "N"))))), "")</f>
        <v>N</v>
      </c>
      <c r="X78" s="149" t="str">
        <f>IF(ISNUMBER(Table3[[#This Row],[Predicted Spread]]), IF(OR(Table3[[#This Row],[Model Spread Correct]]="",ISBLANK(Games!AC77)), "",IF(AND('Prediction Log'!$T78="Y", 'Prediction Log'!$U78="Y"), "Y", "N")), "")</f>
        <v>N</v>
      </c>
      <c r="Y78" s="148" t="n">
        <f>IFERROR(IF(ISNUMBER(Table3[[#This Row],[Predicted Spread]]), IF(ISBLANK(Games!AC77), "",IF('Prediction Log'!$D78&gt;0, 'Prediction Log'!$M78-'Prediction Log'!$D78, IF('Prediction Log'!$D78&lt;0, -'Prediction Log'!$M78+'Prediction Log'!$D78, "NA"))), ""), "")</f>
        <v>-30.5</v>
      </c>
      <c r="Z78" s="148" t="n">
        <f>IF(ISNUMBER(Table3[[#This Row],[Difference from Market]]), IF(ISBLANK(Games!AC77), "",ABS('Prediction Log'!$Y78)), "")</f>
        <v>30.5</v>
      </c>
      <c r="AA78" s="139" t="n">
        <f>IF(ISNUMBER(Table3[[#This Row],[Predicted Spread]]), IF(ISBLANK(Games!AC77), "",IF('Prediction Log'!$E78&gt;0, 'Prediction Log'!$M78-'Prediction Log'!$E78, IF('Prediction Log'!$E78&lt;0, -'Prediction Log'!$M78+'Prediction Log'!$E78, "NA"))), "")</f>
        <v>-35.700000000000003</v>
      </c>
      <c r="AB78" s="139" t="n">
        <f>IF(ISNUMBER(Table3[[#This Row],[Difference from Prediction]]), IF(ISBLANK(Games!AD77), "",ABS('Prediction Log'!$AA78)), "")</f>
        <v>35.700000000000003</v>
      </c>
      <c r="AC78" s="164" t="str">
        <f>IF(ISNUMBER(Table3[[#This Row],[Predicted Spread]]), IF(OR(ISBLANK(Games!AC77),Table3[[#This Row],[Market Side Correct]]="",ISBLANK('Prediction Log'!$L78)), "",IF(OR(AND('Prediction Log'!D78&lt;0, 'Prediction Log'!L78='Prediction Log'!B78), AND('Prediction Log'!D78&gt;0, 'Prediction Log'!C78='Prediction Log'!L78)),"Y", IF(ISBLANK(Games!$B$2), "","N"))), "")</f>
        <v>N</v>
      </c>
      <c r="AD78" s="159" t="str">
        <f>'Prediction Log'!$S78</f>
        <v>N</v>
      </c>
    </row>
    <row r="79">
      <c r="A79" s="165" t="n">
        <f>IF(ISBLANK(Games!$B78), "",Games!A78)</f>
        <v>1</v>
      </c>
      <c r="B79" s="165" t="str">
        <f>IF(ISBLANK(Games!$B78), "",Games!B78)</f>
        <v>Troy</v>
      </c>
      <c r="C79" s="165" t="str">
        <f>IF(ISBLANK(Games!$B78), "",Games!C78)</f>
        <v>Nevada</v>
      </c>
      <c r="D79" s="140" t="n">
        <f>IF(ISBLANK(Games!$D78), "",IF(_xlfn.NUMBERVALUE(Games!D78)=0, "",_xlfn.NUMBERVALUE(Games!D78) ))</f>
        <v>-15.5</v>
      </c>
      <c r="E79" s="138" t="n">
        <f>IF(ISBLANK(_xlfn.NUMBERVALUE(Games!$B78)), "",_xlfn.NUMBERVALUE(Games!J78))</f>
        <v>-55.3</v>
      </c>
      <c r="F79" s="141" t="n">
        <f>IFERROR(IF(ISBLANK(Games!B78), "", IF(Games!N78=Games!B78, Games!O78, 1-Games!O78)), "")</f>
        <v>0.94516084102782238</v>
      </c>
      <c r="G79" s="142" t="str">
        <f>IF(OR(ISBLANK(Games!B78),Table3[[#This Row],[Spread]]=""), "", IF('Prediction Log'!$D79&lt;0, 'Prediction Log'!$B79, 'Prediction Log'!$C79))</f>
        <v>Troy</v>
      </c>
      <c r="H79" s="143" t="str">
        <f>IF(ISBLANK(Games!$B78), "",Games!K78)</f>
        <v>Troy</v>
      </c>
      <c r="I79" s="143" t="str">
        <f>IF('Prediction Log'!$F79&gt;0.5, 'Prediction Log'!$B79, IF('Prediction Log'!$F79&lt;0.5, 'Prediction Log'!$C79, "PICK"))</f>
        <v>Troy</v>
      </c>
      <c r="J79" s="144" t="n">
        <f>IF(ISBLANK(Games!B78), "",IF('Prediction Log'!$I79='Prediction Log'!$B79, 'Prediction Log'!$F79, 1-'Prediction Log'!$F79))</f>
        <v>0.94516084102782238</v>
      </c>
      <c r="K79" s="145" t="str">
        <f>IF(ISBLANK(Games!$B78), "",Games!Q78)</f>
        <v>Y</v>
      </c>
      <c r="L79" s="124" t="str">
        <f>IF(ISBLANK(Games!AC78), "",Games!AE78)</f>
        <v>Nevada</v>
      </c>
      <c r="M79" s="161" t="n">
        <f>IF(ISBLANK(Games!AC78), "",Games!AD78-Games!AC78)</f>
        <v>2</v>
      </c>
      <c r="N79" s="146" t="str">
        <f>IF(ISNUMBER(Table3[[#This Row],[Predicted Spread]]), IF(OR(ISBLANK(Games!AC78),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79" s="147" t="str">
        <f>IF(ISNUMBER(Table3[[#This Row],[Predicted Spread]]), IF(OR(ISBLANK(Games!AC78),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79" s="147" t="str">
        <f>IF(ISNUMBER(Table3[[#This Row],[Predicted Spread]]), IF(ISBLANK(Games!AC78),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79" s="148" t="str">
        <f>IF(OR(ISBLANK(Games!AC78), Table3[[#This Row],[Spread]]=""),"",IF('Prediction Log'!$L79='Prediction Log'!$G79, "Y", "N"))</f>
        <v>N</v>
      </c>
      <c r="R79" s="148" t="str">
        <f>IF(ISNUMBER(Table3[[#This Row],[Predicted Spread]]), Table3[[#This Row],[Home Team Covered Market]],"")</f>
        <v>N</v>
      </c>
      <c r="S79" s="148" t="str">
        <f>IF(ISNUMBER(Table3[[#This Row],[Predicted Spread]]), IF(OR(Table3[[#This Row],[Market Side Correct]]="",ISBLANK(Games!AC78)), "",IF(AND('Prediction Log'!$Q79="Y", 'Prediction Log'!$R79="Y"), "Y", "N")),"")</f>
        <v>N</v>
      </c>
      <c r="T79" s="149" t="str">
        <f>IF(ISNUMBER(Table3[[#This Row],[Predicted Spread]]), IF(ISBLANK(Games!AC78),"",IF(Games!AE78='Prediction Log'!$H79, "Y", "N")), "")</f>
        <v>N</v>
      </c>
      <c r="U79" s="149" t="str">
        <f>IF(ISNUMBER(Table3[[#This Row],[Predicted Spread]]), IF(OR(Table3[[#This Row],[Spread]]="",ISBLANK(Games!AC78)), "", IF(Table3[[#This Row],[Home Team Covered Market]]=Games!P78, "Y", "N")),"")</f>
        <v>N</v>
      </c>
      <c r="V79" s="150" t="str">
        <f>IF(ISBLANK(Games!AC78), "",IF('Prediction Log'!$I79='Prediction Log'!$L79, "Y", "N"))</f>
        <v>N</v>
      </c>
      <c r="W79" s="149" t="str">
        <f>IF(ISNUMBER(Table3[[#This Row],[Predicted Spread]]), IF(OR(Table3[[#This Row],[Model Spread Correct]]="",ISBLANK(Games!AC78)), "",IF('Prediction Log'!$H79&lt;&gt;'Prediction Log'!$L79, "N",IF(AND('Prediction Log'!$E79&gt;0, 'Prediction Log'!$M79&gt;'Prediction Log'!$E79, 'Prediction Log'!$H79='Prediction Log'!$C79), "Y", IF(AND('Prediction Log'!$E79&lt;0, 'Prediction Log'!$M79&lt;'Prediction Log'!$E79,'Prediction Log'!$H79='Prediction Log'!$B79 ), "Y", IF('Prediction Log'!$M79='Prediction Log'!$E79, "PUSH", "N"))))), "")</f>
        <v>N</v>
      </c>
      <c r="X79" s="149" t="str">
        <f>IF(ISNUMBER(Table3[[#This Row],[Predicted Spread]]), IF(OR(Table3[[#This Row],[Model Spread Correct]]="",ISBLANK(Games!AC78)), "",IF(AND('Prediction Log'!$T79="Y", 'Prediction Log'!$U79="Y"), "Y", "N")), "")</f>
        <v>N</v>
      </c>
      <c r="Y79" s="148" t="n">
        <f>IFERROR(IF(ISNUMBER(Table3[[#This Row],[Predicted Spread]]), IF(ISBLANK(Games!AC78), "",IF('Prediction Log'!$D79&gt;0, 'Prediction Log'!$M79-'Prediction Log'!$D79, IF('Prediction Log'!$D79&lt;0, -'Prediction Log'!$M79+'Prediction Log'!$D79, "NA"))), ""), "")</f>
        <v>-17.5</v>
      </c>
      <c r="Z79" s="148" t="n">
        <f>IF(ISNUMBER(Table3[[#This Row],[Difference from Market]]), IF(ISBLANK(Games!AC78), "",ABS('Prediction Log'!$Y79)), "")</f>
        <v>17.5</v>
      </c>
      <c r="AA79" s="139" t="n">
        <f>IF(ISNUMBER(Table3[[#This Row],[Predicted Spread]]), IF(ISBLANK(Games!AC78), "",IF('Prediction Log'!$E79&gt;0, 'Prediction Log'!$M79-'Prediction Log'!$E79, IF('Prediction Log'!$E79&lt;0, -'Prediction Log'!$M79+'Prediction Log'!$E79, "NA"))), "")</f>
        <v>-57.3</v>
      </c>
      <c r="AB79" s="139" t="n">
        <f>IF(ISNUMBER(Table3[[#This Row],[Difference from Prediction]]), IF(ISBLANK(Games!AD78), "",ABS('Prediction Log'!$AA79)), "")</f>
        <v>57.3</v>
      </c>
      <c r="AC79" s="164" t="str">
        <f>IF(ISNUMBER(Table3[[#This Row],[Predicted Spread]]), IF(OR(ISBLANK(Games!AC78),Table3[[#This Row],[Market Side Correct]]="",ISBLANK('Prediction Log'!$L79)), "",IF(OR(AND('Prediction Log'!D79&lt;0, 'Prediction Log'!L79='Prediction Log'!B79), AND('Prediction Log'!D79&gt;0, 'Prediction Log'!C79='Prediction Log'!L79)),"Y", IF(ISBLANK(Games!$B$2), "","N"))), "")</f>
        <v>N</v>
      </c>
      <c r="AD79" s="159" t="str">
        <f>'Prediction Log'!$S79</f>
        <v>N</v>
      </c>
    </row>
    <row r="80">
      <c r="A80" s="165" t="n">
        <f>IF(ISBLANK(Games!$B79), "",Games!A79)</f>
        <v>1</v>
      </c>
      <c r="B80" s="165" t="str">
        <f>IF(ISBLANK(Games!$B79), "",Games!B79)</f>
        <v>Kansas State</v>
      </c>
      <c r="C80" s="165" t="str">
        <f>IF(ISBLANK(Games!$B79), "",Games!C79)</f>
        <v>UT Martin</v>
      </c>
      <c r="D80" s="140" t="n">
        <f>IF(ISBLANK(Games!$D79), "",IF(_xlfn.NUMBERVALUE(Games!D79)=0, "",_xlfn.NUMBERVALUE(Games!D79) ))</f>
        <v>-36.5</v>
      </c>
      <c r="E80" s="138" t="n">
        <f>IF(ISBLANK(_xlfn.NUMBERVALUE(Games!$B79)), "",_xlfn.NUMBERVALUE(Games!J79))</f>
        <v>-32.318441711929999</v>
      </c>
      <c r="F80" s="141" t="n">
        <f>IFERROR(IF(ISBLANK(Games!B79), "", IF(Games!N79=Games!B79, Games!O79, 1-Games!O79)), "")</f>
        <v>0.99288790395590631</v>
      </c>
      <c r="G80" s="142" t="str">
        <f>IF(OR(ISBLANK(Games!B79),Table3[[#This Row],[Spread]]=""), "", IF('Prediction Log'!$D80&lt;0, 'Prediction Log'!$B80, 'Prediction Log'!$C80))</f>
        <v>Kansas State</v>
      </c>
      <c r="H80" s="143" t="str">
        <f>IF(ISBLANK(Games!$B79), "",Games!K79)</f>
        <v>Kansas State</v>
      </c>
      <c r="I80" s="143" t="str">
        <f>IF('Prediction Log'!$F80&gt;0.5, 'Prediction Log'!$B80, IF('Prediction Log'!$F80&lt;0.5, 'Prediction Log'!$C80, "PICK"))</f>
        <v>Kansas State</v>
      </c>
      <c r="J80" s="144" t="n">
        <f>IF(ISBLANK(Games!B79), "",IF('Prediction Log'!$I80='Prediction Log'!$B80, 'Prediction Log'!$F80, 1-'Prediction Log'!$F80))</f>
        <v>0.99288790395590631</v>
      </c>
      <c r="K80" s="145" t="str">
        <f>IF(ISBLANK(Games!$B79), "",Games!Q79)</f>
        <v>N</v>
      </c>
      <c r="L80" s="124" t="str">
        <f>IF(ISBLANK(Games!AC79), "",Games!AE79)</f>
        <v>Kansas State</v>
      </c>
      <c r="M80" s="161" t="n">
        <f>IF(ISBLANK(Games!AC79), "",Games!AD79-Games!AC79)</f>
        <v>-35</v>
      </c>
      <c r="N80" s="146" t="str">
        <f>IF(ISNUMBER(Table3[[#This Row],[Predicted Spread]]), IF(OR(ISBLANK(Games!AC79),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80" s="147" t="str">
        <f>IF(ISNUMBER(Table3[[#This Row],[Predicted Spread]]), IF(OR(ISBLANK(Games!AC79),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80" s="147" t="str">
        <f>IF(ISNUMBER(Table3[[#This Row],[Predicted Spread]]), IF(ISBLANK(Games!AC79),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80" s="148" t="str">
        <f>IF(OR(ISBLANK(Games!AC79), Table3[[#This Row],[Spread]]=""),"",IF('Prediction Log'!$L80='Prediction Log'!$G80, "Y", "N"))</f>
        <v>Y</v>
      </c>
      <c r="R80" s="148" t="str">
        <f>IF(ISNUMBER(Table3[[#This Row],[Predicted Spread]]), Table3[[#This Row],[Home Team Covered Market]],"")</f>
        <v>N</v>
      </c>
      <c r="S80" s="148" t="str">
        <f>IF(ISNUMBER(Table3[[#This Row],[Predicted Spread]]), IF(OR(Table3[[#This Row],[Market Side Correct]]="",ISBLANK(Games!AC79)), "",IF(AND('Prediction Log'!$Q80="Y", 'Prediction Log'!$R80="Y"), "Y", "N")),"")</f>
        <v>N</v>
      </c>
      <c r="T80" s="149" t="str">
        <f>IF(ISNUMBER(Table3[[#This Row],[Predicted Spread]]), IF(ISBLANK(Games!AC79),"",IF(Games!AE79='Prediction Log'!$H80, "Y", "N")), "")</f>
        <v>Y</v>
      </c>
      <c r="U80" s="149" t="str">
        <f>IF(ISNUMBER(Table3[[#This Row],[Predicted Spread]]), IF(OR(Table3[[#This Row],[Spread]]="",ISBLANK(Games!AC79)), "", IF(Table3[[#This Row],[Home Team Covered Market]]=Games!P79, "Y", "N")),"")</f>
        <v>Y</v>
      </c>
      <c r="V80" s="150" t="str">
        <f>IF(ISBLANK(Games!AC79), "",IF('Prediction Log'!$I80='Prediction Log'!$L80, "Y", "N"))</f>
        <v>Y</v>
      </c>
      <c r="W80" s="149" t="str">
        <f>IF(ISNUMBER(Table3[[#This Row],[Predicted Spread]]), IF(OR(Table3[[#This Row],[Model Spread Correct]]="",ISBLANK(Games!AC79)), "",IF('Prediction Log'!$H80&lt;&gt;'Prediction Log'!$L80, "N",IF(AND('Prediction Log'!$E80&gt;0, 'Prediction Log'!$M80&gt;'Prediction Log'!$E80, 'Prediction Log'!$H80='Prediction Log'!$C80), "Y", IF(AND('Prediction Log'!$E80&lt;0, 'Prediction Log'!$M80&lt;'Prediction Log'!$E80,'Prediction Log'!$H80='Prediction Log'!$B80 ), "Y", IF('Prediction Log'!$M80='Prediction Log'!$E80, "PUSH", "N"))))), "")</f>
        <v>Y</v>
      </c>
      <c r="X80" s="149" t="str">
        <f>IF(ISNUMBER(Table3[[#This Row],[Predicted Spread]]), IF(OR(Table3[[#This Row],[Model Spread Correct]]="",ISBLANK(Games!AC79)), "",IF(AND('Prediction Log'!$T80="Y", 'Prediction Log'!$U80="Y"), "Y", "N")), "")</f>
        <v>Y</v>
      </c>
      <c r="Y80" s="148" t="n">
        <f>IFERROR(IF(ISNUMBER(Table3[[#This Row],[Predicted Spread]]), IF(ISBLANK(Games!AC79), "",IF('Prediction Log'!$D80&gt;0, 'Prediction Log'!$M80-'Prediction Log'!$D80, IF('Prediction Log'!$D80&lt;0, -'Prediction Log'!$M80+'Prediction Log'!$D80, "NA"))), ""), "")</f>
        <v>-1.5</v>
      </c>
      <c r="Z80" s="148" t="n">
        <f>IF(ISNUMBER(Table3[[#This Row],[Difference from Market]]), IF(ISBLANK(Games!AC79), "",ABS('Prediction Log'!$Y80)), "")</f>
        <v>1.5</v>
      </c>
      <c r="AA80" s="139" t="n">
        <f>IF(ISNUMBER(Table3[[#This Row],[Predicted Spread]]), IF(ISBLANK(Games!AC79), "",IF('Prediction Log'!$E80&gt;0, 'Prediction Log'!$M80-'Prediction Log'!$E80, IF('Prediction Log'!$E80&lt;0, -'Prediction Log'!$M80+'Prediction Log'!$E80, "NA"))), "")</f>
        <v>2.6815582880700006</v>
      </c>
      <c r="AB80" s="139" t="n">
        <f>IF(ISNUMBER(Table3[[#This Row],[Difference from Prediction]]), IF(ISBLANK(Games!AD79), "",ABS('Prediction Log'!$AA80)), "")</f>
        <v>2.6815582880700006</v>
      </c>
      <c r="AC80" s="164" t="str">
        <f>IF(ISNUMBER(Table3[[#This Row],[Predicted Spread]]), IF(OR(ISBLANK(Games!AC79),Table3[[#This Row],[Market Side Correct]]="",ISBLANK('Prediction Log'!$L80)), "",IF(OR(AND('Prediction Log'!D80&lt;0, 'Prediction Log'!L80='Prediction Log'!B80), AND('Prediction Log'!D80&gt;0, 'Prediction Log'!C80='Prediction Log'!L80)),"Y", IF(ISBLANK(Games!$B$2), "","N"))), "")</f>
        <v>Y</v>
      </c>
      <c r="AD80" s="159" t="str">
        <f>'Prediction Log'!$S80</f>
        <v>N</v>
      </c>
    </row>
    <row r="81">
      <c r="A81" s="165" t="n">
        <f>IF(ISBLANK(Games!$B80), "",Games!A80)</f>
        <v>1</v>
      </c>
      <c r="B81" s="165" t="str">
        <f>IF(ISBLANK(Games!$B80), "",Games!B80)</f>
        <v>South Florida</v>
      </c>
      <c r="C81" s="165" t="str">
        <f>IF(ISBLANK(Games!$B80), "",Games!C80)</f>
        <v>Bethune-Cookman</v>
      </c>
      <c r="D81" s="140" t="str">
        <f>IF(ISBLANK(Games!$D80), "",IF(_xlfn.NUMBERVALUE(Games!D80)=0, "",_xlfn.NUMBERVALUE(Games!D80) ))</f>
      </c>
      <c r="E81" s="138" t="n">
        <f>IF(ISBLANK(_xlfn.NUMBERVALUE(Games!$B80)), "",_xlfn.NUMBERVALUE(Games!J80))</f>
        <v>-21.297574579451599</v>
      </c>
      <c r="F81" s="141" t="n">
        <f>IFERROR(IF(ISBLANK(Games!B80), "", IF(Games!N80=Games!B80, Games!O80, 1-Games!O80)), "")</f>
        <v>0.96619609543935114</v>
      </c>
      <c r="G81" s="142" t="str">
        <f>IF(OR(ISBLANK(Games!B80),Table3[[#This Row],[Spread]]=""), "", IF('Prediction Log'!$D81&lt;0, 'Prediction Log'!$B81, 'Prediction Log'!$C81))</f>
      </c>
      <c r="H81" s="143" t="str">
        <f>IF(ISBLANK(Games!$B80), "",Games!K80)</f>
        <v>South Florida</v>
      </c>
      <c r="I81" s="143" t="str">
        <f>IF('Prediction Log'!$F81&gt;0.5, 'Prediction Log'!$B81, IF('Prediction Log'!$F81&lt;0.5, 'Prediction Log'!$C81, "PICK"))</f>
        <v>South Florida</v>
      </c>
      <c r="J81" s="144" t="n">
        <f>IF(ISBLANK(Games!B80), "",IF('Prediction Log'!$I81='Prediction Log'!$B81, 'Prediction Log'!$F81, 1-'Prediction Log'!$F81))</f>
        <v>0.96619609543935114</v>
      </c>
      <c r="K81" s="145" t="str">
        <f>IF(ISBLANK(Games!$B80), "",Games!Q80)</f>
        <v>Y</v>
      </c>
      <c r="L81" s="124" t="str">
        <f>IF(ISBLANK(Games!AC80), "",Games!AE80)</f>
        <v>South Florida</v>
      </c>
      <c r="M81" s="161" t="n">
        <f>IF(ISBLANK(Games!AC80), "",Games!AD80-Games!AC80)</f>
        <v>-45</v>
      </c>
      <c r="N81" s="146" t="str">
        <f>IF(ISNUMBER(Table3[[#This Row],[Predicted Spread]]), IF(OR(ISBLANK(Games!AC80),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81" s="147" t="str">
        <f>IF(ISNUMBER(Table3[[#This Row],[Predicted Spread]]), IF(OR(ISBLANK(Games!AC80),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81" s="147" t="str">
        <f>IF(ISNUMBER(Table3[[#This Row],[Predicted Spread]]), IF(ISBLANK(Games!AC80),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81" s="148" t="str">
        <f>IF(OR(ISBLANK(Games!AC80), Table3[[#This Row],[Spread]]=""),"",IF('Prediction Log'!$L81='Prediction Log'!$G81, "Y", "N"))</f>
      </c>
      <c r="R81" s="148" t="str">
        <f>IF(ISNUMBER(Table3[[#This Row],[Predicted Spread]]), Table3[[#This Row],[Home Team Covered Market]],"")</f>
      </c>
      <c r="S81" s="148" t="str">
        <f>IF(ISNUMBER(Table3[[#This Row],[Predicted Spread]]), IF(OR(Table3[[#This Row],[Market Side Correct]]="",ISBLANK(Games!AC80)), "",IF(AND('Prediction Log'!$Q81="Y", 'Prediction Log'!$R81="Y"), "Y", "N")),"")</f>
      </c>
      <c r="T81" s="149" t="str">
        <f>IF(ISNUMBER(Table3[[#This Row],[Predicted Spread]]), IF(ISBLANK(Games!AC80),"",IF(Games!AE80='Prediction Log'!$H81, "Y", "N")), "")</f>
        <v>Y</v>
      </c>
      <c r="U81" s="149" t="str">
        <f>IF(ISNUMBER(Table3[[#This Row],[Predicted Spread]]), IF(OR(Table3[[#This Row],[Spread]]="",ISBLANK(Games!AC80)), "", IF(Table3[[#This Row],[Home Team Covered Market]]=Games!P80, "Y", "N")),"")</f>
      </c>
      <c r="V81" s="150" t="str">
        <f>IF(ISBLANK(Games!AC80), "",IF('Prediction Log'!$I81='Prediction Log'!$L81, "Y", "N"))</f>
        <v>Y</v>
      </c>
      <c r="W81" s="149" t="str">
        <f>IF(ISNUMBER(Table3[[#This Row],[Predicted Spread]]), IF(OR(Table3[[#This Row],[Model Spread Correct]]="",ISBLANK(Games!AC80)), "",IF('Prediction Log'!$H81&lt;&gt;'Prediction Log'!$L81, "N",IF(AND('Prediction Log'!$E81&gt;0, 'Prediction Log'!$M81&gt;'Prediction Log'!$E81, 'Prediction Log'!$H81='Prediction Log'!$C81), "Y", IF(AND('Prediction Log'!$E81&lt;0, 'Prediction Log'!$M81&lt;'Prediction Log'!$E81,'Prediction Log'!$H81='Prediction Log'!$B81 ), "Y", IF('Prediction Log'!$M81='Prediction Log'!$E81, "PUSH", "N"))))), "")</f>
      </c>
      <c r="X81" s="149" t="str">
        <f>IF(ISNUMBER(Table3[[#This Row],[Predicted Spread]]), IF(OR(Table3[[#This Row],[Model Spread Correct]]="",ISBLANK(Games!AC80)), "",IF(AND('Prediction Log'!$T81="Y", 'Prediction Log'!$U81="Y"), "Y", "N")), "")</f>
      </c>
      <c r="Y81" s="148" t="str">
        <f>IFERROR(IF(ISNUMBER(Table3[[#This Row],[Predicted Spread]]), IF(ISBLANK(Games!AC80), "",IF('Prediction Log'!$D81&gt;0, 'Prediction Log'!$M81-'Prediction Log'!$D81, IF('Prediction Log'!$D81&lt;0, -'Prediction Log'!$M81+'Prediction Log'!$D81, "NA"))), ""), "")</f>
      </c>
      <c r="Z81" s="148" t="str">
        <f>IF(ISNUMBER(Table3[[#This Row],[Difference from Market]]), IF(ISBLANK(Games!AC80), "",ABS('Prediction Log'!$Y81)), "")</f>
      </c>
      <c r="AA81" s="139" t="n">
        <f>IF(ISNUMBER(Table3[[#This Row],[Predicted Spread]]), IF(ISBLANK(Games!AC80), "",IF('Prediction Log'!$E81&gt;0, 'Prediction Log'!$M81-'Prediction Log'!$E81, IF('Prediction Log'!$E81&lt;0, -'Prediction Log'!$M81+'Prediction Log'!$E81, "NA"))), "")</f>
        <v>23.702425420548401</v>
      </c>
      <c r="AB81" s="139" t="n">
        <f>IF(ISNUMBER(Table3[[#This Row],[Difference from Prediction]]), IF(ISBLANK(Games!AD80), "",ABS('Prediction Log'!$AA81)), "")</f>
        <v>23.702425420548401</v>
      </c>
      <c r="AC81" s="164" t="str">
        <f>IF(ISNUMBER(Table3[[#This Row],[Predicted Spread]]), IF(OR(ISBLANK(Games!AC80),Table3[[#This Row],[Market Side Correct]]="",ISBLANK('Prediction Log'!$L81)), "",IF(OR(AND('Prediction Log'!D81&lt;0, 'Prediction Log'!L81='Prediction Log'!B81), AND('Prediction Log'!D81&gt;0, 'Prediction Log'!C81='Prediction Log'!L81)),"Y", IF(ISBLANK(Games!$B$2), "","N"))), "")</f>
      </c>
      <c r="AD81" s="159" t="str">
        <f>'Prediction Log'!$S81</f>
      </c>
    </row>
    <row r="82">
      <c r="A82" s="165" t="n">
        <f>IF(ISBLANK(Games!$B81), "",Games!A81)</f>
        <v>1</v>
      </c>
      <c r="B82" s="165" t="str">
        <f>IF(ISBLANK(Games!$B81), "",Games!B81)</f>
        <v>Oregon</v>
      </c>
      <c r="C82" s="165" t="str">
        <f>IF(ISBLANK(Games!$B81), "",Games!C81)</f>
        <v>Idaho</v>
      </c>
      <c r="D82" s="140" t="n">
        <f>IF(ISBLANK(Games!$D81), "",IF(_xlfn.NUMBERVALUE(Games!D81)=0, "",_xlfn.NUMBERVALUE(Games!D81) ))</f>
        <v>-44.5</v>
      </c>
      <c r="E82" s="138" t="n">
        <f>IF(ISBLANK(_xlfn.NUMBERVALUE(Games!$B81)), "",_xlfn.NUMBERVALUE(Games!J81))</f>
        <v>-40.120990410296002</v>
      </c>
      <c r="F82" s="141" t="n">
        <f>IFERROR(IF(ISBLANK(Games!B81), "", IF(Games!N81=Games!B81, Games!O81, 1-Games!O81)), "")</f>
        <v>0.99767497739746613</v>
      </c>
      <c r="G82" s="142" t="str">
        <f>IF(OR(ISBLANK(Games!B81),Table3[[#This Row],[Spread]]=""), "", IF('Prediction Log'!$D82&lt;0, 'Prediction Log'!$B82, 'Prediction Log'!$C82))</f>
        <v>Oregon</v>
      </c>
      <c r="H82" s="143" t="str">
        <f>IF(ISBLANK(Games!$B81), "",Games!K81)</f>
        <v>Oregon</v>
      </c>
      <c r="I82" s="143" t="str">
        <f>IF('Prediction Log'!$F82&gt;0.5, 'Prediction Log'!$B82, IF('Prediction Log'!$F82&lt;0.5, 'Prediction Log'!$C82, "PICK"))</f>
        <v>Oregon</v>
      </c>
      <c r="J82" s="144" t="n">
        <f>IF(ISBLANK(Games!B81), "",IF('Prediction Log'!$I82='Prediction Log'!$B82, 'Prediction Log'!$F82, 1-'Prediction Log'!$F82))</f>
        <v>0.99767497739746613</v>
      </c>
      <c r="K82" s="145" t="str">
        <f>IF(ISBLANK(Games!$B81), "",Games!Q81)</f>
        <v>N</v>
      </c>
      <c r="L82" s="124" t="str">
        <f>IF(ISBLANK(Games!AC81), "",Games!AE81)</f>
        <v>Oregon</v>
      </c>
      <c r="M82" s="161" t="n">
        <f>IF(ISBLANK(Games!AC81), "",Games!AD81-Games!AC81)</f>
        <v>-10</v>
      </c>
      <c r="N82" s="146" t="str">
        <f>IF(ISNUMBER(Table3[[#This Row],[Predicted Spread]]), IF(OR(ISBLANK(Games!AC81),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82" s="147" t="str">
        <f>IF(ISNUMBER(Table3[[#This Row],[Predicted Spread]]), IF(OR(ISBLANK(Games!AC81),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82" s="147" t="str">
        <f>IF(ISNUMBER(Table3[[#This Row],[Predicted Spread]]), IF(ISBLANK(Games!AC81),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82" s="148" t="str">
        <f>IF(OR(ISBLANK(Games!AC81), Table3[[#This Row],[Spread]]=""),"",IF('Prediction Log'!$L82='Prediction Log'!$G82, "Y", "N"))</f>
        <v>Y</v>
      </c>
      <c r="R82" s="148" t="str">
        <f>IF(ISNUMBER(Table3[[#This Row],[Predicted Spread]]), Table3[[#This Row],[Home Team Covered Market]],"")</f>
        <v>N</v>
      </c>
      <c r="S82" s="148" t="str">
        <f>IF(ISNUMBER(Table3[[#This Row],[Predicted Spread]]), IF(OR(Table3[[#This Row],[Market Side Correct]]="",ISBLANK(Games!AC81)), "",IF(AND('Prediction Log'!$Q82="Y", 'Prediction Log'!$R82="Y"), "Y", "N")),"")</f>
        <v>N</v>
      </c>
      <c r="T82" s="149" t="str">
        <f>IF(ISNUMBER(Table3[[#This Row],[Predicted Spread]]), IF(ISBLANK(Games!AC81),"",IF(Games!AE81='Prediction Log'!$H82, "Y", "N")), "")</f>
        <v>Y</v>
      </c>
      <c r="U82" s="149" t="str">
        <f>IF(ISNUMBER(Table3[[#This Row],[Predicted Spread]]), IF(OR(Table3[[#This Row],[Spread]]="",ISBLANK(Games!AC81)), "", IF(Table3[[#This Row],[Home Team Covered Market]]=Games!P81, "Y", "N")),"")</f>
        <v>Y</v>
      </c>
      <c r="V82" s="150" t="str">
        <f>IF(ISBLANK(Games!AC81), "",IF('Prediction Log'!$I82='Prediction Log'!$L82, "Y", "N"))</f>
        <v>Y</v>
      </c>
      <c r="W82" s="149" t="str">
        <f>IF(ISNUMBER(Table3[[#This Row],[Predicted Spread]]), IF(OR(Table3[[#This Row],[Model Spread Correct]]="",ISBLANK(Games!AC81)), "",IF('Prediction Log'!$H82&lt;&gt;'Prediction Log'!$L82, "N",IF(AND('Prediction Log'!$E82&gt;0, 'Prediction Log'!$M82&gt;'Prediction Log'!$E82, 'Prediction Log'!$H82='Prediction Log'!$C82), "Y", IF(AND('Prediction Log'!$E82&lt;0, 'Prediction Log'!$M82&lt;'Prediction Log'!$E82,'Prediction Log'!$H82='Prediction Log'!$B82 ), "Y", IF('Prediction Log'!$M82='Prediction Log'!$E82, "PUSH", "N"))))), "")</f>
        <v>N</v>
      </c>
      <c r="X82" s="149" t="str">
        <f>IF(ISNUMBER(Table3[[#This Row],[Predicted Spread]]), IF(OR(Table3[[#This Row],[Model Spread Correct]]="",ISBLANK(Games!AC81)), "",IF(AND('Prediction Log'!$T82="Y", 'Prediction Log'!$U82="Y"), "Y", "N")), "")</f>
        <v>Y</v>
      </c>
      <c r="Y82" s="148" t="n">
        <f>IFERROR(IF(ISNUMBER(Table3[[#This Row],[Predicted Spread]]), IF(ISBLANK(Games!AC81), "",IF('Prediction Log'!$D82&gt;0, 'Prediction Log'!$M82-'Prediction Log'!$D82, IF('Prediction Log'!$D82&lt;0, -'Prediction Log'!$M82+'Prediction Log'!$D82, "NA"))), ""), "")</f>
        <v>-34.5</v>
      </c>
      <c r="Z82" s="148" t="n">
        <f>IF(ISNUMBER(Table3[[#This Row],[Difference from Market]]), IF(ISBLANK(Games!AC81), "",ABS('Prediction Log'!$Y82)), "")</f>
        <v>34.5</v>
      </c>
      <c r="AA82" s="139" t="n">
        <f>IF(ISNUMBER(Table3[[#This Row],[Predicted Spread]]), IF(ISBLANK(Games!AC81), "",IF('Prediction Log'!$E82&gt;0, 'Prediction Log'!$M82-'Prediction Log'!$E82, IF('Prediction Log'!$E82&lt;0, -'Prediction Log'!$M82+'Prediction Log'!$E82, "NA"))), "")</f>
        <v>-30.120990410296002</v>
      </c>
      <c r="AB82" s="139" t="n">
        <f>IF(ISNUMBER(Table3[[#This Row],[Difference from Prediction]]), IF(ISBLANK(Games!AD81), "",ABS('Prediction Log'!$AA82)), "")</f>
        <v>30.120990410296002</v>
      </c>
      <c r="AC82" s="164" t="str">
        <f>IF(ISNUMBER(Table3[[#This Row],[Predicted Spread]]), IF(OR(ISBLANK(Games!AC81),Table3[[#This Row],[Market Side Correct]]="",ISBLANK('Prediction Log'!$L82)), "",IF(OR(AND('Prediction Log'!D82&lt;0, 'Prediction Log'!L82='Prediction Log'!B82), AND('Prediction Log'!D82&gt;0, 'Prediction Log'!C82='Prediction Log'!L82)),"Y", IF(ISBLANK(Games!$B$2), "","N"))), "")</f>
        <v>Y</v>
      </c>
      <c r="AD82" s="159" t="str">
        <f>'Prediction Log'!$S82</f>
        <v>N</v>
      </c>
    </row>
    <row r="83">
      <c r="A83" s="165" t="n">
        <f>IF(ISBLANK(Games!$B82), "",Games!A82)</f>
        <v>1</v>
      </c>
      <c r="B83" s="165" t="str">
        <f>IF(ISBLANK(Games!$B82), "",Games!B82)</f>
        <v>Michigan</v>
      </c>
      <c r="C83" s="165" t="str">
        <f>IF(ISBLANK(Games!$B82), "",Games!C82)</f>
        <v>Fresno State</v>
      </c>
      <c r="D83" s="140" t="n">
        <f>IF(ISBLANK(Games!$D82), "",IF(_xlfn.NUMBERVALUE(Games!D82)=0, "",_xlfn.NUMBERVALUE(Games!D82) ))</f>
        <v>-21</v>
      </c>
      <c r="E83" s="138" t="n">
        <f>IF(ISBLANK(_xlfn.NUMBERVALUE(Games!$B82)), "",_xlfn.NUMBERVALUE(Games!J82))</f>
        <v>-67.8</v>
      </c>
      <c r="F83" s="141" t="n">
        <f>IFERROR(IF(ISBLANK(Games!B82), "", IF(Games!N82=Games!B82, Games!O82, 1-Games!O82)), "")</f>
        <v>0.92692816398884148</v>
      </c>
      <c r="G83" s="142" t="str">
        <f>IF(OR(ISBLANK(Games!B82),Table3[[#This Row],[Spread]]=""), "", IF('Prediction Log'!$D83&lt;0, 'Prediction Log'!$B83, 'Prediction Log'!$C83))</f>
        <v>Michigan</v>
      </c>
      <c r="H83" s="143" t="str">
        <f>IF(ISBLANK(Games!$B82), "",Games!K82)</f>
        <v>Michigan</v>
      </c>
      <c r="I83" s="143" t="str">
        <f>IF('Prediction Log'!$F83&gt;0.5, 'Prediction Log'!$B83, IF('Prediction Log'!$F83&lt;0.5, 'Prediction Log'!$C83, "PICK"))</f>
        <v>Michigan</v>
      </c>
      <c r="J83" s="144" t="n">
        <f>IF(ISBLANK(Games!B82), "",IF('Prediction Log'!$I83='Prediction Log'!$B83, 'Prediction Log'!$F83, 1-'Prediction Log'!$F83))</f>
        <v>0.92692816398884148</v>
      </c>
      <c r="K83" s="145" t="str">
        <f>IF(ISBLANK(Games!$B82), "",Games!Q82)</f>
        <v>Y</v>
      </c>
      <c r="L83" s="124" t="str">
        <f>IF(ISBLANK(Games!AC82), "",Games!AE82)</f>
        <v>Michigan</v>
      </c>
      <c r="M83" s="161" t="n">
        <f>IF(ISBLANK(Games!AC82), "",Games!AD82-Games!AC82)</f>
        <v>-20</v>
      </c>
      <c r="N83" s="146" t="str">
        <f>IF(ISNUMBER(Table3[[#This Row],[Predicted Spread]]), IF(OR(ISBLANK(Games!AC82),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83" s="147" t="str">
        <f>IF(ISNUMBER(Table3[[#This Row],[Predicted Spread]]), IF(OR(ISBLANK(Games!AC82),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83" s="147" t="str">
        <f>IF(ISNUMBER(Table3[[#This Row],[Predicted Spread]]), IF(ISBLANK(Games!AC82),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83" s="148" t="str">
        <f>IF(OR(ISBLANK(Games!AC82), Table3[[#This Row],[Spread]]=""),"",IF('Prediction Log'!$L83='Prediction Log'!$G83, "Y", "N"))</f>
        <v>Y</v>
      </c>
      <c r="R83" s="148" t="str">
        <f>IF(ISNUMBER(Table3[[#This Row],[Predicted Spread]]), Table3[[#This Row],[Home Team Covered Market]],"")</f>
        <v>N</v>
      </c>
      <c r="S83" s="148" t="str">
        <f>IF(ISNUMBER(Table3[[#This Row],[Predicted Spread]]), IF(OR(Table3[[#This Row],[Market Side Correct]]="",ISBLANK(Games!AC82)), "",IF(AND('Prediction Log'!$Q83="Y", 'Prediction Log'!$R83="Y"), "Y", "N")),"")</f>
        <v>N</v>
      </c>
      <c r="T83" s="149" t="str">
        <f>IF(ISNUMBER(Table3[[#This Row],[Predicted Spread]]), IF(ISBLANK(Games!AC82),"",IF(Games!AE82='Prediction Log'!$H83, "Y", "N")), "")</f>
        <v>Y</v>
      </c>
      <c r="U83" s="149" t="str">
        <f>IF(ISNUMBER(Table3[[#This Row],[Predicted Spread]]), IF(OR(Table3[[#This Row],[Spread]]="",ISBLANK(Games!AC82)), "", IF(Table3[[#This Row],[Home Team Covered Market]]=Games!P82, "Y", "N")),"")</f>
        <v>N</v>
      </c>
      <c r="V83" s="150" t="str">
        <f>IF(ISBLANK(Games!AC82), "",IF('Prediction Log'!$I83='Prediction Log'!$L83, "Y", "N"))</f>
        <v>Y</v>
      </c>
      <c r="W83" s="149" t="str">
        <f>IF(ISNUMBER(Table3[[#This Row],[Predicted Spread]]), IF(OR(Table3[[#This Row],[Model Spread Correct]]="",ISBLANK(Games!AC82)), "",IF('Prediction Log'!$H83&lt;&gt;'Prediction Log'!$L83, "N",IF(AND('Prediction Log'!$E83&gt;0, 'Prediction Log'!$M83&gt;'Prediction Log'!$E83, 'Prediction Log'!$H83='Prediction Log'!$C83), "Y", IF(AND('Prediction Log'!$E83&lt;0, 'Prediction Log'!$M83&lt;'Prediction Log'!$E83,'Prediction Log'!$H83='Prediction Log'!$B83 ), "Y", IF('Prediction Log'!$M83='Prediction Log'!$E83, "PUSH", "N"))))), "")</f>
        <v>N</v>
      </c>
      <c r="X83" s="149" t="str">
        <f>IF(ISNUMBER(Table3[[#This Row],[Predicted Spread]]), IF(OR(Table3[[#This Row],[Model Spread Correct]]="",ISBLANK(Games!AC82)), "",IF(AND('Prediction Log'!$T83="Y", 'Prediction Log'!$U83="Y"), "Y", "N")), "")</f>
        <v>N</v>
      </c>
      <c r="Y83" s="148" t="n">
        <f>IFERROR(IF(ISNUMBER(Table3[[#This Row],[Predicted Spread]]), IF(ISBLANK(Games!AC82), "",IF('Prediction Log'!$D83&gt;0, 'Prediction Log'!$M83-'Prediction Log'!$D83, IF('Prediction Log'!$D83&lt;0, -'Prediction Log'!$M83+'Prediction Log'!$D83, "NA"))), ""), "")</f>
        <v>-1</v>
      </c>
      <c r="Z83" s="148" t="n">
        <f>IF(ISNUMBER(Table3[[#This Row],[Difference from Market]]), IF(ISBLANK(Games!AC82), "",ABS('Prediction Log'!$Y83)), "")</f>
        <v>1</v>
      </c>
      <c r="AA83" s="139" t="n">
        <f>IF(ISNUMBER(Table3[[#This Row],[Predicted Spread]]), IF(ISBLANK(Games!AC82), "",IF('Prediction Log'!$E83&gt;0, 'Prediction Log'!$M83-'Prediction Log'!$E83, IF('Prediction Log'!$E83&lt;0, -'Prediction Log'!$M83+'Prediction Log'!$E83, "NA"))), "")</f>
        <v>-47.8</v>
      </c>
      <c r="AB83" s="139" t="n">
        <f>IF(ISNUMBER(Table3[[#This Row],[Difference from Prediction]]), IF(ISBLANK(Games!AD82), "",ABS('Prediction Log'!$AA83)), "")</f>
        <v>47.8</v>
      </c>
      <c r="AC83" s="164" t="str">
        <f>IF(ISNUMBER(Table3[[#This Row],[Predicted Spread]]), IF(OR(ISBLANK(Games!AC82),Table3[[#This Row],[Market Side Correct]]="",ISBLANK('Prediction Log'!$L83)), "",IF(OR(AND('Prediction Log'!D83&lt;0, 'Prediction Log'!L83='Prediction Log'!B83), AND('Prediction Log'!D83&gt;0, 'Prediction Log'!C83='Prediction Log'!L83)),"Y", IF(ISBLANK(Games!$B$2), "","N"))), "")</f>
        <v>Y</v>
      </c>
      <c r="AD83" s="159" t="str">
        <f>'Prediction Log'!$S83</f>
        <v>N</v>
      </c>
    </row>
    <row r="84">
      <c r="A84" s="165" t="n">
        <f>IF(ISBLANK(Games!$B83), "",Games!A83)</f>
        <v>1</v>
      </c>
      <c r="B84" s="165" t="str">
        <f>IF(ISBLANK(Games!$B83), "",Games!B83)</f>
        <v>Auburn</v>
      </c>
      <c r="C84" s="165" t="str">
        <f>IF(ISBLANK(Games!$B83), "",Games!C83)</f>
        <v>Alabama A&amp;M</v>
      </c>
      <c r="D84" s="140" t="n">
        <f>IF(ISBLANK(Games!$D83), "",IF(_xlfn.NUMBERVALUE(Games!D83)=0, "",_xlfn.NUMBERVALUE(Games!D83) ))</f>
        <v>-48.5</v>
      </c>
      <c r="E84" s="138" t="n">
        <f>IF(ISBLANK(_xlfn.NUMBERVALUE(Games!$B83)), "",_xlfn.NUMBERVALUE(Games!J83))</f>
        <v>-25.4456186044312</v>
      </c>
      <c r="F84" s="141" t="n">
        <f>IFERROR(IF(ISBLANK(Games!B83), "", IF(Games!N83=Games!B83, Games!O83, 1-Games!O83)), "")</f>
        <v>0.98110425598210493</v>
      </c>
      <c r="G84" s="142" t="str">
        <f>IF(OR(ISBLANK(Games!B83),Table3[[#This Row],[Spread]]=""), "", IF('Prediction Log'!$D84&lt;0, 'Prediction Log'!$B84, 'Prediction Log'!$C84))</f>
        <v>Auburn</v>
      </c>
      <c r="H84" s="143" t="str">
        <f>IF(ISBLANK(Games!$B83), "",Games!K83)</f>
        <v>Auburn</v>
      </c>
      <c r="I84" s="143" t="str">
        <f>IF('Prediction Log'!$F84&gt;0.5, 'Prediction Log'!$B84, IF('Prediction Log'!$F84&lt;0.5, 'Prediction Log'!$C84, "PICK"))</f>
        <v>Auburn</v>
      </c>
      <c r="J84" s="144" t="n">
        <f>IF(ISBLANK(Games!B83), "",IF('Prediction Log'!$I84='Prediction Log'!$B84, 'Prediction Log'!$F84, 1-'Prediction Log'!$F84))</f>
        <v>0.98110425598210493</v>
      </c>
      <c r="K84" s="145" t="str">
        <f>IF(ISBLANK(Games!$B83), "",Games!Q83)</f>
        <v>N</v>
      </c>
      <c r="L84" s="124" t="str">
        <f>IF(ISBLANK(Games!AC83), "",Games!AE83)</f>
        <v>Auburn</v>
      </c>
      <c r="M84" s="161" t="n">
        <f>IF(ISBLANK(Games!AC83), "",Games!AD83-Games!AC83)</f>
        <v>-70</v>
      </c>
      <c r="N84" s="146" t="str">
        <f>IF(ISNUMBER(Table3[[#This Row],[Predicted Spread]]), IF(OR(ISBLANK(Games!AC83),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84" s="147" t="str">
        <f>IF(ISNUMBER(Table3[[#This Row],[Predicted Spread]]), IF(OR(ISBLANK(Games!AC83),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84" s="147" t="str">
        <f>IF(ISNUMBER(Table3[[#This Row],[Predicted Spread]]), IF(ISBLANK(Games!AC83),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84" s="148" t="str">
        <f>IF(OR(ISBLANK(Games!AC83), Table3[[#This Row],[Spread]]=""),"",IF('Prediction Log'!$L84='Prediction Log'!$G84, "Y", "N"))</f>
        <v>Y</v>
      </c>
      <c r="R84" s="148" t="str">
        <f>IF(ISNUMBER(Table3[[#This Row],[Predicted Spread]]), Table3[[#This Row],[Home Team Covered Market]],"")</f>
        <v>Y</v>
      </c>
      <c r="S84" s="148" t="str">
        <f>IF(ISNUMBER(Table3[[#This Row],[Predicted Spread]]), IF(OR(Table3[[#This Row],[Market Side Correct]]="",ISBLANK(Games!AC83)), "",IF(AND('Prediction Log'!$Q84="Y", 'Prediction Log'!$R84="Y"), "Y", "N")),"")</f>
        <v>Y</v>
      </c>
      <c r="T84" s="149" t="str">
        <f>IF(ISNUMBER(Table3[[#This Row],[Predicted Spread]]), IF(ISBLANK(Games!AC83),"",IF(Games!AE83='Prediction Log'!$H84, "Y", "N")), "")</f>
        <v>Y</v>
      </c>
      <c r="U84" s="149" t="str">
        <f>IF(ISNUMBER(Table3[[#This Row],[Predicted Spread]]), IF(OR(Table3[[#This Row],[Spread]]="",ISBLANK(Games!AC83)), "", IF(Table3[[#This Row],[Home Team Covered Market]]=Games!P83, "Y", "N")),"")</f>
        <v>N</v>
      </c>
      <c r="V84" s="150" t="str">
        <f>IF(ISBLANK(Games!AC83), "",IF('Prediction Log'!$I84='Prediction Log'!$L84, "Y", "N"))</f>
        <v>Y</v>
      </c>
      <c r="W84" s="149" t="str">
        <f>IF(ISNUMBER(Table3[[#This Row],[Predicted Spread]]), IF(OR(Table3[[#This Row],[Model Spread Correct]]="",ISBLANK(Games!AC83)), "",IF('Prediction Log'!$H84&lt;&gt;'Prediction Log'!$L84, "N",IF(AND('Prediction Log'!$E84&gt;0, 'Prediction Log'!$M84&gt;'Prediction Log'!$E84, 'Prediction Log'!$H84='Prediction Log'!$C84), "Y", IF(AND('Prediction Log'!$E84&lt;0, 'Prediction Log'!$M84&lt;'Prediction Log'!$E84,'Prediction Log'!$H84='Prediction Log'!$B84 ), "Y", IF('Prediction Log'!$M84='Prediction Log'!$E84, "PUSH", "N"))))), "")</f>
        <v>Y</v>
      </c>
      <c r="X84" s="149" t="str">
        <f>IF(ISNUMBER(Table3[[#This Row],[Predicted Spread]]), IF(OR(Table3[[#This Row],[Model Spread Correct]]="",ISBLANK(Games!AC83)), "",IF(AND('Prediction Log'!$T84="Y", 'Prediction Log'!$U84="Y"), "Y", "N")), "")</f>
        <v>N</v>
      </c>
      <c r="Y84" s="148" t="n">
        <f>IFERROR(IF(ISNUMBER(Table3[[#This Row],[Predicted Spread]]), IF(ISBLANK(Games!AC83), "",IF('Prediction Log'!$D84&gt;0, 'Prediction Log'!$M84-'Prediction Log'!$D84, IF('Prediction Log'!$D84&lt;0, -'Prediction Log'!$M84+'Prediction Log'!$D84, "NA"))), ""), "")</f>
        <v>21.5</v>
      </c>
      <c r="Z84" s="148" t="n">
        <f>IF(ISNUMBER(Table3[[#This Row],[Difference from Market]]), IF(ISBLANK(Games!AC83), "",ABS('Prediction Log'!$Y84)), "")</f>
        <v>21.5</v>
      </c>
      <c r="AA84" s="139" t="n">
        <f>IF(ISNUMBER(Table3[[#This Row],[Predicted Spread]]), IF(ISBLANK(Games!AC83), "",IF('Prediction Log'!$E84&gt;0, 'Prediction Log'!$M84-'Prediction Log'!$E84, IF('Prediction Log'!$E84&lt;0, -'Prediction Log'!$M84+'Prediction Log'!$E84, "NA"))), "")</f>
        <v>44.554381395568797</v>
      </c>
      <c r="AB84" s="139" t="n">
        <f>IF(ISNUMBER(Table3[[#This Row],[Difference from Prediction]]), IF(ISBLANK(Games!AD83), "",ABS('Prediction Log'!$AA84)), "")</f>
        <v>44.554381395568797</v>
      </c>
      <c r="AC84" s="164" t="str">
        <f>IF(ISNUMBER(Table3[[#This Row],[Predicted Spread]]), IF(OR(ISBLANK(Games!AC83),Table3[[#This Row],[Market Side Correct]]="",ISBLANK('Prediction Log'!$L84)), "",IF(OR(AND('Prediction Log'!D84&lt;0, 'Prediction Log'!L84='Prediction Log'!B84), AND('Prediction Log'!D84&gt;0, 'Prediction Log'!C84='Prediction Log'!L84)),"Y", IF(ISBLANK(Games!$B$2), "","N"))), "")</f>
        <v>Y</v>
      </c>
      <c r="AD84" s="159" t="str">
        <f>'Prediction Log'!$S84</f>
        <v>Y</v>
      </c>
    </row>
    <row r="85">
      <c r="A85" s="165" t="n">
        <f>IF(ISBLANK(Games!$B84), "",Games!A84)</f>
        <v>1</v>
      </c>
      <c r="B85" s="165" t="str">
        <f>IF(ISBLANK(Games!$B84), "",Games!B84)</f>
        <v>Texas Tech</v>
      </c>
      <c r="C85" s="165" t="str">
        <f>IF(ISBLANK(Games!$B84), "",Games!C84)</f>
        <v>Abilene Christian</v>
      </c>
      <c r="D85" s="140" t="n">
        <f>IF(ISBLANK(Games!$D84), "",IF(_xlfn.NUMBERVALUE(Games!D84)=0, "",_xlfn.NUMBERVALUE(Games!D84) ))</f>
        <v>-31.5</v>
      </c>
      <c r="E85" s="138" t="n">
        <f>IF(ISBLANK(_xlfn.NUMBERVALUE(Games!$B84)), "",_xlfn.NUMBERVALUE(Games!J84))</f>
        <v>-24.370669516298399</v>
      </c>
      <c r="F85" s="141" t="n">
        <f>IFERROR(IF(ISBLANK(Games!B84), "", IF(Games!N84=Games!B84, Games!O84, 1-Games!O84)), "")</f>
        <v>0.97801241541270967</v>
      </c>
      <c r="G85" s="142" t="str">
        <f>IF(OR(ISBLANK(Games!B84),Table3[[#This Row],[Spread]]=""), "", IF('Prediction Log'!$D85&lt;0, 'Prediction Log'!$B85, 'Prediction Log'!$C85))</f>
        <v>Texas Tech</v>
      </c>
      <c r="H85" s="143" t="str">
        <f>IF(ISBLANK(Games!$B84), "",Games!K84)</f>
        <v>Texas Tech</v>
      </c>
      <c r="I85" s="143" t="str">
        <f>IF('Prediction Log'!$F85&gt;0.5, 'Prediction Log'!$B85, IF('Prediction Log'!$F85&lt;0.5, 'Prediction Log'!$C85, "PICK"))</f>
        <v>Texas Tech</v>
      </c>
      <c r="J85" s="144" t="n">
        <f>IF(ISBLANK(Games!B84), "",IF('Prediction Log'!$I85='Prediction Log'!$B85, 'Prediction Log'!$F85, 1-'Prediction Log'!$F85))</f>
        <v>0.97801241541270967</v>
      </c>
      <c r="K85" s="145" t="str">
        <f>IF(ISBLANK(Games!$B84), "",Games!Q84)</f>
        <v>N</v>
      </c>
      <c r="L85" s="124" t="str">
        <f>IF(ISBLANK(Games!AC84), "",Games!AE84)</f>
        <v>Texas Tech</v>
      </c>
      <c r="M85" s="161" t="n">
        <f>IF(ISBLANK(Games!AC84), "",Games!AD84-Games!AC84)</f>
        <v>-1</v>
      </c>
      <c r="N85" s="146" t="str">
        <f>IF(ISNUMBER(Table3[[#This Row],[Predicted Spread]]), IF(OR(ISBLANK(Games!AC84),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85" s="147" t="str">
        <f>IF(ISNUMBER(Table3[[#This Row],[Predicted Spread]]), IF(OR(ISBLANK(Games!AC84),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85" s="147" t="str">
        <f>IF(ISNUMBER(Table3[[#This Row],[Predicted Spread]]), IF(ISBLANK(Games!AC84),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85" s="148" t="str">
        <f>IF(OR(ISBLANK(Games!AC84), Table3[[#This Row],[Spread]]=""),"",IF('Prediction Log'!$L85='Prediction Log'!$G85, "Y", "N"))</f>
        <v>Y</v>
      </c>
      <c r="R85" s="148" t="str">
        <f>IF(ISNUMBER(Table3[[#This Row],[Predicted Spread]]), Table3[[#This Row],[Home Team Covered Market]],"")</f>
        <v>N</v>
      </c>
      <c r="S85" s="148" t="str">
        <f>IF(ISNUMBER(Table3[[#This Row],[Predicted Spread]]), IF(OR(Table3[[#This Row],[Market Side Correct]]="",ISBLANK(Games!AC84)), "",IF(AND('Prediction Log'!$Q85="Y", 'Prediction Log'!$R85="Y"), "Y", "N")),"")</f>
        <v>N</v>
      </c>
      <c r="T85" s="149" t="str">
        <f>IF(ISNUMBER(Table3[[#This Row],[Predicted Spread]]), IF(ISBLANK(Games!AC84),"",IF(Games!AE84='Prediction Log'!$H85, "Y", "N")), "")</f>
        <v>Y</v>
      </c>
      <c r="U85" s="149" t="str">
        <f>IF(ISNUMBER(Table3[[#This Row],[Predicted Spread]]), IF(OR(Table3[[#This Row],[Spread]]="",ISBLANK(Games!AC84)), "", IF(Table3[[#This Row],[Home Team Covered Market]]=Games!P84, "Y", "N")),"")</f>
        <v>Y</v>
      </c>
      <c r="V85" s="150" t="str">
        <f>IF(ISBLANK(Games!AC84), "",IF('Prediction Log'!$I85='Prediction Log'!$L85, "Y", "N"))</f>
        <v>Y</v>
      </c>
      <c r="W85" s="149" t="str">
        <f>IF(ISNUMBER(Table3[[#This Row],[Predicted Spread]]), IF(OR(Table3[[#This Row],[Model Spread Correct]]="",ISBLANK(Games!AC84)), "",IF('Prediction Log'!$H85&lt;&gt;'Prediction Log'!$L85, "N",IF(AND('Prediction Log'!$E85&gt;0, 'Prediction Log'!$M85&gt;'Prediction Log'!$E85, 'Prediction Log'!$H85='Prediction Log'!$C85), "Y", IF(AND('Prediction Log'!$E85&lt;0, 'Prediction Log'!$M85&lt;'Prediction Log'!$E85,'Prediction Log'!$H85='Prediction Log'!$B85 ), "Y", IF('Prediction Log'!$M85='Prediction Log'!$E85, "PUSH", "N"))))), "")</f>
        <v>N</v>
      </c>
      <c r="X85" s="149" t="str">
        <f>IF(ISNUMBER(Table3[[#This Row],[Predicted Spread]]), IF(OR(Table3[[#This Row],[Model Spread Correct]]="",ISBLANK(Games!AC84)), "",IF(AND('Prediction Log'!$T85="Y", 'Prediction Log'!$U85="Y"), "Y", "N")), "")</f>
        <v>Y</v>
      </c>
      <c r="Y85" s="148" t="n">
        <f>IFERROR(IF(ISNUMBER(Table3[[#This Row],[Predicted Spread]]), IF(ISBLANK(Games!AC84), "",IF('Prediction Log'!$D85&gt;0, 'Prediction Log'!$M85-'Prediction Log'!$D85, IF('Prediction Log'!$D85&lt;0, -'Prediction Log'!$M85+'Prediction Log'!$D85, "NA"))), ""), "")</f>
        <v>-30.5</v>
      </c>
      <c r="Z85" s="148" t="n">
        <f>IF(ISNUMBER(Table3[[#This Row],[Difference from Market]]), IF(ISBLANK(Games!AC84), "",ABS('Prediction Log'!$Y85)), "")</f>
        <v>30.5</v>
      </c>
      <c r="AA85" s="139" t="n">
        <f>IF(ISNUMBER(Table3[[#This Row],[Predicted Spread]]), IF(ISBLANK(Games!AC84), "",IF('Prediction Log'!$E85&gt;0, 'Prediction Log'!$M85-'Prediction Log'!$E85, IF('Prediction Log'!$E85&lt;0, -'Prediction Log'!$M85+'Prediction Log'!$E85, "NA"))), "")</f>
        <v>-23.370669516298399</v>
      </c>
      <c r="AB85" s="139" t="n">
        <f>IF(ISNUMBER(Table3[[#This Row],[Difference from Prediction]]), IF(ISBLANK(Games!AD84), "",ABS('Prediction Log'!$AA85)), "")</f>
        <v>23.370669516298399</v>
      </c>
      <c r="AC85" s="164" t="str">
        <f>IF(ISNUMBER(Table3[[#This Row],[Predicted Spread]]), IF(OR(ISBLANK(Games!AC84),Table3[[#This Row],[Market Side Correct]]="",ISBLANK('Prediction Log'!$L85)), "",IF(OR(AND('Prediction Log'!D85&lt;0, 'Prediction Log'!L85='Prediction Log'!B85), AND('Prediction Log'!D85&gt;0, 'Prediction Log'!C85='Prediction Log'!L85)),"Y", IF(ISBLANK(Games!$B$2), "","N"))), "")</f>
        <v>Y</v>
      </c>
      <c r="AD85" s="159" t="str">
        <f>'Prediction Log'!$S85</f>
        <v>N</v>
      </c>
    </row>
    <row r="86">
      <c r="A86" s="165" t="n">
        <f>IF(ISBLANK(Games!$B85), "",Games!A85)</f>
        <v>1</v>
      </c>
      <c r="B86" s="165" t="str">
        <f>IF(ISBLANK(Games!$B85), "",Games!B85)</f>
        <v>Hawai'i</v>
      </c>
      <c r="C86" s="165" t="str">
        <f>IF(ISBLANK(Games!$B85), "",Games!C85)</f>
        <v>UCLA</v>
      </c>
      <c r="D86" s="140" t="n">
        <f>IF(ISBLANK(Games!$D85), "",IF(_xlfn.NUMBERVALUE(Games!D85)=0, "",_xlfn.NUMBERVALUE(Games!D85) ))</f>
        <v>14.5</v>
      </c>
      <c r="E86" s="138" t="n">
        <f>IF(ISBLANK(_xlfn.NUMBERVALUE(Games!$B85)), "",_xlfn.NUMBERVALUE(Games!J85))</f>
        <v>39.6</v>
      </c>
      <c r="F86" s="141" t="n">
        <f>IFERROR(IF(ISBLANK(Games!B85), "", IF(Games!N85=Games!B85, Games!O85, 1-Games!O85)), "")</f>
        <v>0.20455879039510272</v>
      </c>
      <c r="G86" s="142" t="str">
        <f>IF(OR(ISBLANK(Games!B85),Table3[[#This Row],[Spread]]=""), "", IF('Prediction Log'!$D86&lt;0, 'Prediction Log'!$B86, 'Prediction Log'!$C86))</f>
        <v>UCLA</v>
      </c>
      <c r="H86" s="143" t="str">
        <f>IF(ISBLANK(Games!$B85), "",Games!K85)</f>
        <v>UCLA</v>
      </c>
      <c r="I86" s="143" t="str">
        <f>IF('Prediction Log'!$F86&gt;0.5, 'Prediction Log'!$B86, IF('Prediction Log'!$F86&lt;0.5, 'Prediction Log'!$C86, "PICK"))</f>
        <v>UCLA</v>
      </c>
      <c r="J86" s="144" t="n">
        <f>IF(ISBLANK(Games!B85), "",IF('Prediction Log'!$I86='Prediction Log'!$B86, 'Prediction Log'!$F86, 1-'Prediction Log'!$F86))</f>
        <v>0.79544120960489728</v>
      </c>
      <c r="K86" s="145" t="str">
        <f>IF(ISBLANK(Games!$B85), "",Games!Q85)</f>
        <v>N</v>
      </c>
      <c r="L86" s="124" t="str">
        <f>IF(ISBLANK(Games!AC85), "",Games!AE85)</f>
        <v>UCLA</v>
      </c>
      <c r="M86" s="161" t="n">
        <f>IF(ISBLANK(Games!AC85), "",Games!AD85-Games!AC85)</f>
        <v>3</v>
      </c>
      <c r="N86" s="146" t="str">
        <f>IF(ISNUMBER(Table3[[#This Row],[Predicted Spread]]), IF(OR(ISBLANK(Games!AC85),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86" s="147" t="str">
        <f>IF(ISNUMBER(Table3[[#This Row],[Predicted Spread]]), IF(OR(ISBLANK(Games!AC85),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86" s="147" t="str">
        <f>IF(ISNUMBER(Table3[[#This Row],[Predicted Spread]]), IF(ISBLANK(Games!AC85),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86" s="148" t="str">
        <f>IF(OR(ISBLANK(Games!AC85), Table3[[#This Row],[Spread]]=""),"",IF('Prediction Log'!$L86='Prediction Log'!$G86, "Y", "N"))</f>
        <v>Y</v>
      </c>
      <c r="R86" s="148" t="str">
        <f>IF(ISNUMBER(Table3[[#This Row],[Predicted Spread]]), Table3[[#This Row],[Home Team Covered Market]],"")</f>
        <v>Y</v>
      </c>
      <c r="S86" s="148" t="str">
        <f>IF(ISNUMBER(Table3[[#This Row],[Predicted Spread]]), IF(OR(Table3[[#This Row],[Market Side Correct]]="",ISBLANK(Games!AC85)), "",IF(AND('Prediction Log'!$Q86="Y", 'Prediction Log'!$R86="Y"), "Y", "N")),"")</f>
        <v>Y</v>
      </c>
      <c r="T86" s="149" t="str">
        <f>IF(ISNUMBER(Table3[[#This Row],[Predicted Spread]]), IF(ISBLANK(Games!AC85),"",IF(Games!AE85='Prediction Log'!$H86, "Y", "N")), "")</f>
        <v>Y</v>
      </c>
      <c r="U86" s="149" t="str">
        <f>IF(ISNUMBER(Table3[[#This Row],[Predicted Spread]]), IF(OR(Table3[[#This Row],[Spread]]="",ISBLANK(Games!AC85)), "", IF(Table3[[#This Row],[Home Team Covered Market]]=Games!P85, "Y", "N")),"")</f>
        <v>N</v>
      </c>
      <c r="V86" s="150" t="str">
        <f>IF(ISBLANK(Games!AC85), "",IF('Prediction Log'!$I86='Prediction Log'!$L86, "Y", "N"))</f>
        <v>Y</v>
      </c>
      <c r="W86" s="149" t="str">
        <f>IF(ISNUMBER(Table3[[#This Row],[Predicted Spread]]), IF(OR(Table3[[#This Row],[Model Spread Correct]]="",ISBLANK(Games!AC85)), "",IF('Prediction Log'!$H86&lt;&gt;'Prediction Log'!$L86, "N",IF(AND('Prediction Log'!$E86&gt;0, 'Prediction Log'!$M86&gt;'Prediction Log'!$E86, 'Prediction Log'!$H86='Prediction Log'!$C86), "Y", IF(AND('Prediction Log'!$E86&lt;0, 'Prediction Log'!$M86&lt;'Prediction Log'!$E86,'Prediction Log'!$H86='Prediction Log'!$B86 ), "Y", IF('Prediction Log'!$M86='Prediction Log'!$E86, "PUSH", "N"))))), "")</f>
        <v>N</v>
      </c>
      <c r="X86" s="149" t="str">
        <f>IF(ISNUMBER(Table3[[#This Row],[Predicted Spread]]), IF(OR(Table3[[#This Row],[Model Spread Correct]]="",ISBLANK(Games!AC85)), "",IF(AND('Prediction Log'!$T86="Y", 'Prediction Log'!$U86="Y"), "Y", "N")), "")</f>
        <v>N</v>
      </c>
      <c r="Y86" s="148" t="n">
        <f>IFERROR(IF(ISNUMBER(Table3[[#This Row],[Predicted Spread]]), IF(ISBLANK(Games!AC85), "",IF('Prediction Log'!$D86&gt;0, 'Prediction Log'!$M86-'Prediction Log'!$D86, IF('Prediction Log'!$D86&lt;0, -'Prediction Log'!$M86+'Prediction Log'!$D86, "NA"))), ""), "")</f>
        <v>-11.5</v>
      </c>
      <c r="Z86" s="148" t="n">
        <f>IF(ISNUMBER(Table3[[#This Row],[Difference from Market]]), IF(ISBLANK(Games!AC85), "",ABS('Prediction Log'!$Y86)), "")</f>
        <v>11.5</v>
      </c>
      <c r="AA86" s="139" t="n">
        <f>IF(ISNUMBER(Table3[[#This Row],[Predicted Spread]]), IF(ISBLANK(Games!AC85), "",IF('Prediction Log'!$E86&gt;0, 'Prediction Log'!$M86-'Prediction Log'!$E86, IF('Prediction Log'!$E86&lt;0, -'Prediction Log'!$M86+'Prediction Log'!$E86, "NA"))), "")</f>
        <v>-36.6</v>
      </c>
      <c r="AB86" s="139" t="n">
        <f>IF(ISNUMBER(Table3[[#This Row],[Difference from Prediction]]), IF(ISBLANK(Games!AD85), "",ABS('Prediction Log'!$AA86)), "")</f>
        <v>36.6</v>
      </c>
      <c r="AC86" s="164" t="str">
        <f>IF(ISNUMBER(Table3[[#This Row],[Predicted Spread]]), IF(OR(ISBLANK(Games!AC85),Table3[[#This Row],[Market Side Correct]]="",ISBLANK('Prediction Log'!$L86)), "",IF(OR(AND('Prediction Log'!D86&lt;0, 'Prediction Log'!L86='Prediction Log'!B86), AND('Prediction Log'!D86&gt;0, 'Prediction Log'!C86='Prediction Log'!L86)),"Y", IF(ISBLANK(Games!$B$2), "","N"))), "")</f>
        <v>Y</v>
      </c>
      <c r="AD86" s="159" t="str">
        <f>'Prediction Log'!$S86</f>
        <v>Y</v>
      </c>
    </row>
    <row r="87">
      <c r="A87" s="165" t="n">
        <f>IF(ISBLANK(Games!$B86), "",Games!A86)</f>
        <v>1</v>
      </c>
      <c r="B87" s="165" t="str">
        <f>IF(ISBLANK(Games!$B86), "",Games!B86)</f>
        <v>Texas A&amp;M</v>
      </c>
      <c r="C87" s="165" t="str">
        <f>IF(ISBLANK(Games!$B86), "",Games!C86)</f>
        <v>Notre Dame</v>
      </c>
      <c r="D87" s="140" t="n">
        <f>IF(ISBLANK(Games!$D86), "",IF(_xlfn.NUMBERVALUE(Games!D86)=0, "",_xlfn.NUMBERVALUE(Games!D86) ))</f>
        <v>-2.5</v>
      </c>
      <c r="E87" s="138" t="n">
        <f>IF(ISBLANK(_xlfn.NUMBERVALUE(Games!$B86)), "",_xlfn.NUMBERVALUE(Games!J86))</f>
        <v>9.6</v>
      </c>
      <c r="F87" s="141" t="n">
        <f>IFERROR(IF(ISBLANK(Games!B86), "", IF(Games!N86=Games!B86, Games!O86, 1-Games!O86)), "")</f>
        <v>0.3471824525130911</v>
      </c>
      <c r="G87" s="142" t="str">
        <f>IF(OR(ISBLANK(Games!B86),Table3[[#This Row],[Spread]]=""), "", IF('Prediction Log'!$D87&lt;0, 'Prediction Log'!$B87, 'Prediction Log'!$C87))</f>
        <v>Texas A&amp;M</v>
      </c>
      <c r="H87" s="143" t="str">
        <f>IF(ISBLANK(Games!$B86), "",Games!K86)</f>
        <v>Notre Dame</v>
      </c>
      <c r="I87" s="143" t="str">
        <f>IF('Prediction Log'!$F87&gt;0.5, 'Prediction Log'!$B87, IF('Prediction Log'!$F87&lt;0.5, 'Prediction Log'!$C87, "PICK"))</f>
        <v>Notre Dame</v>
      </c>
      <c r="J87" s="144" t="n">
        <f>IF(ISBLANK(Games!B86), "",IF('Prediction Log'!$I87='Prediction Log'!$B87, 'Prediction Log'!$F87, 1-'Prediction Log'!$F87))</f>
        <v>0.6528175474869089</v>
      </c>
      <c r="K87" s="145" t="str">
        <f>IF(ISBLANK(Games!$B86), "",Games!Q86)</f>
        <v>N</v>
      </c>
      <c r="L87" s="124" t="str">
        <f>IF(ISBLANK(Games!AC86), "",Games!AE86)</f>
        <v>Notre Dame</v>
      </c>
      <c r="M87" s="161" t="n">
        <f>IF(ISBLANK(Games!AC86), "",Games!AD86-Games!AC86)</f>
        <v>10</v>
      </c>
      <c r="N87" s="146" t="str">
        <f>IF(ISNUMBER(Table3[[#This Row],[Predicted Spread]]), IF(OR(ISBLANK(Games!AC86),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87" s="147" t="str">
        <f>IF(ISNUMBER(Table3[[#This Row],[Predicted Spread]]), IF(OR(ISBLANK(Games!AC86),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87" s="147" t="str">
        <f>IF(ISNUMBER(Table3[[#This Row],[Predicted Spread]]), IF(ISBLANK(Games!AC86),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87" s="148" t="str">
        <f>IF(OR(ISBLANK(Games!AC86), Table3[[#This Row],[Spread]]=""),"",IF('Prediction Log'!$L87='Prediction Log'!$G87, "Y", "N"))</f>
        <v>N</v>
      </c>
      <c r="R87" s="148" t="str">
        <f>IF(ISNUMBER(Table3[[#This Row],[Predicted Spread]]), Table3[[#This Row],[Home Team Covered Market]],"")</f>
        <v>N</v>
      </c>
      <c r="S87" s="148" t="str">
        <f>IF(ISNUMBER(Table3[[#This Row],[Predicted Spread]]), IF(OR(Table3[[#This Row],[Market Side Correct]]="",ISBLANK(Games!AC86)), "",IF(AND('Prediction Log'!$Q87="Y", 'Prediction Log'!$R87="Y"), "Y", "N")),"")</f>
        <v>N</v>
      </c>
      <c r="T87" s="149" t="str">
        <f>IF(ISNUMBER(Table3[[#This Row],[Predicted Spread]]), IF(ISBLANK(Games!AC86),"",IF(Games!AE86='Prediction Log'!$H87, "Y", "N")), "")</f>
        <v>Y</v>
      </c>
      <c r="U87" s="149" t="str">
        <f>IF(ISNUMBER(Table3[[#This Row],[Predicted Spread]]), IF(OR(Table3[[#This Row],[Spread]]="",ISBLANK(Games!AC86)), "", IF(Table3[[#This Row],[Home Team Covered Market]]=Games!P86, "Y", "N")),"")</f>
        <v>N</v>
      </c>
      <c r="V87" s="150" t="str">
        <f>IF(ISBLANK(Games!AC86), "",IF('Prediction Log'!$I87='Prediction Log'!$L87, "Y", "N"))</f>
        <v>Y</v>
      </c>
      <c r="W87" s="149" t="str">
        <f>IF(ISNUMBER(Table3[[#This Row],[Predicted Spread]]), IF(OR(Table3[[#This Row],[Model Spread Correct]]="",ISBLANK(Games!AC86)), "",IF('Prediction Log'!$H87&lt;&gt;'Prediction Log'!$L87, "N",IF(AND('Prediction Log'!$E87&gt;0, 'Prediction Log'!$M87&gt;'Prediction Log'!$E87, 'Prediction Log'!$H87='Prediction Log'!$C87), "Y", IF(AND('Prediction Log'!$E87&lt;0, 'Prediction Log'!$M87&lt;'Prediction Log'!$E87,'Prediction Log'!$H87='Prediction Log'!$B87 ), "Y", IF('Prediction Log'!$M87='Prediction Log'!$E87, "PUSH", "N"))))), "")</f>
        <v>Y</v>
      </c>
      <c r="X87" s="149" t="str">
        <f>IF(ISNUMBER(Table3[[#This Row],[Predicted Spread]]), IF(OR(Table3[[#This Row],[Model Spread Correct]]="",ISBLANK(Games!AC86)), "",IF(AND('Prediction Log'!$T87="Y", 'Prediction Log'!$U87="Y"), "Y", "N")), "")</f>
        <v>N</v>
      </c>
      <c r="Y87" s="148" t="n">
        <f>IFERROR(IF(ISNUMBER(Table3[[#This Row],[Predicted Spread]]), IF(ISBLANK(Games!AC86), "",IF('Prediction Log'!$D87&gt;0, 'Prediction Log'!$M87-'Prediction Log'!$D87, IF('Prediction Log'!$D87&lt;0, -'Prediction Log'!$M87+'Prediction Log'!$D87, "NA"))), ""), "")</f>
        <v>-12.5</v>
      </c>
      <c r="Z87" s="148" t="n">
        <f>IF(ISNUMBER(Table3[[#This Row],[Difference from Market]]), IF(ISBLANK(Games!AC86), "",ABS('Prediction Log'!$Y87)), "")</f>
        <v>12.5</v>
      </c>
      <c r="AA87" s="139" t="n">
        <f>IF(ISNUMBER(Table3[[#This Row],[Predicted Spread]]), IF(ISBLANK(Games!AC86), "",IF('Prediction Log'!$E87&gt;0, 'Prediction Log'!$M87-'Prediction Log'!$E87, IF('Prediction Log'!$E87&lt;0, -'Prediction Log'!$M87+'Prediction Log'!$E87, "NA"))), "")</f>
        <v>0.40000000000000036</v>
      </c>
      <c r="AB87" s="139" t="n">
        <f>IF(ISNUMBER(Table3[[#This Row],[Difference from Prediction]]), IF(ISBLANK(Games!AD86), "",ABS('Prediction Log'!$AA87)), "")</f>
        <v>0.40000000000000036</v>
      </c>
      <c r="AC87" s="164" t="str">
        <f>IF(ISNUMBER(Table3[[#This Row],[Predicted Spread]]), IF(OR(ISBLANK(Games!AC86),Table3[[#This Row],[Market Side Correct]]="",ISBLANK('Prediction Log'!$L87)), "",IF(OR(AND('Prediction Log'!D87&lt;0, 'Prediction Log'!L87='Prediction Log'!B87), AND('Prediction Log'!D87&gt;0, 'Prediction Log'!C87='Prediction Log'!L87)),"Y", IF(ISBLANK(Games!$B$2), "","N"))), "")</f>
        <v>N</v>
      </c>
      <c r="AD87" s="159" t="str">
        <f>'Prediction Log'!$S87</f>
        <v>N</v>
      </c>
    </row>
    <row r="88">
      <c r="A88" s="165" t="n">
        <f>IF(ISBLANK(Games!$B87), "",Games!A87)</f>
        <v>1</v>
      </c>
      <c r="B88" s="165" t="str">
        <f>IF(ISBLANK(Games!$B87), "",Games!B87)</f>
        <v>Kentucky</v>
      </c>
      <c r="C88" s="165" t="str">
        <f>IF(ISBLANK(Games!$B87), "",Games!C87)</f>
        <v>Southern Mississippi</v>
      </c>
      <c r="D88" s="140" t="n">
        <f>IF(ISBLANK(Games!$D87), "",IF(_xlfn.NUMBERVALUE(Games!D87)=0, "",_xlfn.NUMBERVALUE(Games!D87) ))</f>
        <v>-25.5</v>
      </c>
      <c r="E88" s="138" t="n">
        <f>IF(ISBLANK(_xlfn.NUMBERVALUE(Games!$B87)), "",_xlfn.NUMBERVALUE(Games!J87))</f>
        <v>-50</v>
      </c>
      <c r="F88" s="141" t="n">
        <f>IFERROR(IF(ISBLANK(Games!B87), "", IF(Games!N87=Games!B87, Games!O87, 1-Games!O87)), "")</f>
        <v>0.92336769261813212</v>
      </c>
      <c r="G88" s="142" t="str">
        <f>IF(OR(ISBLANK(Games!B87),Table3[[#This Row],[Spread]]=""), "", IF('Prediction Log'!$D88&lt;0, 'Prediction Log'!$B88, 'Prediction Log'!$C88))</f>
        <v>Kentucky</v>
      </c>
      <c r="H88" s="143" t="str">
        <f>IF(ISBLANK(Games!$B87), "",Games!K87)</f>
        <v>Kentucky</v>
      </c>
      <c r="I88" s="143" t="str">
        <f>IF('Prediction Log'!$F88&gt;0.5, 'Prediction Log'!$B88, IF('Prediction Log'!$F88&lt;0.5, 'Prediction Log'!$C88, "PICK"))</f>
        <v>Kentucky</v>
      </c>
      <c r="J88" s="144" t="n">
        <f>IF(ISBLANK(Games!B87), "",IF('Prediction Log'!$I88='Prediction Log'!$B88, 'Prediction Log'!$F88, 1-'Prediction Log'!$F88))</f>
        <v>0.92336769261813212</v>
      </c>
      <c r="K88" s="145" t="str">
        <f>IF(ISBLANK(Games!$B87), "",Games!Q87)</f>
        <v>Y</v>
      </c>
      <c r="L88" s="124" t="str">
        <f>IF(ISBLANK(Games!AC87), "",Games!AE87)</f>
        <v>Kentucky</v>
      </c>
      <c r="M88" s="161" t="n">
        <f>IF(ISBLANK(Games!AC87), "",Games!AD87-Games!AC87)</f>
        <v>-31</v>
      </c>
      <c r="N88" s="146" t="str">
        <f>IF(ISNUMBER(Table3[[#This Row],[Predicted Spread]]), IF(OR(ISBLANK(Games!AC87),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88" s="147" t="str">
        <f>IF(ISNUMBER(Table3[[#This Row],[Predicted Spread]]), IF(OR(ISBLANK(Games!AC87),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88" s="147" t="str">
        <f>IF(ISNUMBER(Table3[[#This Row],[Predicted Spread]]), IF(ISBLANK(Games!AC87),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88" s="148" t="str">
        <f>IF(OR(ISBLANK(Games!AC87), Table3[[#This Row],[Spread]]=""),"",IF('Prediction Log'!$L88='Prediction Log'!$G88, "Y", "N"))</f>
        <v>Y</v>
      </c>
      <c r="R88" s="148" t="str">
        <f>IF(ISNUMBER(Table3[[#This Row],[Predicted Spread]]), Table3[[#This Row],[Home Team Covered Market]],"")</f>
        <v>Y</v>
      </c>
      <c r="S88" s="148" t="str">
        <f>IF(ISNUMBER(Table3[[#This Row],[Predicted Spread]]), IF(OR(Table3[[#This Row],[Market Side Correct]]="",ISBLANK(Games!AC87)), "",IF(AND('Prediction Log'!$Q88="Y", 'Prediction Log'!$R88="Y"), "Y", "N")),"")</f>
        <v>Y</v>
      </c>
      <c r="T88" s="149" t="str">
        <f>IF(ISNUMBER(Table3[[#This Row],[Predicted Spread]]), IF(ISBLANK(Games!AC87),"",IF(Games!AE87='Prediction Log'!$H88, "Y", "N")), "")</f>
        <v>Y</v>
      </c>
      <c r="U88" s="149" t="str">
        <f>IF(ISNUMBER(Table3[[#This Row],[Predicted Spread]]), IF(OR(Table3[[#This Row],[Spread]]="",ISBLANK(Games!AC87)), "", IF(Table3[[#This Row],[Home Team Covered Market]]=Games!P87, "Y", "N")),"")</f>
        <v>Y</v>
      </c>
      <c r="V88" s="150" t="str">
        <f>IF(ISBLANK(Games!AC87), "",IF('Prediction Log'!$I88='Prediction Log'!$L88, "Y", "N"))</f>
        <v>Y</v>
      </c>
      <c r="W88" s="149" t="str">
        <f>IF(ISNUMBER(Table3[[#This Row],[Predicted Spread]]), IF(OR(Table3[[#This Row],[Model Spread Correct]]="",ISBLANK(Games!AC87)), "",IF('Prediction Log'!$H88&lt;&gt;'Prediction Log'!$L88, "N",IF(AND('Prediction Log'!$E88&gt;0, 'Prediction Log'!$M88&gt;'Prediction Log'!$E88, 'Prediction Log'!$H88='Prediction Log'!$C88), "Y", IF(AND('Prediction Log'!$E88&lt;0, 'Prediction Log'!$M88&lt;'Prediction Log'!$E88,'Prediction Log'!$H88='Prediction Log'!$B88 ), "Y", IF('Prediction Log'!$M88='Prediction Log'!$E88, "PUSH", "N"))))), "")</f>
        <v>N</v>
      </c>
      <c r="X88" s="149" t="str">
        <f>IF(ISNUMBER(Table3[[#This Row],[Predicted Spread]]), IF(OR(Table3[[#This Row],[Model Spread Correct]]="",ISBLANK(Games!AC87)), "",IF(AND('Prediction Log'!$T88="Y", 'Prediction Log'!$U88="Y"), "Y", "N")), "")</f>
        <v>Y</v>
      </c>
      <c r="Y88" s="148" t="n">
        <f>IFERROR(IF(ISNUMBER(Table3[[#This Row],[Predicted Spread]]), IF(ISBLANK(Games!AC87), "",IF('Prediction Log'!$D88&gt;0, 'Prediction Log'!$M88-'Prediction Log'!$D88, IF('Prediction Log'!$D88&lt;0, -'Prediction Log'!$M88+'Prediction Log'!$D88, "NA"))), ""), "")</f>
        <v>5.5</v>
      </c>
      <c r="Z88" s="148" t="n">
        <f>IF(ISNUMBER(Table3[[#This Row],[Difference from Market]]), IF(ISBLANK(Games!AC87), "",ABS('Prediction Log'!$Y88)), "")</f>
        <v>5.5</v>
      </c>
      <c r="AA88" s="139" t="n">
        <f>IF(ISNUMBER(Table3[[#This Row],[Predicted Spread]]), IF(ISBLANK(Games!AC87), "",IF('Prediction Log'!$E88&gt;0, 'Prediction Log'!$M88-'Prediction Log'!$E88, IF('Prediction Log'!$E88&lt;0, -'Prediction Log'!$M88+'Prediction Log'!$E88, "NA"))), "")</f>
        <v>-19</v>
      </c>
      <c r="AB88" s="139" t="n">
        <f>IF(ISNUMBER(Table3[[#This Row],[Difference from Prediction]]), IF(ISBLANK(Games!AD87), "",ABS('Prediction Log'!$AA88)), "")</f>
        <v>19</v>
      </c>
      <c r="AC88" s="164" t="str">
        <f>IF(ISNUMBER(Table3[[#This Row],[Predicted Spread]]), IF(OR(ISBLANK(Games!AC87),Table3[[#This Row],[Market Side Correct]]="",ISBLANK('Prediction Log'!$L88)), "",IF(OR(AND('Prediction Log'!D88&lt;0, 'Prediction Log'!L88='Prediction Log'!B88), AND('Prediction Log'!D88&gt;0, 'Prediction Log'!C88='Prediction Log'!L88)),"Y", IF(ISBLANK(Games!$B$2), "","N"))), "")</f>
        <v>Y</v>
      </c>
      <c r="AD88" s="159" t="str">
        <f>'Prediction Log'!$S88</f>
        <v>Y</v>
      </c>
    </row>
    <row r="89">
      <c r="A89" s="165" t="n">
        <f>IF(ISBLANK(Games!$B88), "",Games!A88)</f>
        <v>1</v>
      </c>
      <c r="B89" s="165" t="str">
        <f>IF(ISBLANK(Games!$B88), "",Games!B88)</f>
        <v>Charlotte</v>
      </c>
      <c r="C89" s="165" t="str">
        <f>IF(ISBLANK(Games!$B88), "",Games!C88)</f>
        <v>James Madison</v>
      </c>
      <c r="D89" s="140" t="n">
        <f>IF(ISBLANK(Games!$D88), "",IF(_xlfn.NUMBERVALUE(Games!D88)=0, "",_xlfn.NUMBERVALUE(Games!D88) ))</f>
        <v>7.5</v>
      </c>
      <c r="E89" s="138" t="n">
        <f>IF(ISBLANK(_xlfn.NUMBERVALUE(Games!$B88)), "",_xlfn.NUMBERVALUE(Games!J88))</f>
        <v>55.8</v>
      </c>
      <c r="F89" s="141" t="n">
        <f>IFERROR(IF(ISBLANK(Games!B88), "", IF(Games!N88=Games!B88, Games!O88, 1-Games!O88)), "")</f>
        <v>0.1334913135447986</v>
      </c>
      <c r="G89" s="142" t="str">
        <f>IF(OR(ISBLANK(Games!B88),Table3[[#This Row],[Spread]]=""), "", IF('Prediction Log'!$D89&lt;0, 'Prediction Log'!$B89, 'Prediction Log'!$C89))</f>
        <v>James Madison</v>
      </c>
      <c r="H89" s="143" t="str">
        <f>IF(ISBLANK(Games!$B88), "",Games!K88)</f>
        <v>James Madison</v>
      </c>
      <c r="I89" s="143" t="str">
        <f>IF('Prediction Log'!$F89&gt;0.5, 'Prediction Log'!$B89, IF('Prediction Log'!$F89&lt;0.5, 'Prediction Log'!$C89, "PICK"))</f>
        <v>James Madison</v>
      </c>
      <c r="J89" s="144" t="n">
        <f>IF(ISBLANK(Games!B88), "",IF('Prediction Log'!$I89='Prediction Log'!$B89, 'Prediction Log'!$F89, 1-'Prediction Log'!$F89))</f>
        <v>0.8665086864552014</v>
      </c>
      <c r="K89" s="145" t="str">
        <f>IF(ISBLANK(Games!$B88), "",Games!Q88)</f>
        <v>N</v>
      </c>
      <c r="L89" s="124" t="str">
        <f>IF(ISBLANK(Games!AC88), "",Games!AE88)</f>
        <v>James Madison</v>
      </c>
      <c r="M89" s="161" t="n">
        <f>IF(ISBLANK(Games!AC88), "",Games!AD88-Games!AC88)</f>
        <v>23</v>
      </c>
      <c r="N89" s="146" t="str">
        <f>IF(ISNUMBER(Table3[[#This Row],[Predicted Spread]]), IF(OR(ISBLANK(Games!AC88),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89" s="147" t="str">
        <f>IF(ISNUMBER(Table3[[#This Row],[Predicted Spread]]), IF(OR(ISBLANK(Games!AC88),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89" s="147" t="str">
        <f>IF(ISNUMBER(Table3[[#This Row],[Predicted Spread]]), IF(ISBLANK(Games!AC88),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89" s="148" t="str">
        <f>IF(OR(ISBLANK(Games!AC88), Table3[[#This Row],[Spread]]=""),"",IF('Prediction Log'!$L89='Prediction Log'!$G89, "Y", "N"))</f>
        <v>Y</v>
      </c>
      <c r="R89" s="148" t="str">
        <f>IF(ISNUMBER(Table3[[#This Row],[Predicted Spread]]), Table3[[#This Row],[Home Team Covered Market]],"")</f>
        <v>N</v>
      </c>
      <c r="S89" s="148" t="str">
        <f>IF(ISNUMBER(Table3[[#This Row],[Predicted Spread]]), IF(OR(Table3[[#This Row],[Market Side Correct]]="",ISBLANK(Games!AC88)), "",IF(AND('Prediction Log'!$Q89="Y", 'Prediction Log'!$R89="Y"), "Y", "N")),"")</f>
        <v>N</v>
      </c>
      <c r="T89" s="149" t="str">
        <f>IF(ISNUMBER(Table3[[#This Row],[Predicted Spread]]), IF(ISBLANK(Games!AC88),"",IF(Games!AE88='Prediction Log'!$H89, "Y", "N")), "")</f>
        <v>Y</v>
      </c>
      <c r="U89" s="149" t="str">
        <f>IF(ISNUMBER(Table3[[#This Row],[Predicted Spread]]), IF(OR(Table3[[#This Row],[Spread]]="",ISBLANK(Games!AC88)), "", IF(Table3[[#This Row],[Home Team Covered Market]]=Games!P88, "Y", "N")),"")</f>
        <v>N</v>
      </c>
      <c r="V89" s="150" t="str">
        <f>IF(ISBLANK(Games!AC88), "",IF('Prediction Log'!$I89='Prediction Log'!$L89, "Y", "N"))</f>
        <v>Y</v>
      </c>
      <c r="W89" s="149" t="str">
        <f>IF(ISNUMBER(Table3[[#This Row],[Predicted Spread]]), IF(OR(Table3[[#This Row],[Model Spread Correct]]="",ISBLANK(Games!AC88)), "",IF('Prediction Log'!$H89&lt;&gt;'Prediction Log'!$L89, "N",IF(AND('Prediction Log'!$E89&gt;0, 'Prediction Log'!$M89&gt;'Prediction Log'!$E89, 'Prediction Log'!$H89='Prediction Log'!$C89), "Y", IF(AND('Prediction Log'!$E89&lt;0, 'Prediction Log'!$M89&lt;'Prediction Log'!$E89,'Prediction Log'!$H89='Prediction Log'!$B89 ), "Y", IF('Prediction Log'!$M89='Prediction Log'!$E89, "PUSH", "N"))))), "")</f>
        <v>N</v>
      </c>
      <c r="X89" s="149" t="str">
        <f>IF(ISNUMBER(Table3[[#This Row],[Predicted Spread]]), IF(OR(Table3[[#This Row],[Model Spread Correct]]="",ISBLANK(Games!AC88)), "",IF(AND('Prediction Log'!$T89="Y", 'Prediction Log'!$U89="Y"), "Y", "N")), "")</f>
        <v>N</v>
      </c>
      <c r="Y89" s="148" t="n">
        <f>IFERROR(IF(ISNUMBER(Table3[[#This Row],[Predicted Spread]]), IF(ISBLANK(Games!AC88), "",IF('Prediction Log'!$D89&gt;0, 'Prediction Log'!$M89-'Prediction Log'!$D89, IF('Prediction Log'!$D89&lt;0, -'Prediction Log'!$M89+'Prediction Log'!$D89, "NA"))), ""), "")</f>
        <v>15.5</v>
      </c>
      <c r="Z89" s="148" t="n">
        <f>IF(ISNUMBER(Table3[[#This Row],[Difference from Market]]), IF(ISBLANK(Games!AC88), "",ABS('Prediction Log'!$Y89)), "")</f>
        <v>15.5</v>
      </c>
      <c r="AA89" s="139" t="n">
        <f>IF(ISNUMBER(Table3[[#This Row],[Predicted Spread]]), IF(ISBLANK(Games!AC88), "",IF('Prediction Log'!$E89&gt;0, 'Prediction Log'!$M89-'Prediction Log'!$E89, IF('Prediction Log'!$E89&lt;0, -'Prediction Log'!$M89+'Prediction Log'!$E89, "NA"))), "")</f>
        <v>-32.799999999999997</v>
      </c>
      <c r="AB89" s="139" t="n">
        <f>IF(ISNUMBER(Table3[[#This Row],[Difference from Prediction]]), IF(ISBLANK(Games!AD88), "",ABS('Prediction Log'!$AA89)), "")</f>
        <v>32.799999999999997</v>
      </c>
      <c r="AC89" s="164" t="str">
        <f>IF(ISNUMBER(Table3[[#This Row],[Predicted Spread]]), IF(OR(ISBLANK(Games!AC88),Table3[[#This Row],[Market Side Correct]]="",ISBLANK('Prediction Log'!$L89)), "",IF(OR(AND('Prediction Log'!D89&lt;0, 'Prediction Log'!L89='Prediction Log'!B89), AND('Prediction Log'!D89&gt;0, 'Prediction Log'!C89='Prediction Log'!L89)),"Y", IF(ISBLANK(Games!$B$2), "","N"))), "")</f>
        <v>Y</v>
      </c>
      <c r="AD89" s="159" t="str">
        <f>'Prediction Log'!$S89</f>
        <v>N</v>
      </c>
    </row>
    <row r="90">
      <c r="A90" s="165" t="n">
        <f>IF(ISBLANK(Games!$B89), "",Games!A89)</f>
        <v>1</v>
      </c>
      <c r="B90" s="165" t="str">
        <f>IF(ISBLANK(Games!$B89), "",Games!B89)</f>
        <v>Georgia Tech</v>
      </c>
      <c r="C90" s="165" t="str">
        <f>IF(ISBLANK(Games!$B89), "",Games!C89)</f>
        <v>Georgia State</v>
      </c>
      <c r="D90" s="140" t="n">
        <f>IF(ISBLANK(Games!$D89), "",IF(_xlfn.NUMBERVALUE(Games!D89)=0, "",_xlfn.NUMBERVALUE(Games!D89) ))</f>
        <v>-20.5</v>
      </c>
      <c r="E90" s="138" t="n">
        <f>IF(ISBLANK(_xlfn.NUMBERVALUE(Games!$B89)), "",_xlfn.NUMBERVALUE(Games!J89))</f>
        <v>-18</v>
      </c>
      <c r="F90" s="141" t="n">
        <f>IFERROR(IF(ISBLANK(Games!B89), "", IF(Games!N89=Games!B89, Games!O89, 1-Games!O89)), "")</f>
        <v>0.82221498736908349</v>
      </c>
      <c r="G90" s="142" t="str">
        <f>IF(OR(ISBLANK(Games!B89),Table3[[#This Row],[Spread]]=""), "", IF('Prediction Log'!$D90&lt;0, 'Prediction Log'!$B90, 'Prediction Log'!$C90))</f>
        <v>Georgia Tech</v>
      </c>
      <c r="H90" s="143" t="str">
        <f>IF(ISBLANK(Games!$B89), "",Games!K89)</f>
        <v>Georgia Tech</v>
      </c>
      <c r="I90" s="143" t="str">
        <f>IF('Prediction Log'!$F90&gt;0.5, 'Prediction Log'!$B90, IF('Prediction Log'!$F90&lt;0.5, 'Prediction Log'!$C90, "PICK"))</f>
        <v>Georgia Tech</v>
      </c>
      <c r="J90" s="144" t="n">
        <f>IF(ISBLANK(Games!B89), "",IF('Prediction Log'!$I90='Prediction Log'!$B90, 'Prediction Log'!$F90, 1-'Prediction Log'!$F90))</f>
        <v>0.82221498736908349</v>
      </c>
      <c r="K90" s="145" t="str">
        <f>IF(ISBLANK(Games!$B89), "",Games!Q89)</f>
        <v>Y</v>
      </c>
      <c r="L90" s="124" t="str">
        <f>IF(ISBLANK(Games!AC89), "",Games!AE89)</f>
        <v>Georgia Tech</v>
      </c>
      <c r="M90" s="161" t="n">
        <f>IF(ISBLANK(Games!AC89), "",Games!AD89-Games!AC89)</f>
        <v>-23</v>
      </c>
      <c r="N90" s="146" t="str">
        <f>IF(ISNUMBER(Table3[[#This Row],[Predicted Spread]]), IF(OR(ISBLANK(Games!AC89),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90" s="147" t="str">
        <f>IF(ISNUMBER(Table3[[#This Row],[Predicted Spread]]), IF(OR(ISBLANK(Games!AC89),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90" s="147" t="str">
        <f>IF(ISNUMBER(Table3[[#This Row],[Predicted Spread]]), IF(ISBLANK(Games!AC89),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0" s="148" t="str">
        <f>IF(OR(ISBLANK(Games!AC89), Table3[[#This Row],[Spread]]=""),"",IF('Prediction Log'!$L90='Prediction Log'!$G90, "Y", "N"))</f>
        <v>Y</v>
      </c>
      <c r="R90" s="148" t="str">
        <f>IF(ISNUMBER(Table3[[#This Row],[Predicted Spread]]), Table3[[#This Row],[Home Team Covered Market]],"")</f>
        <v>Y</v>
      </c>
      <c r="S90" s="148" t="str">
        <f>IF(ISNUMBER(Table3[[#This Row],[Predicted Spread]]), IF(OR(Table3[[#This Row],[Market Side Correct]]="",ISBLANK(Games!AC89)), "",IF(AND('Prediction Log'!$Q90="Y", 'Prediction Log'!$R90="Y"), "Y", "N")),"")</f>
        <v>Y</v>
      </c>
      <c r="T90" s="149" t="str">
        <f>IF(ISNUMBER(Table3[[#This Row],[Predicted Spread]]), IF(ISBLANK(Games!AC89),"",IF(Games!AE89='Prediction Log'!$H90, "Y", "N")), "")</f>
        <v>Y</v>
      </c>
      <c r="U90" s="149" t="str">
        <f>IF(ISNUMBER(Table3[[#This Row],[Predicted Spread]]), IF(OR(Table3[[#This Row],[Spread]]="",ISBLANK(Games!AC89)), "", IF(Table3[[#This Row],[Home Team Covered Market]]=Games!P89, "Y", "N")),"")</f>
        <v>Y</v>
      </c>
      <c r="V90" s="150" t="str">
        <f>IF(ISBLANK(Games!AC89), "",IF('Prediction Log'!$I90='Prediction Log'!$L90, "Y", "N"))</f>
        <v>Y</v>
      </c>
      <c r="W90" s="149" t="str">
        <f>IF(ISNUMBER(Table3[[#This Row],[Predicted Spread]]), IF(OR(Table3[[#This Row],[Model Spread Correct]]="",ISBLANK(Games!AC89)), "",IF('Prediction Log'!$H90&lt;&gt;'Prediction Log'!$L90, "N",IF(AND('Prediction Log'!$E90&gt;0, 'Prediction Log'!$M90&gt;'Prediction Log'!$E90, 'Prediction Log'!$H90='Prediction Log'!$C90), "Y", IF(AND('Prediction Log'!$E90&lt;0, 'Prediction Log'!$M90&lt;'Prediction Log'!$E90,'Prediction Log'!$H90='Prediction Log'!$B90 ), "Y", IF('Prediction Log'!$M90='Prediction Log'!$E90, "PUSH", "N"))))), "")</f>
        <v>Y</v>
      </c>
      <c r="X90" s="149" t="str">
        <f>IF(ISNUMBER(Table3[[#This Row],[Predicted Spread]]), IF(OR(Table3[[#This Row],[Model Spread Correct]]="",ISBLANK(Games!AC89)), "",IF(AND('Prediction Log'!$T90="Y", 'Prediction Log'!$U90="Y"), "Y", "N")), "")</f>
        <v>Y</v>
      </c>
      <c r="Y90" s="148" t="n">
        <f>IFERROR(IF(ISNUMBER(Table3[[#This Row],[Predicted Spread]]), IF(ISBLANK(Games!AC89), "",IF('Prediction Log'!$D90&gt;0, 'Prediction Log'!$M90-'Prediction Log'!$D90, IF('Prediction Log'!$D90&lt;0, -'Prediction Log'!$M90+'Prediction Log'!$D90, "NA"))), ""), "")</f>
        <v>2.5</v>
      </c>
      <c r="Z90" s="148" t="n">
        <f>IF(ISNUMBER(Table3[[#This Row],[Difference from Market]]), IF(ISBLANK(Games!AC89), "",ABS('Prediction Log'!$Y90)), "")</f>
        <v>2.5</v>
      </c>
      <c r="AA90" s="139" t="n">
        <f>IF(ISNUMBER(Table3[[#This Row],[Predicted Spread]]), IF(ISBLANK(Games!AC89), "",IF('Prediction Log'!$E90&gt;0, 'Prediction Log'!$M90-'Prediction Log'!$E90, IF('Prediction Log'!$E90&lt;0, -'Prediction Log'!$M90+'Prediction Log'!$E90, "NA"))), "")</f>
        <v>5</v>
      </c>
      <c r="AB90" s="139" t="n">
        <f>IF(ISNUMBER(Table3[[#This Row],[Difference from Prediction]]), IF(ISBLANK(Games!AD89), "",ABS('Prediction Log'!$AA90)), "")</f>
        <v>5</v>
      </c>
      <c r="AC90" s="164" t="str">
        <f>IF(ISNUMBER(Table3[[#This Row],[Predicted Spread]]), IF(OR(ISBLANK(Games!AC89),Table3[[#This Row],[Market Side Correct]]="",ISBLANK('Prediction Log'!$L90)), "",IF(OR(AND('Prediction Log'!D90&lt;0, 'Prediction Log'!L90='Prediction Log'!B90), AND('Prediction Log'!D90&gt;0, 'Prediction Log'!C90='Prediction Log'!L90)),"Y", IF(ISBLANK(Games!$B$2), "","N"))), "")</f>
        <v>Y</v>
      </c>
      <c r="AD90" s="159" t="str">
        <f>'Prediction Log'!$S90</f>
        <v>Y</v>
      </c>
    </row>
    <row r="91">
      <c r="A91" s="165" t="n">
        <f>IF(ISBLANK(Games!$B90), "",Games!A90)</f>
        <v>1</v>
      </c>
      <c r="B91" s="165" t="str">
        <f>IF(ISBLANK(Games!$B90), "",Games!B90)</f>
        <v>SMU</v>
      </c>
      <c r="C91" s="165" t="str">
        <f>IF(ISBLANK(Games!$B90), "",Games!C90)</f>
        <v>Houston Christian</v>
      </c>
      <c r="D91" s="140" t="n">
        <f>IF(ISBLANK(Games!$D90), "",IF(_xlfn.NUMBERVALUE(Games!D90)=0, "",_xlfn.NUMBERVALUE(Games!D90) ))</f>
        <v>-44.5</v>
      </c>
      <c r="E91" s="138" t="n">
        <f>IF(ISBLANK(_xlfn.NUMBERVALUE(Games!$B90)), "",_xlfn.NUMBERVALUE(Games!J90))</f>
        <v>-34.167705660108801</v>
      </c>
      <c r="F91" s="141" t="n">
        <f>IFERROR(IF(ISBLANK(Games!B90), "", IF(Games!N90=Games!B90, Games!O90, 1-Games!O90)), "")</f>
        <v>0.99454065003571879</v>
      </c>
      <c r="G91" s="142" t="str">
        <f>IF(OR(ISBLANK(Games!B90),Table3[[#This Row],[Spread]]=""), "", IF('Prediction Log'!$D91&lt;0, 'Prediction Log'!$B91, 'Prediction Log'!$C91))</f>
        <v>SMU</v>
      </c>
      <c r="H91" s="143" t="str">
        <f>IF(ISBLANK(Games!$B90), "",Games!K90)</f>
        <v>SMU</v>
      </c>
      <c r="I91" s="143" t="str">
        <f>IF('Prediction Log'!$F91&gt;0.5, 'Prediction Log'!$B91, IF('Prediction Log'!$F91&lt;0.5, 'Prediction Log'!$C91, "PICK"))</f>
        <v>SMU</v>
      </c>
      <c r="J91" s="144" t="n">
        <f>IF(ISBLANK(Games!B90), "",IF('Prediction Log'!$I91='Prediction Log'!$B91, 'Prediction Log'!$F91, 1-'Prediction Log'!$F91))</f>
        <v>0.99454065003571879</v>
      </c>
      <c r="K91" s="145" t="str">
        <f>IF(ISBLANK(Games!$B90), "",Games!Q90)</f>
        <v>N</v>
      </c>
      <c r="L91" s="124" t="str">
        <f>IF(ISBLANK(Games!AC90), "",Games!AE90)</f>
        <v>SMU</v>
      </c>
      <c r="M91" s="161" t="n">
        <f>IF(ISBLANK(Games!AC90), "",Games!AD90-Games!AC90)</f>
        <v>-52</v>
      </c>
      <c r="N91" s="146" t="str">
        <f>IF(ISNUMBER(Table3[[#This Row],[Predicted Spread]]), IF(OR(ISBLANK(Games!AC90),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91" s="147" t="str">
        <f>IF(ISNUMBER(Table3[[#This Row],[Predicted Spread]]), IF(OR(ISBLANK(Games!AC90),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91" s="147" t="str">
        <f>IF(ISNUMBER(Table3[[#This Row],[Predicted Spread]]), IF(ISBLANK(Games!AC90),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1" s="148" t="str">
        <f>IF(OR(ISBLANK(Games!AC90), Table3[[#This Row],[Spread]]=""),"",IF('Prediction Log'!$L91='Prediction Log'!$G91, "Y", "N"))</f>
        <v>Y</v>
      </c>
      <c r="R91" s="148" t="str">
        <f>IF(ISNUMBER(Table3[[#This Row],[Predicted Spread]]), Table3[[#This Row],[Home Team Covered Market]],"")</f>
        <v>Y</v>
      </c>
      <c r="S91" s="148" t="str">
        <f>IF(ISNUMBER(Table3[[#This Row],[Predicted Spread]]), IF(OR(Table3[[#This Row],[Market Side Correct]]="",ISBLANK(Games!AC90)), "",IF(AND('Prediction Log'!$Q91="Y", 'Prediction Log'!$R91="Y"), "Y", "N")),"")</f>
        <v>Y</v>
      </c>
      <c r="T91" s="149" t="str">
        <f>IF(ISNUMBER(Table3[[#This Row],[Predicted Spread]]), IF(ISBLANK(Games!AC90),"",IF(Games!AE90='Prediction Log'!$H91, "Y", "N")), "")</f>
        <v>Y</v>
      </c>
      <c r="U91" s="149" t="str">
        <f>IF(ISNUMBER(Table3[[#This Row],[Predicted Spread]]), IF(OR(Table3[[#This Row],[Spread]]="",ISBLANK(Games!AC90)), "", IF(Table3[[#This Row],[Home Team Covered Market]]=Games!P90, "Y", "N")),"")</f>
        <v>N</v>
      </c>
      <c r="V91" s="150" t="str">
        <f>IF(ISBLANK(Games!AC90), "",IF('Prediction Log'!$I91='Prediction Log'!$L91, "Y", "N"))</f>
        <v>Y</v>
      </c>
      <c r="W91" s="149" t="str">
        <f>IF(ISNUMBER(Table3[[#This Row],[Predicted Spread]]), IF(OR(Table3[[#This Row],[Model Spread Correct]]="",ISBLANK(Games!AC90)), "",IF('Prediction Log'!$H91&lt;&gt;'Prediction Log'!$L91, "N",IF(AND('Prediction Log'!$E91&gt;0, 'Prediction Log'!$M91&gt;'Prediction Log'!$E91, 'Prediction Log'!$H91='Prediction Log'!$C91), "Y", IF(AND('Prediction Log'!$E91&lt;0, 'Prediction Log'!$M91&lt;'Prediction Log'!$E91,'Prediction Log'!$H91='Prediction Log'!$B91 ), "Y", IF('Prediction Log'!$M91='Prediction Log'!$E91, "PUSH", "N"))))), "")</f>
        <v>Y</v>
      </c>
      <c r="X91" s="149" t="str">
        <f>IF(ISNUMBER(Table3[[#This Row],[Predicted Spread]]), IF(OR(Table3[[#This Row],[Model Spread Correct]]="",ISBLANK(Games!AC90)), "",IF(AND('Prediction Log'!$T91="Y", 'Prediction Log'!$U91="Y"), "Y", "N")), "")</f>
        <v>N</v>
      </c>
      <c r="Y91" s="148" t="n">
        <f>IFERROR(IF(ISNUMBER(Table3[[#This Row],[Predicted Spread]]), IF(ISBLANK(Games!AC90), "",IF('Prediction Log'!$D91&gt;0, 'Prediction Log'!$M91-'Prediction Log'!$D91, IF('Prediction Log'!$D91&lt;0, -'Prediction Log'!$M91+'Prediction Log'!$D91, "NA"))), ""), "")</f>
        <v>7.5</v>
      </c>
      <c r="Z91" s="148" t="n">
        <f>IF(ISNUMBER(Table3[[#This Row],[Difference from Market]]), IF(ISBLANK(Games!AC90), "",ABS('Prediction Log'!$Y91)), "")</f>
        <v>7.5</v>
      </c>
      <c r="AA91" s="139" t="n">
        <f>IF(ISNUMBER(Table3[[#This Row],[Predicted Spread]]), IF(ISBLANK(Games!AC90), "",IF('Prediction Log'!$E91&gt;0, 'Prediction Log'!$M91-'Prediction Log'!$E91, IF('Prediction Log'!$E91&lt;0, -'Prediction Log'!$M91+'Prediction Log'!$E91, "NA"))), "")</f>
        <v>17.832294339891199</v>
      </c>
      <c r="AB91" s="139" t="n">
        <f>IF(ISNUMBER(Table3[[#This Row],[Difference from Prediction]]), IF(ISBLANK(Games!AD90), "",ABS('Prediction Log'!$AA91)), "")</f>
        <v>17.832294339891199</v>
      </c>
      <c r="AC91" s="164" t="str">
        <f>IF(ISNUMBER(Table3[[#This Row],[Predicted Spread]]), IF(OR(ISBLANK(Games!AC90),Table3[[#This Row],[Market Side Correct]]="",ISBLANK('Prediction Log'!$L91)), "",IF(OR(AND('Prediction Log'!D91&lt;0, 'Prediction Log'!L91='Prediction Log'!B91), AND('Prediction Log'!D91&gt;0, 'Prediction Log'!C91='Prediction Log'!L91)),"Y", IF(ISBLANK(Games!$B$2), "","N"))), "")</f>
        <v>Y</v>
      </c>
      <c r="AD91" s="159" t="str">
        <f>'Prediction Log'!$S91</f>
        <v>Y</v>
      </c>
    </row>
    <row r="92">
      <c r="A92" s="165" t="n">
        <f>IF(ISBLANK(Games!$B91), "",Games!A91)</f>
        <v>1</v>
      </c>
      <c r="B92" s="165" t="str">
        <f>IF(ISBLANK(Games!$B91), "",Games!B91)</f>
        <v>Louisiana</v>
      </c>
      <c r="C92" s="165" t="str">
        <f>IF(ISBLANK(Games!$B91), "",Games!C91)</f>
        <v>Grambling</v>
      </c>
      <c r="D92" s="140" t="str">
        <f>IF(ISBLANK(Games!$D91), "",IF(_xlfn.NUMBERVALUE(Games!D91)=0, "",_xlfn.NUMBERVALUE(Games!D91) ))</f>
      </c>
      <c r="E92" s="138" t="n">
        <f>IF(ISBLANK(_xlfn.NUMBERVALUE(Games!$B91)), "",_xlfn.NUMBERVALUE(Games!J91))</f>
        <v>-18.668598852337201</v>
      </c>
      <c r="F92" s="141" t="n">
        <f>IFERROR(IF(ISBLANK(Games!B91), "", IF(Games!N91=Games!B91, Games!O91, 1-Games!O91)), "")</f>
        <v>0.95140644622030979</v>
      </c>
      <c r="G92" s="142" t="str">
        <f>IF(OR(ISBLANK(Games!B91),Table3[[#This Row],[Spread]]=""), "", IF('Prediction Log'!$D92&lt;0, 'Prediction Log'!$B92, 'Prediction Log'!$C92))</f>
      </c>
      <c r="H92" s="143" t="str">
        <f>IF(ISBLANK(Games!$B91), "",Games!K91)</f>
        <v>Louisiana</v>
      </c>
      <c r="I92" s="143" t="str">
        <f>IF('Prediction Log'!$F92&gt;0.5, 'Prediction Log'!$B92, IF('Prediction Log'!$F92&lt;0.5, 'Prediction Log'!$C92, "PICK"))</f>
        <v>Louisiana</v>
      </c>
      <c r="J92" s="144" t="n">
        <f>IF(ISBLANK(Games!B91), "",IF('Prediction Log'!$I92='Prediction Log'!$B92, 'Prediction Log'!$F92, 1-'Prediction Log'!$F92))</f>
        <v>0.95140644622030979</v>
      </c>
      <c r="K92" s="145" t="str">
        <f>IF(ISBLANK(Games!$B91), "",Games!Q91)</f>
        <v>Y</v>
      </c>
      <c r="L92" s="124" t="str">
        <f>IF(ISBLANK(Games!AC91), "",Games!AE91)</f>
        <v>Louisiana</v>
      </c>
      <c r="M92" s="161" t="n">
        <f>IF(ISBLANK(Games!AC91), "",Games!AD91-Games!AC91)</f>
        <v>-30</v>
      </c>
      <c r="N92" s="146" t="str">
        <f>IF(ISNUMBER(Table3[[#This Row],[Predicted Spread]]), IF(OR(ISBLANK(Games!AC91),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92" s="147" t="str">
        <f>IF(ISNUMBER(Table3[[#This Row],[Predicted Spread]]), IF(OR(ISBLANK(Games!AC91),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92" s="147" t="str">
        <f>IF(ISNUMBER(Table3[[#This Row],[Predicted Spread]]), IF(ISBLANK(Games!AC91),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2" s="148" t="str">
        <f>IF(OR(ISBLANK(Games!AC91), Table3[[#This Row],[Spread]]=""),"",IF('Prediction Log'!$L92='Prediction Log'!$G92, "Y", "N"))</f>
      </c>
      <c r="R92" s="148" t="str">
        <f>IF(ISNUMBER(Table3[[#This Row],[Predicted Spread]]), Table3[[#This Row],[Home Team Covered Market]],"")</f>
      </c>
      <c r="S92" s="148" t="str">
        <f>IF(ISNUMBER(Table3[[#This Row],[Predicted Spread]]), IF(OR(Table3[[#This Row],[Market Side Correct]]="",ISBLANK(Games!AC91)), "",IF(AND('Prediction Log'!$Q92="Y", 'Prediction Log'!$R92="Y"), "Y", "N")),"")</f>
      </c>
      <c r="T92" s="149" t="str">
        <f>IF(ISNUMBER(Table3[[#This Row],[Predicted Spread]]), IF(ISBLANK(Games!AC91),"",IF(Games!AE91='Prediction Log'!$H92, "Y", "N")), "")</f>
        <v>Y</v>
      </c>
      <c r="U92" s="149" t="str">
        <f>IF(ISNUMBER(Table3[[#This Row],[Predicted Spread]]), IF(OR(Table3[[#This Row],[Spread]]="",ISBLANK(Games!AC91)), "", IF(Table3[[#This Row],[Home Team Covered Market]]=Games!P91, "Y", "N")),"")</f>
      </c>
      <c r="V92" s="150" t="str">
        <f>IF(ISBLANK(Games!AC91), "",IF('Prediction Log'!$I92='Prediction Log'!$L92, "Y", "N"))</f>
        <v>Y</v>
      </c>
      <c r="W92" s="149" t="str">
        <f>IF(ISNUMBER(Table3[[#This Row],[Predicted Spread]]), IF(OR(Table3[[#This Row],[Model Spread Correct]]="",ISBLANK(Games!AC91)), "",IF('Prediction Log'!$H92&lt;&gt;'Prediction Log'!$L92, "N",IF(AND('Prediction Log'!$E92&gt;0, 'Prediction Log'!$M92&gt;'Prediction Log'!$E92, 'Prediction Log'!$H92='Prediction Log'!$C92), "Y", IF(AND('Prediction Log'!$E92&lt;0, 'Prediction Log'!$M92&lt;'Prediction Log'!$E92,'Prediction Log'!$H92='Prediction Log'!$B92 ), "Y", IF('Prediction Log'!$M92='Prediction Log'!$E92, "PUSH", "N"))))), "")</f>
      </c>
      <c r="X92" s="149" t="str">
        <f>IF(ISNUMBER(Table3[[#This Row],[Predicted Spread]]), IF(OR(Table3[[#This Row],[Model Spread Correct]]="",ISBLANK(Games!AC91)), "",IF(AND('Prediction Log'!$T92="Y", 'Prediction Log'!$U92="Y"), "Y", "N")), "")</f>
      </c>
      <c r="Y92" s="148" t="str">
        <f>IFERROR(IF(ISNUMBER(Table3[[#This Row],[Predicted Spread]]), IF(ISBLANK(Games!AC91), "",IF('Prediction Log'!$D92&gt;0, 'Prediction Log'!$M92-'Prediction Log'!$D92, IF('Prediction Log'!$D92&lt;0, -'Prediction Log'!$M92+'Prediction Log'!$D92, "NA"))), ""), "")</f>
      </c>
      <c r="Z92" s="148" t="str">
        <f>IF(ISNUMBER(Table3[[#This Row],[Difference from Market]]), IF(ISBLANK(Games!AC91), "",ABS('Prediction Log'!$Y92)), "")</f>
      </c>
      <c r="AA92" s="139" t="n">
        <f>IF(ISNUMBER(Table3[[#This Row],[Predicted Spread]]), IF(ISBLANK(Games!AC91), "",IF('Prediction Log'!$E92&gt;0, 'Prediction Log'!$M92-'Prediction Log'!$E92, IF('Prediction Log'!$E92&lt;0, -'Prediction Log'!$M92+'Prediction Log'!$E92, "NA"))), "")</f>
        <v>11.331401147662799</v>
      </c>
      <c r="AB92" s="139" t="n">
        <f>IF(ISNUMBER(Table3[[#This Row],[Difference from Prediction]]), IF(ISBLANK(Games!AD91), "",ABS('Prediction Log'!$AA92)), "")</f>
        <v>11.331401147662799</v>
      </c>
      <c r="AC92" s="164" t="str">
        <f>IF(ISNUMBER(Table3[[#This Row],[Predicted Spread]]), IF(OR(ISBLANK(Games!AC91),Table3[[#This Row],[Market Side Correct]]="",ISBLANK('Prediction Log'!$L92)), "",IF(OR(AND('Prediction Log'!D92&lt;0, 'Prediction Log'!L92='Prediction Log'!B92), AND('Prediction Log'!D92&gt;0, 'Prediction Log'!C92='Prediction Log'!L92)),"Y", IF(ISBLANK(Games!$B$2), "","N"))), "")</f>
      </c>
      <c r="AD92" s="159" t="str">
        <f>'Prediction Log'!$S92</f>
      </c>
    </row>
    <row r="93">
      <c r="A93" s="165" t="n">
        <f>IF(ISBLANK(Games!$B92), "",Games!A92)</f>
        <v>1</v>
      </c>
      <c r="B93" s="165" t="str">
        <f>IF(ISBLANK(Games!$B92), "",Games!B92)</f>
        <v>Louisiana Tech</v>
      </c>
      <c r="C93" s="165" t="str">
        <f>IF(ISBLANK(Games!$B92), "",Games!C92)</f>
        <v>Nicholls</v>
      </c>
      <c r="D93" s="140" t="str">
        <f>IF(ISBLANK(Games!$D92), "",IF(_xlfn.NUMBERVALUE(Games!D92)=0, "",_xlfn.NUMBERVALUE(Games!D92) ))</f>
      </c>
      <c r="E93" s="138" t="n">
        <f>IF(ISBLANK(_xlfn.NUMBERVALUE(Games!$B92)), "",_xlfn.NUMBERVALUE(Games!J92))</f>
        <v>-7.9069049199755996</v>
      </c>
      <c r="F93" s="141" t="n">
        <f>IFERROR(IF(ISBLANK(Games!B92), "", IF(Games!N92=Games!B92, Games!O92, 1-Games!O92)), "")</f>
        <v>0.80623328867444155</v>
      </c>
      <c r="G93" s="142" t="str">
        <f>IF(OR(ISBLANK(Games!B92),Table3[[#This Row],[Spread]]=""), "", IF('Prediction Log'!$D93&lt;0, 'Prediction Log'!$B93, 'Prediction Log'!$C93))</f>
      </c>
      <c r="H93" s="143" t="str">
        <f>IF(ISBLANK(Games!$B92), "",Games!K92)</f>
        <v>Louisiana Tech</v>
      </c>
      <c r="I93" s="143" t="str">
        <f>IF('Prediction Log'!$F93&gt;0.5, 'Prediction Log'!$B93, IF('Prediction Log'!$F93&lt;0.5, 'Prediction Log'!$C93, "PICK"))</f>
        <v>Louisiana Tech</v>
      </c>
      <c r="J93" s="144" t="n">
        <f>IF(ISBLANK(Games!B92), "",IF('Prediction Log'!$I93='Prediction Log'!$B93, 'Prediction Log'!$F93, 1-'Prediction Log'!$F93))</f>
        <v>0.80623328867444155</v>
      </c>
      <c r="K93" s="145" t="str">
        <f>IF(ISBLANK(Games!$B92), "",Games!Q92)</f>
        <v>Y</v>
      </c>
      <c r="L93" s="124" t="str">
        <f>IF(ISBLANK(Games!AC92), "",Games!AE92)</f>
        <v>Louisiana Tech</v>
      </c>
      <c r="M93" s="161" t="n">
        <f>IF(ISBLANK(Games!AC92), "",Games!AD92-Games!AC92)</f>
        <v>-8</v>
      </c>
      <c r="N93" s="146" t="str">
        <f>IF(ISNUMBER(Table3[[#This Row],[Predicted Spread]]), IF(OR(ISBLANK(Games!AC92),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93" s="147" t="str">
        <f>IF(ISNUMBER(Table3[[#This Row],[Predicted Spread]]), IF(OR(ISBLANK(Games!AC92),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93" s="147" t="str">
        <f>IF(ISNUMBER(Table3[[#This Row],[Predicted Spread]]), IF(ISBLANK(Games!AC92),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3" s="148" t="str">
        <f>IF(OR(ISBLANK(Games!AC92), Table3[[#This Row],[Spread]]=""),"",IF('Prediction Log'!$L93='Prediction Log'!$G93, "Y", "N"))</f>
      </c>
      <c r="R93" s="148" t="str">
        <f>IF(ISNUMBER(Table3[[#This Row],[Predicted Spread]]), Table3[[#This Row],[Home Team Covered Market]],"")</f>
      </c>
      <c r="S93" s="148" t="str">
        <f>IF(ISNUMBER(Table3[[#This Row],[Predicted Spread]]), IF(OR(Table3[[#This Row],[Market Side Correct]]="",ISBLANK(Games!AC92)), "",IF(AND('Prediction Log'!$Q93="Y", 'Prediction Log'!$R93="Y"), "Y", "N")),"")</f>
      </c>
      <c r="T93" s="149" t="str">
        <f>IF(ISNUMBER(Table3[[#This Row],[Predicted Spread]]), IF(ISBLANK(Games!AC92),"",IF(Games!AE92='Prediction Log'!$H93, "Y", "N")), "")</f>
        <v>Y</v>
      </c>
      <c r="U93" s="149" t="str">
        <f>IF(ISNUMBER(Table3[[#This Row],[Predicted Spread]]), IF(OR(Table3[[#This Row],[Spread]]="",ISBLANK(Games!AC92)), "", IF(Table3[[#This Row],[Home Team Covered Market]]=Games!P92, "Y", "N")),"")</f>
      </c>
      <c r="V93" s="150" t="str">
        <f>IF(ISBLANK(Games!AC92), "",IF('Prediction Log'!$I93='Prediction Log'!$L93, "Y", "N"))</f>
        <v>Y</v>
      </c>
      <c r="W93" s="149" t="str">
        <f>IF(ISNUMBER(Table3[[#This Row],[Predicted Spread]]), IF(OR(Table3[[#This Row],[Model Spread Correct]]="",ISBLANK(Games!AC92)), "",IF('Prediction Log'!$H93&lt;&gt;'Prediction Log'!$L93, "N",IF(AND('Prediction Log'!$E93&gt;0, 'Prediction Log'!$M93&gt;'Prediction Log'!$E93, 'Prediction Log'!$H93='Prediction Log'!$C93), "Y", IF(AND('Prediction Log'!$E93&lt;0, 'Prediction Log'!$M93&lt;'Prediction Log'!$E93,'Prediction Log'!$H93='Prediction Log'!$B93 ), "Y", IF('Prediction Log'!$M93='Prediction Log'!$E93, "PUSH", "N"))))), "")</f>
      </c>
      <c r="X93" s="149" t="str">
        <f>IF(ISNUMBER(Table3[[#This Row],[Predicted Spread]]), IF(OR(Table3[[#This Row],[Model Spread Correct]]="",ISBLANK(Games!AC92)), "",IF(AND('Prediction Log'!$T93="Y", 'Prediction Log'!$U93="Y"), "Y", "N")), "")</f>
      </c>
      <c r="Y93" s="148" t="str">
        <f>IFERROR(IF(ISNUMBER(Table3[[#This Row],[Predicted Spread]]), IF(ISBLANK(Games!AC92), "",IF('Prediction Log'!$D93&gt;0, 'Prediction Log'!$M93-'Prediction Log'!$D93, IF('Prediction Log'!$D93&lt;0, -'Prediction Log'!$M93+'Prediction Log'!$D93, "NA"))), ""), "")</f>
      </c>
      <c r="Z93" s="148" t="str">
        <f>IF(ISNUMBER(Table3[[#This Row],[Difference from Market]]), IF(ISBLANK(Games!AC92), "",ABS('Prediction Log'!$Y93)), "")</f>
      </c>
      <c r="AA93" s="139" t="n">
        <f>IF(ISNUMBER(Table3[[#This Row],[Predicted Spread]]), IF(ISBLANK(Games!AC92), "",IF('Prediction Log'!$E93&gt;0, 'Prediction Log'!$M93-'Prediction Log'!$E93, IF('Prediction Log'!$E93&lt;0, -'Prediction Log'!$M93+'Prediction Log'!$E93, "NA"))), "")</f>
        <v>9.3095080024400367E-2</v>
      </c>
      <c r="AB93" s="139" t="n">
        <f>IF(ISNUMBER(Table3[[#This Row],[Difference from Prediction]]), IF(ISBLANK(Games!AD92), "",ABS('Prediction Log'!$AA93)), "")</f>
        <v>9.3095080024400367E-2</v>
      </c>
      <c r="AC93" s="164" t="str">
        <f>IF(ISNUMBER(Table3[[#This Row],[Predicted Spread]]), IF(OR(ISBLANK(Games!AC92),Table3[[#This Row],[Market Side Correct]]="",ISBLANK('Prediction Log'!$L93)), "",IF(OR(AND('Prediction Log'!D93&lt;0, 'Prediction Log'!L93='Prediction Log'!B93), AND('Prediction Log'!D93&gt;0, 'Prediction Log'!C93='Prediction Log'!L93)),"Y", IF(ISBLANK(Games!$B$2), "","N"))), "")</f>
      </c>
      <c r="AD93" s="159" t="str">
        <f>'Prediction Log'!$S93</f>
      </c>
    </row>
    <row r="94">
      <c r="A94" s="165" t="n">
        <f>IF(ISBLANK(Games!$B93), "",Games!A93)</f>
        <v>1</v>
      </c>
      <c r="B94" s="165" t="str">
        <f>IF(ISBLANK(Games!$B93), "",Games!B93)</f>
        <v>Texas State</v>
      </c>
      <c r="C94" s="165" t="str">
        <f>IF(ISBLANK(Games!$B93), "",Games!C93)</f>
        <v>Lamar</v>
      </c>
      <c r="D94" s="140" t="str">
        <f>IF(ISBLANK(Games!$D93), "",IF(_xlfn.NUMBERVALUE(Games!D93)=0, "",_xlfn.NUMBERVALUE(Games!D93) ))</f>
      </c>
      <c r="E94" s="138" t="n">
        <f>IF(ISBLANK(_xlfn.NUMBERVALUE(Games!$B93)), "",_xlfn.NUMBERVALUE(Games!J93))</f>
        <v>-16.450274771128001</v>
      </c>
      <c r="F94" s="141" t="n">
        <f>IFERROR(IF(ISBLANK(Games!B93), "", IF(Games!N93=Games!B93, Games!O93, 1-Games!O93)), "")</f>
        <v>0.93433125679934681</v>
      </c>
      <c r="G94" s="142" t="str">
        <f>IF(OR(ISBLANK(Games!B93),Table3[[#This Row],[Spread]]=""), "", IF('Prediction Log'!$D94&lt;0, 'Prediction Log'!$B94, 'Prediction Log'!$C94))</f>
      </c>
      <c r="H94" s="143" t="str">
        <f>IF(ISBLANK(Games!$B93), "",Games!K93)</f>
        <v>Texas State</v>
      </c>
      <c r="I94" s="143" t="str">
        <f>IF('Prediction Log'!$F94&gt;0.5, 'Prediction Log'!$B94, IF('Prediction Log'!$F94&lt;0.5, 'Prediction Log'!$C94, "PICK"))</f>
        <v>Texas State</v>
      </c>
      <c r="J94" s="144" t="n">
        <f>IF(ISBLANK(Games!B93), "",IF('Prediction Log'!$I94='Prediction Log'!$B94, 'Prediction Log'!$F94, 1-'Prediction Log'!$F94))</f>
        <v>0.93433125679934681</v>
      </c>
      <c r="K94" s="145" t="str">
        <f>IF(ISBLANK(Games!$B93), "",Games!Q93)</f>
        <v>Y</v>
      </c>
      <c r="L94" s="124" t="str">
        <f>IF(ISBLANK(Games!AC93), "",Games!AE93)</f>
        <v>Texas State</v>
      </c>
      <c r="M94" s="161" t="n">
        <f>IF(ISBLANK(Games!AC93), "",Games!AD93-Games!AC93)</f>
        <v>-7</v>
      </c>
      <c r="N94" s="146" t="str">
        <f>IF(ISNUMBER(Table3[[#This Row],[Predicted Spread]]), IF(OR(ISBLANK(Games!AC93),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94" s="147" t="str">
        <f>IF(ISNUMBER(Table3[[#This Row],[Predicted Spread]]), IF(OR(ISBLANK(Games!AC93),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94" s="147" t="str">
        <f>IF(ISNUMBER(Table3[[#This Row],[Predicted Spread]]), IF(ISBLANK(Games!AC93),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94" s="148" t="str">
        <f>IF(OR(ISBLANK(Games!AC93), Table3[[#This Row],[Spread]]=""),"",IF('Prediction Log'!$L94='Prediction Log'!$G94, "Y", "N"))</f>
      </c>
      <c r="R94" s="148" t="str">
        <f>IF(ISNUMBER(Table3[[#This Row],[Predicted Spread]]), Table3[[#This Row],[Home Team Covered Market]],"")</f>
      </c>
      <c r="S94" s="148" t="str">
        <f>IF(ISNUMBER(Table3[[#This Row],[Predicted Spread]]), IF(OR(Table3[[#This Row],[Market Side Correct]]="",ISBLANK(Games!AC93)), "",IF(AND('Prediction Log'!$Q94="Y", 'Prediction Log'!$R94="Y"), "Y", "N")),"")</f>
      </c>
      <c r="T94" s="149" t="str">
        <f>IF(ISNUMBER(Table3[[#This Row],[Predicted Spread]]), IF(ISBLANK(Games!AC93),"",IF(Games!AE93='Prediction Log'!$H94, "Y", "N")), "")</f>
        <v>Y</v>
      </c>
      <c r="U94" s="149" t="str">
        <f>IF(ISNUMBER(Table3[[#This Row],[Predicted Spread]]), IF(OR(Table3[[#This Row],[Spread]]="",ISBLANK(Games!AC93)), "", IF(Table3[[#This Row],[Home Team Covered Market]]=Games!P93, "Y", "N")),"")</f>
      </c>
      <c r="V94" s="150" t="str">
        <f>IF(ISBLANK(Games!AC93), "",IF('Prediction Log'!$I94='Prediction Log'!$L94, "Y", "N"))</f>
        <v>Y</v>
      </c>
      <c r="W94" s="149" t="str">
        <f>IF(ISNUMBER(Table3[[#This Row],[Predicted Spread]]), IF(OR(Table3[[#This Row],[Model Spread Correct]]="",ISBLANK(Games!AC93)), "",IF('Prediction Log'!$H94&lt;&gt;'Prediction Log'!$L94, "N",IF(AND('Prediction Log'!$E94&gt;0, 'Prediction Log'!$M94&gt;'Prediction Log'!$E94, 'Prediction Log'!$H94='Prediction Log'!$C94), "Y", IF(AND('Prediction Log'!$E94&lt;0, 'Prediction Log'!$M94&lt;'Prediction Log'!$E94,'Prediction Log'!$H94='Prediction Log'!$B94 ), "Y", IF('Prediction Log'!$M94='Prediction Log'!$E94, "PUSH", "N"))))), "")</f>
      </c>
      <c r="X94" s="149" t="str">
        <f>IF(ISNUMBER(Table3[[#This Row],[Predicted Spread]]), IF(OR(Table3[[#This Row],[Model Spread Correct]]="",ISBLANK(Games!AC93)), "",IF(AND('Prediction Log'!$T94="Y", 'Prediction Log'!$U94="Y"), "Y", "N")), "")</f>
      </c>
      <c r="Y94" s="148" t="str">
        <f>IFERROR(IF(ISNUMBER(Table3[[#This Row],[Predicted Spread]]), IF(ISBLANK(Games!AC93), "",IF('Prediction Log'!$D94&gt;0, 'Prediction Log'!$M94-'Prediction Log'!$D94, IF('Prediction Log'!$D94&lt;0, -'Prediction Log'!$M94+'Prediction Log'!$D94, "NA"))), ""), "")</f>
      </c>
      <c r="Z94" s="148" t="str">
        <f>IF(ISNUMBER(Table3[[#This Row],[Difference from Market]]), IF(ISBLANK(Games!AC93), "",ABS('Prediction Log'!$Y94)), "")</f>
      </c>
      <c r="AA94" s="139" t="n">
        <f>IF(ISNUMBER(Table3[[#This Row],[Predicted Spread]]), IF(ISBLANK(Games!AC93), "",IF('Prediction Log'!$E94&gt;0, 'Prediction Log'!$M94-'Prediction Log'!$E94, IF('Prediction Log'!$E94&lt;0, -'Prediction Log'!$M94+'Prediction Log'!$E94, "NA"))), "")</f>
        <v>-9.4502747711280009</v>
      </c>
      <c r="AB94" s="139" t="n">
        <f>IF(ISNUMBER(Table3[[#This Row],[Difference from Prediction]]), IF(ISBLANK(Games!AD93), "",ABS('Prediction Log'!$AA94)), "")</f>
        <v>9.4502747711280009</v>
      </c>
      <c r="AC94" s="164" t="str">
        <f>IF(ISNUMBER(Table3[[#This Row],[Predicted Spread]]), IF(OR(ISBLANK(Games!AC93),Table3[[#This Row],[Market Side Correct]]="",ISBLANK('Prediction Log'!$L94)), "",IF(OR(AND('Prediction Log'!D94&lt;0, 'Prediction Log'!L94='Prediction Log'!B94), AND('Prediction Log'!D94&gt;0, 'Prediction Log'!C94='Prediction Log'!L94)),"Y", IF(ISBLANK(Games!$B$2), "","N"))), "")</f>
      </c>
      <c r="AD94" s="159" t="str">
        <f>'Prediction Log'!$S94</f>
      </c>
    </row>
    <row r="95">
      <c r="A95" s="165" t="n">
        <f>IF(ISBLANK(Games!$B94), "",Games!A94)</f>
        <v>1</v>
      </c>
      <c r="B95" s="165" t="str">
        <f>IF(ISBLANK(Games!$B94), "",Games!B94)</f>
        <v>BYU</v>
      </c>
      <c r="C95" s="165" t="str">
        <f>IF(ISBLANK(Games!$B94), "",Games!C94)</f>
        <v>Southern Illinois</v>
      </c>
      <c r="D95" s="140" t="str">
        <f>IF(ISBLANK(Games!$D94), "",IF(_xlfn.NUMBERVALUE(Games!D94)=0, "",_xlfn.NUMBERVALUE(Games!D94) ))</f>
      </c>
      <c r="E95" s="138" t="n">
        <f>IF(ISBLANK(_xlfn.NUMBERVALUE(Games!$B94)), "",_xlfn.NUMBERVALUE(Games!J94))</f>
        <v>-16.493486635338002</v>
      </c>
      <c r="F95" s="141" t="n">
        <f>IFERROR(IF(ISBLANK(Games!B94), "", IF(Games!N94=Games!B94, Games!O94, 1-Games!O94)), "")</f>
        <v>0.93471178378443864</v>
      </c>
      <c r="G95" s="142" t="str">
        <f>IF(OR(ISBLANK(Games!B94),Table3[[#This Row],[Spread]]=""), "", IF('Prediction Log'!$D95&lt;0, 'Prediction Log'!$B95, 'Prediction Log'!$C95))</f>
      </c>
      <c r="H95" s="143" t="str">
        <f>IF(ISBLANK(Games!$B94), "",Games!K94)</f>
        <v>BYU</v>
      </c>
      <c r="I95" s="143" t="str">
        <f>IF('Prediction Log'!$F95&gt;0.5, 'Prediction Log'!$B95, IF('Prediction Log'!$F95&lt;0.5, 'Prediction Log'!$C95, "PICK"))</f>
        <v>BYU</v>
      </c>
      <c r="J95" s="144" t="n">
        <f>IF(ISBLANK(Games!B94), "",IF('Prediction Log'!$I95='Prediction Log'!$B95, 'Prediction Log'!$F95, 1-'Prediction Log'!$F95))</f>
        <v>0.93471178378443864</v>
      </c>
      <c r="K95" s="145" t="str">
        <f>IF(ISBLANK(Games!$B94), "",Games!Q94)</f>
        <v>Y</v>
      </c>
      <c r="L95" s="124" t="str">
        <f>IF(ISBLANK(Games!AC94), "",Games!AE94)</f>
        <v>BYU</v>
      </c>
      <c r="M95" s="161" t="n">
        <f>IF(ISBLANK(Games!AC94), "",Games!AD94-Games!AC94)</f>
        <v>-28</v>
      </c>
      <c r="N95" s="146" t="str">
        <f>IF(ISNUMBER(Table3[[#This Row],[Predicted Spread]]), IF(OR(ISBLANK(Games!AC94),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95" s="147" t="str">
        <f>IF(ISNUMBER(Table3[[#This Row],[Predicted Spread]]), IF(OR(ISBLANK(Games!AC94),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95" s="147" t="str">
        <f>IF(ISNUMBER(Table3[[#This Row],[Predicted Spread]]), IF(ISBLANK(Games!AC94),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5" s="148" t="str">
        <f>IF(OR(ISBLANK(Games!AC94), Table3[[#This Row],[Spread]]=""),"",IF('Prediction Log'!$L95='Prediction Log'!$G95, "Y", "N"))</f>
      </c>
      <c r="R95" s="148" t="str">
        <f>IF(ISNUMBER(Table3[[#This Row],[Predicted Spread]]), Table3[[#This Row],[Home Team Covered Market]],"")</f>
      </c>
      <c r="S95" s="148" t="str">
        <f>IF(ISNUMBER(Table3[[#This Row],[Predicted Spread]]), IF(OR(Table3[[#This Row],[Market Side Correct]]="",ISBLANK(Games!AC94)), "",IF(AND('Prediction Log'!$Q95="Y", 'Prediction Log'!$R95="Y"), "Y", "N")),"")</f>
      </c>
      <c r="T95" s="149" t="str">
        <f>IF(ISNUMBER(Table3[[#This Row],[Predicted Spread]]), IF(ISBLANK(Games!AC94),"",IF(Games!AE94='Prediction Log'!$H95, "Y", "N")), "")</f>
        <v>Y</v>
      </c>
      <c r="U95" s="149" t="str">
        <f>IF(ISNUMBER(Table3[[#This Row],[Predicted Spread]]), IF(OR(Table3[[#This Row],[Spread]]="",ISBLANK(Games!AC94)), "", IF(Table3[[#This Row],[Home Team Covered Market]]=Games!P94, "Y", "N")),"")</f>
      </c>
      <c r="V95" s="150" t="str">
        <f>IF(ISBLANK(Games!AC94), "",IF('Prediction Log'!$I95='Prediction Log'!$L95, "Y", "N"))</f>
        <v>Y</v>
      </c>
      <c r="W95" s="149" t="str">
        <f>IF(ISNUMBER(Table3[[#This Row],[Predicted Spread]]), IF(OR(Table3[[#This Row],[Model Spread Correct]]="",ISBLANK(Games!AC94)), "",IF('Prediction Log'!$H95&lt;&gt;'Prediction Log'!$L95, "N",IF(AND('Prediction Log'!$E95&gt;0, 'Prediction Log'!$M95&gt;'Prediction Log'!$E95, 'Prediction Log'!$H95='Prediction Log'!$C95), "Y", IF(AND('Prediction Log'!$E95&lt;0, 'Prediction Log'!$M95&lt;'Prediction Log'!$E95,'Prediction Log'!$H95='Prediction Log'!$B95 ), "Y", IF('Prediction Log'!$M95='Prediction Log'!$E95, "PUSH", "N"))))), "")</f>
      </c>
      <c r="X95" s="149" t="str">
        <f>IF(ISNUMBER(Table3[[#This Row],[Predicted Spread]]), IF(OR(Table3[[#This Row],[Model Spread Correct]]="",ISBLANK(Games!AC94)), "",IF(AND('Prediction Log'!$T95="Y", 'Prediction Log'!$U95="Y"), "Y", "N")), "")</f>
      </c>
      <c r="Y95" s="148" t="str">
        <f>IFERROR(IF(ISNUMBER(Table3[[#This Row],[Predicted Spread]]), IF(ISBLANK(Games!AC94), "",IF('Prediction Log'!$D95&gt;0, 'Prediction Log'!$M95-'Prediction Log'!$D95, IF('Prediction Log'!$D95&lt;0, -'Prediction Log'!$M95+'Prediction Log'!$D95, "NA"))), ""), "")</f>
      </c>
      <c r="Z95" s="148" t="str">
        <f>IF(ISNUMBER(Table3[[#This Row],[Difference from Market]]), IF(ISBLANK(Games!AC94), "",ABS('Prediction Log'!$Y95)), "")</f>
      </c>
      <c r="AA95" s="139" t="n">
        <f>IF(ISNUMBER(Table3[[#This Row],[Predicted Spread]]), IF(ISBLANK(Games!AC94), "",IF('Prediction Log'!$E95&gt;0, 'Prediction Log'!$M95-'Prediction Log'!$E95, IF('Prediction Log'!$E95&lt;0, -'Prediction Log'!$M95+'Prediction Log'!$E95, "NA"))), "")</f>
        <v>11.506513364661998</v>
      </c>
      <c r="AB95" s="139" t="n">
        <f>IF(ISNUMBER(Table3[[#This Row],[Difference from Prediction]]), IF(ISBLANK(Games!AD94), "",ABS('Prediction Log'!$AA95)), "")</f>
        <v>11.506513364661998</v>
      </c>
      <c r="AC95" s="164" t="str">
        <f>IF(ISNUMBER(Table3[[#This Row],[Predicted Spread]]), IF(OR(ISBLANK(Games!AC94),Table3[[#This Row],[Market Side Correct]]="",ISBLANK('Prediction Log'!$L95)), "",IF(OR(AND('Prediction Log'!D95&lt;0, 'Prediction Log'!L95='Prediction Log'!B95), AND('Prediction Log'!D95&gt;0, 'Prediction Log'!C95='Prediction Log'!L95)),"Y", IF(ISBLANK(Games!$B$2), "","N"))), "")</f>
      </c>
      <c r="AD95" s="159" t="str">
        <f>'Prediction Log'!$S95</f>
      </c>
    </row>
    <row r="96">
      <c r="A96" s="165" t="n">
        <f>IF(ISBLANK(Games!$B95), "",Games!A95)</f>
        <v>1</v>
      </c>
      <c r="B96" s="165" t="str">
        <f>IF(ISBLANK(Games!$B95), "",Games!B95)</f>
        <v>San Diego State</v>
      </c>
      <c r="C96" s="165" t="str">
        <f>IF(ISBLANK(Games!$B95), "",Games!C95)</f>
        <v>Texas A&amp;M-Commerce</v>
      </c>
      <c r="D96" s="140" t="str">
        <f>IF(ISBLANK(Games!$D95), "",IF(_xlfn.NUMBERVALUE(Games!D95)=0, "",_xlfn.NUMBERVALUE(Games!D95) ))</f>
      </c>
      <c r="E96" s="138" t="n">
        <f>IF(ISBLANK(_xlfn.NUMBERVALUE(Games!$B95)), "",_xlfn.NUMBERVALUE(Games!J95))</f>
        <v>-13.965480915514799</v>
      </c>
      <c r="F96" s="141" t="n">
        <f>IFERROR(IF(ISBLANK(Games!B95), "", IF(Games!N95=Games!B95, Games!O95, 1-Games!O95)), "")</f>
        <v>0.90867952054290624</v>
      </c>
      <c r="G96" s="142" t="str">
        <f>IF(OR(ISBLANK(Games!B95),Table3[[#This Row],[Spread]]=""), "", IF('Prediction Log'!$D96&lt;0, 'Prediction Log'!$B96, 'Prediction Log'!$C96))</f>
      </c>
      <c r="H96" s="143" t="str">
        <f>IF(ISBLANK(Games!$B95), "",Games!K95)</f>
        <v>San Diego State</v>
      </c>
      <c r="I96" s="143" t="str">
        <f>IF('Prediction Log'!$F96&gt;0.5, 'Prediction Log'!$B96, IF('Prediction Log'!$F96&lt;0.5, 'Prediction Log'!$C96, "PICK"))</f>
        <v>San Diego State</v>
      </c>
      <c r="J96" s="144" t="n">
        <f>IF(ISBLANK(Games!B95), "",IF('Prediction Log'!$I96='Prediction Log'!$B96, 'Prediction Log'!$F96, 1-'Prediction Log'!$F96))</f>
        <v>0.90867952054290624</v>
      </c>
      <c r="K96" s="145" t="str">
        <f>IF(ISBLANK(Games!$B95), "",Games!Q95)</f>
        <v>Y</v>
      </c>
      <c r="L96" s="124" t="str">
        <f>IF(ISBLANK(Games!AC95), "",Games!AE95)</f>
        <v>San Diego State</v>
      </c>
      <c r="M96" s="161" t="n">
        <f>IF(ISBLANK(Games!AC95), "",Games!AD95-Games!AC95)</f>
        <v>-31</v>
      </c>
      <c r="N96" s="146" t="str">
        <f>IF(ISNUMBER(Table3[[#This Row],[Predicted Spread]]), IF(OR(ISBLANK(Games!AC95),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96" s="147" t="str">
        <f>IF(ISNUMBER(Table3[[#This Row],[Predicted Spread]]), IF(OR(ISBLANK(Games!AC95),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96" s="147" t="str">
        <f>IF(ISNUMBER(Table3[[#This Row],[Predicted Spread]]), IF(ISBLANK(Games!AC95),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6" s="148" t="str">
        <f>IF(OR(ISBLANK(Games!AC95), Table3[[#This Row],[Spread]]=""),"",IF('Prediction Log'!$L96='Prediction Log'!$G96, "Y", "N"))</f>
      </c>
      <c r="R96" s="148" t="str">
        <f>IF(ISNUMBER(Table3[[#This Row],[Predicted Spread]]), Table3[[#This Row],[Home Team Covered Market]],"")</f>
      </c>
      <c r="S96" s="148" t="str">
        <f>IF(ISNUMBER(Table3[[#This Row],[Predicted Spread]]), IF(OR(Table3[[#This Row],[Market Side Correct]]="",ISBLANK(Games!AC95)), "",IF(AND('Prediction Log'!$Q96="Y", 'Prediction Log'!$R96="Y"), "Y", "N")),"")</f>
      </c>
      <c r="T96" s="149" t="str">
        <f>IF(ISNUMBER(Table3[[#This Row],[Predicted Spread]]), IF(ISBLANK(Games!AC95),"",IF(Games!AE95='Prediction Log'!$H96, "Y", "N")), "")</f>
        <v>Y</v>
      </c>
      <c r="U96" s="149" t="str">
        <f>IF(ISNUMBER(Table3[[#This Row],[Predicted Spread]]), IF(OR(Table3[[#This Row],[Spread]]="",ISBLANK(Games!AC95)), "", IF(Table3[[#This Row],[Home Team Covered Market]]=Games!P95, "Y", "N")),"")</f>
      </c>
      <c r="V96" s="150" t="str">
        <f>IF(ISBLANK(Games!AC95), "",IF('Prediction Log'!$I96='Prediction Log'!$L96, "Y", "N"))</f>
        <v>Y</v>
      </c>
      <c r="W96" s="149" t="str">
        <f>IF(ISNUMBER(Table3[[#This Row],[Predicted Spread]]), IF(OR(Table3[[#This Row],[Model Spread Correct]]="",ISBLANK(Games!AC95)), "",IF('Prediction Log'!$H96&lt;&gt;'Prediction Log'!$L96, "N",IF(AND('Prediction Log'!$E96&gt;0, 'Prediction Log'!$M96&gt;'Prediction Log'!$E96, 'Prediction Log'!$H96='Prediction Log'!$C96), "Y", IF(AND('Prediction Log'!$E96&lt;0, 'Prediction Log'!$M96&lt;'Prediction Log'!$E96,'Prediction Log'!$H96='Prediction Log'!$B96 ), "Y", IF('Prediction Log'!$M96='Prediction Log'!$E96, "PUSH", "N"))))), "")</f>
      </c>
      <c r="X96" s="149" t="str">
        <f>IF(ISNUMBER(Table3[[#This Row],[Predicted Spread]]), IF(OR(Table3[[#This Row],[Model Spread Correct]]="",ISBLANK(Games!AC95)), "",IF(AND('Prediction Log'!$T96="Y", 'Prediction Log'!$U96="Y"), "Y", "N")), "")</f>
      </c>
      <c r="Y96" s="148" t="str">
        <f>IFERROR(IF(ISNUMBER(Table3[[#This Row],[Predicted Spread]]), IF(ISBLANK(Games!AC95), "",IF('Prediction Log'!$D96&gt;0, 'Prediction Log'!$M96-'Prediction Log'!$D96, IF('Prediction Log'!$D96&lt;0, -'Prediction Log'!$M96+'Prediction Log'!$D96, "NA"))), ""), "")</f>
      </c>
      <c r="Z96" s="148" t="str">
        <f>IF(ISNUMBER(Table3[[#This Row],[Difference from Market]]), IF(ISBLANK(Games!AC95), "",ABS('Prediction Log'!$Y96)), "")</f>
      </c>
      <c r="AA96" s="139" t="n">
        <f>IF(ISNUMBER(Table3[[#This Row],[Predicted Spread]]), IF(ISBLANK(Games!AC95), "",IF('Prediction Log'!$E96&gt;0, 'Prediction Log'!$M96-'Prediction Log'!$E96, IF('Prediction Log'!$E96&lt;0, -'Prediction Log'!$M96+'Prediction Log'!$E96, "NA"))), "")</f>
        <v>17.034519084485201</v>
      </c>
      <c r="AB96" s="139" t="n">
        <f>IF(ISNUMBER(Table3[[#This Row],[Difference from Prediction]]), IF(ISBLANK(Games!AD95), "",ABS('Prediction Log'!$AA96)), "")</f>
        <v>17.034519084485201</v>
      </c>
      <c r="AC96" s="164" t="str">
        <f>IF(ISNUMBER(Table3[[#This Row],[Predicted Spread]]), IF(OR(ISBLANK(Games!AC95),Table3[[#This Row],[Market Side Correct]]="",ISBLANK('Prediction Log'!$L96)), "",IF(OR(AND('Prediction Log'!D96&lt;0, 'Prediction Log'!L96='Prediction Log'!B96), AND('Prediction Log'!D96&gt;0, 'Prediction Log'!C96='Prediction Log'!L96)),"Y", IF(ISBLANK(Games!$B$2), "","N"))), "")</f>
      </c>
      <c r="AD96" s="159" t="str">
        <f>'Prediction Log'!$S96</f>
      </c>
    </row>
    <row r="97">
      <c r="A97" s="165" t="n">
        <f>IF(ISBLANK(Games!$B96), "",Games!A96)</f>
        <v>1</v>
      </c>
      <c r="B97" s="165" t="str">
        <f>IF(ISBLANK(Games!$B96), "",Games!B96)</f>
        <v>New Mexico State</v>
      </c>
      <c r="C97" s="165" t="str">
        <f>IF(ISBLANK(Games!$B96), "",Games!C96)</f>
        <v>Southeast Missouri State</v>
      </c>
      <c r="D97" s="140" t="n">
        <f>IF(ISBLANK(Games!$D96), "",IF(_xlfn.NUMBERVALUE(Games!D96)=0, "",_xlfn.NUMBERVALUE(Games!D96) ))</f>
        <v>-9.5</v>
      </c>
      <c r="E97" s="138" t="n">
        <f>IF(ISBLANK(_xlfn.NUMBERVALUE(Games!$B96)), "",_xlfn.NUMBERVALUE(Games!J96))</f>
        <v>-13.031144979498</v>
      </c>
      <c r="F97" s="141" t="n">
        <f>IFERROR(IF(ISBLANK(Games!B96), "", IF(Games!N96=Games!B96, Games!O96, 1-Games!O96)), "")</f>
        <v>0.89689173890414653</v>
      </c>
      <c r="G97" s="142" t="str">
        <f>IF(OR(ISBLANK(Games!B96),Table3[[#This Row],[Spread]]=""), "", IF('Prediction Log'!$D97&lt;0, 'Prediction Log'!$B97, 'Prediction Log'!$C97))</f>
        <v>New Mexico State</v>
      </c>
      <c r="H97" s="143" t="str">
        <f>IF(ISBLANK(Games!$B96), "",Games!K96)</f>
        <v>New Mexico State</v>
      </c>
      <c r="I97" s="143" t="str">
        <f>IF('Prediction Log'!$F97&gt;0.5, 'Prediction Log'!$B97, IF('Prediction Log'!$F97&lt;0.5, 'Prediction Log'!$C97, "PICK"))</f>
        <v>New Mexico State</v>
      </c>
      <c r="J97" s="144" t="n">
        <f>IF(ISBLANK(Games!B96), "",IF('Prediction Log'!$I97='Prediction Log'!$B97, 'Prediction Log'!$F97, 1-'Prediction Log'!$F97))</f>
        <v>0.89689173890414653</v>
      </c>
      <c r="K97" s="145" t="str">
        <f>IF(ISBLANK(Games!$B96), "",Games!Q96)</f>
        <v>Y</v>
      </c>
      <c r="L97" s="124" t="str">
        <f>IF(ISBLANK(Games!AC96), "",Games!AE96)</f>
        <v>New Mexico State</v>
      </c>
      <c r="M97" s="161" t="n">
        <f>IF(ISBLANK(Games!AC96), "",Games!AD96-Games!AC96)</f>
        <v>-7</v>
      </c>
      <c r="N97" s="146" t="str">
        <f>IF(ISNUMBER(Table3[[#This Row],[Predicted Spread]]), IF(OR(ISBLANK(Games!AC96),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97" s="147" t="str">
        <f>IF(ISNUMBER(Table3[[#This Row],[Predicted Spread]]), IF(OR(ISBLANK(Games!AC96),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97" s="147" t="str">
        <f>IF(ISNUMBER(Table3[[#This Row],[Predicted Spread]]), IF(ISBLANK(Games!AC96),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97" s="148" t="str">
        <f>IF(OR(ISBLANK(Games!AC96), Table3[[#This Row],[Spread]]=""),"",IF('Prediction Log'!$L97='Prediction Log'!$G97, "Y", "N"))</f>
        <v>Y</v>
      </c>
      <c r="R97" s="148" t="str">
        <f>IF(ISNUMBER(Table3[[#This Row],[Predicted Spread]]), Table3[[#This Row],[Home Team Covered Market]],"")</f>
        <v>N</v>
      </c>
      <c r="S97" s="148" t="str">
        <f>IF(ISNUMBER(Table3[[#This Row],[Predicted Spread]]), IF(OR(Table3[[#This Row],[Market Side Correct]]="",ISBLANK(Games!AC96)), "",IF(AND('Prediction Log'!$Q97="Y", 'Prediction Log'!$R97="Y"), "Y", "N")),"")</f>
        <v>N</v>
      </c>
      <c r="T97" s="149" t="str">
        <f>IF(ISNUMBER(Table3[[#This Row],[Predicted Spread]]), IF(ISBLANK(Games!AC96),"",IF(Games!AE96='Prediction Log'!$H97, "Y", "N")), "")</f>
        <v>Y</v>
      </c>
      <c r="U97" s="149" t="str">
        <f>IF(ISNUMBER(Table3[[#This Row],[Predicted Spread]]), IF(OR(Table3[[#This Row],[Spread]]="",ISBLANK(Games!AC96)), "", IF(Table3[[#This Row],[Home Team Covered Market]]=Games!P96, "Y", "N")),"")</f>
        <v>N</v>
      </c>
      <c r="V97" s="150" t="str">
        <f>IF(ISBLANK(Games!AC96), "",IF('Prediction Log'!$I97='Prediction Log'!$L97, "Y", "N"))</f>
        <v>Y</v>
      </c>
      <c r="W97" s="149" t="str">
        <f>IF(ISNUMBER(Table3[[#This Row],[Predicted Spread]]), IF(OR(Table3[[#This Row],[Model Spread Correct]]="",ISBLANK(Games!AC96)), "",IF('Prediction Log'!$H97&lt;&gt;'Prediction Log'!$L97, "N",IF(AND('Prediction Log'!$E97&gt;0, 'Prediction Log'!$M97&gt;'Prediction Log'!$E97, 'Prediction Log'!$H97='Prediction Log'!$C97), "Y", IF(AND('Prediction Log'!$E97&lt;0, 'Prediction Log'!$M97&lt;'Prediction Log'!$E97,'Prediction Log'!$H97='Prediction Log'!$B97 ), "Y", IF('Prediction Log'!$M97='Prediction Log'!$E97, "PUSH", "N"))))), "")</f>
        <v>N</v>
      </c>
      <c r="X97" s="149" t="str">
        <f>IF(ISNUMBER(Table3[[#This Row],[Predicted Spread]]), IF(OR(Table3[[#This Row],[Model Spread Correct]]="",ISBLANK(Games!AC96)), "",IF(AND('Prediction Log'!$T97="Y", 'Prediction Log'!$U97="Y"), "Y", "N")), "")</f>
        <v>N</v>
      </c>
      <c r="Y97" s="148" t="n">
        <f>IFERROR(IF(ISNUMBER(Table3[[#This Row],[Predicted Spread]]), IF(ISBLANK(Games!AC96), "",IF('Prediction Log'!$D97&gt;0, 'Prediction Log'!$M97-'Prediction Log'!$D97, IF('Prediction Log'!$D97&lt;0, -'Prediction Log'!$M97+'Prediction Log'!$D97, "NA"))), ""), "")</f>
        <v>-2.5</v>
      </c>
      <c r="Z97" s="148" t="n">
        <f>IF(ISNUMBER(Table3[[#This Row],[Difference from Market]]), IF(ISBLANK(Games!AC96), "",ABS('Prediction Log'!$Y97)), "")</f>
        <v>2.5</v>
      </c>
      <c r="AA97" s="139" t="n">
        <f>IF(ISNUMBER(Table3[[#This Row],[Predicted Spread]]), IF(ISBLANK(Games!AC96), "",IF('Prediction Log'!$E97&gt;0, 'Prediction Log'!$M97-'Prediction Log'!$E97, IF('Prediction Log'!$E97&lt;0, -'Prediction Log'!$M97+'Prediction Log'!$E97, "NA"))), "")</f>
        <v>-6.0311449794980003</v>
      </c>
      <c r="AB97" s="139" t="n">
        <f>IF(ISNUMBER(Table3[[#This Row],[Difference from Prediction]]), IF(ISBLANK(Games!AD96), "",ABS('Prediction Log'!$AA97)), "")</f>
        <v>6.0311449794980003</v>
      </c>
      <c r="AC97" s="164" t="str">
        <f>IF(ISNUMBER(Table3[[#This Row],[Predicted Spread]]), IF(OR(ISBLANK(Games!AC96),Table3[[#This Row],[Market Side Correct]]="",ISBLANK('Prediction Log'!$L97)), "",IF(OR(AND('Prediction Log'!D97&lt;0, 'Prediction Log'!L97='Prediction Log'!B97), AND('Prediction Log'!D97&gt;0, 'Prediction Log'!C97='Prediction Log'!L97)),"Y", IF(ISBLANK(Games!$B$2), "","N"))), "")</f>
        <v>Y</v>
      </c>
      <c r="AD97" s="159" t="str">
        <f>'Prediction Log'!$S97</f>
        <v>N</v>
      </c>
    </row>
    <row r="98">
      <c r="A98" s="165" t="n">
        <f>IF(ISBLANK(Games!$B97), "",Games!A97)</f>
        <v>1</v>
      </c>
      <c r="B98" s="165" t="str">
        <f>IF(ISBLANK(Games!$B97), "",Games!B97)</f>
        <v>Arizona State</v>
      </c>
      <c r="C98" s="165" t="str">
        <f>IF(ISBLANK(Games!$B97), "",Games!C97)</f>
        <v>Wyoming</v>
      </c>
      <c r="D98" s="140" t="n">
        <f>IF(ISBLANK(Games!$D97), "",IF(_xlfn.NUMBERVALUE(Games!D97)=0, "",_xlfn.NUMBERVALUE(Games!D97) ))</f>
        <v>7</v>
      </c>
      <c r="E98" s="138" t="n">
        <f>IF(ISBLANK(_xlfn.NUMBERVALUE(Games!$B97)), "",_xlfn.NUMBERVALUE(Games!J97))</f>
        <v>10.7</v>
      </c>
      <c r="F98" s="141" t="n">
        <f>IFERROR(IF(ISBLANK(Games!B97), "", IF(Games!N97=Games!B97, Games!O97, 1-Games!O97)), "")</f>
        <v>0.47143024020307978</v>
      </c>
      <c r="G98" s="142" t="str">
        <f>IF(OR(ISBLANK(Games!B97),Table3[[#This Row],[Spread]]=""), "", IF('Prediction Log'!$D98&lt;0, 'Prediction Log'!$B98, 'Prediction Log'!$C98))</f>
        <v>Wyoming</v>
      </c>
      <c r="H98" s="143" t="str">
        <f>IF(ISBLANK(Games!$B97), "",Games!K97)</f>
        <v>Wyoming</v>
      </c>
      <c r="I98" s="143" t="str">
        <f>IF('Prediction Log'!$F98&gt;0.5, 'Prediction Log'!$B98, IF('Prediction Log'!$F98&lt;0.5, 'Prediction Log'!$C98, "PICK"))</f>
        <v>Wyoming</v>
      </c>
      <c r="J98" s="144" t="n">
        <f>IF(ISBLANK(Games!B97), "",IF('Prediction Log'!$I98='Prediction Log'!$B98, 'Prediction Log'!$F98, 1-'Prediction Log'!$F98))</f>
        <v>0.52856975979692022</v>
      </c>
      <c r="K98" s="145" t="str">
        <f>IF(ISBLANK(Games!$B97), "",Games!Q97)</f>
        <v>N</v>
      </c>
      <c r="L98" s="124" t="str">
        <f>IF(ISBLANK(Games!AC97), "",Games!AE97)</f>
        <v>Arizona State</v>
      </c>
      <c r="M98" s="161" t="n">
        <f>IF(ISBLANK(Games!AC97), "",Games!AD97-Games!AC97)</f>
        <v>-41</v>
      </c>
      <c r="N98" s="146" t="str">
        <f>IF(ISNUMBER(Table3[[#This Row],[Predicted Spread]]), IF(OR(ISBLANK(Games!AC97),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98" s="147" t="str">
        <f>IF(ISNUMBER(Table3[[#This Row],[Predicted Spread]]), IF(OR(ISBLANK(Games!AC97),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98" s="147" t="str">
        <f>IF(ISNUMBER(Table3[[#This Row],[Predicted Spread]]), IF(ISBLANK(Games!AC97),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98" s="148" t="str">
        <f>IF(OR(ISBLANK(Games!AC97), Table3[[#This Row],[Spread]]=""),"",IF('Prediction Log'!$L98='Prediction Log'!$G98, "Y", "N"))</f>
        <v>N</v>
      </c>
      <c r="R98" s="148" t="str">
        <f>IF(ISNUMBER(Table3[[#This Row],[Predicted Spread]]), Table3[[#This Row],[Home Team Covered Market]],"")</f>
        <v>Y</v>
      </c>
      <c r="S98" s="148" t="str">
        <f>IF(ISNUMBER(Table3[[#This Row],[Predicted Spread]]), IF(OR(Table3[[#This Row],[Market Side Correct]]="",ISBLANK(Games!AC97)), "",IF(AND('Prediction Log'!$Q98="Y", 'Prediction Log'!$R98="Y"), "Y", "N")),"")</f>
        <v>N</v>
      </c>
      <c r="T98" s="149" t="str">
        <f>IF(ISNUMBER(Table3[[#This Row],[Predicted Spread]]), IF(ISBLANK(Games!AC97),"",IF(Games!AE97='Prediction Log'!$H98, "Y", "N")), "")</f>
        <v>N</v>
      </c>
      <c r="U98" s="149" t="str">
        <f>IF(ISNUMBER(Table3[[#This Row],[Predicted Spread]]), IF(OR(Table3[[#This Row],[Spread]]="",ISBLANK(Games!AC97)), "", IF(Table3[[#This Row],[Home Team Covered Market]]=Games!P97, "Y", "N")),"")</f>
        <v>N</v>
      </c>
      <c r="V98" s="150" t="str">
        <f>IF(ISBLANK(Games!AC97), "",IF('Prediction Log'!$I98='Prediction Log'!$L98, "Y", "N"))</f>
        <v>N</v>
      </c>
      <c r="W98" s="149" t="str">
        <f>IF(ISNUMBER(Table3[[#This Row],[Predicted Spread]]), IF(OR(Table3[[#This Row],[Model Spread Correct]]="",ISBLANK(Games!AC97)), "",IF('Prediction Log'!$H98&lt;&gt;'Prediction Log'!$L98, "N",IF(AND('Prediction Log'!$E98&gt;0, 'Prediction Log'!$M98&gt;'Prediction Log'!$E98, 'Prediction Log'!$H98='Prediction Log'!$C98), "Y", IF(AND('Prediction Log'!$E98&lt;0, 'Prediction Log'!$M98&lt;'Prediction Log'!$E98,'Prediction Log'!$H98='Prediction Log'!$B98 ), "Y", IF('Prediction Log'!$M98='Prediction Log'!$E98, "PUSH", "N"))))), "")</f>
        <v>N</v>
      </c>
      <c r="X98" s="149" t="str">
        <f>IF(ISNUMBER(Table3[[#This Row],[Predicted Spread]]), IF(OR(Table3[[#This Row],[Model Spread Correct]]="",ISBLANK(Games!AC97)), "",IF(AND('Prediction Log'!$T98="Y", 'Prediction Log'!$U98="Y"), "Y", "N")), "")</f>
        <v>N</v>
      </c>
      <c r="Y98" s="148" t="n">
        <f>IFERROR(IF(ISNUMBER(Table3[[#This Row],[Predicted Spread]]), IF(ISBLANK(Games!AC97), "",IF('Prediction Log'!$D98&gt;0, 'Prediction Log'!$M98-'Prediction Log'!$D98, IF('Prediction Log'!$D98&lt;0, -'Prediction Log'!$M98+'Prediction Log'!$D98, "NA"))), ""), "")</f>
        <v>-48</v>
      </c>
      <c r="Z98" s="148" t="n">
        <f>IF(ISNUMBER(Table3[[#This Row],[Difference from Market]]), IF(ISBLANK(Games!AC97), "",ABS('Prediction Log'!$Y98)), "")</f>
        <v>48</v>
      </c>
      <c r="AA98" s="139" t="n">
        <f>IF(ISNUMBER(Table3[[#This Row],[Predicted Spread]]), IF(ISBLANK(Games!AC97), "",IF('Prediction Log'!$E98&gt;0, 'Prediction Log'!$M98-'Prediction Log'!$E98, IF('Prediction Log'!$E98&lt;0, -'Prediction Log'!$M98+'Prediction Log'!$E98, "NA"))), "")</f>
        <v>-51.7</v>
      </c>
      <c r="AB98" s="139" t="n">
        <f>IF(ISNUMBER(Table3[[#This Row],[Difference from Prediction]]), IF(ISBLANK(Games!AD97), "",ABS('Prediction Log'!$AA98)), "")</f>
        <v>51.7</v>
      </c>
      <c r="AC98" s="164" t="str">
        <f>IF(ISNUMBER(Table3[[#This Row],[Predicted Spread]]), IF(OR(ISBLANK(Games!AC97),Table3[[#This Row],[Market Side Correct]]="",ISBLANK('Prediction Log'!$L98)), "",IF(OR(AND('Prediction Log'!D98&lt;0, 'Prediction Log'!L98='Prediction Log'!B98), AND('Prediction Log'!D98&gt;0, 'Prediction Log'!C98='Prediction Log'!L98)),"Y", IF(ISBLANK(Games!$B$2), "","N"))), "")</f>
        <v>N</v>
      </c>
      <c r="AD98" s="159" t="str">
        <f>'Prediction Log'!$S98</f>
        <v>N</v>
      </c>
    </row>
    <row r="99">
      <c r="A99" s="165" t="n">
        <f>IF(ISBLANK(Games!$B98), "",Games!A98)</f>
        <v>1</v>
      </c>
      <c r="B99" s="165" t="str">
        <f>IF(ISBLANK(Games!$B98), "",Games!B98)</f>
        <v>Arizona</v>
      </c>
      <c r="C99" s="165" t="str">
        <f>IF(ISBLANK(Games!$B98), "",Games!C98)</f>
        <v>New Mexico</v>
      </c>
      <c r="D99" s="140" t="n">
        <f>IF(ISBLANK(Games!$D98), "",IF(_xlfn.NUMBERVALUE(Games!D98)=0, "",_xlfn.NUMBERVALUE(Games!D98) ))</f>
        <v>-30.5</v>
      </c>
      <c r="E99" s="138" t="n">
        <f>IF(ISBLANK(_xlfn.NUMBERVALUE(Games!$B98)), "",_xlfn.NUMBERVALUE(Games!J98))</f>
        <v>-23.156320677089099</v>
      </c>
      <c r="F99" s="141" t="n">
        <f>IFERROR(IF(ISBLANK(Games!B98), "", IF(Games!N98=Games!B98, Games!O98, 1-Games!O98)), "")</f>
        <v>0.97392317819215035</v>
      </c>
      <c r="G99" s="142" t="str">
        <f>IF(OR(ISBLANK(Games!B98),Table3[[#This Row],[Spread]]=""), "", IF('Prediction Log'!$D99&lt;0, 'Prediction Log'!$B99, 'Prediction Log'!$C99))</f>
        <v>Arizona</v>
      </c>
      <c r="H99" s="143" t="str">
        <f>IF(ISBLANK(Games!$B98), "",Games!K98)</f>
        <v>Arizona</v>
      </c>
      <c r="I99" s="143" t="str">
        <f>IF('Prediction Log'!$F99&gt;0.5, 'Prediction Log'!$B99, IF('Prediction Log'!$F99&lt;0.5, 'Prediction Log'!$C99, "PICK"))</f>
        <v>Arizona</v>
      </c>
      <c r="J99" s="144" t="n">
        <f>IF(ISBLANK(Games!B98), "",IF('Prediction Log'!$I99='Prediction Log'!$B99, 'Prediction Log'!$F99, 1-'Prediction Log'!$F99))</f>
        <v>0.97392317819215035</v>
      </c>
      <c r="K99" s="145" t="str">
        <f>IF(ISBLANK(Games!$B98), "",Games!Q98)</f>
        <v>Y</v>
      </c>
      <c r="L99" s="124" t="str">
        <f>IF(ISBLANK(Games!AC98), "",Games!AE98)</f>
        <v>Arizona</v>
      </c>
      <c r="M99" s="161" t="n">
        <f>IF(ISBLANK(Games!AC98), "",Games!AD98-Games!AC98)</f>
        <v>-22</v>
      </c>
      <c r="N99" s="146" t="str">
        <f>IF(ISNUMBER(Table3[[#This Row],[Predicted Spread]]), IF(OR(ISBLANK(Games!AC98),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N</v>
      </c>
      <c r="O99" s="147" t="str">
        <f>IF(ISNUMBER(Table3[[#This Row],[Predicted Spread]]), IF(OR(ISBLANK(Games!AC98),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N</v>
      </c>
      <c r="P99" s="147" t="str">
        <f>IF(ISNUMBER(Table3[[#This Row],[Predicted Spread]]), IF(ISBLANK(Games!AC98),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N</v>
      </c>
      <c r="Q99" s="148" t="str">
        <f>IF(OR(ISBLANK(Games!AC98), Table3[[#This Row],[Spread]]=""),"",IF('Prediction Log'!$L99='Prediction Log'!$G99, "Y", "N"))</f>
        <v>Y</v>
      </c>
      <c r="R99" s="148" t="str">
        <f>IF(ISNUMBER(Table3[[#This Row],[Predicted Spread]]), Table3[[#This Row],[Home Team Covered Market]],"")</f>
        <v>N</v>
      </c>
      <c r="S99" s="148" t="str">
        <f>IF(ISNUMBER(Table3[[#This Row],[Predicted Spread]]), IF(OR(Table3[[#This Row],[Market Side Correct]]="",ISBLANK(Games!AC98)), "",IF(AND('Prediction Log'!$Q99="Y", 'Prediction Log'!$R99="Y"), "Y", "N")),"")</f>
        <v>N</v>
      </c>
      <c r="T99" s="149" t="str">
        <f>IF(ISNUMBER(Table3[[#This Row],[Predicted Spread]]), IF(ISBLANK(Games!AC98),"",IF(Games!AE98='Prediction Log'!$H99, "Y", "N")), "")</f>
        <v>Y</v>
      </c>
      <c r="U99" s="149" t="str">
        <f>IF(ISNUMBER(Table3[[#This Row],[Predicted Spread]]), IF(OR(Table3[[#This Row],[Spread]]="",ISBLANK(Games!AC98)), "", IF(Table3[[#This Row],[Home Team Covered Market]]=Games!P98, "Y", "N")),"")</f>
        <v>N</v>
      </c>
      <c r="V99" s="150" t="str">
        <f>IF(ISBLANK(Games!AC98), "",IF('Prediction Log'!$I99='Prediction Log'!$L99, "Y", "N"))</f>
        <v>Y</v>
      </c>
      <c r="W99" s="149" t="str">
        <f>IF(ISNUMBER(Table3[[#This Row],[Predicted Spread]]), IF(OR(Table3[[#This Row],[Model Spread Correct]]="",ISBLANK(Games!AC98)), "",IF('Prediction Log'!$H99&lt;&gt;'Prediction Log'!$L99, "N",IF(AND('Prediction Log'!$E99&gt;0, 'Prediction Log'!$M99&gt;'Prediction Log'!$E99, 'Prediction Log'!$H99='Prediction Log'!$C99), "Y", IF(AND('Prediction Log'!$E99&lt;0, 'Prediction Log'!$M99&lt;'Prediction Log'!$E99,'Prediction Log'!$H99='Prediction Log'!$B99 ), "Y", IF('Prediction Log'!$M99='Prediction Log'!$E99, "PUSH", "N"))))), "")</f>
        <v>N</v>
      </c>
      <c r="X99" s="149" t="str">
        <f>IF(ISNUMBER(Table3[[#This Row],[Predicted Spread]]), IF(OR(Table3[[#This Row],[Model Spread Correct]]="",ISBLANK(Games!AC98)), "",IF(AND('Prediction Log'!$T99="Y", 'Prediction Log'!$U99="Y"), "Y", "N")), "")</f>
        <v>N</v>
      </c>
      <c r="Y99" s="148" t="n">
        <f>IFERROR(IF(ISNUMBER(Table3[[#This Row],[Predicted Spread]]), IF(ISBLANK(Games!AC98), "",IF('Prediction Log'!$D99&gt;0, 'Prediction Log'!$M99-'Prediction Log'!$D99, IF('Prediction Log'!$D99&lt;0, -'Prediction Log'!$M99+'Prediction Log'!$D99, "NA"))), ""), "")</f>
        <v>-8.5</v>
      </c>
      <c r="Z99" s="148" t="n">
        <f>IF(ISNUMBER(Table3[[#This Row],[Difference from Market]]), IF(ISBLANK(Games!AC98), "",ABS('Prediction Log'!$Y99)), "")</f>
        <v>8.5</v>
      </c>
      <c r="AA99" s="139" t="n">
        <f>IF(ISNUMBER(Table3[[#This Row],[Predicted Spread]]), IF(ISBLANK(Games!AC98), "",IF('Prediction Log'!$E99&gt;0, 'Prediction Log'!$M99-'Prediction Log'!$E99, IF('Prediction Log'!$E99&lt;0, -'Prediction Log'!$M99+'Prediction Log'!$E99, "NA"))), "")</f>
        <v>-1.1563206770890986</v>
      </c>
      <c r="AB99" s="139" t="n">
        <f>IF(ISNUMBER(Table3[[#This Row],[Difference from Prediction]]), IF(ISBLANK(Games!AD98), "",ABS('Prediction Log'!$AA99)), "")</f>
        <v>1.1563206770890986</v>
      </c>
      <c r="AC99" s="164" t="str">
        <f>IF(ISNUMBER(Table3[[#This Row],[Predicted Spread]]), IF(OR(ISBLANK(Games!AC98),Table3[[#This Row],[Market Side Correct]]="",ISBLANK('Prediction Log'!$L99)), "",IF(OR(AND('Prediction Log'!D99&lt;0, 'Prediction Log'!L99='Prediction Log'!B99), AND('Prediction Log'!D99&gt;0, 'Prediction Log'!C99='Prediction Log'!L99)),"Y", IF(ISBLANK(Games!$B$2), "","N"))), "")</f>
        <v>Y</v>
      </c>
      <c r="AD99" s="159" t="str">
        <f>'Prediction Log'!$S99</f>
        <v>N</v>
      </c>
    </row>
    <row r="100">
      <c r="A100" s="165" t="n">
        <f>IF(ISBLANK(Games!$B99), "",Games!A99)</f>
        <v>1</v>
      </c>
      <c r="B100" s="165" t="str">
        <f>IF(ISBLANK(Games!$B99), "",Games!B99)</f>
        <v>Washington</v>
      </c>
      <c r="C100" s="165" t="str">
        <f>IF(ISBLANK(Games!$B99), "",Games!C99)</f>
        <v>Weber State</v>
      </c>
      <c r="D100" s="140" t="n">
        <f>IF(ISBLANK(Games!$D99), "",IF(_xlfn.NUMBERVALUE(Games!D99)=0, "",_xlfn.NUMBERVALUE(Games!D99) ))</f>
        <v>-29</v>
      </c>
      <c r="E100" s="138" t="n">
        <f>IF(ISBLANK(_xlfn.NUMBERVALUE(Games!$B99)), "",_xlfn.NUMBERVALUE(Games!J99))</f>
        <v>-27.720043961184</v>
      </c>
      <c r="F100" s="141" t="n">
        <f>IFERROR(IF(ISBLANK(Games!B99), "", IF(Games!N99=Games!B99, Games!O99, 1-Games!O99)), "")</f>
        <v>0.98630666539638789</v>
      </c>
      <c r="G100" s="142" t="str">
        <f>IF(OR(ISBLANK(Games!B99),Table3[[#This Row],[Spread]]=""), "", IF('Prediction Log'!$D100&lt;0, 'Prediction Log'!$B100, 'Prediction Log'!$C100))</f>
        <v>Washington</v>
      </c>
      <c r="H100" s="143" t="str">
        <f>IF(ISBLANK(Games!$B99), "",Games!K99)</f>
        <v>Washington</v>
      </c>
      <c r="I100" s="143" t="str">
        <f>IF('Prediction Log'!$F100&gt;0.5, 'Prediction Log'!$B100, IF('Prediction Log'!$F100&lt;0.5, 'Prediction Log'!$C100, "PICK"))</f>
        <v>Washington</v>
      </c>
      <c r="J100" s="144" t="n">
        <f>IF(ISBLANK(Games!B99), "",IF('Prediction Log'!$I100='Prediction Log'!$B100, 'Prediction Log'!$F100, 1-'Prediction Log'!$F100))</f>
        <v>0.98630666539638789</v>
      </c>
      <c r="K100" s="145" t="str">
        <f>IF(ISBLANK(Games!$B99), "",Games!Q99)</f>
        <v>N</v>
      </c>
      <c r="L100" s="124" t="str">
        <f>IF(ISBLANK(Games!AC99), "",Games!AE99)</f>
        <v>Washington</v>
      </c>
      <c r="M100" s="161" t="n">
        <f>IF(ISBLANK(Games!AC99), "",Games!AD99-Games!AC99)</f>
        <v>-32</v>
      </c>
      <c r="N100" s="146" t="str">
        <f>IF(ISNUMBER(Table3[[#This Row],[Predicted Spread]]), IF(OR(ISBLANK(Games!AC99),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  <v>Y</v>
      </c>
      <c r="O100" s="147" t="str">
        <f>IF(ISNUMBER(Table3[[#This Row],[Predicted Spread]]), IF(OR(ISBLANK(Games!AC99),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  <v>Y</v>
      </c>
      <c r="P100" s="147" t="str">
        <f>IF(ISNUMBER(Table3[[#This Row],[Predicted Spread]]), IF(ISBLANK(Games!AC99),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  <v>Y</v>
      </c>
      <c r="Q100" s="148" t="str">
        <f>IF(OR(ISBLANK(Games!AC99), Table3[[#This Row],[Spread]]=""),"",IF('Prediction Log'!$L100='Prediction Log'!$G100, "Y", "N"))</f>
        <v>Y</v>
      </c>
      <c r="R100" s="148" t="str">
        <f>IF(ISNUMBER(Table3[[#This Row],[Predicted Spread]]), Table3[[#This Row],[Home Team Covered Market]],"")</f>
        <v>Y</v>
      </c>
      <c r="S100" s="148" t="str">
        <f>IF(ISNUMBER(Table3[[#This Row],[Predicted Spread]]), IF(OR(Table3[[#This Row],[Market Side Correct]]="",ISBLANK(Games!AC99)), "",IF(AND('Prediction Log'!$Q100="Y", 'Prediction Log'!$R100="Y"), "Y", "N")),"")</f>
        <v>Y</v>
      </c>
      <c r="T100" s="149" t="str">
        <f>IF(ISNUMBER(Table3[[#This Row],[Predicted Spread]]), IF(ISBLANK(Games!AC99),"",IF(Games!AE99='Prediction Log'!$H100, "Y", "N")), "")</f>
        <v>Y</v>
      </c>
      <c r="U100" s="149" t="str">
        <f>IF(ISNUMBER(Table3[[#This Row],[Predicted Spread]]), IF(OR(Table3[[#This Row],[Spread]]="",ISBLANK(Games!AC99)), "", IF(Table3[[#This Row],[Home Team Covered Market]]=Games!P99, "Y", "N")),"")</f>
        <v>N</v>
      </c>
      <c r="V100" s="150" t="str">
        <f>IF(ISBLANK(Games!AC99), "",IF('Prediction Log'!$I100='Prediction Log'!$L100, "Y", "N"))</f>
        <v>Y</v>
      </c>
      <c r="W100" s="149" t="str">
        <f>IF(ISNUMBER(Table3[[#This Row],[Predicted Spread]]), IF(OR(Table3[[#This Row],[Model Spread Correct]]="",ISBLANK(Games!AC99)), "",IF('Prediction Log'!$H100&lt;&gt;'Prediction Log'!$L100, "N",IF(AND('Prediction Log'!$E100&gt;0, 'Prediction Log'!$M100&gt;'Prediction Log'!$E100, 'Prediction Log'!$H100='Prediction Log'!$C100), "Y", IF(AND('Prediction Log'!$E100&lt;0, 'Prediction Log'!$M100&lt;'Prediction Log'!$E100,'Prediction Log'!$H100='Prediction Log'!$B100 ), "Y", IF('Prediction Log'!$M100='Prediction Log'!$E100, "PUSH", "N"))))), "")</f>
        <v>Y</v>
      </c>
      <c r="X100" s="149" t="str">
        <f>IF(ISNUMBER(Table3[[#This Row],[Predicted Spread]]), IF(OR(Table3[[#This Row],[Model Spread Correct]]="",ISBLANK(Games!AC99)), "",IF(AND('Prediction Log'!$T100="Y", 'Prediction Log'!$U100="Y"), "Y", "N")), "")</f>
        <v>N</v>
      </c>
      <c r="Y100" s="148" t="n">
        <f>IFERROR(IF(ISNUMBER(Table3[[#This Row],[Predicted Spread]]), IF(ISBLANK(Games!AC99), "",IF('Prediction Log'!$D100&gt;0, 'Prediction Log'!$M100-'Prediction Log'!$D100, IF('Prediction Log'!$D100&lt;0, -'Prediction Log'!$M100+'Prediction Log'!$D100, "NA"))), ""), "")</f>
        <v>3</v>
      </c>
      <c r="Z100" s="148" t="n">
        <f>IF(ISNUMBER(Table3[[#This Row],[Difference from Market]]), IF(ISBLANK(Games!AC99), "",ABS('Prediction Log'!$Y100)), "")</f>
        <v>3</v>
      </c>
      <c r="AA100" s="139" t="n">
        <f>IF(ISNUMBER(Table3[[#This Row],[Predicted Spread]]), IF(ISBLANK(Games!AC99), "",IF('Prediction Log'!$E100&gt;0, 'Prediction Log'!$M100-'Prediction Log'!$E100, IF('Prediction Log'!$E100&lt;0, -'Prediction Log'!$M100+'Prediction Log'!$E100, "NA"))), "")</f>
        <v>4.2799560388159996</v>
      </c>
      <c r="AB100" s="139" t="n">
        <f>IF(ISNUMBER(Table3[[#This Row],[Difference from Prediction]]), IF(ISBLANK(Games!AD99), "",ABS('Prediction Log'!$AA100)), "")</f>
        <v>4.2799560388159996</v>
      </c>
      <c r="AC100" s="164" t="str">
        <f>IF(ISNUMBER(Table3[[#This Row],[Predicted Spread]]), IF(OR(ISBLANK(Games!AC99),Table3[[#This Row],[Market Side Correct]]="",ISBLANK('Prediction Log'!$L100)), "",IF(OR(AND('Prediction Log'!D100&lt;0, 'Prediction Log'!L100='Prediction Log'!B100), AND('Prediction Log'!D100&gt;0, 'Prediction Log'!C100='Prediction Log'!L100)),"Y", IF(ISBLANK(Games!$B$2), "","N"))), "")</f>
        <v>Y</v>
      </c>
      <c r="AD100" s="159" t="str">
        <f>'Prediction Log'!$S100</f>
        <v>Y</v>
      </c>
    </row>
    <row r="101">
      <c r="A101" s="165" t="n">
        <f>IF(ISBLANK(Games!$B100), "",Games!A100)</f>
        <v>1</v>
      </c>
      <c r="B101" s="165" t="str">
        <f>IF(ISBLANK(Games!$B100), "",Games!B100)</f>
        <v>LSU</v>
      </c>
      <c r="C101" s="165" t="str">
        <f>IF(ISBLANK(Games!$B100), "",Games!C100)</f>
        <v>USC</v>
      </c>
      <c r="D101" s="140" t="n">
        <f>IF(ISBLANK(Games!$D100), "",IF(_xlfn.NUMBERVALUE(Games!D100)=0, "",_xlfn.NUMBERVALUE(Games!D100) ))</f>
        <v>4</v>
      </c>
      <c r="E101" s="138" t="n">
        <f>IF(ISBLANK(_xlfn.NUMBERVALUE(Games!$B100)), "",_xlfn.NUMBERVALUE(Games!J100))</f>
        <v>-15.4</v>
      </c>
      <c r="F101" s="141" t="n">
        <f>IFERROR(IF(ISBLANK(Games!B100), "", IF(Games!N100=Games!B100, Games!O100, 1-Games!O100)), "")</f>
        <v>0.71587572891310769</v>
      </c>
      <c r="G101" s="142" t="str">
        <f>IF(OR(ISBLANK(Games!B100),Table3[[#This Row],[Spread]]=""), "", IF('Prediction Log'!$D101&lt;0, 'Prediction Log'!$B101, 'Prediction Log'!$C101))</f>
        <v>USC</v>
      </c>
      <c r="H101" s="143" t="str">
        <f>IF(ISBLANK(Games!$B100), "",Games!K100)</f>
        <v>LSU</v>
      </c>
      <c r="I101" s="143" t="str">
        <f>IF('Prediction Log'!$F101&gt;0.5, 'Prediction Log'!$B101, IF('Prediction Log'!$F101&lt;0.5, 'Prediction Log'!$C101, "PICK"))</f>
        <v>LSU</v>
      </c>
      <c r="J101" s="144" t="n">
        <f>IF(ISBLANK(Games!B100), "",IF('Prediction Log'!$I101='Prediction Log'!$B101, 'Prediction Log'!$F101, 1-'Prediction Log'!$F101))</f>
        <v>0.71587572891310769</v>
      </c>
      <c r="K101" s="145" t="str">
        <f>IF(ISBLANK(Games!$B100), "",Games!Q100)</f>
        <v>Y</v>
      </c>
      <c r="L101" s="124" t="str">
        <f>IF(ISBLANK(Games!AC100), "",Games!AE100)</f>
      </c>
      <c r="M101" s="161" t="str">
        <f>IF(ISBLANK(Games!AC100), "",Games!AD100-Games!AC100)</f>
      </c>
      <c r="N101" s="146" t="str">
        <f>IF(ISNUMBER(Table3[[#This Row],[Predicted Spread]]), IF(OR(ISBLANK(Games!AC100),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01" s="147" t="str">
        <f>IF(ISNUMBER(Table3[[#This Row],[Predicted Spread]]), IF(OR(ISBLANK(Games!AC100),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01" s="147" t="str">
        <f>IF(ISNUMBER(Table3[[#This Row],[Predicted Spread]]), IF(ISBLANK(Games!AC100),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</c>
      <c r="Q101" s="148" t="str">
        <f>IF(OR(ISBLANK(Games!AC100), Table3[[#This Row],[Spread]]=""),"",IF('Prediction Log'!$L101='Prediction Log'!$G101, "Y", "N"))</f>
      </c>
      <c r="R101" s="148" t="str">
        <f>IF(ISNUMBER(Table3[[#This Row],[Predicted Spread]]), Table3[[#This Row],[Home Team Covered Market]],"")</f>
      </c>
      <c r="S101" s="148" t="str">
        <f>IF(ISNUMBER(Table3[[#This Row],[Predicted Spread]]), IF(OR(Table3[[#This Row],[Market Side Correct]]="",ISBLANK(Games!AC100)), "",IF(AND('Prediction Log'!$Q101="Y", 'Prediction Log'!$R101="Y"), "Y", "N")),"")</f>
      </c>
      <c r="T101" s="149" t="str">
        <f>IF(ISNUMBER(Table3[[#This Row],[Predicted Spread]]), IF(ISBLANK(Games!AC100),"",IF(Games!AE100='Prediction Log'!$H101, "Y", "N")), "")</f>
      </c>
      <c r="U101" s="149" t="str">
        <f>IF(ISNUMBER(Table3[[#This Row],[Predicted Spread]]), IF(OR(Table3[[#This Row],[Spread]]="",ISBLANK(Games!AC100)), "", IF(Table3[[#This Row],[Home Team Covered Market]]=Games!P100, "Y", "N")),"")</f>
      </c>
      <c r="V101" s="150" t="str">
        <f>IF(ISBLANK(Games!AC100), "",IF('Prediction Log'!$I101='Prediction Log'!$L101, "Y", "N"))</f>
      </c>
      <c r="W101" s="149" t="str">
        <f>IF(ISNUMBER(Table3[[#This Row],[Predicted Spread]]), IF(OR(Table3[[#This Row],[Model Spread Correct]]="",ISBLANK(Games!AC100)), "",IF('Prediction Log'!$H101&lt;&gt;'Prediction Log'!$L101, "N",IF(AND('Prediction Log'!$E101&gt;0, 'Prediction Log'!$M101&gt;'Prediction Log'!$E101, 'Prediction Log'!$H101='Prediction Log'!$C101), "Y", IF(AND('Prediction Log'!$E101&lt;0, 'Prediction Log'!$M101&lt;'Prediction Log'!$E101,'Prediction Log'!$H101='Prediction Log'!$B101 ), "Y", IF('Prediction Log'!$M101='Prediction Log'!$E101, "PUSH", "N"))))), "")</f>
      </c>
      <c r="X101" s="149" t="str">
        <f>IF(ISNUMBER(Table3[[#This Row],[Predicted Spread]]), IF(OR(Table3[[#This Row],[Model Spread Correct]]="",ISBLANK(Games!AC100)), "",IF(AND('Prediction Log'!$T101="Y", 'Prediction Log'!$U101="Y"), "Y", "N")), "")</f>
      </c>
      <c r="Y101" s="148" t="str">
        <f>IFERROR(IF(ISNUMBER(Table3[[#This Row],[Predicted Spread]]), IF(ISBLANK(Games!AC100), "",IF('Prediction Log'!$D101&gt;0, 'Prediction Log'!$M101-'Prediction Log'!$D101, IF('Prediction Log'!$D101&lt;0, -'Prediction Log'!$M101+'Prediction Log'!$D101, "NA"))), ""), "")</f>
      </c>
      <c r="Z101" s="148" t="str">
        <f>IF(ISNUMBER(Table3[[#This Row],[Difference from Market]]), IF(ISBLANK(Games!AC100), "",ABS('Prediction Log'!$Y101)), "")</f>
      </c>
      <c r="AA101" s="139" t="str">
        <f>IF(ISNUMBER(Table3[[#This Row],[Predicted Spread]]), IF(ISBLANK(Games!AC100), "",IF('Prediction Log'!$E101&gt;0, 'Prediction Log'!$M101-'Prediction Log'!$E101, IF('Prediction Log'!$E101&lt;0, -'Prediction Log'!$M101+'Prediction Log'!$E101, "NA"))), "")</f>
      </c>
      <c r="AB101" s="139" t="str">
        <f>IF(ISNUMBER(Table3[[#This Row],[Difference from Prediction]]), IF(ISBLANK(Games!AD100), "",ABS('Prediction Log'!$AA101)), "")</f>
      </c>
      <c r="AC101" s="164" t="str">
        <f>IF(ISNUMBER(Table3[[#This Row],[Predicted Spread]]), IF(OR(ISBLANK(Games!AC100),Table3[[#This Row],[Market Side Correct]]="",ISBLANK('Prediction Log'!$L101)), "",IF(OR(AND('Prediction Log'!D101&lt;0, 'Prediction Log'!L101='Prediction Log'!B101), AND('Prediction Log'!D101&gt;0, 'Prediction Log'!C101='Prediction Log'!L101)),"Y", IF(ISBLANK(Games!$B$2), "","N"))), "")</f>
      </c>
      <c r="AD101" s="159" t="str">
        <f>'Prediction Log'!$S101</f>
      </c>
    </row>
    <row r="102">
      <c r="A102" s="165" t="n">
        <f>IF(ISBLANK(Games!$B101), "",Games!A101)</f>
        <v>1</v>
      </c>
      <c r="B102" s="165" t="str">
        <f>IF(ISBLANK(Games!$B101), "",Games!B101)</f>
        <v>Florida State</v>
      </c>
      <c r="C102" s="165" t="str">
        <f>IF(ISBLANK(Games!$B101), "",Games!C101)</f>
        <v>Boston College</v>
      </c>
      <c r="D102" s="140" t="n">
        <f>IF(ISBLANK(Games!$D101), "",IF(_xlfn.NUMBERVALUE(Games!D101)=0, "",_xlfn.NUMBERVALUE(Games!D101) ))</f>
        <v>-17</v>
      </c>
      <c r="E102" s="138" t="n">
        <f>IF(ISBLANK(_xlfn.NUMBERVALUE(Games!$B101)), "",_xlfn.NUMBERVALUE(Games!J101))</f>
        <v>-53.4</v>
      </c>
      <c r="F102" s="141" t="n">
        <f>IFERROR(IF(ISBLANK(Games!B101), "", IF(Games!N101=Games!B101, Games!O101, 1-Games!O101)), "")</f>
        <v>0.81966974659280711</v>
      </c>
      <c r="G102" s="142" t="str">
        <f>IF(OR(ISBLANK(Games!B101),Table3[[#This Row],[Spread]]=""), "", IF('Prediction Log'!$D102&lt;0, 'Prediction Log'!$B102, 'Prediction Log'!$C102))</f>
        <v>Florida State</v>
      </c>
      <c r="H102" s="143" t="str">
        <f>IF(ISBLANK(Games!$B101), "",Games!K101)</f>
        <v>Florida State</v>
      </c>
      <c r="I102" s="143" t="str">
        <f>IF('Prediction Log'!$F102&gt;0.5, 'Prediction Log'!$B102, IF('Prediction Log'!$F102&lt;0.5, 'Prediction Log'!$C102, "PICK"))</f>
        <v>Florida State</v>
      </c>
      <c r="J102" s="144" t="n">
        <f>IF(ISBLANK(Games!B101), "",IF('Prediction Log'!$I102='Prediction Log'!$B102, 'Prediction Log'!$F102, 1-'Prediction Log'!$F102))</f>
        <v>0.81966974659280711</v>
      </c>
      <c r="K102" s="145" t="str">
        <f>IF(ISBLANK(Games!$B101), "",Games!Q101)</f>
        <v>Y</v>
      </c>
      <c r="L102" s="124" t="str">
        <f>IF(ISBLANK(Games!AC101), "",Games!AE101)</f>
      </c>
      <c r="M102" s="161" t="str">
        <f>IF(ISBLANK(Games!AC101), "",Games!AD101-Games!AC101)</f>
      </c>
      <c r="N102" s="146" t="str">
        <f>IF(ISNUMBER(Table3[[#This Row],[Predicted Spread]]), IF(OR(ISBLANK(Games!AC101), Table3[[#This Row],[Market Predicted Side]]=""), "", IF(AND(Table3[[#This Row],[Side Result]]=Table3[[#This Row],[Away]], Table3[[#This Row],[Spread]]&lt;0), "Y", IF(AND(Table3[[#This Row],[Side Result]]=Table3[[#This Row],[Home]], Table3[[#This Row],[Spread]]&gt;0.5), "Y",IF(AND(Table3[[#This Row],[Side Result]]=Table3[[#This Row],[Home]], Table3[[#This Row],[Spread]]&lt;-0.5, Table3[[#This Row],[Actual Difference ]]&lt;Table3[[#This Row],[Spread]]),"Y",IF(AND(Table3[[#This Row],[Side Result]]=Table3[[#This Row],[Away]], Table3[[#This Row],[Spread]]&gt;0, Table3[[#This Row],[Actual Difference ]]&gt;Table3[[#This Row],[Spread]]), "Y",IF(AND(Table3[[#This Row],[Side Result]]=Table3[[#This Row],[Home]], Table3[[#This Row],[Spread]]&lt;0, Table3[[#This Row],[Actual Difference ]]&gt;Table3[[#This Row],[Spread]]), "N","N")))))))</f>
      </c>
      <c r="O102" s="147" t="str">
        <f>IF(ISNUMBER(Table3[[#This Row],[Predicted Spread]]), IF(OR(ISBLANK(Games!AC101), Table3[[#This Row],[Spread]]=""), "",IF(AND(Table3[[#This Row],[Market Predicted Side]]=Table3[[#This Row],[Home]], Table3[[#This Row],[Actual Difference ]]&lt;Table3[[#This Row],[Spread]]), "Y",IF(AND(Table3[[#This Row],[Market Predicted Side]]=Table3[[#This Row],[Away]], Table3[[#This Row],[Actual Difference ]]&lt;Table3[[#This Row],[Spread]]), "Y", "N"))), "")</f>
      </c>
      <c r="P102" s="147" t="str">
        <f>IF(ISNUMBER(Table3[[#This Row],[Predicted Spread]]), IF(ISBLANK(Games!AC101), "",IF(AND(Table3[[#This Row],[Model Predicted Side]]=Table3[[#This Row],[Home]], Table3[[#This Row],[Actual Difference ]]&lt;Table3[[#This Row],[Predicted Spread]]), "Y",IF(AND(Table3[[#This Row],[Model Predicted Side]]=Table3[[#This Row],[Away]], Table3[[#This Row],[Actual Difference ]]&lt;Table3[[#This Row],[Predicted Spread]]), "Y", "N"))), "")</f>
      </c>
      <c r="Q102" s="148" t="str">
        <f>IF(OR(ISBLANK(Games!AC101), Table3[[#This Row],[Spread]]=""),"",IF('Prediction Log'!$L102='Prediction Log'!$G102, "Y", "N"))</f>
      </c>
      <c r="R102" s="148" t="str">
        <f>IF(ISNUMBER(Table3[[#This Row],[Predicted Spread]]), Table3[[#This Row],[Home Team Covered Market]],"")</f>
      </c>
      <c r="S102" s="148" t="str">
        <f>IF(ISNUMBER(Table3[[#This Row],[Predicted Spread]]), IF(OR(Table3[[#This Row],[Market Side Correct]]="",ISBLANK(Games!AC101)), "",IF(AND('Prediction Log'!$Q102="Y", 'Prediction Log'!$R102="Y"), "Y", "N")),"")</f>
      </c>
      <c r="T102" s="149" t="str">
        <f>IF(ISNUMBER(Table3[[#This Row],[Predicted Spread]]), IF(ISBLANK(Games!AC101),"",IF(Games!AE101='Prediction Log'!$H102, "Y", "N")), "")</f>
      </c>
      <c r="U102" s="149" t="str">
        <f>IF(ISNUMBER(Table3[[#This Row],[Predicted Spread]]), IF(OR(Table3[[#This Row],[Spread]]="",ISBLANK(Games!AC101)), "", IF(Table3[[#This Row],[Home Team Covered Market]]=Games!P101, "Y", "N")),"")</f>
      </c>
      <c r="V102" s="150" t="str">
        <f>IF(ISBLANK(Games!AC101), "",IF('Prediction Log'!$I102='Prediction Log'!$L102, "Y", "N"))</f>
      </c>
      <c r="W102" s="149" t="str">
        <f>IF(ISNUMBER(Table3[[#This Row],[Predicted Spread]]), IF(OR(Table3[[#This Row],[Model Spread Correct]]="",ISBLANK(Games!AC101)), "",IF('Prediction Log'!$H102&lt;&gt;'Prediction Log'!$L102, "N",IF(AND('Prediction Log'!$E102&gt;0, 'Prediction Log'!$M102&gt;'Prediction Log'!$E102, 'Prediction Log'!$H102='Prediction Log'!$C102), "Y", IF(AND('Prediction Log'!$E102&lt;0, 'Prediction Log'!$M102&lt;'Prediction Log'!$E102,'Prediction Log'!$H102='Prediction Log'!$B102 ), "Y", IF('Prediction Log'!$M102='Prediction Log'!$E102, "PUSH", "N"))))), "")</f>
      </c>
      <c r="X102" s="149" t="str">
        <f>IF(ISNUMBER(Table3[[#This Row],[Predicted Spread]]), IF(OR(Table3[[#This Row],[Model Spread Correct]]="",ISBLANK(Games!AC101)), "",IF(AND('Prediction Log'!$T102="Y", 'Prediction Log'!$U102="Y"), "Y", "N")), "")</f>
      </c>
      <c r="Y102" s="148" t="str">
        <f>IFERROR(IF(ISNUMBER(Table3[[#This Row],[Predicted Spread]]), IF(ISBLANK(Games!AC101), "",IF('Prediction Log'!$D102&gt;0, 'Prediction Log'!$M102-'Prediction Log'!$D102, IF('Prediction Log'!$D102&lt;0, -'Prediction Log'!$M102+'Prediction Log'!$D102, "NA"))), ""), "")</f>
      </c>
      <c r="Z102" s="148" t="str">
        <f>IF(ISNUMBER(Table3[[#This Row],[Difference from Market]]), IF(ISBLANK(Games!AC101), "",ABS('Prediction Log'!$Y102)), "")</f>
      </c>
      <c r="AA102" s="139" t="str">
        <f>IF(ISNUMBER(Table3[[#This Row],[Predicted Spread]]), IF(ISBLANK(Games!AC101), "",IF('Prediction Log'!$E102&gt;0, 'Prediction Log'!$M102-'Prediction Log'!$E102, IF('Prediction Log'!$E102&lt;0, -'Prediction Log'!$M102+'Prediction Log'!$E102, "NA"))), "")</f>
      </c>
      <c r="AB102" s="139" t="str">
        <f>IF(ISNUMBER(Table3[[#This Row],[Difference from Prediction]]), IF(ISBLANK(Games!AD101), "",ABS('Prediction Log'!$AA102)), "")</f>
      </c>
      <c r="AC102" s="164" t="str">
        <f>IF(ISNUMBER(Table3[[#This Row],[Predicted Spread]]), IF(OR(ISBLANK(Games!AC101),Table3[[#This Row],[Market Side Correct]]="",ISBLANK('Prediction Log'!$L102)), "",IF(OR(AND('Prediction Log'!D102&lt;0, 'Prediction Log'!L102='Prediction Log'!B102), AND('Prediction Log'!D102&gt;0, 'Prediction Log'!C102='Prediction Log'!L102)),"Y", IF(ISBLANK(Games!$B$2), "","N"))), "")</f>
      </c>
      <c r="AD102" s="159" t="str">
        <f>'Prediction Log'!$S102</f>
      </c>
    </row>
  </sheetData>
  <pageMargins left="0.7" right="0.7" top="0.75" bottom="0.75" header="0.3" footer="0.3"/>
  <pageSetup paperSize="9" orientation="portrait" horizontalDpi="300" verticalDpi="300"/>
  <drawing r:id="rId1"/>
  <legacyDrawing r:id="rIdvml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/>
  </sheetViews>
  <sheetFormatPr defaultRowHeight="15.0" baseColWidth="10"/>
  <cols>
    <col min="1" max="1" width="13.86328125" hidden="0" customWidth="1"/>
    <col min="2" max="2" width="13.86328125" hidden="0" customWidth="1"/>
    <col min="3" max="3" width="13.86328125" hidden="0" customWidth="1"/>
    <col min="4" max="4" width="9.73046875" hidden="0" customWidth="1"/>
    <col min="5" max="5" width="9.73046875" hidden="0" customWidth="1"/>
    <col min="6" max="6" width="19.265625" hidden="0" customWidth="1"/>
    <col min="7" max="7" width="14.265625" hidden="0" customWidth="1"/>
    <col min="8" max="8" width="14.265625" hidden="1" customWidth="1"/>
    <col min="9" max="9" width="13.86328125" hidden="1" customWidth="1"/>
    <col min="10" max="10" width="13.86328125" hidden="0" customWidth="1"/>
    <col min="11" max="11" width="18.265625" hidden="1" customWidth="1"/>
    <col min="12" max="12" width="18.265625" hidden="1" customWidth="1"/>
    <col min="13" max="13" width="18.265625" hidden="1" customWidth="1"/>
    <col min="14" max="14" width="10.9296875" hidden="0" customWidth="1"/>
    <col min="15" max="15" width="10.9296875" hidden="0" customWidth="1"/>
    <col min="16" max="16" width="10.9296875" hidden="1" customWidth="1"/>
    <col min="17" max="17" width="10.9296875" hidden="0" customWidth="1"/>
    <col min="18" max="18" width="10.9296875" hidden="0" customWidth="1"/>
    <col min="19" max="19" width="10.9296875" hidden="0" customWidth="1"/>
    <col min="20" max="20" width="10.9296875" hidden="1" customWidth="1"/>
    <col min="21" max="21" width="10.9296875" hidden="0" customWidth="1"/>
    <col min="22" max="22" width="10.9296875" hidden="0" customWidth="1"/>
    <col min="23" max="23" width="10.9296875" hidden="0" customWidth="1"/>
    <col min="24" max="24" width="10.9296875" hidden="0" customWidth="1"/>
    <col min="25" max="25" width="10.9296875" hidden="0" customWidth="1"/>
    <col min="26" max="26" width="10.9296875" hidden="0" customWidth="1"/>
    <col min="27" max="27" width="10.9296875" hidden="1" customWidth="1"/>
    <col min="28" max="28" width="10.9296875" hidden="1" customWidth="1"/>
    <col min="29" max="29" width="10.9296875" hidden="0" customWidth="1"/>
    <col min="30" max="30" width="10.9296875" hidden="0" customWidth="1"/>
    <col min="31" max="31" width="10.9296875" hidden="0" customWidth="1"/>
    <col min="32" max="32" width="10.9296875" hidden="0" customWidth="1"/>
    <col min="33" max="33" width="10.9296875" hidden="0" customWidth="1"/>
    <col min="34" max="34" width="10.9296875" hidden="0" customWidth="1"/>
    <col min="35" max="35" width="15.53125" hidden="1" customWidth="1"/>
    <col min="36" max="36" width="15.53125" hidden="1" customWidth="1"/>
    <col min="37" max="37" width="15.53125" hidden="1" customWidth="1"/>
    <col min="38" max="38" width="15.53125" hidden="1" customWidth="1"/>
    <col min="43" max="43" width="17.73046875" hidden="0" customWidth="1"/>
  </cols>
  <sheetData>
    <row r="1" ht="32.25" customHeight="1">
      <c r="A1" s="70" t="s">
        <v>80</v>
      </c>
      <c r="B1" s="70" t="s">
        <v>0</v>
      </c>
      <c r="C1" s="70" t="s">
        <v>1</v>
      </c>
      <c r="D1" s="70" t="s">
        <v>2</v>
      </c>
      <c r="E1" s="70" t="s">
        <v>4</v>
      </c>
      <c r="F1" s="70" t="s">
        <v>95</v>
      </c>
      <c r="G1" s="70" t="s">
        <v>96</v>
      </c>
      <c r="H1" s="70" t="s">
        <v>69</v>
      </c>
      <c r="I1" s="70" t="s">
        <v>40</v>
      </c>
      <c r="J1" s="70" t="s">
        <v>97</v>
      </c>
      <c r="K1" s="70" t="s">
        <v>37</v>
      </c>
      <c r="L1" s="70" t="s">
        <v>63</v>
      </c>
      <c r="M1" s="70" t="s">
        <v>39</v>
      </c>
      <c r="N1" s="60" t="s">
        <v>41</v>
      </c>
      <c r="O1" s="60" t="s">
        <v>42</v>
      </c>
      <c r="P1" s="60" t="s">
        <v>43</v>
      </c>
      <c r="Q1" s="60" t="s">
        <v>89</v>
      </c>
      <c r="R1" s="60" t="s">
        <v>90</v>
      </c>
      <c r="S1" s="60" t="s">
        <v>45</v>
      </c>
      <c r="T1" s="60" t="s">
        <v>46</v>
      </c>
      <c r="U1" s="174" t="s">
        <v>91</v>
      </c>
      <c r="V1" s="175" t="s">
        <v>92</v>
      </c>
      <c r="W1" s="174" t="s">
        <v>93</v>
      </c>
      <c r="X1" s="175" t="s">
        <v>94</v>
      </c>
      <c r="Y1" s="174" t="s">
        <v>49</v>
      </c>
      <c r="Z1" s="174" t="s">
        <v>50</v>
      </c>
      <c r="AA1" s="61" t="s">
        <v>51</v>
      </c>
      <c r="AB1" s="61" t="s">
        <v>52</v>
      </c>
      <c r="AC1" s="176" t="s">
        <v>81</v>
      </c>
      <c r="AD1" s="177" t="s">
        <v>82</v>
      </c>
      <c r="AE1" s="178" t="s">
        <v>83</v>
      </c>
      <c r="AF1" s="179" t="s">
        <v>84</v>
      </c>
      <c r="AG1" s="176" t="s">
        <v>55</v>
      </c>
      <c r="AH1" s="176" t="s">
        <v>56</v>
      </c>
      <c r="AI1" s="62" t="s">
        <v>57</v>
      </c>
      <c r="AJ1" s="62" t="s">
        <v>58</v>
      </c>
      <c r="AK1" s="63" t="s">
        <v>85</v>
      </c>
      <c r="AL1" s="63" t="s">
        <v>86</v>
      </c>
      <c r="AN1" s="180" t="s">
        <v>87</v>
      </c>
      <c r="AO1" s="180"/>
      <c r="AP1" s="180"/>
      <c r="AQ1" s="180"/>
      <c r="AS1" s="180" t="s">
        <v>88</v>
      </c>
      <c r="AT1" s="180"/>
      <c r="AU1" s="180"/>
      <c r="AV1" s="180"/>
    </row>
    <row r="2">
      <c r="A2" s="65" t="n">
        <f>Games!A2</f>
        <v>0</v>
      </c>
      <c r="B2" s="65" t="str">
        <f>IF('Prediction Log'!B3=0, "",'Prediction Log'!B3)</f>
        <v>Georgia Tech</v>
      </c>
      <c r="C2" s="65" t="str">
        <f>IF('Prediction Log'!C3=0, "",'Prediction Log'!C3)</f>
        <v>Florida State</v>
      </c>
      <c r="D2" s="65" t="n">
        <f>IF('Prediction Log'!D3=0, "",'Prediction Log'!D3)</f>
        <v>11.5</v>
      </c>
      <c r="E2" s="65" t="n">
        <f>IF('Prediction Log'!E3=0, "",'Prediction Log'!E3)</f>
        <v>9.8000000000000007</v>
      </c>
      <c r="F2" s="65" t="str">
        <f>IF('Prediction Log'!H3=0, "",'Prediction Log'!H3)</f>
        <v>Florida State</v>
      </c>
      <c r="G2" s="64" t="str">
        <f>IF(ISBLANK(Games!B2), "",'Prediction Log'!$I3)</f>
        <v>Florida State</v>
      </c>
      <c r="H2" s="66" t="n">
        <f>'Prediction Log'!$J3</f>
        <v>0.66630309613080452</v>
      </c>
      <c r="I2" s="65" t="str">
        <f>IF(ISBLANK(Games!T2), "",IF(AND(Games!T2="",Games!U2=""),"",IF(ISTEXT(Games!U2), "Side",Games!T2)))</f>
      </c>
      <c r="J2" s="65" t="str">
        <f>IF(ISBLANK(Games!B2), "",IF(Games!P2="Y", Games!B2, Games!C2))</f>
        <v>Georgia Tech</v>
      </c>
      <c r="K2" s="65" t="str">
        <f>Games!K2</f>
        <v>Florida State</v>
      </c>
      <c r="L2" s="65" t="n">
        <f>IF(ISBLANK(Games!D2), "",Games!D2)</f>
        <v>11.5</v>
      </c>
      <c r="M2" s="65"/>
      <c r="N2" s="167" t="str">
        <f>IF(ISBLANK(Table123[[#This Row],[Odds Side - Difference Model]]), "", 1)</f>
      </c>
      <c r="O2" s="167" t="str">
        <f>IF(ISBLANK(Table123[[#This Row],[Odds Spread]]), "", 1)</f>
      </c>
      <c r="P2" s="67"/>
      <c r="Q2" s="67"/>
      <c r="R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" s="67"/>
      <c r="T2" s="67"/>
      <c r="U2" s="168" t="str">
        <f>IF(ISBLANK(Table123[[#This Row],[Odds Side - Difference Model]]), "",N2+IF(Q2&lt;0, (N2/(Q2/-100)), N2*(Q2/100)))</f>
      </c>
      <c r="V2" s="169" t="str">
        <f>IFERROR(IF(ISBLANK(Table123[[#This Row],[Odds Side - Win Probability Model]]), "",N2+IF(R2&lt;0, (N2/(R2/-100)), N2*(R2/100))),"")</f>
      </c>
      <c r="W2" s="168" t="str">
        <f>IFERROR(U2-N2, "")</f>
      </c>
      <c r="X2" s="169" t="str">
        <f>IFERROR(V2-N2, "")</f>
      </c>
      <c r="Y2" s="168" t="str">
        <f>IF(ISBLANK(Table123[[#This Row],[Odds Spread]]), "",O2+IF(S2&lt;0, (O2/(S2/-100)), O2*(S2/100)))</f>
      </c>
      <c r="Z2" s="168" t="str">
        <f>IFERROR(Y2-O2, "")</f>
      </c>
      <c r="AA2" s="68" t="n">
        <f t="shared" ref="AA2" si="0">P2+IF(T2&lt;0, (P2/(T2/-100)), P2*(T2/100))</f>
        <v>0</v>
      </c>
      <c r="AB2" s="68" t="n">
        <f t="shared" ref="AB2" si="1">T2-P2</f>
        <v>0</v>
      </c>
      <c r="AC2" s="170" t="str">
        <f>IF('Prediction Log'!$T3="Y", "W", IF('Prediction Log'!$T3="N","L",""))</f>
        <v>L</v>
      </c>
      <c r="AD2" s="171" t="str">
        <f>IF('Prediction Log'!$V3="Y", "W", IF('Prediction Log'!$V3="N","L",""))</f>
        <v>L</v>
      </c>
      <c r="AE2" s="172" t="str">
        <f>IF(ISBLANK(Table123[[#This Row],[Odds Side - Difference Model]]), "",IF(AC2="W", W2, IF(AC2="L",-N2, "")))</f>
      </c>
      <c r="AF2" s="173" t="str">
        <f>IFERROR((IF(ISERR(Table123[[#This Row],[Potential Payout Side - Win Probability Model]]), "",IF(AD2="W", X2, IF(AD2="L",-N2, "")))), "")</f>
      </c>
      <c r="AG2" s="170" t="str">
        <f>IF('Prediction Log'!$U3="Y", "W", IF('Prediction Log'!$U3="N", "L", ""))</f>
        <v>W</v>
      </c>
      <c r="AH2" s="172" t="str">
        <f>IF(ISBLANK(Table123[[#This Row],[Odds Spread]]), "",IF(AG2="W", Z2, IF(AG2="L",-O2, "")))</f>
      </c>
      <c r="AI2" s="184"/>
      <c r="AJ2" s="183" t="str">
        <f>IF(AI2="W", AB2, IF(AI2="L",-S2, ""))</f>
      </c>
      <c r="AK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2" s="123" t="s">
        <v>6</v>
      </c>
      <c r="AO2" s="123" t="s">
        <v>7</v>
      </c>
      <c r="AP2" s="1" t="s">
        <v>8</v>
      </c>
      <c r="AQ2" s="1" t="s">
        <v>9</v>
      </c>
      <c r="AS2" s="123" t="s">
        <v>6</v>
      </c>
      <c r="AT2" s="123" t="s">
        <v>7</v>
      </c>
      <c r="AU2" s="1" t="s">
        <v>8</v>
      </c>
      <c r="AV2" s="1" t="s">
        <v>9</v>
      </c>
    </row>
    <row r="3">
      <c r="A3" s="65" t="n">
        <f>Games!A3</f>
        <v>0</v>
      </c>
      <c r="B3" s="65" t="str">
        <f>IF('Prediction Log'!B4=0, "",'Prediction Log'!B4)</f>
        <v>New Mexico</v>
      </c>
      <c r="C3" s="65" t="str">
        <f>IF('Prediction Log'!C4=0, "",'Prediction Log'!C4)</f>
        <v>Montana State</v>
      </c>
      <c r="D3" s="65" t="n">
        <f>IF('Prediction Log'!D4=0, "",'Prediction Log'!D4)</f>
        <v>-20.5</v>
      </c>
      <c r="E3" s="65" t="n">
        <f>IF('Prediction Log'!E4=0, "",'Prediction Log'!E4)</f>
        <v>-10.184652436815201</v>
      </c>
      <c r="F3" s="65" t="str">
        <f>IF('Prediction Log'!H4=0, "",'Prediction Log'!H4)</f>
        <v>New Mexico</v>
      </c>
      <c r="G3" s="64" t="str">
        <f>IF(ISBLANK(Games!B3), "",'Prediction Log'!$I4)</f>
        <v>New Mexico</v>
      </c>
      <c r="H3" s="66" t="n">
        <f>'Prediction Log'!$J4</f>
        <v>0.85239527604837517</v>
      </c>
      <c r="I3" s="65" t="str">
        <f>IF(ISBLANK(Games!T3), "",IF(AND(Games!T3="",Games!U3=""),"",IF(ISTEXT(Games!U3), "Side",Games!T3)))</f>
      </c>
      <c r="J3" s="65" t="str">
        <f>IF(ISBLANK(Games!B3), "",IF(Games!P3="Y", Games!B3, Games!C3))</f>
        <v>Montana State</v>
      </c>
      <c r="K3" s="65" t="str">
        <f>Games!K3</f>
        <v>New Mexico</v>
      </c>
      <c r="L3" s="65" t="n">
        <f>IF(ISBLANK(Games!D3), "",Games!D3)</f>
        <v>-20.5</v>
      </c>
      <c r="M3" s="65"/>
      <c r="N3" s="167" t="str">
        <f>IF(ISBLANK(Table123[[#This Row],[Odds Side - Difference Model]]), "", 1)</f>
      </c>
      <c r="O3" s="167" t="str">
        <f>IF(ISBLANK(Table123[[#This Row],[Odds Spread]]), "", 1)</f>
      </c>
      <c r="P3" s="67"/>
      <c r="Q3" s="67"/>
      <c r="R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" s="67"/>
      <c r="T3" s="67"/>
      <c r="U3" s="168" t="str">
        <f>IF(ISBLANK(Table123[[#This Row],[Odds Side - Difference Model]]), "",N3+IF(Q3&lt;0, (N3/(Q3/-100)), N3*(Q3/100)))</f>
      </c>
      <c r="V3" s="169" t="str">
        <f>IFERROR(IF(ISBLANK(Table123[[#This Row],[Odds Side - Win Probability Model]]), "",N3+IF(R3&lt;0, (N3/(R3/-100)), N3*(R3/100))),"")</f>
      </c>
      <c r="W3" s="168" t="str">
        <f t="shared" ref="W3:W66" si="2">IFERROR(U3-N3, "")</f>
      </c>
      <c r="X3" s="169" t="str">
        <f t="shared" ref="X3:X66" si="3">IFERROR(V3-N3, "")</f>
      </c>
      <c r="Y3" s="168" t="str">
        <f>IF(ISBLANK(Table123[[#This Row],[Odds Spread]]), "",O3+IF(S3&lt;0, (O3/(S3/-100)), O3*(S3/100)))</f>
      </c>
      <c r="Z3" s="168" t="str">
        <f t="shared" ref="Z3:Z66" si="4">IFERROR(Y3-O3, "")</f>
      </c>
      <c r="AA3" s="68" t="n">
        <f t="shared" ref="AA3:AA66" si="5">P3+IF(T3&lt;0, (P3/(T3/-100)), P3*(T3/100))</f>
        <v>0</v>
      </c>
      <c r="AB3" s="68" t="n">
        <f t="shared" ref="AB3:AB66" si="6">T3-P3</f>
        <v>0</v>
      </c>
      <c r="AC3" s="170" t="str">
        <f>IF('Prediction Log'!$T4="Y", "W", IF('Prediction Log'!$T4="N","L",""))</f>
        <v>L</v>
      </c>
      <c r="AD3" s="171" t="str">
        <f>IF('Prediction Log'!$V4="Y", "W", IF('Prediction Log'!$V4="N","L",""))</f>
        <v>L</v>
      </c>
      <c r="AE3" s="172" t="str">
        <f>IF(ISBLANK(Table123[[#This Row],[Odds Side - Difference Model]]), "",IF(AC3="W", W3, IF(AC3="L",-N3, "")))</f>
      </c>
      <c r="AF3" s="173" t="str">
        <f>IFERROR((IF(ISERR(Table123[[#This Row],[Potential Payout Side - Win Probability Model]]), "",IF(AD3="W", X3, IF(AD3="L",-N3, "")))), "")</f>
      </c>
      <c r="AG3" s="170" t="str">
        <f>IF('Prediction Log'!$U4="Y", "W", IF('Prediction Log'!$U4="N", "L", ""))</f>
        <v>W</v>
      </c>
      <c r="AH3" s="172" t="str">
        <f>IF(ISBLANK(Table123[[#This Row],[Odds Spread]]), "",IF(AG3="W", Z3, IF(AG3="L",-O3, "")))</f>
      </c>
      <c r="AI3" s="184"/>
      <c r="AJ3" s="183" t="str">
        <f t="shared" ref="AJ3:AJ66" si="7">IF(AI3="W", AB3, IF(AI3="L",-S3, ""))</f>
      </c>
      <c r="AK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3" s="1" t="n">
        <f>COUNTIF($AC$2:$AC$1048576, "W")</f>
        <v>90</v>
      </c>
      <c r="AO3" s="1" t="n">
        <f>COUNTIF($AC$2:$AC$1048576, "L")</f>
        <v>8</v>
      </c>
      <c r="AP3" s="134" t="n">
        <f>AN3/SUM(AN3:AO3)</f>
        <v>0.91836734693877553</v>
      </c>
      <c r="AQ3" s="135" t="n">
        <f>SUM(AE2:AE1048576)</f>
        <v>0</v>
      </c>
      <c r="AS3" s="1" t="n">
        <f>COUNTIF($AD$2:$AD$1048576, "W")</f>
        <v>86</v>
      </c>
      <c r="AT3" s="1" t="n">
        <f>COUNTIF($AD$2:$AD$1048576, "L")</f>
        <v>12</v>
      </c>
      <c r="AU3" s="134" t="n">
        <f>AS3/SUM(AS3:AT3)</f>
        <v>0.87755102040816324</v>
      </c>
      <c r="AV3" s="135" t="n">
        <f>SUM(AF2:AF1048576)</f>
        <v>0</v>
      </c>
    </row>
    <row r="4">
      <c r="A4" s="65" t="n">
        <f>Games!A4</f>
        <v>0</v>
      </c>
      <c r="B4" s="65" t="str">
        <f>IF('Prediction Log'!B5=0, "",'Prediction Log'!B5)</f>
        <v>Nevada</v>
      </c>
      <c r="C4" s="65" t="str">
        <f>IF('Prediction Log'!C5=0, "",'Prediction Log'!C5)</f>
        <v>SMU</v>
      </c>
      <c r="D4" s="65" t="n">
        <f>IF('Prediction Log'!D5=0, "",'Prediction Log'!D5)</f>
        <v>27</v>
      </c>
      <c r="E4" s="65" t="n">
        <f>IF('Prediction Log'!E5=0, "",'Prediction Log'!E5)</f>
        <v>27.640836966073199</v>
      </c>
      <c r="F4" s="65" t="str">
        <f>IF('Prediction Log'!H5=0, "",'Prediction Log'!H5)</f>
        <v>SMU</v>
      </c>
      <c r="G4" s="64" t="str">
        <f>IF(ISBLANK(Games!B4), "",'Prediction Log'!$I5)</f>
        <v>SMU</v>
      </c>
      <c r="H4" s="66" t="n">
        <f>'Prediction Log'!$J5</f>
        <v>0.97563671613393177</v>
      </c>
      <c r="I4" s="65" t="str">
        <f>IF(ISBLANK(Games!T4), "",IF(AND(Games!T4="",Games!U4=""),"",IF(ISTEXT(Games!U4), "Side",Games!T4)))</f>
      </c>
      <c r="J4" s="65" t="str">
        <f>IF(ISBLANK(Games!B4), "",IF(Games!P4="Y", Games!B4, Games!C4))</f>
        <v>Nevada</v>
      </c>
      <c r="K4" s="65" t="str">
        <f>Games!K4</f>
        <v>SMU</v>
      </c>
      <c r="L4" s="65" t="str">
        <f>IF(ISBLANK(Games!D4), "",Games!D4)</f>
        <v>27</v>
      </c>
      <c r="M4" s="65"/>
      <c r="N4" s="167" t="str">
        <f>IF(ISBLANK(Table123[[#This Row],[Odds Side - Difference Model]]), "", 1)</f>
      </c>
      <c r="O4" s="167" t="str">
        <f>IF(ISBLANK(Table123[[#This Row],[Odds Spread]]), "", 1)</f>
      </c>
      <c r="P4" s="67"/>
      <c r="Q4" s="67"/>
      <c r="R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" s="67"/>
      <c r="T4" s="67"/>
      <c r="U4" s="168" t="str">
        <f>IF(ISBLANK(Table123[[#This Row],[Odds Side - Difference Model]]), "",N4+IF(Q4&lt;0, (N4/(Q4/-100)), N4*(Q4/100)))</f>
      </c>
      <c r="V4" s="169" t="str">
        <f>IFERROR(IF(ISBLANK(Table123[[#This Row],[Odds Side - Win Probability Model]]), "",N4+IF(R4&lt;0, (N4/(R4/-100)), N4*(R4/100))),"")</f>
      </c>
      <c r="W4" s="168" t="str">
        <f t="shared" si="2"/>
      </c>
      <c r="X4" s="169" t="str">
        <f t="shared" si="3"/>
      </c>
      <c r="Y4" s="168" t="str">
        <f>IF(ISBLANK(Table123[[#This Row],[Odds Spread]]), "",O4+IF(S4&lt;0, (O4/(S4/-100)), O4*(S4/100)))</f>
      </c>
      <c r="Z4" s="168" t="str">
        <f t="shared" si="4"/>
      </c>
      <c r="AA4" s="68" t="n">
        <f t="shared" si="5"/>
        <v>0</v>
      </c>
      <c r="AB4" s="68" t="n">
        <f t="shared" si="6"/>
        <v>0</v>
      </c>
      <c r="AC4" s="170" t="str">
        <f>IF('Prediction Log'!$T5="Y", "W", IF('Prediction Log'!$T5="N","L",""))</f>
        <v>W</v>
      </c>
      <c r="AD4" s="171" t="str">
        <f>IF('Prediction Log'!$V5="Y", "W", IF('Prediction Log'!$V5="N","L",""))</f>
        <v>W</v>
      </c>
      <c r="AE4" s="172" t="str">
        <f>IF(ISBLANK(Table123[[#This Row],[Odds Side - Difference Model]]), "",IF(AC4="W", W4, IF(AC4="L",-N4, "")))</f>
      </c>
      <c r="AF4" s="173" t="str">
        <f>IFERROR((IF(ISERR(Table123[[#This Row],[Potential Payout Side - Win Probability Model]]), "",IF(AD4="W", X4, IF(AD4="L",-N4, "")))), "")</f>
      </c>
      <c r="AG4" s="170" t="str">
        <f>IF('Prediction Log'!$U5="Y", "W", IF('Prediction Log'!$U5="N", "L", ""))</f>
        <v>W</v>
      </c>
      <c r="AH4" s="172" t="str">
        <f>IF(ISBLANK(Table123[[#This Row],[Odds Spread]]), "",IF(AG4="W", Z4, IF(AG4="L",-O4, "")))</f>
      </c>
      <c r="AI4" s="184"/>
      <c r="AJ4" s="183" t="str">
        <f t="shared" si="7"/>
      </c>
      <c r="AK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">
      <c r="A5" s="65" t="n">
        <f>Games!A5</f>
        <v>0</v>
      </c>
      <c r="B5" s="65" t="str">
        <f>IF('Prediction Log'!B6=0, "",'Prediction Log'!B6)</f>
        <v>Hawai'i</v>
      </c>
      <c r="C5" s="65" t="str">
        <f>IF('Prediction Log'!C6=0, "",'Prediction Log'!C6)</f>
        <v>Delaware State</v>
      </c>
      <c r="D5" s="65" t="n">
        <f>IF('Prediction Log'!D6=0, "",'Prediction Log'!D6)</f>
        <v>-38</v>
      </c>
      <c r="E5" s="65" t="n">
        <f>IF('Prediction Log'!E6=0, "",'Prediction Log'!E6)</f>
        <v>-12.8752906367628</v>
      </c>
      <c r="F5" s="65" t="str">
        <f>IF('Prediction Log'!H6=0, "",'Prediction Log'!H6)</f>
        <v>Hawai'i</v>
      </c>
      <c r="G5" s="64" t="str">
        <f>IF(ISBLANK(Games!B5), "",'Prediction Log'!$I6)</f>
        <v>Hawai'i</v>
      </c>
      <c r="H5" s="66" t="n">
        <f>'Prediction Log'!$J6</f>
        <v>0.89479900927687317</v>
      </c>
      <c r="I5" s="65" t="str">
        <f>IF(ISBLANK(Games!T5), "",IF(AND(Games!T5="",Games!U5=""),"",IF(ISTEXT(Games!U5), "Side",Games!T5)))</f>
      </c>
      <c r="J5" s="65" t="str">
        <f>IF(ISBLANK(Games!B5), "",IF(Games!P5="Y", Games!B5, Games!C5))</f>
        <v>Hawai'i</v>
      </c>
      <c r="K5" s="65" t="str">
        <f>Games!K5</f>
        <v>Hawai'i</v>
      </c>
      <c r="L5" s="65" t="str">
        <f>IF(ISBLANK(Games!D5), "",Games!D5)</f>
        <v>-38</v>
      </c>
      <c r="M5" s="65"/>
      <c r="N5" s="167" t="str">
        <f>IF(ISBLANK(Table123[[#This Row],[Odds Side - Difference Model]]), "", 1)</f>
      </c>
      <c r="O5" s="167" t="str">
        <f>IF(ISBLANK(Table123[[#This Row],[Odds Spread]]), "", 1)</f>
      </c>
      <c r="P5" s="67"/>
      <c r="Q5" s="67"/>
      <c r="R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" s="67"/>
      <c r="T5" s="67"/>
      <c r="U5" s="168" t="str">
        <f>IF(ISBLANK(Table123[[#This Row],[Odds Side - Difference Model]]), "",N5+IF(Q5&lt;0, (N5/(Q5/-100)), N5*(Q5/100)))</f>
      </c>
      <c r="V5" s="169" t="str">
        <f>IFERROR(IF(ISBLANK(Table123[[#This Row],[Odds Side - Win Probability Model]]), "",N5+IF(R5&lt;0, (N5/(R5/-100)), N5*(R5/100))),"")</f>
      </c>
      <c r="W5" s="168" t="str">
        <f t="shared" si="2"/>
      </c>
      <c r="X5" s="169" t="str">
        <f t="shared" si="3"/>
      </c>
      <c r="Y5" s="168" t="str">
        <f>IF(ISBLANK(Table123[[#This Row],[Odds Spread]]), "",O5+IF(S5&lt;0, (O5/(S5/-100)), O5*(S5/100)))</f>
      </c>
      <c r="Z5" s="168" t="str">
        <f t="shared" si="4"/>
      </c>
      <c r="AA5" s="68" t="n">
        <f t="shared" si="5"/>
        <v>0</v>
      </c>
      <c r="AB5" s="68" t="n">
        <f t="shared" si="6"/>
        <v>0</v>
      </c>
      <c r="AC5" s="170" t="str">
        <f>IF('Prediction Log'!$T6="Y", "W", IF('Prediction Log'!$T6="N","L",""))</f>
        <v>W</v>
      </c>
      <c r="AD5" s="171" t="str">
        <f>IF('Prediction Log'!$V6="Y", "W", IF('Prediction Log'!$V6="N","L",""))</f>
        <v>W</v>
      </c>
      <c r="AE5" s="172" t="str">
        <f>IF(ISBLANK(Table123[[#This Row],[Odds Side - Difference Model]]), "",IF(AC5="W", W5, IF(AC5="L",-N5, "")))</f>
      </c>
      <c r="AF5" s="173" t="str">
        <f>IFERROR((IF(ISERR(Table123[[#This Row],[Potential Payout Side - Win Probability Model]]), "",IF(AD5="W", X5, IF(AD5="L",-N5, "")))), "")</f>
      </c>
      <c r="AG5" s="170" t="str">
        <f>IF('Prediction Log'!$U6="Y", "W", IF('Prediction Log'!$U6="N", "L", ""))</f>
        <v>L</v>
      </c>
      <c r="AH5" s="172" t="str">
        <f>IF(ISBLANK(Table123[[#This Row],[Odds Spread]]), "",IF(AG5="W", Z5, IF(AG5="L",-O5, "")))</f>
      </c>
      <c r="AI5" s="184"/>
      <c r="AJ5" s="183" t="str">
        <f t="shared" si="7"/>
      </c>
      <c r="AK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5" s="181" t="s">
        <v>61</v>
      </c>
      <c r="AO5" s="181"/>
      <c r="AP5" s="181"/>
      <c r="AQ5" s="181"/>
      <c r="AS5" s="181" t="s">
        <v>61</v>
      </c>
      <c r="AT5" s="181"/>
      <c r="AU5" s="181"/>
      <c r="AV5" s="181"/>
    </row>
    <row r="6">
      <c r="A6" s="65" t="n">
        <f>Games!A6</f>
        <v>1</v>
      </c>
      <c r="B6" s="65" t="str">
        <f>IF('Prediction Log'!B7=0, "",'Prediction Log'!B7)</f>
        <v>Rutgers</v>
      </c>
      <c r="C6" s="65" t="str">
        <f>IF('Prediction Log'!C7=0, "",'Prediction Log'!C7)</f>
        <v>Howard</v>
      </c>
      <c r="D6" s="65" t="n">
        <f>IF('Prediction Log'!D7=0, "",'Prediction Log'!D7)</f>
        <v>-38.5</v>
      </c>
      <c r="E6" s="65" t="n">
        <f>IF('Prediction Log'!E7=0, "",'Prediction Log'!E7)</f>
        <v>-19.052336307585598</v>
      </c>
      <c r="F6" s="65" t="str">
        <f>IF('Prediction Log'!H7=0, "",'Prediction Log'!H7)</f>
        <v>Rutgers</v>
      </c>
      <c r="G6" s="64" t="str">
        <f>IF(ISBLANK(Games!B6), "",'Prediction Log'!$I7)</f>
        <v>Rutgers</v>
      </c>
      <c r="H6" s="66" t="n">
        <f>'Prediction Log'!$J7</f>
        <v>0.95389687067531637</v>
      </c>
      <c r="I6" s="65" t="str">
        <f>IF(ISBLANK(Games!T6), "",IF(AND(Games!T6="",Games!U6=""),"",IF(ISTEXT(Games!U6), "Side",Games!T6)))</f>
      </c>
      <c r="J6" s="65" t="str">
        <f>IF(ISBLANK(Games!B6), "",IF(Games!P6="Y", Games!B6, Games!C6))</f>
        <v>Howard</v>
      </c>
      <c r="K6" s="65" t="str">
        <f>Games!K6</f>
        <v>Rutgers</v>
      </c>
      <c r="L6" s="65" t="n">
        <f>IF(ISBLANK(Games!D6), "",Games!D6)</f>
        <v>-38.5</v>
      </c>
      <c r="M6" s="65"/>
      <c r="N6" s="167" t="str">
        <f>IF(ISBLANK(Table123[[#This Row],[Odds Side - Difference Model]]), "", 1)</f>
      </c>
      <c r="O6" s="167" t="str">
        <f>IF(ISBLANK(Table123[[#This Row],[Odds Spread]]), "", 1)</f>
      </c>
      <c r="P6" s="67"/>
      <c r="Q6" s="67"/>
      <c r="R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" s="67"/>
      <c r="T6" s="67"/>
      <c r="U6" s="168" t="str">
        <f>IF(ISBLANK(Table123[[#This Row],[Odds Side - Difference Model]]), "",N6+IF(Q6&lt;0, (N6/(Q6/-100)), N6*(Q6/100)))</f>
      </c>
      <c r="V6" s="169" t="str">
        <f>IFERROR(IF(ISBLANK(Table123[[#This Row],[Odds Side - Win Probability Model]]), "",N6+IF(R6&lt;0, (N6/(R6/-100)), N6*(R6/100))),"")</f>
      </c>
      <c r="W6" s="168" t="str">
        <f t="shared" si="2"/>
      </c>
      <c r="X6" s="169" t="str">
        <f t="shared" si="3"/>
      </c>
      <c r="Y6" s="168" t="str">
        <f>IF(ISBLANK(Table123[[#This Row],[Odds Spread]]), "",O6+IF(S6&lt;0, (O6/(S6/-100)), O6*(S6/100)))</f>
      </c>
      <c r="Z6" s="168" t="str">
        <f t="shared" si="4"/>
      </c>
      <c r="AA6" s="68" t="n">
        <f t="shared" si="5"/>
        <v>0</v>
      </c>
      <c r="AB6" s="68" t="n">
        <f t="shared" si="6"/>
        <v>0</v>
      </c>
      <c r="AC6" s="170" t="str">
        <f>IF('Prediction Log'!$T7="Y", "W", IF('Prediction Log'!$T7="N","L",""))</f>
        <v>W</v>
      </c>
      <c r="AD6" s="171" t="str">
        <f>IF('Prediction Log'!$V7="Y", "W", IF('Prediction Log'!$V7="N","L",""))</f>
        <v>W</v>
      </c>
      <c r="AE6" s="172" t="str">
        <f>IF(ISBLANK(Table123[[#This Row],[Odds Side - Difference Model]]), "",IF(AC6="W", W6, IF(AC6="L",-N6, "")))</f>
      </c>
      <c r="AF6" s="173" t="str">
        <f>IFERROR((IF(ISERR(Table123[[#This Row],[Potential Payout Side - Win Probability Model]]), "",IF(AD6="W", X6, IF(AD6="L",-N6, "")))), "")</f>
      </c>
      <c r="AG6" s="170" t="str">
        <f>IF('Prediction Log'!$U7="Y", "W", IF('Prediction Log'!$U7="N", "L", ""))</f>
        <v>W</v>
      </c>
      <c r="AH6" s="172" t="str">
        <f>IF(ISBLANK(Table123[[#This Row],[Odds Spread]]), "",IF(AG6="W", Z6, IF(AG6="L",-O6, "")))</f>
      </c>
      <c r="AI6" s="184"/>
      <c r="AJ6" s="183" t="str">
        <f t="shared" si="7"/>
      </c>
      <c r="AK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6" s="123" t="s">
        <v>6</v>
      </c>
      <c r="AO6" s="123" t="s">
        <v>7</v>
      </c>
      <c r="AP6" s="1" t="s">
        <v>8</v>
      </c>
      <c r="AQ6" s="1" t="s">
        <v>9</v>
      </c>
      <c r="AS6" s="123" t="s">
        <v>6</v>
      </c>
      <c r="AT6" s="123" t="s">
        <v>7</v>
      </c>
      <c r="AU6" s="1" t="s">
        <v>8</v>
      </c>
      <c r="AV6" s="1" t="s">
        <v>9</v>
      </c>
    </row>
    <row r="7">
      <c r="A7" s="65" t="n">
        <f>Games!A7</f>
        <v>1</v>
      </c>
      <c r="B7" s="65" t="str">
        <f>IF('Prediction Log'!B8=0, "",'Prediction Log'!B8)</f>
        <v>Louisiana Monroe</v>
      </c>
      <c r="C7" s="65" t="str">
        <f>IF('Prediction Log'!C8=0, "",'Prediction Log'!C8)</f>
        <v>Jackson State</v>
      </c>
      <c r="D7" s="65" t="str">
        <f>IF('Prediction Log'!D8=0, "",'Prediction Log'!D8)</f>
      </c>
      <c r="E7" s="65" t="n">
        <f>IF('Prediction Log'!E8=0, "",'Prediction Log'!E8)</f>
        <v>-3.6058587275568001</v>
      </c>
      <c r="F7" s="65" t="str">
        <f>IF('Prediction Log'!H8=0, "",'Prediction Log'!H8)</f>
        <v>Louisiana Monroe</v>
      </c>
      <c r="G7" s="64" t="str">
        <f>IF(ISBLANK(Games!B7), "",'Prediction Log'!$I8)</f>
        <v>Louisiana Monroe</v>
      </c>
      <c r="H7" s="66" t="n">
        <f>'Prediction Log'!$J8</f>
        <v>0.69141607341304401</v>
      </c>
      <c r="I7" s="65" t="str">
        <f>IF(ISBLANK(Games!T7), "",IF(AND(Games!T7="",Games!U7=""),"",IF(ISTEXT(Games!U7), "Side",Games!T7)))</f>
      </c>
      <c r="J7" s="65" t="str">
        <f>IF(ISBLANK(Games!B7), "",IF(Games!P7="Y", Games!B7, Games!C7))</f>
        <v>Louisiana Monroe</v>
      </c>
      <c r="K7" s="65" t="str">
        <f>Games!K7</f>
        <v>Louisiana Monroe</v>
      </c>
      <c r="L7" s="65" t="str">
        <f>IF(ISBLANK(Games!D7), "",Games!D7)</f>
      </c>
      <c r="M7" s="65"/>
      <c r="N7" s="167" t="str">
        <f>IF(ISBLANK(Table123[[#This Row],[Odds Side - Difference Model]]), "", 1)</f>
      </c>
      <c r="O7" s="167" t="str">
        <f>IF(ISBLANK(Table123[[#This Row],[Odds Spread]]), "", 1)</f>
      </c>
      <c r="P7" s="67"/>
      <c r="Q7" s="67"/>
      <c r="R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" s="67"/>
      <c r="T7" s="67"/>
      <c r="U7" s="168" t="str">
        <f>IF(ISBLANK(Table123[[#This Row],[Odds Side - Difference Model]]), "",N7+IF(Q7&lt;0, (N7/(Q7/-100)), N7*(Q7/100)))</f>
      </c>
      <c r="V7" s="169" t="str">
        <f>IFERROR(IF(ISBLANK(Table123[[#This Row],[Odds Side - Win Probability Model]]), "",N7+IF(R7&lt;0, (N7/(R7/-100)), N7*(R7/100))),"")</f>
      </c>
      <c r="W7" s="168" t="str">
        <f t="shared" si="2"/>
      </c>
      <c r="X7" s="169" t="str">
        <f t="shared" si="3"/>
      </c>
      <c r="Y7" s="168" t="str">
        <f>IF(ISBLANK(Table123[[#This Row],[Odds Spread]]), "",O7+IF(S7&lt;0, (O7/(S7/-100)), O7*(S7/100)))</f>
      </c>
      <c r="Z7" s="168" t="str">
        <f t="shared" si="4"/>
      </c>
      <c r="AA7" s="68" t="n">
        <f t="shared" si="5"/>
        <v>0</v>
      </c>
      <c r="AB7" s="68" t="n">
        <f t="shared" si="6"/>
        <v>0</v>
      </c>
      <c r="AC7" s="170" t="str">
        <f>IF('Prediction Log'!$T8="Y", "W", IF('Prediction Log'!$T8="N","L",""))</f>
        <v>W</v>
      </c>
      <c r="AD7" s="171" t="str">
        <f>IF('Prediction Log'!$V8="Y", "W", IF('Prediction Log'!$V8="N","L",""))</f>
        <v>W</v>
      </c>
      <c r="AE7" s="172" t="str">
        <f>IF(ISBLANK(Table123[[#This Row],[Odds Side - Difference Model]]), "",IF(AC7="W", W7, IF(AC7="L",-N7, "")))</f>
      </c>
      <c r="AF7" s="173" t="str">
        <f>IFERROR((IF(ISERR(Table123[[#This Row],[Potential Payout Side - Win Probability Model]]), "",IF(AD7="W", X7, IF(AD7="L",-N7, "")))), "")</f>
      </c>
      <c r="AG7" s="170" t="str">
        <f>IF('Prediction Log'!$U8="Y", "W", IF('Prediction Log'!$U8="N", "L", ""))</f>
      </c>
      <c r="AH7" s="172" t="str">
        <f>IF(ISBLANK(Table123[[#This Row],[Odds Spread]]), "",IF(AG7="W", Z7, IF(AG7="L",-O7, "")))</f>
      </c>
      <c r="AI7" s="184"/>
      <c r="AJ7" s="183" t="str">
        <f t="shared" si="7"/>
      </c>
      <c r="AK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7" s="1" t="n">
        <f>COUNTIF($AG$2:$AG$1048576, "W")</f>
        <v>29</v>
      </c>
      <c r="AO7" s="1" t="n">
        <f>COUNTIF($AG$2:$AG$1048576, "L")</f>
        <v>45</v>
      </c>
      <c r="AP7" s="134" t="n">
        <f>AN7/SUM(AN7:AO7)</f>
        <v>0.39189189189189189</v>
      </c>
      <c r="AQ7" s="135" t="n">
        <f>SUM(Table123[Winnings (Spread)])</f>
        <v>0</v>
      </c>
      <c r="AS7" s="1" t="n">
        <f>COUNTIF($AG$2:$AG$1048576, "W")</f>
        <v>29</v>
      </c>
      <c r="AT7" s="1" t="n">
        <f>COUNTIF($AG$2:$AG$1048576, "L")</f>
        <v>45</v>
      </c>
      <c r="AU7" s="134" t="n">
        <f>AS7/SUM(AS7:AT7)</f>
        <v>0.39189189189189189</v>
      </c>
      <c r="AV7" s="135" t="n">
        <f>SUM(Table123[Winnings (Spread)])</f>
        <v>0</v>
      </c>
    </row>
    <row r="8">
      <c r="A8" s="65" t="n">
        <f>Games!A8</f>
        <v>1</v>
      </c>
      <c r="B8" s="65" t="str">
        <f>IF('Prediction Log'!B9=0, "",'Prediction Log'!B9)</f>
        <v>Central Michigan</v>
      </c>
      <c r="C8" s="65" t="str">
        <f>IF('Prediction Log'!C9=0, "",'Prediction Log'!C9)</f>
        <v>Central Connecticut</v>
      </c>
      <c r="D8" s="65" t="n">
        <f>IF('Prediction Log'!D9=0, "",'Prediction Log'!D9)</f>
        <v>-33.5</v>
      </c>
      <c r="E8" s="65" t="n">
        <f>IF('Prediction Log'!E9=0, "",'Prediction Log'!E9)</f>
        <v>-12.244867683710799</v>
      </c>
      <c r="F8" s="65" t="str">
        <f>IF('Prediction Log'!H9=0, "",'Prediction Log'!H9)</f>
        <v>Central Michigan</v>
      </c>
      <c r="G8" s="64" t="str">
        <f>IF(ISBLANK(Games!B8), "",'Prediction Log'!$I9)</f>
        <v>Central Michigan</v>
      </c>
      <c r="H8" s="66" t="n">
        <f>'Prediction Log'!$J9</f>
        <v>0.88594774490055628</v>
      </c>
      <c r="I8" s="65" t="str">
        <f>IF(ISBLANK(Games!T8), "",IF(AND(Games!T8="",Games!U8=""),"",IF(ISTEXT(Games!U8), "Side",Games!T8)))</f>
      </c>
      <c r="J8" s="65" t="str">
        <f>IF(ISBLANK(Games!B8), "",IF(Games!P8="Y", Games!B8, Games!C8))</f>
        <v>Central Connecticut</v>
      </c>
      <c r="K8" s="65" t="str">
        <f>Games!K8</f>
        <v>Central Michigan</v>
      </c>
      <c r="L8" s="65" t="n">
        <f>IF(ISBLANK(Games!D8), "",Games!D8)</f>
        <v>-33.5</v>
      </c>
      <c r="M8" s="65"/>
      <c r="N8" s="167" t="str">
        <f>IF(ISBLANK(Table123[[#This Row],[Odds Side - Difference Model]]), "", 1)</f>
      </c>
      <c r="O8" s="167" t="str">
        <f>IF(ISBLANK(Table123[[#This Row],[Odds Spread]]), "", 1)</f>
      </c>
      <c r="P8" s="67"/>
      <c r="Q8" s="67"/>
      <c r="R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" s="67"/>
      <c r="T8" s="67"/>
      <c r="U8" s="168" t="str">
        <f>IF(ISBLANK(Table123[[#This Row],[Odds Side - Difference Model]]), "",N8+IF(Q8&lt;0, (N8/(Q8/-100)), N8*(Q8/100)))</f>
      </c>
      <c r="V8" s="169" t="str">
        <f>IFERROR(IF(ISBLANK(Table123[[#This Row],[Odds Side - Win Probability Model]]), "",N8+IF(R8&lt;0, (N8/(R8/-100)), N8*(R8/100))),"")</f>
      </c>
      <c r="W8" s="168" t="str">
        <f t="shared" si="2"/>
      </c>
      <c r="X8" s="169" t="str">
        <f t="shared" si="3"/>
      </c>
      <c r="Y8" s="168" t="str">
        <f>IF(ISBLANK(Table123[[#This Row],[Odds Spread]]), "",O8+IF(S8&lt;0, (O8/(S8/-100)), O8*(S8/100)))</f>
      </c>
      <c r="Z8" s="168" t="str">
        <f t="shared" si="4"/>
      </c>
      <c r="AA8" s="68" t="n">
        <f t="shared" si="5"/>
        <v>0</v>
      </c>
      <c r="AB8" s="68" t="n">
        <f t="shared" si="6"/>
        <v>0</v>
      </c>
      <c r="AC8" s="170" t="str">
        <f>IF('Prediction Log'!$T9="Y", "W", IF('Prediction Log'!$T9="N","L",""))</f>
        <v>W</v>
      </c>
      <c r="AD8" s="171" t="str">
        <f>IF('Prediction Log'!$V9="Y", "W", IF('Prediction Log'!$V9="N","L",""))</f>
        <v>W</v>
      </c>
      <c r="AE8" s="172" t="str">
        <f>IF(ISBLANK(Table123[[#This Row],[Odds Side - Difference Model]]), "",IF(AC8="W", W8, IF(AC8="L",-N8, "")))</f>
      </c>
      <c r="AF8" s="173" t="str">
        <f>IFERROR((IF(ISERR(Table123[[#This Row],[Potential Payout Side - Win Probability Model]]), "",IF(AD8="W", X8, IF(AD8="L",-N8, "")))), "")</f>
      </c>
      <c r="AG8" s="170" t="str">
        <f>IF('Prediction Log'!$U9="Y", "W", IF('Prediction Log'!$U9="N", "L", ""))</f>
        <v>L</v>
      </c>
      <c r="AH8" s="172" t="str">
        <f>IF(ISBLANK(Table123[[#This Row],[Odds Spread]]), "",IF(AG8="W", Z8, IF(AG8="L",-O8, "")))</f>
      </c>
      <c r="AI8" s="184"/>
      <c r="AJ8" s="183" t="str">
        <f t="shared" si="7"/>
      </c>
      <c r="AK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">
      <c r="A9" s="65" t="n">
        <f>Games!A9</f>
        <v>1</v>
      </c>
      <c r="B9" s="65" t="str">
        <f>IF('Prediction Log'!B10=0, "",'Prediction Log'!B10)</f>
        <v>Buffalo</v>
      </c>
      <c r="C9" s="65" t="str">
        <f>IF('Prediction Log'!C10=0, "",'Prediction Log'!C10)</f>
        <v>Lafayette</v>
      </c>
      <c r="D9" s="65" t="n">
        <f>IF('Prediction Log'!D10=0, "",'Prediction Log'!D10)</f>
        <v>-3.5</v>
      </c>
      <c r="E9" s="65" t="n">
        <f>IF('Prediction Log'!E10=0, "",'Prediction Log'!E10)</f>
        <v>-10.1429084044328</v>
      </c>
      <c r="F9" s="65" t="str">
        <f>IF('Prediction Log'!H10=0, "",'Prediction Log'!H10)</f>
        <v>Buffalo</v>
      </c>
      <c r="G9" s="64" t="str">
        <f>IF(ISBLANK(Games!B9), "",'Prediction Log'!$I10)</f>
        <v>Buffalo</v>
      </c>
      <c r="H9" s="66" t="n">
        <f>'Prediction Log'!$J10</f>
        <v>0.85163783216744648</v>
      </c>
      <c r="I9" s="65" t="str">
        <f>IF(ISBLANK(Games!T9), "",IF(AND(Games!T9="",Games!U9=""),"",IF(ISTEXT(Games!U9), "Side",Games!T9)))</f>
      </c>
      <c r="J9" s="65" t="str">
        <f>IF(ISBLANK(Games!B9), "",IF(Games!P9="Y", Games!B9, Games!C9))</f>
        <v>Buffalo</v>
      </c>
      <c r="K9" s="65" t="str">
        <f>Games!K9</f>
        <v>Buffalo</v>
      </c>
      <c r="L9" s="65" t="n">
        <f>IF(ISBLANK(Games!D9), "",Games!D9)</f>
        <v>-3.5</v>
      </c>
      <c r="M9" s="65"/>
      <c r="N9" s="167" t="str">
        <f>IF(ISBLANK(Table123[[#This Row],[Odds Side - Difference Model]]), "", 1)</f>
      </c>
      <c r="O9" s="167" t="str">
        <f>IF(ISBLANK(Table123[[#This Row],[Odds Spread]]), "", 1)</f>
      </c>
      <c r="P9" s="67"/>
      <c r="Q9" s="67"/>
      <c r="R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" s="67"/>
      <c r="T9" s="67"/>
      <c r="U9" s="168" t="str">
        <f>IF(ISBLANK(Table123[[#This Row],[Odds Side - Difference Model]]), "",N9+IF(Q9&lt;0, (N9/(Q9/-100)), N9*(Q9/100)))</f>
      </c>
      <c r="V9" s="169" t="str">
        <f>IFERROR(IF(ISBLANK(Table123[[#This Row],[Odds Side - Win Probability Model]]), "",N9+IF(R9&lt;0, (N9/(R9/-100)), N9*(R9/100))),"")</f>
      </c>
      <c r="W9" s="168" t="str">
        <f t="shared" si="2"/>
      </c>
      <c r="X9" s="169" t="str">
        <f t="shared" si="3"/>
      </c>
      <c r="Y9" s="168" t="str">
        <f>IF(ISBLANK(Table123[[#This Row],[Odds Spread]]), "",O9+IF(S9&lt;0, (O9/(S9/-100)), O9*(S9/100)))</f>
      </c>
      <c r="Z9" s="168" t="str">
        <f t="shared" si="4"/>
      </c>
      <c r="AA9" s="68" t="n">
        <f t="shared" si="5"/>
        <v>0</v>
      </c>
      <c r="AB9" s="68" t="n">
        <f t="shared" si="6"/>
        <v>0</v>
      </c>
      <c r="AC9" s="170" t="str">
        <f>IF('Prediction Log'!$T10="Y", "W", IF('Prediction Log'!$T10="N","L",""))</f>
        <v>W</v>
      </c>
      <c r="AD9" s="171" t="str">
        <f>IF('Prediction Log'!$V10="Y", "W", IF('Prediction Log'!$V10="N","L",""))</f>
        <v>W</v>
      </c>
      <c r="AE9" s="172" t="str">
        <f>IF(ISBLANK(Table123[[#This Row],[Odds Side - Difference Model]]), "",IF(AC9="W", W9, IF(AC9="L",-N9, "")))</f>
      </c>
      <c r="AF9" s="173" t="str">
        <f>IFERROR((IF(ISERR(Table123[[#This Row],[Potential Payout Side - Win Probability Model]]), "",IF(AD9="W", X9, IF(AD9="L",-N9, "")))), "")</f>
      </c>
      <c r="AG9" s="170" t="str">
        <f>IF('Prediction Log'!$U10="Y", "W", IF('Prediction Log'!$U10="N", "L", ""))</f>
        <v>W</v>
      </c>
      <c r="AH9" s="172" t="str">
        <f>IF(ISBLANK(Table123[[#This Row],[Odds Spread]]), "",IF(AG9="W", Z9, IF(AG9="L",-O9, "")))</f>
      </c>
      <c r="AI9" s="184"/>
      <c r="AJ9" s="183" t="str">
        <f t="shared" si="7"/>
      </c>
      <c r="AK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9" s="182" t="s">
        <v>62</v>
      </c>
      <c r="AO9" s="182"/>
      <c r="AP9" s="182"/>
      <c r="AQ9" s="182"/>
      <c r="AS9" s="182" t="s">
        <v>62</v>
      </c>
      <c r="AT9" s="182"/>
      <c r="AU9" s="182"/>
      <c r="AV9" s="182"/>
    </row>
    <row r="10">
      <c r="A10" s="65" t="n">
        <f>Games!A10</f>
        <v>1</v>
      </c>
      <c r="B10" s="65" t="str">
        <f>IF('Prediction Log'!B11=0, "",'Prediction Log'!B11)</f>
        <v>NC State</v>
      </c>
      <c r="C10" s="65" t="str">
        <f>IF('Prediction Log'!C11=0, "",'Prediction Log'!C11)</f>
        <v>Western Carolina</v>
      </c>
      <c r="D10" s="65" t="str">
        <f>IF('Prediction Log'!D11=0, "",'Prediction Log'!D11)</f>
      </c>
      <c r="E10" s="65" t="n">
        <f>IF('Prediction Log'!E11=0, "",'Prediction Log'!E11)</f>
        <v>-23.810738659483601</v>
      </c>
      <c r="F10" s="65" t="str">
        <f>IF('Prediction Log'!H11=0, "",'Prediction Log'!H11)</f>
        <v>NC State</v>
      </c>
      <c r="G10" s="64" t="str">
        <f>IF(ISBLANK(Games!B10), "",'Prediction Log'!$I11)</f>
        <v>NC State</v>
      </c>
      <c r="H10" s="66" t="n">
        <f>'Prediction Log'!$J11</f>
        <v>0.9762111954718945</v>
      </c>
      <c r="I10" s="65" t="str">
        <f>IF(ISBLANK(Games!T10), "",IF(AND(Games!T10="",Games!U10=""),"",IF(ISTEXT(Games!U10), "Side",Games!T10)))</f>
      </c>
      <c r="J10" s="65" t="str">
        <f>IF(ISBLANK(Games!B10), "",IF(Games!P10="Y", Games!B10, Games!C10))</f>
        <v>NC State</v>
      </c>
      <c r="K10" s="65" t="str">
        <f>Games!K10</f>
        <v>NC State</v>
      </c>
      <c r="L10" s="65" t="str">
        <f>IF(ISBLANK(Games!D10), "",Games!D10)</f>
      </c>
      <c r="M10" s="65"/>
      <c r="N10" s="167" t="str">
        <f>IF(ISBLANK(Table123[[#This Row],[Odds Side - Difference Model]]), "", 1)</f>
      </c>
      <c r="O10" s="167" t="str">
        <f>IF(ISBLANK(Table123[[#This Row],[Odds Spread]]), "", 1)</f>
      </c>
      <c r="P10" s="67"/>
      <c r="Q10" s="67"/>
      <c r="R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" s="67"/>
      <c r="T10" s="67"/>
      <c r="U10" s="168" t="str">
        <f>IF(ISBLANK(Table123[[#This Row],[Odds Side - Difference Model]]), "",N10+IF(Q10&lt;0, (N10/(Q10/-100)), N10*(Q10/100)))</f>
      </c>
      <c r="V10" s="169" t="str">
        <f>IFERROR(IF(ISBLANK(Table123[[#This Row],[Odds Side - Win Probability Model]]), "",N10+IF(R10&lt;0, (N10/(R10/-100)), N10*(R10/100))),"")</f>
      </c>
      <c r="W10" s="168" t="str">
        <f t="shared" si="2"/>
      </c>
      <c r="X10" s="169" t="str">
        <f t="shared" si="3"/>
      </c>
      <c r="Y10" s="168" t="str">
        <f>IF(ISBLANK(Table123[[#This Row],[Odds Spread]]), "",O10+IF(S10&lt;0, (O10/(S10/-100)), O10*(S10/100)))</f>
      </c>
      <c r="Z10" s="168" t="str">
        <f t="shared" si="4"/>
      </c>
      <c r="AA10" s="68" t="n">
        <f t="shared" si="5"/>
        <v>0</v>
      </c>
      <c r="AB10" s="68" t="n">
        <f t="shared" si="6"/>
        <v>0</v>
      </c>
      <c r="AC10" s="170" t="str">
        <f>IF('Prediction Log'!$T11="Y", "W", IF('Prediction Log'!$T11="N","L",""))</f>
        <v>W</v>
      </c>
      <c r="AD10" s="171" t="str">
        <f>IF('Prediction Log'!$V11="Y", "W", IF('Prediction Log'!$V11="N","L",""))</f>
        <v>W</v>
      </c>
      <c r="AE10" s="172" t="str">
        <f>IF(ISBLANK(Table123[[#This Row],[Odds Side - Difference Model]]), "",IF(AC10="W", W10, IF(AC10="L",-N10, "")))</f>
      </c>
      <c r="AF10" s="173" t="str">
        <f>IFERROR((IF(ISERR(Table123[[#This Row],[Potential Payout Side - Win Probability Model]]), "",IF(AD10="W", X10, IF(AD10="L",-N10, "")))), "")</f>
      </c>
      <c r="AG10" s="170" t="str">
        <f>IF('Prediction Log'!$U11="Y", "W", IF('Prediction Log'!$U11="N", "L", ""))</f>
      </c>
      <c r="AH10" s="172" t="str">
        <f>IF(ISBLANK(Table123[[#This Row],[Odds Spread]]), "",IF(AG10="W", Z10, IF(AG10="L",-O10, "")))</f>
      </c>
      <c r="AI10" s="184"/>
      <c r="AJ10" s="183" t="str">
        <f t="shared" si="7"/>
      </c>
      <c r="AK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10" s="123" t="s">
        <v>6</v>
      </c>
      <c r="AO10" s="123" t="s">
        <v>7</v>
      </c>
      <c r="AP10" s="1" t="s">
        <v>8</v>
      </c>
      <c r="AQ10" s="1" t="s">
        <v>9</v>
      </c>
      <c r="AS10" s="123" t="s">
        <v>6</v>
      </c>
      <c r="AT10" s="123" t="s">
        <v>7</v>
      </c>
      <c r="AU10" s="1" t="s">
        <v>8</v>
      </c>
      <c r="AV10" s="1" t="s">
        <v>9</v>
      </c>
    </row>
    <row r="11">
      <c r="A11" s="65" t="n">
        <f>Games!A11</f>
        <v>1</v>
      </c>
      <c r="B11" s="65" t="str">
        <f>IF('Prediction Log'!B12=0, "",'Prediction Log'!B12)</f>
        <v>UCF</v>
      </c>
      <c r="C11" s="65" t="str">
        <f>IF('Prediction Log'!C12=0, "",'Prediction Log'!C12)</f>
        <v>New Hampshire</v>
      </c>
      <c r="D11" s="65" t="str">
        <f>IF('Prediction Log'!D12=0, "",'Prediction Log'!D12)</f>
      </c>
      <c r="E11" s="65" t="n">
        <f>IF('Prediction Log'!E12=0, "",'Prediction Log'!E12)</f>
        <v>-25.499654989538399</v>
      </c>
      <c r="F11" s="65" t="str">
        <f>IF('Prediction Log'!H12=0, "",'Prediction Log'!H12)</f>
        <v>UCF</v>
      </c>
      <c r="G11" s="64" t="str">
        <f>IF(ISBLANK(Games!B11), "",'Prediction Log'!$I12)</f>
        <v>UCF</v>
      </c>
      <c r="H11" s="66" t="n">
        <f>'Prediction Log'!$J12</f>
        <v>0.98124788334325064</v>
      </c>
      <c r="I11" s="65" t="str">
        <f>IF(ISBLANK(Games!T11), "",IF(AND(Games!T11="",Games!U11=""),"",IF(ISTEXT(Games!U11), "Side",Games!T11)))</f>
      </c>
      <c r="J11" s="65" t="str">
        <f>IF(ISBLANK(Games!B11), "",IF(Games!P11="Y", Games!B11, Games!C11))</f>
        <v>UCF</v>
      </c>
      <c r="K11" s="65" t="str">
        <f>Games!K11</f>
        <v>UCF</v>
      </c>
      <c r="L11" s="65" t="str">
        <f>IF(ISBLANK(Games!D11), "",Games!D11)</f>
      </c>
      <c r="M11" s="65"/>
      <c r="N11" s="167" t="str">
        <f>IF(ISBLANK(Table123[[#This Row],[Odds Side - Difference Model]]), "", 1)</f>
      </c>
      <c r="O11" s="167" t="str">
        <f>IF(ISBLANK(Table123[[#This Row],[Odds Spread]]), "", 1)</f>
      </c>
      <c r="P11" s="67"/>
      <c r="Q11" s="67"/>
      <c r="R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" s="67"/>
      <c r="T11" s="67"/>
      <c r="U11" s="168" t="str">
        <f>IF(ISBLANK(Table123[[#This Row],[Odds Side - Difference Model]]), "",N11+IF(Q11&lt;0, (N11/(Q11/-100)), N11*(Q11/100)))</f>
      </c>
      <c r="V11" s="169" t="str">
        <f>IFERROR(IF(ISBLANK(Table123[[#This Row],[Odds Side - Win Probability Model]]), "",N11+IF(R11&lt;0, (N11/(R11/-100)), N11*(R11/100))),"")</f>
      </c>
      <c r="W11" s="168" t="str">
        <f t="shared" si="2"/>
      </c>
      <c r="X11" s="169" t="str">
        <f t="shared" si="3"/>
      </c>
      <c r="Y11" s="168" t="str">
        <f>IF(ISBLANK(Table123[[#This Row],[Odds Spread]]), "",O11+IF(S11&lt;0, (O11/(S11/-100)), O11*(S11/100)))</f>
      </c>
      <c r="Z11" s="168" t="str">
        <f t="shared" si="4"/>
      </c>
      <c r="AA11" s="68" t="n">
        <f t="shared" si="5"/>
        <v>0</v>
      </c>
      <c r="AB11" s="68" t="n">
        <f t="shared" si="6"/>
        <v>0</v>
      </c>
      <c r="AC11" s="170" t="str">
        <f>IF('Prediction Log'!$T12="Y", "W", IF('Prediction Log'!$T12="N","L",""))</f>
        <v>W</v>
      </c>
      <c r="AD11" s="171" t="str">
        <f>IF('Prediction Log'!$V12="Y", "W", IF('Prediction Log'!$V12="N","L",""))</f>
        <v>W</v>
      </c>
      <c r="AE11" s="172" t="str">
        <f>IF(ISBLANK(Table123[[#This Row],[Odds Side - Difference Model]]), "",IF(AC11="W", W11, IF(AC11="L",-N11, "")))</f>
      </c>
      <c r="AF11" s="173" t="str">
        <f>IFERROR((IF(ISERR(Table123[[#This Row],[Potential Payout Side - Win Probability Model]]), "",IF(AD11="W", X11, IF(AD11="L",-N11, "")))), "")</f>
      </c>
      <c r="AG11" s="170" t="str">
        <f>IF('Prediction Log'!$U12="Y", "W", IF('Prediction Log'!$U12="N", "L", ""))</f>
      </c>
      <c r="AH11" s="172" t="str">
        <f>IF(ISBLANK(Table123[[#This Row],[Odds Spread]]), "",IF(AG11="W", Z11, IF(AG11="L",-O11, "")))</f>
      </c>
      <c r="AI11" s="184"/>
      <c r="AJ11" s="183" t="str">
        <f t="shared" si="7"/>
      </c>
      <c r="AK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11" s="1" t="n">
        <f>AN7+AN3</f>
        <v>119</v>
      </c>
      <c r="AO11" s="1" t="n">
        <f>AO7+AO3</f>
        <v>53</v>
      </c>
      <c r="AP11" s="134" t="n">
        <f>AN11/SUM(AN11:AO11)</f>
        <v>0.69186046511627908</v>
      </c>
      <c r="AQ11" s="135" t="n">
        <f>AQ7+AQ3</f>
        <v>0</v>
      </c>
      <c r="AS11" s="1" t="n">
        <f>AS7+AS3</f>
        <v>115</v>
      </c>
      <c r="AT11" s="1" t="n">
        <f>AT7+AT3</f>
        <v>57</v>
      </c>
      <c r="AU11" s="134" t="n">
        <f>AS11/SUM(AS11:AT11)</f>
        <v>0.66860465116279066</v>
      </c>
      <c r="AV11" s="135" t="n">
        <f>AV7+AV3</f>
        <v>0</v>
      </c>
    </row>
    <row r="12">
      <c r="A12" s="65" t="n">
        <f>Games!A12</f>
        <v>1</v>
      </c>
      <c r="B12" s="65" t="str">
        <f>IF('Prediction Log'!B13=0, "",'Prediction Log'!B13)</f>
        <v>Bowling Green</v>
      </c>
      <c r="C12" s="65" t="str">
        <f>IF('Prediction Log'!C13=0, "",'Prediction Log'!C13)</f>
        <v>Fordham</v>
      </c>
      <c r="D12" s="65" t="str">
        <f>IF('Prediction Log'!D13=0, "",'Prediction Log'!D13)</f>
      </c>
      <c r="E12" s="65" t="n">
        <f>IF('Prediction Log'!E13=0, "",'Prediction Log'!E13)</f>
        <v>-17.806021965062801</v>
      </c>
      <c r="F12" s="65" t="str">
        <f>IF('Prediction Log'!H13=0, "",'Prediction Log'!H13)</f>
        <v>Bowling Green</v>
      </c>
      <c r="G12" s="64" t="str">
        <f>IF(ISBLANK(Games!B12), "",'Prediction Log'!$I13)</f>
        <v>Bowling Green</v>
      </c>
      <c r="H12" s="66" t="n">
        <f>'Prediction Log'!$J13</f>
        <v>0.9453349985465499</v>
      </c>
      <c r="I12" s="65" t="str">
        <f>IF(ISBLANK(Games!T12), "",IF(AND(Games!T12="",Games!U12=""),"",IF(ISTEXT(Games!U12), "Side",Games!T12)))</f>
      </c>
      <c r="J12" s="65" t="str">
        <f>IF(ISBLANK(Games!B12), "",IF(Games!P12="Y", Games!B12, Games!C12))</f>
        <v>Bowling Green</v>
      </c>
      <c r="K12" s="65" t="str">
        <f>Games!K12</f>
        <v>Bowling Green</v>
      </c>
      <c r="L12" s="65" t="str">
        <f>IF(ISBLANK(Games!D12), "",Games!D12)</f>
      </c>
      <c r="M12" s="65"/>
      <c r="N12" s="167" t="str">
        <f>IF(ISBLANK(Table123[[#This Row],[Odds Side - Difference Model]]), "", 1)</f>
      </c>
      <c r="O12" s="167" t="str">
        <f>IF(ISBLANK(Table123[[#This Row],[Odds Spread]]), "", 1)</f>
      </c>
      <c r="P12" s="67"/>
      <c r="Q12" s="67"/>
      <c r="R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" s="67"/>
      <c r="T12" s="67"/>
      <c r="U12" s="168" t="str">
        <f>IF(ISBLANK(Table123[[#This Row],[Odds Side - Difference Model]]), "",N12+IF(Q12&lt;0, (N12/(Q12/-100)), N12*(Q12/100)))</f>
      </c>
      <c r="V12" s="169" t="str">
        <f>IFERROR(IF(ISBLANK(Table123[[#This Row],[Odds Side - Win Probability Model]]), "",N12+IF(R12&lt;0, (N12/(R12/-100)), N12*(R12/100))),"")</f>
      </c>
      <c r="W12" s="168" t="str">
        <f t="shared" si="2"/>
      </c>
      <c r="X12" s="169" t="str">
        <f t="shared" si="3"/>
      </c>
      <c r="Y12" s="168" t="str">
        <f>IF(ISBLANK(Table123[[#This Row],[Odds Spread]]), "",O12+IF(S12&lt;0, (O12/(S12/-100)), O12*(S12/100)))</f>
      </c>
      <c r="Z12" s="168" t="str">
        <f t="shared" si="4"/>
      </c>
      <c r="AA12" s="68" t="n">
        <f t="shared" si="5"/>
        <v>0</v>
      </c>
      <c r="AB12" s="68" t="n">
        <f t="shared" si="6"/>
        <v>0</v>
      </c>
      <c r="AC12" s="170" t="str">
        <f>IF('Prediction Log'!$T13="Y", "W", IF('Prediction Log'!$T13="N","L",""))</f>
        <v>W</v>
      </c>
      <c r="AD12" s="171" t="str">
        <f>IF('Prediction Log'!$V13="Y", "W", IF('Prediction Log'!$V13="N","L",""))</f>
        <v>W</v>
      </c>
      <c r="AE12" s="172" t="str">
        <f>IF(ISBLANK(Table123[[#This Row],[Odds Side - Difference Model]]), "",IF(AC12="W", W12, IF(AC12="L",-N12, "")))</f>
      </c>
      <c r="AF12" s="173" t="str">
        <f>IFERROR((IF(ISERR(Table123[[#This Row],[Potential Payout Side - Win Probability Model]]), "",IF(AD12="W", X12, IF(AD12="L",-N12, "")))), "")</f>
      </c>
      <c r="AG12" s="170" t="str">
        <f>IF('Prediction Log'!$U13="Y", "W", IF('Prediction Log'!$U13="N", "L", ""))</f>
      </c>
      <c r="AH12" s="172" t="str">
        <f>IF(ISBLANK(Table123[[#This Row],[Odds Spread]]), "",IF(AG12="W", Z12, IF(AG12="L",-O12, "")))</f>
      </c>
      <c r="AI12" s="184"/>
      <c r="AJ12" s="183" t="str">
        <f t="shared" si="7"/>
      </c>
      <c r="AK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">
      <c r="A13" s="65" t="n">
        <f>Games!A13</f>
        <v>1</v>
      </c>
      <c r="B13" s="65" t="str">
        <f>IF('Prediction Log'!B14=0, "",'Prediction Log'!B14)</f>
        <v>Wake Forest</v>
      </c>
      <c r="C13" s="65" t="str">
        <f>IF('Prediction Log'!C14=0, "",'Prediction Log'!C14)</f>
        <v>North Carolina A&amp;T</v>
      </c>
      <c r="D13" s="65" t="str">
        <f>IF('Prediction Log'!D14=0, "",'Prediction Log'!D14)</f>
      </c>
      <c r="E13" s="65" t="n">
        <f>IF('Prediction Log'!E14=0, "",'Prediction Log'!E14)</f>
        <v>-16.359749818987201</v>
      </c>
      <c r="F13" s="65" t="str">
        <f>IF('Prediction Log'!H14=0, "",'Prediction Log'!H14)</f>
        <v>Wake Forest</v>
      </c>
      <c r="G13" s="64" t="str">
        <f>IF(ISBLANK(Games!B13), "",'Prediction Log'!$I14)</f>
        <v>Wake Forest</v>
      </c>
      <c r="H13" s="66" t="n">
        <f>'Prediction Log'!$J14</f>
        <v>0.93352739432176124</v>
      </c>
      <c r="I13" s="65" t="str">
        <f>IF(ISBLANK(Games!T13), "",IF(AND(Games!T13="",Games!U13=""),"",IF(ISTEXT(Games!U13), "Side",Games!T13)))</f>
      </c>
      <c r="J13" s="65" t="str">
        <f>IF(ISBLANK(Games!B13), "",IF(Games!P13="Y", Games!B13, Games!C13))</f>
        <v>Wake Forest</v>
      </c>
      <c r="K13" s="65" t="str">
        <f>Games!K13</f>
        <v>Wake Forest</v>
      </c>
      <c r="L13" s="65" t="str">
        <f>IF(ISBLANK(Games!D13), "",Games!D13)</f>
      </c>
      <c r="M13" s="65"/>
      <c r="N13" s="167" t="str">
        <f>IF(ISBLANK(Table123[[#This Row],[Odds Side - Difference Model]]), "", 1)</f>
      </c>
      <c r="O13" s="167" t="str">
        <f>IF(ISBLANK(Table123[[#This Row],[Odds Spread]]), "", 1)</f>
      </c>
      <c r="P13" s="67"/>
      <c r="Q13" s="67"/>
      <c r="R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" s="67"/>
      <c r="T13" s="67"/>
      <c r="U13" s="168" t="str">
        <f>IF(ISBLANK(Table123[[#This Row],[Odds Side - Difference Model]]), "",N13+IF(Q13&lt;0, (N13/(Q13/-100)), N13*(Q13/100)))</f>
      </c>
      <c r="V13" s="169" t="str">
        <f>IFERROR(IF(ISBLANK(Table123[[#This Row],[Odds Side - Win Probability Model]]), "",N13+IF(R13&lt;0, (N13/(R13/-100)), N13*(R13/100))),"")</f>
      </c>
      <c r="W13" s="168" t="str">
        <f t="shared" si="2"/>
      </c>
      <c r="X13" s="169" t="str">
        <f t="shared" si="3"/>
      </c>
      <c r="Y13" s="168" t="str">
        <f>IF(ISBLANK(Table123[[#This Row],[Odds Spread]]), "",O13+IF(S13&lt;0, (O13/(S13/-100)), O13*(S13/100)))</f>
      </c>
      <c r="Z13" s="168" t="str">
        <f t="shared" si="4"/>
      </c>
      <c r="AA13" s="68" t="n">
        <f t="shared" si="5"/>
        <v>0</v>
      </c>
      <c r="AB13" s="68" t="n">
        <f t="shared" si="6"/>
        <v>0</v>
      </c>
      <c r="AC13" s="170" t="str">
        <f>IF('Prediction Log'!$T14="Y", "W", IF('Prediction Log'!$T14="N","L",""))</f>
        <v>W</v>
      </c>
      <c r="AD13" s="171" t="str">
        <f>IF('Prediction Log'!$V14="Y", "W", IF('Prediction Log'!$V14="N","L",""))</f>
        <v>W</v>
      </c>
      <c r="AE13" s="172" t="str">
        <f>IF(ISBLANK(Table123[[#This Row],[Odds Side - Difference Model]]), "",IF(AC13="W", W13, IF(AC13="L",-N13, "")))</f>
      </c>
      <c r="AF13" s="173" t="str">
        <f>IFERROR((IF(ISERR(Table123[[#This Row],[Potential Payout Side - Win Probability Model]]), "",IF(AD13="W", X13, IF(AD13="L",-N13, "")))), "")</f>
      </c>
      <c r="AG13" s="170" t="str">
        <f>IF('Prediction Log'!$U14="Y", "W", IF('Prediction Log'!$U14="N", "L", ""))</f>
      </c>
      <c r="AH13" s="172" t="str">
        <f>IF(ISBLANK(Table123[[#This Row],[Odds Spread]]), "",IF(AG13="W", Z13, IF(AG13="L",-O13, "")))</f>
      </c>
      <c r="AI13" s="184"/>
      <c r="AJ13" s="183" t="str">
        <f t="shared" si="7"/>
      </c>
      <c r="AK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">
      <c r="A14" s="65" t="n">
        <f>Games!A14</f>
        <v>1</v>
      </c>
      <c r="B14" s="65" t="str">
        <f>IF('Prediction Log'!B15=0, "",'Prediction Log'!B15)</f>
        <v>Arkansas</v>
      </c>
      <c r="C14" s="65" t="str">
        <f>IF('Prediction Log'!C15=0, "",'Prediction Log'!C15)</f>
        <v>Arkansas-Pine Bluff</v>
      </c>
      <c r="D14" s="65" t="str">
        <f>IF('Prediction Log'!D15=0, "",'Prediction Log'!D15)</f>
      </c>
      <c r="E14" s="65" t="n">
        <f>IF('Prediction Log'!E15=0, "",'Prediction Log'!E15)</f>
        <v>-19.738279326680399</v>
      </c>
      <c r="F14" s="65" t="str">
        <f>IF('Prediction Log'!H15=0, "",'Prediction Log'!H15)</f>
        <v>Arkansas</v>
      </c>
      <c r="G14" s="64" t="str">
        <f>IF(ISBLANK(Games!B14), "",'Prediction Log'!$I15)</f>
        <v>Arkansas</v>
      </c>
      <c r="H14" s="66" t="n">
        <f>'Prediction Log'!$J15</f>
        <v>0.94482901187767121</v>
      </c>
      <c r="I14" s="65" t="str">
        <f>IF(ISBLANK(Games!T14), "",IF(AND(Games!T14="",Games!U14=""),"",IF(ISTEXT(Games!U14), "Side",Games!T14)))</f>
      </c>
      <c r="J14" s="65" t="str">
        <f>IF(ISBLANK(Games!B14), "",IF(Games!P14="Y", Games!B14, Games!C14))</f>
        <v>Arkansas</v>
      </c>
      <c r="K14" s="65" t="str">
        <f>Games!K14</f>
        <v>Arkansas</v>
      </c>
      <c r="L14" s="65" t="str">
        <f>IF(ISBLANK(Games!D14), "",Games!D14)</f>
      </c>
      <c r="M14" s="65"/>
      <c r="N14" s="167" t="str">
        <f>IF(ISBLANK(Table123[[#This Row],[Odds Side - Difference Model]]), "", 1)</f>
      </c>
      <c r="O14" s="167" t="str">
        <f>IF(ISBLANK(Table123[[#This Row],[Odds Spread]]), "", 1)</f>
      </c>
      <c r="P14" s="67"/>
      <c r="Q14" s="67"/>
      <c r="R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" s="67"/>
      <c r="T14" s="67"/>
      <c r="U14" s="168" t="str">
        <f>IF(ISBLANK(Table123[[#This Row],[Odds Side - Difference Model]]), "",N14+IF(Q14&lt;0, (N14/(Q14/-100)), N14*(Q14/100)))</f>
      </c>
      <c r="V14" s="169" t="str">
        <f>IFERROR(IF(ISBLANK(Table123[[#This Row],[Odds Side - Win Probability Model]]), "",N14+IF(R14&lt;0, (N14/(R14/-100)), N14*(R14/100))),"")</f>
      </c>
      <c r="W14" s="168" t="str">
        <f t="shared" si="2"/>
      </c>
      <c r="X14" s="169" t="str">
        <f t="shared" si="3"/>
      </c>
      <c r="Y14" s="168" t="str">
        <f>IF(ISBLANK(Table123[[#This Row],[Odds Spread]]), "",O14+IF(S14&lt;0, (O14/(S14/-100)), O14*(S14/100)))</f>
      </c>
      <c r="Z14" s="168" t="str">
        <f t="shared" si="4"/>
      </c>
      <c r="AA14" s="68" t="n">
        <f t="shared" si="5"/>
        <v>0</v>
      </c>
      <c r="AB14" s="68" t="n">
        <f t="shared" si="6"/>
        <v>0</v>
      </c>
      <c r="AC14" s="170" t="str">
        <f>IF('Prediction Log'!$T15="Y", "W", IF('Prediction Log'!$T15="N","L",""))</f>
        <v>W</v>
      </c>
      <c r="AD14" s="171" t="str">
        <f>IF('Prediction Log'!$V15="Y", "W", IF('Prediction Log'!$V15="N","L",""))</f>
        <v>W</v>
      </c>
      <c r="AE14" s="172" t="str">
        <f>IF(ISBLANK(Table123[[#This Row],[Odds Side - Difference Model]]), "",IF(AC14="W", W14, IF(AC14="L",-N14, "")))</f>
      </c>
      <c r="AF14" s="173" t="str">
        <f>IFERROR((IF(ISERR(Table123[[#This Row],[Potential Payout Side - Win Probability Model]]), "",IF(AD14="W", X14, IF(AD14="L",-N14, "")))), "")</f>
      </c>
      <c r="AG14" s="170" t="str">
        <f>IF('Prediction Log'!$U15="Y", "W", IF('Prediction Log'!$U15="N", "L", ""))</f>
      </c>
      <c r="AH14" s="172" t="str">
        <f>IF(ISBLANK(Table123[[#This Row],[Odds Spread]]), "",IF(AG14="W", Z14, IF(AG14="L",-O14, "")))</f>
      </c>
      <c r="AI14" s="184"/>
      <c r="AJ14" s="183" t="str">
        <f t="shared" si="7"/>
      </c>
      <c r="AK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">
      <c r="A15" s="65" t="n">
        <f>Games!A15</f>
        <v>1</v>
      </c>
      <c r="B15" s="65" t="str">
        <f>IF('Prediction Log'!B16=0, "",'Prediction Log'!B16)</f>
        <v>Toledo</v>
      </c>
      <c r="C15" s="65" t="str">
        <f>IF('Prediction Log'!C16=0, "",'Prediction Log'!C16)</f>
        <v>Duquesne</v>
      </c>
      <c r="D15" s="65" t="str">
        <f>IF('Prediction Log'!D16=0, "",'Prediction Log'!D16)</f>
      </c>
      <c r="E15" s="65" t="n">
        <f>IF('Prediction Log'!E16=0, "",'Prediction Log'!E16)</f>
        <v>-22.003995641708801</v>
      </c>
      <c r="F15" s="65" t="str">
        <f>IF('Prediction Log'!H16=0, "",'Prediction Log'!H16)</f>
        <v>Toledo</v>
      </c>
      <c r="G15" s="64" t="str">
        <f>IF(ISBLANK(Games!B15), "",'Prediction Log'!$I16)</f>
        <v>Toledo</v>
      </c>
      <c r="H15" s="66" t="n">
        <f>'Prediction Log'!$J16</f>
        <v>0.96936365135774272</v>
      </c>
      <c r="I15" s="65" t="str">
        <f>IF(ISBLANK(Games!T15), "",IF(AND(Games!T15="",Games!U15=""),"",IF(ISTEXT(Games!U15), "Side",Games!T15)))</f>
      </c>
      <c r="J15" s="65" t="str">
        <f>IF(ISBLANK(Games!B15), "",IF(Games!P15="Y", Games!B15, Games!C15))</f>
        <v>Toledo</v>
      </c>
      <c r="K15" s="65" t="str">
        <f>Games!K15</f>
        <v>Toledo</v>
      </c>
      <c r="L15" s="65" t="str">
        <f>IF(ISBLANK(Games!D15), "",Games!D15)</f>
      </c>
      <c r="M15" s="65"/>
      <c r="N15" s="167" t="str">
        <f>IF(ISBLANK(Table123[[#This Row],[Odds Side - Difference Model]]), "", 1)</f>
      </c>
      <c r="O15" s="167" t="str">
        <f>IF(ISBLANK(Table123[[#This Row],[Odds Spread]]), "", 1)</f>
      </c>
      <c r="P15" s="67"/>
      <c r="Q15" s="67"/>
      <c r="R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" s="67"/>
      <c r="T15" s="67"/>
      <c r="U15" s="168" t="str">
        <f>IF(ISBLANK(Table123[[#This Row],[Odds Side - Difference Model]]), "",N15+IF(Q15&lt;0, (N15/(Q15/-100)), N15*(Q15/100)))</f>
      </c>
      <c r="V15" s="169" t="str">
        <f>IFERROR(IF(ISBLANK(Table123[[#This Row],[Odds Side - Win Probability Model]]), "",N15+IF(R15&lt;0, (N15/(R15/-100)), N15*(R15/100))),"")</f>
      </c>
      <c r="W15" s="168" t="str">
        <f t="shared" si="2"/>
      </c>
      <c r="X15" s="169" t="str">
        <f t="shared" si="3"/>
      </c>
      <c r="Y15" s="168" t="str">
        <f>IF(ISBLANK(Table123[[#This Row],[Odds Spread]]), "",O15+IF(S15&lt;0, (O15/(S15/-100)), O15*(S15/100)))</f>
      </c>
      <c r="Z15" s="168" t="str">
        <f t="shared" si="4"/>
      </c>
      <c r="AA15" s="68" t="n">
        <f t="shared" si="5"/>
        <v>0</v>
      </c>
      <c r="AB15" s="68" t="n">
        <f t="shared" si="6"/>
        <v>0</v>
      </c>
      <c r="AC15" s="170" t="str">
        <f>IF('Prediction Log'!$T16="Y", "W", IF('Prediction Log'!$T16="N","L",""))</f>
        <v>W</v>
      </c>
      <c r="AD15" s="171" t="str">
        <f>IF('Prediction Log'!$V16="Y", "W", IF('Prediction Log'!$V16="N","L",""))</f>
        <v>W</v>
      </c>
      <c r="AE15" s="172" t="str">
        <f>IF(ISBLANK(Table123[[#This Row],[Odds Side - Difference Model]]), "",IF(AC15="W", W15, IF(AC15="L",-N15, "")))</f>
      </c>
      <c r="AF15" s="173" t="str">
        <f>IFERROR((IF(ISERR(Table123[[#This Row],[Potential Payout Side - Win Probability Model]]), "",IF(AD15="W", X15, IF(AD15="L",-N15, "")))), "")</f>
      </c>
      <c r="AG15" s="170" t="str">
        <f>IF('Prediction Log'!$U16="Y", "W", IF('Prediction Log'!$U16="N", "L", ""))</f>
      </c>
      <c r="AH15" s="172" t="str">
        <f>IF(ISBLANK(Table123[[#This Row],[Odds Spread]]), "",IF(AG15="W", Z15, IF(AG15="L",-O15, "")))</f>
      </c>
      <c r="AI15" s="184"/>
      <c r="AJ15" s="183" t="str">
        <f t="shared" si="7"/>
      </c>
      <c r="AK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">
      <c r="A16" s="65" t="n">
        <f>Games!A16</f>
        <v>1</v>
      </c>
      <c r="B16" s="65" t="str">
        <f>IF('Prediction Log'!B17=0, "",'Prediction Log'!B17)</f>
        <v>Tulsa</v>
      </c>
      <c r="C16" s="65" t="str">
        <f>IF('Prediction Log'!C17=0, "",'Prediction Log'!C17)</f>
        <v>Northwestern State</v>
      </c>
      <c r="D16" s="65" t="str">
        <f>IF('Prediction Log'!D17=0, "",'Prediction Log'!D17)</f>
      </c>
      <c r="E16" s="65" t="n">
        <f>IF('Prediction Log'!E17=0, "",'Prediction Log'!E17)</f>
        <v>-11.934222115430799</v>
      </c>
      <c r="F16" s="65" t="str">
        <f>IF('Prediction Log'!H17=0, "",'Prediction Log'!H17)</f>
        <v>Tulsa</v>
      </c>
      <c r="G16" s="64" t="str">
        <f>IF(ISBLANK(Games!B16), "",'Prediction Log'!$I17)</f>
        <v>Tulsa</v>
      </c>
      <c r="H16" s="66" t="n">
        <f>'Prediction Log'!$J17</f>
        <v>0.88135197826722744</v>
      </c>
      <c r="I16" s="65" t="str">
        <f>IF(ISBLANK(Games!T16), "",IF(AND(Games!T16="",Games!U16=""),"",IF(ISTEXT(Games!U16), "Side",Games!T16)))</f>
      </c>
      <c r="J16" s="65" t="str">
        <f>IF(ISBLANK(Games!B16), "",IF(Games!P16="Y", Games!B16, Games!C16))</f>
        <v>Tulsa</v>
      </c>
      <c r="K16" s="65" t="str">
        <f>Games!K16</f>
        <v>Tulsa</v>
      </c>
      <c r="L16" s="65" t="str">
        <f>IF(ISBLANK(Games!D16), "",Games!D16)</f>
      </c>
      <c r="M16" s="65"/>
      <c r="N16" s="167" t="str">
        <f>IF(ISBLANK(Table123[[#This Row],[Odds Side - Difference Model]]), "", 1)</f>
      </c>
      <c r="O16" s="167" t="str">
        <f>IF(ISBLANK(Table123[[#This Row],[Odds Spread]]), "", 1)</f>
      </c>
      <c r="P16" s="67"/>
      <c r="Q16" s="67"/>
      <c r="R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" s="67"/>
      <c r="T16" s="67"/>
      <c r="U16" s="168" t="str">
        <f>IF(ISBLANK(Table123[[#This Row],[Odds Side - Difference Model]]), "",N16+IF(Q16&lt;0, (N16/(Q16/-100)), N16*(Q16/100)))</f>
      </c>
      <c r="V16" s="169" t="str">
        <f>IFERROR(IF(ISBLANK(Table123[[#This Row],[Odds Side - Win Probability Model]]), "",N16+IF(R16&lt;0, (N16/(R16/-100)), N16*(R16/100))),"")</f>
      </c>
      <c r="W16" s="168" t="str">
        <f t="shared" si="2"/>
      </c>
      <c r="X16" s="169" t="str">
        <f t="shared" si="3"/>
      </c>
      <c r="Y16" s="168" t="str">
        <f>IF(ISBLANK(Table123[[#This Row],[Odds Spread]]), "",O16+IF(S16&lt;0, (O16/(S16/-100)), O16*(S16/100)))</f>
      </c>
      <c r="Z16" s="168" t="str">
        <f t="shared" si="4"/>
      </c>
      <c r="AA16" s="68" t="n">
        <f t="shared" si="5"/>
        <v>0</v>
      </c>
      <c r="AB16" s="68" t="n">
        <f t="shared" si="6"/>
        <v>0</v>
      </c>
      <c r="AC16" s="170" t="str">
        <f>IF('Prediction Log'!$T17="Y", "W", IF('Prediction Log'!$T17="N","L",""))</f>
        <v>W</v>
      </c>
      <c r="AD16" s="171" t="str">
        <f>IF('Prediction Log'!$V17="Y", "W", IF('Prediction Log'!$V17="N","L",""))</f>
        <v>W</v>
      </c>
      <c r="AE16" s="172" t="str">
        <f>IF(ISBLANK(Table123[[#This Row],[Odds Side - Difference Model]]), "",IF(AC16="W", W16, IF(AC16="L",-N16, "")))</f>
      </c>
      <c r="AF16" s="173" t="str">
        <f>IFERROR((IF(ISERR(Table123[[#This Row],[Potential Payout Side - Win Probability Model]]), "",IF(AD16="W", X16, IF(AD16="L",-N16, "")))), "")</f>
      </c>
      <c r="AG16" s="170" t="str">
        <f>IF('Prediction Log'!$U17="Y", "W", IF('Prediction Log'!$U17="N", "L", ""))</f>
      </c>
      <c r="AH16" s="172" t="str">
        <f>IF(ISBLANK(Table123[[#This Row],[Odds Spread]]), "",IF(AG16="W", Z16, IF(AG16="L",-O16, "")))</f>
      </c>
      <c r="AI16" s="184"/>
      <c r="AJ16" s="183" t="str">
        <f t="shared" si="7"/>
      </c>
      <c r="AK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">
      <c r="A17" s="65" t="n">
        <f>Games!A17</f>
        <v>1</v>
      </c>
      <c r="B17" s="65" t="str">
        <f>IF('Prediction Log'!B18=0, "",'Prediction Log'!B18)</f>
        <v>Minnesota</v>
      </c>
      <c r="C17" s="65" t="str">
        <f>IF('Prediction Log'!C18=0, "",'Prediction Log'!C18)</f>
        <v>North Carolina</v>
      </c>
      <c r="D17" s="65" t="n">
        <f>IF('Prediction Log'!D18=0, "",'Prediction Log'!D18)</f>
        <v>-2.5</v>
      </c>
      <c r="E17" s="65" t="n">
        <f>IF('Prediction Log'!E18=0, "",'Prediction Log'!E18)</f>
        <v>9.1</v>
      </c>
      <c r="F17" s="65" t="str">
        <f>IF('Prediction Log'!H18=0, "",'Prediction Log'!H18)</f>
        <v>North Carolina</v>
      </c>
      <c r="G17" s="64" t="str">
        <f>IF(ISBLANK(Games!B17), "",'Prediction Log'!$I18)</f>
        <v>North Carolina</v>
      </c>
      <c r="H17" s="66" t="n">
        <f>'Prediction Log'!$J18</f>
        <v>0.61699453565337659</v>
      </c>
      <c r="I17" s="65" t="str">
        <f>IF(ISBLANK(Games!T17), "",IF(AND(Games!T17="",Games!U17=""),"",IF(ISTEXT(Games!U17), "Side",Games!T17)))</f>
      </c>
      <c r="J17" s="65" t="str">
        <f>IF(ISBLANK(Games!B17), "",IF(Games!P17="Y", Games!B17, Games!C17))</f>
        <v>Minnesota</v>
      </c>
      <c r="K17" s="65" t="str">
        <f>Games!K17</f>
        <v>North Carolina</v>
      </c>
      <c r="L17" s="65" t="str">
        <f>IF(ISBLANK(Games!D17), "",Games!D17)</f>
        <v>-2.5</v>
      </c>
      <c r="M17" s="65"/>
      <c r="N17" s="167" t="str">
        <f>IF(ISBLANK(Table123[[#This Row],[Odds Side - Difference Model]]), "", 1)</f>
      </c>
      <c r="O17" s="167" t="str">
        <f>IF(ISBLANK(Table123[[#This Row],[Odds Spread]]), "", 1)</f>
      </c>
      <c r="P17" s="67"/>
      <c r="Q17" s="67"/>
      <c r="R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" s="67"/>
      <c r="T17" s="67"/>
      <c r="U17" s="168" t="str">
        <f>IF(ISBLANK(Table123[[#This Row],[Odds Side - Difference Model]]), "",N17+IF(Q17&lt;0, (N17/(Q17/-100)), N17*(Q17/100)))</f>
      </c>
      <c r="V17" s="169" t="str">
        <f>IFERROR(IF(ISBLANK(Table123[[#This Row],[Odds Side - Win Probability Model]]), "",N17+IF(R17&lt;0, (N17/(R17/-100)), N17*(R17/100))),"")</f>
      </c>
      <c r="W17" s="168" t="str">
        <f t="shared" si="2"/>
      </c>
      <c r="X17" s="169" t="str">
        <f t="shared" si="3"/>
      </c>
      <c r="Y17" s="168" t="str">
        <f>IF(ISBLANK(Table123[[#This Row],[Odds Spread]]), "",O17+IF(S17&lt;0, (O17/(S17/-100)), O17*(S17/100)))</f>
      </c>
      <c r="Z17" s="168" t="str">
        <f t="shared" si="4"/>
      </c>
      <c r="AA17" s="68" t="n">
        <f t="shared" si="5"/>
        <v>0</v>
      </c>
      <c r="AB17" s="68" t="n">
        <f t="shared" si="6"/>
        <v>0</v>
      </c>
      <c r="AC17" s="170" t="str">
        <f>IF('Prediction Log'!$T18="Y", "W", IF('Prediction Log'!$T18="N","L",""))</f>
        <v>W</v>
      </c>
      <c r="AD17" s="171" t="str">
        <f>IF('Prediction Log'!$V18="Y", "W", IF('Prediction Log'!$V18="N","L",""))</f>
        <v>W</v>
      </c>
      <c r="AE17" s="172" t="str">
        <f>IF(ISBLANK(Table123[[#This Row],[Odds Side - Difference Model]]), "",IF(AC17="W", W17, IF(AC17="L",-N17, "")))</f>
      </c>
      <c r="AF17" s="173" t="str">
        <f>IFERROR((IF(ISERR(Table123[[#This Row],[Potential Payout Side - Win Probability Model]]), "",IF(AD17="W", X17, IF(AD17="L",-N17, "")))), "")</f>
      </c>
      <c r="AG17" s="170" t="str">
        <f>IF('Prediction Log'!$U18="Y", "W", IF('Prediction Log'!$U18="N", "L", ""))</f>
        <v>L</v>
      </c>
      <c r="AH17" s="172" t="str">
        <f>IF(ISBLANK(Table123[[#This Row],[Odds Spread]]), "",IF(AG17="W", Z17, IF(AG17="L",-O17, "")))</f>
      </c>
      <c r="AI17" s="184"/>
      <c r="AJ17" s="183" t="str">
        <f t="shared" si="7"/>
      </c>
      <c r="AK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">
      <c r="A18" s="65" t="n">
        <f>Games!A18</f>
        <v>1</v>
      </c>
      <c r="B18" s="65" t="str">
        <f>IF('Prediction Log'!B19=0, "",'Prediction Log'!B19)</f>
        <v>UAB</v>
      </c>
      <c r="C18" s="65" t="str">
        <f>IF('Prediction Log'!C19=0, "",'Prediction Log'!C19)</f>
        <v>Alcorn State</v>
      </c>
      <c r="D18" s="65" t="str">
        <f>IF('Prediction Log'!D19=0, "",'Prediction Log'!D19)</f>
      </c>
      <c r="E18" s="65" t="n">
        <f>IF('Prediction Log'!E19=0, "",'Prediction Log'!E19)</f>
        <v>-16.458486485220799</v>
      </c>
      <c r="F18" s="65" t="str">
        <f>IF('Prediction Log'!H19=0, "",'Prediction Log'!H19)</f>
        <v>UAB</v>
      </c>
      <c r="G18" s="64" t="str">
        <f>IF(ISBLANK(Games!B18), "",'Prediction Log'!$I19)</f>
        <v>UAB</v>
      </c>
      <c r="H18" s="66" t="n">
        <f>'Prediction Log'!$J19</f>
        <v>0.93440372812450034</v>
      </c>
      <c r="I18" s="65" t="str">
        <f>IF(ISBLANK(Games!T18), "",IF(AND(Games!T18="",Games!U18=""),"",IF(ISTEXT(Games!U18), "Side",Games!T18)))</f>
      </c>
      <c r="J18" s="65" t="str">
        <f>IF(ISBLANK(Games!B18), "",IF(Games!P18="Y", Games!B18, Games!C18))</f>
        <v>UAB</v>
      </c>
      <c r="K18" s="65" t="str">
        <f>Games!K18</f>
        <v>UAB</v>
      </c>
      <c r="L18" s="65" t="str">
        <f>IF(ISBLANK(Games!D18), "",Games!D18)</f>
      </c>
      <c r="M18" s="65"/>
      <c r="N18" s="167" t="str">
        <f>IF(ISBLANK(Table123[[#This Row],[Odds Side - Difference Model]]), "", 1)</f>
      </c>
      <c r="O18" s="167" t="str">
        <f>IF(ISBLANK(Table123[[#This Row],[Odds Spread]]), "", 1)</f>
      </c>
      <c r="P18" s="67"/>
      <c r="Q18" s="67"/>
      <c r="R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" s="67"/>
      <c r="T18" s="67"/>
      <c r="U18" s="168" t="str">
        <f>IF(ISBLANK(Table123[[#This Row],[Odds Side - Difference Model]]), "",N18+IF(Q18&lt;0, (N18/(Q18/-100)), N18*(Q18/100)))</f>
      </c>
      <c r="V18" s="169" t="str">
        <f>IFERROR(IF(ISBLANK(Table123[[#This Row],[Odds Side - Win Probability Model]]), "",N18+IF(R18&lt;0, (N18/(R18/-100)), N18*(R18/100))),"")</f>
      </c>
      <c r="W18" s="168" t="str">
        <f t="shared" si="2"/>
      </c>
      <c r="X18" s="169" t="str">
        <f t="shared" si="3"/>
      </c>
      <c r="Y18" s="168" t="str">
        <f>IF(ISBLANK(Table123[[#This Row],[Odds Spread]]), "",O18+IF(S18&lt;0, (O18/(S18/-100)), O18*(S18/100)))</f>
      </c>
      <c r="Z18" s="168" t="str">
        <f t="shared" si="4"/>
      </c>
      <c r="AA18" s="68" t="n">
        <f t="shared" si="5"/>
        <v>0</v>
      </c>
      <c r="AB18" s="68" t="n">
        <f t="shared" si="6"/>
        <v>0</v>
      </c>
      <c r="AC18" s="170" t="str">
        <f>IF('Prediction Log'!$T19="Y", "W", IF('Prediction Log'!$T19="N","L",""))</f>
        <v>W</v>
      </c>
      <c r="AD18" s="171" t="str">
        <f>IF('Prediction Log'!$V19="Y", "W", IF('Prediction Log'!$V19="N","L",""))</f>
        <v>W</v>
      </c>
      <c r="AE18" s="172" t="str">
        <f>IF(ISBLANK(Table123[[#This Row],[Odds Side - Difference Model]]), "",IF(AC18="W", W18, IF(AC18="L",-N18, "")))</f>
      </c>
      <c r="AF18" s="173" t="str">
        <f>IFERROR((IF(ISERR(Table123[[#This Row],[Potential Payout Side - Win Probability Model]]), "",IF(AD18="W", X18, IF(AD18="L",-N18, "")))), "")</f>
      </c>
      <c r="AG18" s="170" t="str">
        <f>IF('Prediction Log'!$U19="Y", "W", IF('Prediction Log'!$U19="N", "L", ""))</f>
      </c>
      <c r="AH18" s="172" t="str">
        <f>IF(ISBLANK(Table123[[#This Row],[Odds Spread]]), "",IF(AG18="W", Z18, IF(AG18="L",-O18, "")))</f>
      </c>
      <c r="AI18" s="184"/>
      <c r="AJ18" s="183" t="str">
        <f t="shared" si="7"/>
      </c>
      <c r="AK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">
      <c r="A19" s="65" t="n">
        <f>Games!A19</f>
        <v>1</v>
      </c>
      <c r="B19" s="65" t="str">
        <f>IF('Prediction Log'!B20=0, "",'Prediction Log'!B20)</f>
        <v>Tulane</v>
      </c>
      <c r="C19" s="65" t="str">
        <f>IF('Prediction Log'!C20=0, "",'Prediction Log'!C20)</f>
        <v>Southeastern Louisiana</v>
      </c>
      <c r="D19" s="65" t="str">
        <f>IF('Prediction Log'!D20=0, "",'Prediction Log'!D20)</f>
      </c>
      <c r="E19" s="65" t="n">
        <f>IF('Prediction Log'!E20=0, "",'Prediction Log'!E20)</f>
        <v>-21.279079944195999</v>
      </c>
      <c r="F19" s="65" t="str">
        <f>IF('Prediction Log'!H20=0, "",'Prediction Log'!H20)</f>
        <v>Tulane</v>
      </c>
      <c r="G19" s="64" t="str">
        <f>IF(ISBLANK(Games!B19), "",'Prediction Log'!$I20)</f>
        <v>Tulane</v>
      </c>
      <c r="H19" s="66" t="n">
        <f>'Prediction Log'!$J20</f>
        <v>0.96610905670192193</v>
      </c>
      <c r="I19" s="65" t="str">
        <f>IF(ISBLANK(Games!T19), "",IF(AND(Games!T19="",Games!U19=""),"",IF(ISTEXT(Games!U19), "Side",Games!T19)))</f>
      </c>
      <c r="J19" s="65" t="str">
        <f>IF(ISBLANK(Games!B19), "",IF(Games!P19="Y", Games!B19, Games!C19))</f>
        <v>Tulane</v>
      </c>
      <c r="K19" s="65" t="str">
        <f>Games!K19</f>
        <v>Tulane</v>
      </c>
      <c r="L19" s="65" t="str">
        <f>IF(ISBLANK(Games!D19), "",Games!D19)</f>
      </c>
      <c r="M19" s="65"/>
      <c r="N19" s="167" t="str">
        <f>IF(ISBLANK(Table123[[#This Row],[Odds Side - Difference Model]]), "", 1)</f>
      </c>
      <c r="O19" s="167" t="str">
        <f>IF(ISBLANK(Table123[[#This Row],[Odds Spread]]), "", 1)</f>
      </c>
      <c r="P19" s="67"/>
      <c r="Q19" s="67"/>
      <c r="R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" s="67"/>
      <c r="T19" s="67"/>
      <c r="U19" s="168" t="str">
        <f>IF(ISBLANK(Table123[[#This Row],[Odds Side - Difference Model]]), "",N19+IF(Q19&lt;0, (N19/(Q19/-100)), N19*(Q19/100)))</f>
      </c>
      <c r="V19" s="169" t="str">
        <f>IFERROR(IF(ISBLANK(Table123[[#This Row],[Odds Side - Win Probability Model]]), "",N19+IF(R19&lt;0, (N19/(R19/-100)), N19*(R19/100))),"")</f>
      </c>
      <c r="W19" s="168" t="str">
        <f t="shared" si="2"/>
      </c>
      <c r="X19" s="169" t="str">
        <f t="shared" si="3"/>
      </c>
      <c r="Y19" s="168" t="str">
        <f>IF(ISBLANK(Table123[[#This Row],[Odds Spread]]), "",O19+IF(S19&lt;0, (O19/(S19/-100)), O19*(S19/100)))</f>
      </c>
      <c r="Z19" s="168" t="str">
        <f t="shared" si="4"/>
      </c>
      <c r="AA19" s="68" t="n">
        <f t="shared" si="5"/>
        <v>0</v>
      </c>
      <c r="AB19" s="68" t="n">
        <f t="shared" si="6"/>
        <v>0</v>
      </c>
      <c r="AC19" s="170" t="str">
        <f>IF('Prediction Log'!$T20="Y", "W", IF('Prediction Log'!$T20="N","L",""))</f>
        <v>W</v>
      </c>
      <c r="AD19" s="171" t="str">
        <f>IF('Prediction Log'!$V20="Y", "W", IF('Prediction Log'!$V20="N","L",""))</f>
        <v>W</v>
      </c>
      <c r="AE19" s="172" t="str">
        <f>IF(ISBLANK(Table123[[#This Row],[Odds Side - Difference Model]]), "",IF(AC19="W", W19, IF(AC19="L",-N19, "")))</f>
      </c>
      <c r="AF19" s="173" t="str">
        <f>IFERROR((IF(ISERR(Table123[[#This Row],[Potential Payout Side - Win Probability Model]]), "",IF(AD19="W", X19, IF(AD19="L",-N19, "")))), "")</f>
      </c>
      <c r="AG19" s="170" t="str">
        <f>IF('Prediction Log'!$U20="Y", "W", IF('Prediction Log'!$U20="N", "L", ""))</f>
      </c>
      <c r="AH19" s="172" t="str">
        <f>IF(ISBLANK(Table123[[#This Row],[Odds Spread]]), "",IF(AG19="W", Z19, IF(AG19="L",-O19, "")))</f>
      </c>
      <c r="AI19" s="184"/>
      <c r="AJ19" s="183" t="str">
        <f t="shared" si="7"/>
      </c>
      <c r="AK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">
      <c r="A20" s="65" t="n">
        <f>Games!A20</f>
        <v>1</v>
      </c>
      <c r="B20" s="65" t="str">
        <f>IF('Prediction Log'!B21=0, "",'Prediction Log'!B21)</f>
        <v>Missouri</v>
      </c>
      <c r="C20" s="65" t="str">
        <f>IF('Prediction Log'!C21=0, "",'Prediction Log'!C21)</f>
        <v>Murray State</v>
      </c>
      <c r="D20" s="65" t="str">
        <f>IF('Prediction Log'!D21=0, "",'Prediction Log'!D21)</f>
      </c>
      <c r="E20" s="65" t="n">
        <f>IF('Prediction Log'!E21=0, "",'Prediction Log'!E21)</f>
        <v>-36.061616207944397</v>
      </c>
      <c r="F20" s="65" t="str">
        <f>IF('Prediction Log'!H21=0, "",'Prediction Log'!H21)</f>
        <v>Missouri</v>
      </c>
      <c r="G20" s="64" t="str">
        <f>IF(ISBLANK(Games!B20), "",'Prediction Log'!$I21)</f>
        <v>Missouri</v>
      </c>
      <c r="H20" s="66" t="n">
        <f>'Prediction Log'!$J21</f>
        <v>0.99583766018560071</v>
      </c>
      <c r="I20" s="65" t="str">
        <f>IF(ISBLANK(Games!T20), "",IF(AND(Games!T20="",Games!U20=""),"",IF(ISTEXT(Games!U20), "Side",Games!T20)))</f>
      </c>
      <c r="J20" s="65" t="str">
        <f>IF(ISBLANK(Games!B20), "",IF(Games!P20="Y", Games!B20, Games!C20))</f>
        <v>Missouri</v>
      </c>
      <c r="K20" s="65" t="str">
        <f>Games!K20</f>
        <v>Missouri</v>
      </c>
      <c r="L20" s="65" t="str">
        <f>IF(ISBLANK(Games!D20), "",Games!D20)</f>
      </c>
      <c r="M20" s="65"/>
      <c r="N20" s="167" t="str">
        <f>IF(ISBLANK(Table123[[#This Row],[Odds Side - Difference Model]]), "", 1)</f>
      </c>
      <c r="O20" s="167" t="str">
        <f>IF(ISBLANK(Table123[[#This Row],[Odds Spread]]), "", 1)</f>
      </c>
      <c r="P20" s="67"/>
      <c r="Q20" s="67"/>
      <c r="R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" s="67"/>
      <c r="T20" s="67"/>
      <c r="U20" s="168" t="str">
        <f>IF(ISBLANK(Table123[[#This Row],[Odds Side - Difference Model]]), "",N20+IF(Q20&lt;0, (N20/(Q20/-100)), N20*(Q20/100)))</f>
      </c>
      <c r="V20" s="169" t="str">
        <f>IFERROR(IF(ISBLANK(Table123[[#This Row],[Odds Side - Win Probability Model]]), "",N20+IF(R20&lt;0, (N20/(R20/-100)), N20*(R20/100))),"")</f>
      </c>
      <c r="W20" s="168" t="str">
        <f t="shared" si="2"/>
      </c>
      <c r="X20" s="169" t="str">
        <f t="shared" si="3"/>
      </c>
      <c r="Y20" s="168" t="str">
        <f>IF(ISBLANK(Table123[[#This Row],[Odds Spread]]), "",O20+IF(S20&lt;0, (O20/(S20/-100)), O20*(S20/100)))</f>
      </c>
      <c r="Z20" s="168" t="str">
        <f t="shared" si="4"/>
      </c>
      <c r="AA20" s="68" t="n">
        <f t="shared" si="5"/>
        <v>0</v>
      </c>
      <c r="AB20" s="68" t="n">
        <f t="shared" si="6"/>
        <v>0</v>
      </c>
      <c r="AC20" s="170" t="str">
        <f>IF('Prediction Log'!$T21="Y", "W", IF('Prediction Log'!$T21="N","L",""))</f>
        <v>W</v>
      </c>
      <c r="AD20" s="171" t="str">
        <f>IF('Prediction Log'!$V21="Y", "W", IF('Prediction Log'!$V21="N","L",""))</f>
        <v>W</v>
      </c>
      <c r="AE20" s="172" t="str">
        <f>IF(ISBLANK(Table123[[#This Row],[Odds Side - Difference Model]]), "",IF(AC20="W", W20, IF(AC20="L",-N20, "")))</f>
      </c>
      <c r="AF20" s="173" t="str">
        <f>IFERROR((IF(ISERR(Table123[[#This Row],[Potential Payout Side - Win Probability Model]]), "",IF(AD20="W", X20, IF(AD20="L",-N20, "")))), "")</f>
      </c>
      <c r="AG20" s="170" t="str">
        <f>IF('Prediction Log'!$U21="Y", "W", IF('Prediction Log'!$U21="N", "L", ""))</f>
      </c>
      <c r="AH20" s="172" t="str">
        <f>IF(ISBLANK(Table123[[#This Row],[Odds Spread]]), "",IF(AG20="W", Z20, IF(AG20="L",-O20, "")))</f>
      </c>
      <c r="AI20" s="184"/>
      <c r="AJ20" s="183" t="str">
        <f t="shared" si="7"/>
      </c>
      <c r="AK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">
      <c r="A21" s="65" t="n">
        <f>Games!A21</f>
        <v>1</v>
      </c>
      <c r="B21" s="65" t="str">
        <f>IF('Prediction Log'!B22=0, "",'Prediction Log'!B22)</f>
        <v>Colorado</v>
      </c>
      <c r="C21" s="65" t="str">
        <f>IF('Prediction Log'!C22=0, "",'Prediction Log'!C22)</f>
        <v>North Dakota State</v>
      </c>
      <c r="D21" s="65" t="n">
        <f>IF('Prediction Log'!D22=0, "",'Prediction Log'!D22)</f>
        <v>-9</v>
      </c>
      <c r="E21" s="65" t="n">
        <f>IF('Prediction Log'!E22=0, "",'Prediction Log'!E22)</f>
        <v>-16.446578926000399</v>
      </c>
      <c r="F21" s="65" t="str">
        <f>IF('Prediction Log'!H22=0, "",'Prediction Log'!H22)</f>
        <v>Colorado</v>
      </c>
      <c r="G21" s="64" t="str">
        <f>IF(ISBLANK(Games!B21), "",'Prediction Log'!$I22)</f>
        <v>Colorado</v>
      </c>
      <c r="H21" s="66" t="n">
        <f>'Prediction Log'!$J22</f>
        <v>0.9342986153540469</v>
      </c>
      <c r="I21" s="65" t="str">
        <f>IF(ISBLANK(Games!T21), "",IF(AND(Games!T21="",Games!U21=""),"",IF(ISTEXT(Games!U21), "Side",Games!T21)))</f>
      </c>
      <c r="J21" s="65" t="str">
        <f>IF(ISBLANK(Games!B21), "",IF(Games!P21="Y", Games!B21, Games!C21))</f>
        <v>Colorado</v>
      </c>
      <c r="K21" s="65" t="str">
        <f>Games!K21</f>
        <v>Colorado</v>
      </c>
      <c r="L21" s="65" t="str">
        <f>IF(ISBLANK(Games!D21), "",Games!D21)</f>
        <v>-9</v>
      </c>
      <c r="M21" s="65"/>
      <c r="N21" s="167" t="str">
        <f>IF(ISBLANK(Table123[[#This Row],[Odds Side - Difference Model]]), "", 1)</f>
      </c>
      <c r="O21" s="167" t="str">
        <f>IF(ISBLANK(Table123[[#This Row],[Odds Spread]]), "", 1)</f>
      </c>
      <c r="P21" s="67"/>
      <c r="Q21" s="67"/>
      <c r="R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" s="67"/>
      <c r="T21" s="67"/>
      <c r="U21" s="168" t="str">
        <f>IF(ISBLANK(Table123[[#This Row],[Odds Side - Difference Model]]), "",N21+IF(Q21&lt;0, (N21/(Q21/-100)), N21*(Q21/100)))</f>
      </c>
      <c r="V21" s="169" t="str">
        <f>IFERROR(IF(ISBLANK(Table123[[#This Row],[Odds Side - Win Probability Model]]), "",N21+IF(R21&lt;0, (N21/(R21/-100)), N21*(R21/100))),"")</f>
      </c>
      <c r="W21" s="168" t="str">
        <f t="shared" si="2"/>
      </c>
      <c r="X21" s="169" t="str">
        <f t="shared" si="3"/>
      </c>
      <c r="Y21" s="168" t="str">
        <f>IF(ISBLANK(Table123[[#This Row],[Odds Spread]]), "",O21+IF(S21&lt;0, (O21/(S21/-100)), O21*(S21/100)))</f>
      </c>
      <c r="Z21" s="168" t="str">
        <f t="shared" si="4"/>
      </c>
      <c r="AA21" s="68" t="n">
        <f t="shared" si="5"/>
        <v>0</v>
      </c>
      <c r="AB21" s="68" t="n">
        <f t="shared" si="6"/>
        <v>0</v>
      </c>
      <c r="AC21" s="170" t="str">
        <f>IF('Prediction Log'!$T22="Y", "W", IF('Prediction Log'!$T22="N","L",""))</f>
        <v>W</v>
      </c>
      <c r="AD21" s="171" t="str">
        <f>IF('Prediction Log'!$V22="Y", "W", IF('Prediction Log'!$V22="N","L",""))</f>
        <v>W</v>
      </c>
      <c r="AE21" s="172" t="str">
        <f>IF(ISBLANK(Table123[[#This Row],[Odds Side - Difference Model]]), "",IF(AC21="W", W21, IF(AC21="L",-N21, "")))</f>
      </c>
      <c r="AF21" s="173" t="str">
        <f>IFERROR((IF(ISERR(Table123[[#This Row],[Potential Payout Side - Win Probability Model]]), "",IF(AD21="W", X21, IF(AD21="L",-N21, "")))), "")</f>
      </c>
      <c r="AG21" s="170" t="str">
        <f>IF('Prediction Log'!$U22="Y", "W", IF('Prediction Log'!$U22="N", "L", ""))</f>
        <v>L</v>
      </c>
      <c r="AH21" s="172" t="str">
        <f>IF(ISBLANK(Table123[[#This Row],[Odds Spread]]), "",IF(AG21="W", Z21, IF(AG21="L",-O21, "")))</f>
      </c>
      <c r="AI21" s="184"/>
      <c r="AJ21" s="183" t="str">
        <f t="shared" si="7"/>
      </c>
      <c r="AK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">
      <c r="A22" s="65" t="n">
        <f>Games!A22</f>
        <v>1</v>
      </c>
      <c r="B22" s="65" t="str">
        <f>IF('Prediction Log'!B23=0, "",'Prediction Log'!B23)</f>
        <v>Jacksonville State</v>
      </c>
      <c r="C22" s="65" t="str">
        <f>IF('Prediction Log'!C23=0, "",'Prediction Log'!C23)</f>
        <v>Coastal Carolina</v>
      </c>
      <c r="D22" s="65" t="n">
        <f>IF('Prediction Log'!D23=0, "",'Prediction Log'!D23)</f>
        <v>-3.5</v>
      </c>
      <c r="E22" s="65" t="n">
        <f>IF('Prediction Log'!E23=0, "",'Prediction Log'!E23)</f>
        <v>-10.9</v>
      </c>
      <c r="F22" s="65" t="str">
        <f>IF('Prediction Log'!H23=0, "",'Prediction Log'!H23)</f>
        <v>Jacksonville State</v>
      </c>
      <c r="G22" s="64" t="str">
        <f>IF(ISBLANK(Games!B22), "",'Prediction Log'!$I23)</f>
        <v>Jacksonville State</v>
      </c>
      <c r="H22" s="66" t="n">
        <f>'Prediction Log'!$J23</f>
        <v>0.61898346670071758</v>
      </c>
      <c r="I22" s="65" t="str">
        <f>IF(ISBLANK(Games!T22), "",IF(AND(Games!T22="",Games!U22=""),"",IF(ISTEXT(Games!U22), "Side",Games!T22)))</f>
      </c>
      <c r="J22" s="65" t="str">
        <f>IF(ISBLANK(Games!B22), "",IF(Games!P22="Y", Games!B22, Games!C22))</f>
        <v>Jacksonville State</v>
      </c>
      <c r="K22" s="65" t="str">
        <f>Games!K22</f>
        <v>Jacksonville State</v>
      </c>
      <c r="L22" s="65" t="str">
        <f>IF(ISBLANK(Games!D22), "",Games!D22)</f>
        <v>-3.5</v>
      </c>
      <c r="M22" s="65"/>
      <c r="N22" s="167" t="str">
        <f>IF(ISBLANK(Table123[[#This Row],[Odds Side - Difference Model]]), "", 1)</f>
      </c>
      <c r="O22" s="167" t="str">
        <f>IF(ISBLANK(Table123[[#This Row],[Odds Spread]]), "", 1)</f>
      </c>
      <c r="P22" s="67"/>
      <c r="Q22" s="67"/>
      <c r="R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" s="67"/>
      <c r="T22" s="67"/>
      <c r="U22" s="168" t="str">
        <f>IF(ISBLANK(Table123[[#This Row],[Odds Side - Difference Model]]), "",N22+IF(Q22&lt;0, (N22/(Q22/-100)), N22*(Q22/100)))</f>
      </c>
      <c r="V22" s="169" t="str">
        <f>IFERROR(IF(ISBLANK(Table123[[#This Row],[Odds Side - Win Probability Model]]), "",N22+IF(R22&lt;0, (N22/(R22/-100)), N22*(R22/100))),"")</f>
      </c>
      <c r="W22" s="168" t="str">
        <f t="shared" si="2"/>
      </c>
      <c r="X22" s="169" t="str">
        <f t="shared" si="3"/>
      </c>
      <c r="Y22" s="168" t="str">
        <f>IF(ISBLANK(Table123[[#This Row],[Odds Spread]]), "",O22+IF(S22&lt;0, (O22/(S22/-100)), O22*(S22/100)))</f>
      </c>
      <c r="Z22" s="168" t="str">
        <f t="shared" si="4"/>
      </c>
      <c r="AA22" s="68" t="n">
        <f t="shared" si="5"/>
        <v>0</v>
      </c>
      <c r="AB22" s="68" t="n">
        <f t="shared" si="6"/>
        <v>0</v>
      </c>
      <c r="AC22" s="170" t="str">
        <f>IF('Prediction Log'!$T23="Y", "W", IF('Prediction Log'!$T23="N","L",""))</f>
        <v>L</v>
      </c>
      <c r="AD22" s="171" t="str">
        <f>IF('Prediction Log'!$V23="Y", "W", IF('Prediction Log'!$V23="N","L",""))</f>
        <v>L</v>
      </c>
      <c r="AE22" s="172" t="str">
        <f>IF(ISBLANK(Table123[[#This Row],[Odds Side - Difference Model]]), "",IF(AC22="W", W22, IF(AC22="L",-N22, "")))</f>
      </c>
      <c r="AF22" s="173" t="str">
        <f>IFERROR((IF(ISERR(Table123[[#This Row],[Potential Payout Side - Win Probability Model]]), "",IF(AD22="W", X22, IF(AD22="L",-N22, "")))), "")</f>
      </c>
      <c r="AG22" s="170" t="str">
        <f>IF('Prediction Log'!$U23="Y", "W", IF('Prediction Log'!$U23="N", "L", ""))</f>
        <v>L</v>
      </c>
      <c r="AH22" s="172" t="str">
        <f>IF(ISBLANK(Table123[[#This Row],[Odds Spread]]), "",IF(AG22="W", Z22, IF(AG22="L",-O22, "")))</f>
      </c>
      <c r="AI22" s="184"/>
      <c r="AJ22" s="183" t="str">
        <f t="shared" si="7"/>
      </c>
      <c r="AK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">
      <c r="A23" s="65" t="n">
        <f>Games!A23</f>
        <v>1</v>
      </c>
      <c r="B23" s="65" t="str">
        <f>IF('Prediction Log'!B24=0, "",'Prediction Log'!B24)</f>
        <v>Kansas</v>
      </c>
      <c r="C23" s="65" t="str">
        <f>IF('Prediction Log'!C24=0, "",'Prediction Log'!C24)</f>
        <v>Lindenwood</v>
      </c>
      <c r="D23" s="65" t="str">
        <f>IF('Prediction Log'!D24=0, "",'Prediction Log'!D24)</f>
      </c>
      <c r="E23" s="65" t="n">
        <f>IF('Prediction Log'!E24=0, "",'Prediction Log'!E24)</f>
        <v>-29.072394087807599</v>
      </c>
      <c r="F23" s="65" t="str">
        <f>IF('Prediction Log'!H24=0, "",'Prediction Log'!H24)</f>
        <v>Kansas</v>
      </c>
      <c r="G23" s="64" t="str">
        <f>IF(ISBLANK(Games!B23), "",'Prediction Log'!$I24)</f>
        <v>Kansas</v>
      </c>
      <c r="H23" s="66" t="n">
        <f>'Prediction Log'!$J24</f>
        <v>0.98498909787853794</v>
      </c>
      <c r="I23" s="65" t="str">
        <f>IF(ISBLANK(Games!T23), "",IF(AND(Games!T23="",Games!U23=""),"",IF(ISTEXT(Games!U23), "Side",Games!T23)))</f>
      </c>
      <c r="J23" s="65" t="str">
        <f>IF(ISBLANK(Games!B23), "",IF(Games!P23="Y", Games!B23, Games!C23))</f>
        <v>Kansas</v>
      </c>
      <c r="K23" s="65" t="str">
        <f>Games!K23</f>
        <v>Kansas</v>
      </c>
      <c r="L23" s="65" t="str">
        <f>IF(ISBLANK(Games!D23), "",Games!D23)</f>
      </c>
      <c r="M23" s="65"/>
      <c r="N23" s="167" t="str">
        <f>IF(ISBLANK(Table123[[#This Row],[Odds Side - Difference Model]]), "", 1)</f>
      </c>
      <c r="O23" s="167" t="str">
        <f>IF(ISBLANK(Table123[[#This Row],[Odds Spread]]), "", 1)</f>
      </c>
      <c r="P23" s="67"/>
      <c r="Q23" s="67"/>
      <c r="R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" s="67"/>
      <c r="T23" s="67"/>
      <c r="U23" s="168" t="str">
        <f>IF(ISBLANK(Table123[[#This Row],[Odds Side - Difference Model]]), "",N23+IF(Q23&lt;0, (N23/(Q23/-100)), N23*(Q23/100)))</f>
      </c>
      <c r="V23" s="169" t="str">
        <f>IFERROR(IF(ISBLANK(Table123[[#This Row],[Odds Side - Win Probability Model]]), "",N23+IF(R23&lt;0, (N23/(R23/-100)), N23*(R23/100))),"")</f>
      </c>
      <c r="W23" s="168" t="str">
        <f t="shared" si="2"/>
      </c>
      <c r="X23" s="169" t="str">
        <f t="shared" si="3"/>
      </c>
      <c r="Y23" s="168" t="str">
        <f>IF(ISBLANK(Table123[[#This Row],[Odds Spread]]), "",O23+IF(S23&lt;0, (O23/(S23/-100)), O23*(S23/100)))</f>
      </c>
      <c r="Z23" s="168" t="str">
        <f t="shared" si="4"/>
      </c>
      <c r="AA23" s="68" t="n">
        <f t="shared" si="5"/>
        <v>0</v>
      </c>
      <c r="AB23" s="68" t="n">
        <f t="shared" si="6"/>
        <v>0</v>
      </c>
      <c r="AC23" s="170" t="str">
        <f>IF('Prediction Log'!$T24="Y", "W", IF('Prediction Log'!$T24="N","L",""))</f>
        <v>W</v>
      </c>
      <c r="AD23" s="171" t="str">
        <f>IF('Prediction Log'!$V24="Y", "W", IF('Prediction Log'!$V24="N","L",""))</f>
        <v>W</v>
      </c>
      <c r="AE23" s="172" t="str">
        <f>IF(ISBLANK(Table123[[#This Row],[Odds Side - Difference Model]]), "",IF(AC23="W", W23, IF(AC23="L",-N23, "")))</f>
      </c>
      <c r="AF23" s="173" t="str">
        <f>IFERROR((IF(ISERR(Table123[[#This Row],[Potential Payout Side - Win Probability Model]]), "",IF(AD23="W", X23, IF(AD23="L",-N23, "")))), "")</f>
      </c>
      <c r="AG23" s="170" t="str">
        <f>IF('Prediction Log'!$U24="Y", "W", IF('Prediction Log'!$U24="N", "L", ""))</f>
      </c>
      <c r="AH23" s="172" t="str">
        <f>IF(ISBLANK(Table123[[#This Row],[Odds Spread]]), "",IF(AG23="W", Z23, IF(AG23="L",-O23, "")))</f>
      </c>
      <c r="AI23" s="184"/>
      <c r="AJ23" s="183" t="str">
        <f t="shared" si="7"/>
      </c>
      <c r="AK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">
      <c r="A24" s="65" t="n">
        <f>Games!A24</f>
        <v>1</v>
      </c>
      <c r="B24" s="65" t="str">
        <f>IF('Prediction Log'!B25=0, "",'Prediction Log'!B25)</f>
        <v>Illinois</v>
      </c>
      <c r="C24" s="65" t="str">
        <f>IF('Prediction Log'!C25=0, "",'Prediction Log'!C25)</f>
        <v>Eastern Illinois</v>
      </c>
      <c r="D24" s="65" t="str">
        <f>IF('Prediction Log'!D25=0, "",'Prediction Log'!D25)</f>
      </c>
      <c r="E24" s="65" t="n">
        <f>IF('Prediction Log'!E25=0, "",'Prediction Log'!E25)</f>
        <v>-20.705795769052799</v>
      </c>
      <c r="F24" s="65" t="str">
        <f>IF('Prediction Log'!H25=0, "",'Prediction Log'!H25)</f>
        <v>Illinois</v>
      </c>
      <c r="G24" s="64" t="str">
        <f>IF(ISBLANK(Games!B24), "",'Prediction Log'!$I25)</f>
        <v>Illinois</v>
      </c>
      <c r="H24" s="66" t="n">
        <f>'Prediction Log'!$J25</f>
        <v>0.96330136263287514</v>
      </c>
      <c r="I24" s="65" t="str">
        <f>IF(ISBLANK(Games!T24), "",IF(AND(Games!T24="",Games!U24=""),"",IF(ISTEXT(Games!U24), "Side",Games!T24)))</f>
      </c>
      <c r="J24" s="65" t="str">
        <f>IF(ISBLANK(Games!B24), "",IF(Games!P24="Y", Games!B24, Games!C24))</f>
        <v>Illinois</v>
      </c>
      <c r="K24" s="65" t="str">
        <f>Games!K24</f>
        <v>Illinois</v>
      </c>
      <c r="L24" s="65" t="str">
        <f>IF(ISBLANK(Games!D24), "",Games!D24)</f>
      </c>
      <c r="M24" s="65"/>
      <c r="N24" s="167" t="str">
        <f>IF(ISBLANK(Table123[[#This Row],[Odds Side - Difference Model]]), "", 1)</f>
      </c>
      <c r="O24" s="167" t="str">
        <f>IF(ISBLANK(Table123[[#This Row],[Odds Spread]]), "", 1)</f>
      </c>
      <c r="P24" s="67"/>
      <c r="Q24" s="67"/>
      <c r="R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" s="67"/>
      <c r="T24" s="67"/>
      <c r="U24" s="168" t="str">
        <f>IF(ISBLANK(Table123[[#This Row],[Odds Side - Difference Model]]), "",N24+IF(Q24&lt;0, (N24/(Q24/-100)), N24*(Q24/100)))</f>
      </c>
      <c r="V24" s="169" t="str">
        <f>IFERROR(IF(ISBLANK(Table123[[#This Row],[Odds Side - Win Probability Model]]), "",N24+IF(R24&lt;0, (N24/(R24/-100)), N24*(R24/100))),"")</f>
      </c>
      <c r="W24" s="168" t="str">
        <f t="shared" si="2"/>
      </c>
      <c r="X24" s="169" t="str">
        <f t="shared" si="3"/>
      </c>
      <c r="Y24" s="168" t="str">
        <f>IF(ISBLANK(Table123[[#This Row],[Odds Spread]]), "",O24+IF(S24&lt;0, (O24/(S24/-100)), O24*(S24/100)))</f>
      </c>
      <c r="Z24" s="168" t="str">
        <f t="shared" si="4"/>
      </c>
      <c r="AA24" s="68" t="n">
        <f t="shared" si="5"/>
        <v>0</v>
      </c>
      <c r="AB24" s="68" t="n">
        <f t="shared" si="6"/>
        <v>0</v>
      </c>
      <c r="AC24" s="170" t="str">
        <f>IF('Prediction Log'!$T25="Y", "W", IF('Prediction Log'!$T25="N","L",""))</f>
        <v>W</v>
      </c>
      <c r="AD24" s="171" t="str">
        <f>IF('Prediction Log'!$V25="Y", "W", IF('Prediction Log'!$V25="N","L",""))</f>
        <v>W</v>
      </c>
      <c r="AE24" s="172" t="str">
        <f>IF(ISBLANK(Table123[[#This Row],[Odds Side - Difference Model]]), "",IF(AC24="W", W24, IF(AC24="L",-N24, "")))</f>
      </c>
      <c r="AF24" s="173" t="str">
        <f>IFERROR((IF(ISERR(Table123[[#This Row],[Potential Payout Side - Win Probability Model]]), "",IF(AD24="W", X24, IF(AD24="L",-N24, "")))), "")</f>
      </c>
      <c r="AG24" s="170" t="str">
        <f>IF('Prediction Log'!$U25="Y", "W", IF('Prediction Log'!$U25="N", "L", ""))</f>
      </c>
      <c r="AH24" s="172" t="str">
        <f>IF(ISBLANK(Table123[[#This Row],[Odds Spread]]), "",IF(AG24="W", Z24, IF(AG24="L",-O24, "")))</f>
      </c>
      <c r="AI24" s="184"/>
      <c r="AJ24" s="183" t="str">
        <f t="shared" si="7"/>
      </c>
      <c r="AK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">
      <c r="A25" s="65" t="n">
        <f>Games!A25</f>
        <v>1</v>
      </c>
      <c r="B25" s="65" t="str">
        <f>IF('Prediction Log'!B26=0, "",'Prediction Log'!B26)</f>
        <v>Utah</v>
      </c>
      <c r="C25" s="65" t="str">
        <f>IF('Prediction Log'!C26=0, "",'Prediction Log'!C26)</f>
        <v>Southern Utah</v>
      </c>
      <c r="D25" s="65" t="str">
        <f>IF('Prediction Log'!D26=0, "",'Prediction Log'!D26)</f>
      </c>
      <c r="E25" s="65" t="n">
        <f>IF('Prediction Log'!E26=0, "",'Prediction Log'!E26)</f>
        <v>-23.6724340790716</v>
      </c>
      <c r="F25" s="65" t="str">
        <f>IF('Prediction Log'!H26=0, "",'Prediction Log'!H26)</f>
        <v>Utah</v>
      </c>
      <c r="G25" s="64" t="str">
        <f>IF(ISBLANK(Games!B25), "",'Prediction Log'!$I26)</f>
        <v>Utah</v>
      </c>
      <c r="H25" s="66" t="n">
        <f>'Prediction Log'!$J26</f>
        <v>0.97574456809378474</v>
      </c>
      <c r="I25" s="65" t="str">
        <f>IF(ISBLANK(Games!T25), "",IF(AND(Games!T25="",Games!U25=""),"",IF(ISTEXT(Games!U25), "Side",Games!T25)))</f>
      </c>
      <c r="J25" s="65" t="str">
        <f>IF(ISBLANK(Games!B25), "",IF(Games!P25="Y", Games!B25, Games!C25))</f>
        <v>Utah</v>
      </c>
      <c r="K25" s="65" t="str">
        <f>Games!K25</f>
        <v>Utah</v>
      </c>
      <c r="L25" s="65" t="str">
        <f>IF(ISBLANK(Games!D25), "",Games!D25)</f>
      </c>
      <c r="M25" s="65"/>
      <c r="N25" s="167" t="str">
        <f>IF(ISBLANK(Table123[[#This Row],[Odds Side - Difference Model]]), "", 1)</f>
      </c>
      <c r="O25" s="167" t="str">
        <f>IF(ISBLANK(Table123[[#This Row],[Odds Spread]]), "", 1)</f>
      </c>
      <c r="P25" s="67"/>
      <c r="Q25" s="67"/>
      <c r="R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" s="67"/>
      <c r="T25" s="67"/>
      <c r="U25" s="168" t="str">
        <f>IF(ISBLANK(Table123[[#This Row],[Odds Side - Difference Model]]), "",N25+IF(Q25&lt;0, (N25/(Q25/-100)), N25*(Q25/100)))</f>
      </c>
      <c r="V25" s="169" t="str">
        <f>IFERROR(IF(ISBLANK(Table123[[#This Row],[Odds Side - Win Probability Model]]), "",N25+IF(R25&lt;0, (N25/(R25/-100)), N25*(R25/100))),"")</f>
      </c>
      <c r="W25" s="168" t="str">
        <f t="shared" si="2"/>
      </c>
      <c r="X25" s="169" t="str">
        <f t="shared" si="3"/>
      </c>
      <c r="Y25" s="168" t="str">
        <f>IF(ISBLANK(Table123[[#This Row],[Odds Spread]]), "",O25+IF(S25&lt;0, (O25/(S25/-100)), O25*(S25/100)))</f>
      </c>
      <c r="Z25" s="168" t="str">
        <f t="shared" si="4"/>
      </c>
      <c r="AA25" s="68" t="n">
        <f t="shared" si="5"/>
        <v>0</v>
      </c>
      <c r="AB25" s="68" t="n">
        <f t="shared" si="6"/>
        <v>0</v>
      </c>
      <c r="AC25" s="170" t="str">
        <f>IF('Prediction Log'!$T26="Y", "W", IF('Prediction Log'!$T26="N","L",""))</f>
        <v>W</v>
      </c>
      <c r="AD25" s="171" t="str">
        <f>IF('Prediction Log'!$V26="Y", "W", IF('Prediction Log'!$V26="N","L",""))</f>
        <v>W</v>
      </c>
      <c r="AE25" s="172" t="str">
        <f>IF(ISBLANK(Table123[[#This Row],[Odds Side - Difference Model]]), "",IF(AC25="W", W25, IF(AC25="L",-N25, "")))</f>
      </c>
      <c r="AF25" s="173" t="str">
        <f>IFERROR((IF(ISERR(Table123[[#This Row],[Potential Payout Side - Win Probability Model]]), "",IF(AD25="W", X25, IF(AD25="L",-N25, "")))), "")</f>
      </c>
      <c r="AG25" s="170" t="str">
        <f>IF('Prediction Log'!$U26="Y", "W", IF('Prediction Log'!$U26="N", "L", ""))</f>
      </c>
      <c r="AH25" s="172" t="str">
        <f>IF(ISBLANK(Table123[[#This Row],[Odds Spread]]), "",IF(AG25="W", Z25, IF(AG25="L",-O25, "")))</f>
      </c>
      <c r="AI25" s="184"/>
      <c r="AJ25" s="183" t="str">
        <f t="shared" si="7"/>
      </c>
      <c r="AK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">
      <c r="A26" s="65" t="n">
        <f>Games!A26</f>
        <v>1</v>
      </c>
      <c r="B26" s="65" t="str">
        <f>IF('Prediction Log'!B27=0, "",'Prediction Log'!B27)</f>
        <v>San José State</v>
      </c>
      <c r="C26" s="65" t="str">
        <f>IF('Prediction Log'!C27=0, "",'Prediction Log'!C27)</f>
        <v>Sacramento State</v>
      </c>
      <c r="D26" s="65" t="str">
        <f>IF('Prediction Log'!D27=0, "",'Prediction Log'!D27)</f>
      </c>
      <c r="E26" s="65" t="n">
        <f>IF('Prediction Log'!E27=0, "",'Prediction Log'!E27)</f>
        <v>-19.263688264659599</v>
      </c>
      <c r="F26" s="65" t="str">
        <f>IF('Prediction Log'!H27=0, "",'Prediction Log'!H27)</f>
        <v>San José State</v>
      </c>
      <c r="G26" s="64" t="str">
        <f>IF(ISBLANK(Games!B26), "",'Prediction Log'!$I27)</f>
        <v>San José State</v>
      </c>
      <c r="H26" s="66" t="n">
        <f>'Prediction Log'!$J27</f>
        <v>0.9552161782197377</v>
      </c>
      <c r="I26" s="65" t="str">
        <f>IF(ISBLANK(Games!T26), "",IF(AND(Games!T26="",Games!U26=""),"",IF(ISTEXT(Games!U26), "Side",Games!T26)))</f>
      </c>
      <c r="J26" s="65" t="str">
        <f>IF(ISBLANK(Games!B26), "",IF(Games!P26="Y", Games!B26, Games!C26))</f>
        <v>San José State</v>
      </c>
      <c r="K26" s="65" t="str">
        <f>Games!K26</f>
        <v>San José State</v>
      </c>
      <c r="L26" s="65" t="str">
        <f>IF(ISBLANK(Games!D26), "",Games!D26)</f>
      </c>
      <c r="M26" s="65"/>
      <c r="N26" s="167" t="str">
        <f>IF(ISBLANK(Table123[[#This Row],[Odds Side - Difference Model]]), "", 1)</f>
      </c>
      <c r="O26" s="167" t="str">
        <f>IF(ISBLANK(Table123[[#This Row],[Odds Spread]]), "", 1)</f>
      </c>
      <c r="P26" s="67"/>
      <c r="Q26" s="67"/>
      <c r="R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" s="67"/>
      <c r="T26" s="67"/>
      <c r="U26" s="168" t="str">
        <f>IF(ISBLANK(Table123[[#This Row],[Odds Side - Difference Model]]), "",N26+IF(Q26&lt;0, (N26/(Q26/-100)), N26*(Q26/100)))</f>
      </c>
      <c r="V26" s="169" t="str">
        <f>IFERROR(IF(ISBLANK(Table123[[#This Row],[Odds Side - Win Probability Model]]), "",N26+IF(R26&lt;0, (N26/(R26/-100)), N26*(R26/100))),"")</f>
      </c>
      <c r="W26" s="168" t="str">
        <f t="shared" si="2"/>
      </c>
      <c r="X26" s="169" t="str">
        <f t="shared" si="3"/>
      </c>
      <c r="Y26" s="168" t="str">
        <f>IF(ISBLANK(Table123[[#This Row],[Odds Spread]]), "",O26+IF(S26&lt;0, (O26/(S26/-100)), O26*(S26/100)))</f>
      </c>
      <c r="Z26" s="168" t="str">
        <f t="shared" si="4"/>
      </c>
      <c r="AA26" s="68" t="n">
        <f t="shared" si="5"/>
        <v>0</v>
      </c>
      <c r="AB26" s="68" t="n">
        <f t="shared" si="6"/>
        <v>0</v>
      </c>
      <c r="AC26" s="170" t="str">
        <f>IF('Prediction Log'!$T27="Y", "W", IF('Prediction Log'!$T27="N","L",""))</f>
        <v>W</v>
      </c>
      <c r="AD26" s="171" t="str">
        <f>IF('Prediction Log'!$V27="Y", "W", IF('Prediction Log'!$V27="N","L",""))</f>
        <v>W</v>
      </c>
      <c r="AE26" s="172" t="str">
        <f>IF(ISBLANK(Table123[[#This Row],[Odds Side - Difference Model]]), "",IF(AC26="W", W26, IF(AC26="L",-N26, "")))</f>
      </c>
      <c r="AF26" s="173" t="str">
        <f>IFERROR((IF(ISERR(Table123[[#This Row],[Potential Payout Side - Win Probability Model]]), "",IF(AD26="W", X26, IF(AD26="L",-N26, "")))), "")</f>
      </c>
      <c r="AG26" s="170" t="str">
        <f>IF('Prediction Log'!$U27="Y", "W", IF('Prediction Log'!$U27="N", "L", ""))</f>
      </c>
      <c r="AH26" s="172" t="str">
        <f>IF(ISBLANK(Table123[[#This Row],[Odds Spread]]), "",IF(AG26="W", Z26, IF(AG26="L",-O26, "")))</f>
      </c>
      <c r="AI26" s="184"/>
      <c r="AJ26" s="183" t="str">
        <f t="shared" si="7"/>
      </c>
      <c r="AK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">
      <c r="A27" s="65" t="n">
        <f>Games!A27</f>
        <v>1</v>
      </c>
      <c r="B27" s="65" t="str">
        <f>IF('Prediction Log'!B28=0, "",'Prediction Log'!B28)</f>
        <v>Army</v>
      </c>
      <c r="C27" s="65" t="str">
        <f>IF('Prediction Log'!C28=0, "",'Prediction Log'!C28)</f>
        <v>Lehigh</v>
      </c>
      <c r="D27" s="65" t="n">
        <f>IF('Prediction Log'!D28=0, "",'Prediction Log'!D28)</f>
        <v>-31.5</v>
      </c>
      <c r="E27" s="65" t="n">
        <f>IF('Prediction Log'!E28=0, "",'Prediction Log'!E28)</f>
        <v>-13.333757137662801</v>
      </c>
      <c r="F27" s="65" t="str">
        <f>IF('Prediction Log'!H28=0, "",'Prediction Log'!H28)</f>
        <v>Army</v>
      </c>
      <c r="G27" s="64" t="str">
        <f>IF(ISBLANK(Games!B27), "",'Prediction Log'!$I28)</f>
        <v>Army</v>
      </c>
      <c r="H27" s="66" t="n">
        <f>'Prediction Log'!$J28</f>
        <v>0.90085001167424639</v>
      </c>
      <c r="I27" s="65" t="str">
        <f>IF(ISBLANK(Games!T27), "",IF(AND(Games!T27="",Games!U27=""),"",IF(ISTEXT(Games!U27), "Side",Games!T27)))</f>
      </c>
      <c r="J27" s="65" t="str">
        <f>IF(ISBLANK(Games!B27), "",IF(Games!P27="Y", Games!B27, Games!C27))</f>
        <v>Lehigh</v>
      </c>
      <c r="K27" s="65" t="str">
        <f>Games!K27</f>
        <v>Army</v>
      </c>
      <c r="L27" s="65" t="n">
        <f>IF(ISBLANK(Games!D27), "",Games!D27)</f>
        <v>-31.5</v>
      </c>
      <c r="M27" s="65"/>
      <c r="N27" s="167" t="str">
        <f>IF(ISBLANK(Table123[[#This Row],[Odds Side - Difference Model]]), "", 1)</f>
      </c>
      <c r="O27" s="167" t="str">
        <f>IF(ISBLANK(Table123[[#This Row],[Odds Spread]]), "", 1)</f>
      </c>
      <c r="P27" s="67"/>
      <c r="Q27" s="67"/>
      <c r="R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" s="67"/>
      <c r="T27" s="67"/>
      <c r="U27" s="168" t="str">
        <f>IF(ISBLANK(Table123[[#This Row],[Odds Side - Difference Model]]), "",N27+IF(Q27&lt;0, (N27/(Q27/-100)), N27*(Q27/100)))</f>
      </c>
      <c r="V27" s="169" t="str">
        <f>IFERROR(IF(ISBLANK(Table123[[#This Row],[Odds Side - Win Probability Model]]), "",N27+IF(R27&lt;0, (N27/(R27/-100)), N27*(R27/100))),"")</f>
      </c>
      <c r="W27" s="168" t="str">
        <f t="shared" si="2"/>
      </c>
      <c r="X27" s="169" t="str">
        <f t="shared" si="3"/>
      </c>
      <c r="Y27" s="168" t="str">
        <f>IF(ISBLANK(Table123[[#This Row],[Odds Spread]]), "",O27+IF(S27&lt;0, (O27/(S27/-100)), O27*(S27/100)))</f>
      </c>
      <c r="Z27" s="168" t="str">
        <f t="shared" si="4"/>
      </c>
      <c r="AA27" s="68" t="n">
        <f t="shared" si="5"/>
        <v>0</v>
      </c>
      <c r="AB27" s="68" t="n">
        <f t="shared" si="6"/>
        <v>0</v>
      </c>
      <c r="AC27" s="170" t="str">
        <f>IF('Prediction Log'!$T28="Y", "W", IF('Prediction Log'!$T28="N","L",""))</f>
        <v>W</v>
      </c>
      <c r="AD27" s="171" t="str">
        <f>IF('Prediction Log'!$V28="Y", "W", IF('Prediction Log'!$V28="N","L",""))</f>
        <v>W</v>
      </c>
      <c r="AE27" s="172" t="str">
        <f>IF(ISBLANK(Table123[[#This Row],[Odds Side - Difference Model]]), "",IF(AC27="W", W27, IF(AC27="L",-N27, "")))</f>
      </c>
      <c r="AF27" s="173" t="str">
        <f>IFERROR((IF(ISERR(Table123[[#This Row],[Potential Payout Side - Win Probability Model]]), "",IF(AD27="W", X27, IF(AD27="L",-N27, "")))), "")</f>
      </c>
      <c r="AG27" s="170" t="str">
        <f>IF('Prediction Log'!$U28="Y", "W", IF('Prediction Log'!$U28="N", "L", ""))</f>
        <v>L</v>
      </c>
      <c r="AH27" s="172" t="str">
        <f>IF(ISBLANK(Table123[[#This Row],[Odds Spread]]), "",IF(AG27="W", Z27, IF(AG27="L",-O27, "")))</f>
      </c>
      <c r="AI27" s="184"/>
      <c r="AJ27" s="183" t="str">
        <f t="shared" si="7"/>
      </c>
      <c r="AK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">
      <c r="A28" s="65" t="n">
        <f>Games!A28</f>
        <v>1</v>
      </c>
      <c r="B28" s="65" t="str">
        <f>IF('Prediction Log'!B29=0, "",'Prediction Log'!B29)</f>
        <v>Michigan State</v>
      </c>
      <c r="C28" s="65" t="str">
        <f>IF('Prediction Log'!C29=0, "",'Prediction Log'!C29)</f>
        <v>Florida Atlantic</v>
      </c>
      <c r="D28" s="65" t="n">
        <f>IF('Prediction Log'!D29=0, "",'Prediction Log'!D29)</f>
        <v>-11.5</v>
      </c>
      <c r="E28" s="65" t="n">
        <f>IF('Prediction Log'!E29=0, "",'Prediction Log'!E29)</f>
        <v>-7.2</v>
      </c>
      <c r="F28" s="65" t="str">
        <f>IF('Prediction Log'!H29=0, "",'Prediction Log'!H29)</f>
        <v>Michigan State</v>
      </c>
      <c r="G28" s="64" t="str">
        <f>IF(ISBLANK(Games!B28), "",'Prediction Log'!$I29)</f>
        <v>Michigan State</v>
      </c>
      <c r="H28" s="66" t="n">
        <f>'Prediction Log'!$J29</f>
        <v>0.63319031668955161</v>
      </c>
      <c r="I28" s="65" t="str">
        <f>IF(ISBLANK(Games!T28), "",IF(AND(Games!T28="",Games!U28=""),"",IF(ISTEXT(Games!U28), "Side",Games!T28)))</f>
      </c>
      <c r="J28" s="65" t="str">
        <f>IF(ISBLANK(Games!B28), "",IF(Games!P28="Y", Games!B28, Games!C28))</f>
        <v>Michigan State</v>
      </c>
      <c r="K28" s="65" t="str">
        <f>Games!K28</f>
        <v>Michigan State</v>
      </c>
      <c r="L28" s="65" t="str">
        <f>IF(ISBLANK(Games!D28), "",Games!D28)</f>
        <v>-11.5</v>
      </c>
      <c r="M28" s="65"/>
      <c r="N28" s="167" t="str">
        <f>IF(ISBLANK(Table123[[#This Row],[Odds Side - Difference Model]]), "", 1)</f>
      </c>
      <c r="O28" s="167" t="str">
        <f>IF(ISBLANK(Table123[[#This Row],[Odds Spread]]), "", 1)</f>
      </c>
      <c r="P28" s="67"/>
      <c r="Q28" s="67"/>
      <c r="R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" s="67"/>
      <c r="T28" s="67"/>
      <c r="U28" s="168" t="str">
        <f>IF(ISBLANK(Table123[[#This Row],[Odds Side - Difference Model]]), "",N28+IF(Q28&lt;0, (N28/(Q28/-100)), N28*(Q28/100)))</f>
      </c>
      <c r="V28" s="169" t="str">
        <f>IFERROR(IF(ISBLANK(Table123[[#This Row],[Odds Side - Win Probability Model]]), "",N28+IF(R28&lt;0, (N28/(R28/-100)), N28*(R28/100))),"")</f>
      </c>
      <c r="W28" s="168" t="str">
        <f t="shared" si="2"/>
      </c>
      <c r="X28" s="169" t="str">
        <f t="shared" si="3"/>
      </c>
      <c r="Y28" s="168" t="str">
        <f>IF(ISBLANK(Table123[[#This Row],[Odds Spread]]), "",O28+IF(S28&lt;0, (O28/(S28/-100)), O28*(S28/100)))</f>
      </c>
      <c r="Z28" s="168" t="str">
        <f t="shared" si="4"/>
      </c>
      <c r="AA28" s="68" t="n">
        <f t="shared" si="5"/>
        <v>0</v>
      </c>
      <c r="AB28" s="68" t="n">
        <f t="shared" si="6"/>
        <v>0</v>
      </c>
      <c r="AC28" s="170" t="str">
        <f>IF('Prediction Log'!$T29="Y", "W", IF('Prediction Log'!$T29="N","L",""))</f>
        <v>W</v>
      </c>
      <c r="AD28" s="171" t="str">
        <f>IF('Prediction Log'!$V29="Y", "W", IF('Prediction Log'!$V29="N","L",""))</f>
        <v>W</v>
      </c>
      <c r="AE28" s="172" t="str">
        <f>IF(ISBLANK(Table123[[#This Row],[Odds Side - Difference Model]]), "",IF(AC28="W", W28, IF(AC28="L",-N28, "")))</f>
      </c>
      <c r="AF28" s="173" t="str">
        <f>IFERROR((IF(ISERR(Table123[[#This Row],[Potential Payout Side - Win Probability Model]]), "",IF(AD28="W", X28, IF(AD28="L",-N28, "")))), "")</f>
      </c>
      <c r="AG28" s="170" t="str">
        <f>IF('Prediction Log'!$U29="Y", "W", IF('Prediction Log'!$U29="N", "L", ""))</f>
        <v>L</v>
      </c>
      <c r="AH28" s="172" t="str">
        <f>IF(ISBLANK(Table123[[#This Row],[Odds Spread]]), "",IF(AG28="W", Z28, IF(AG28="L",-O28, "")))</f>
      </c>
      <c r="AI28" s="184"/>
      <c r="AJ28" s="183" t="str">
        <f t="shared" si="7"/>
      </c>
      <c r="AK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">
      <c r="A29" s="65" t="n">
        <f>Games!A29</f>
        <v>1</v>
      </c>
      <c r="B29" s="65" t="str">
        <f>IF('Prediction Log'!B30=0, "",'Prediction Log'!B30)</f>
        <v>Oklahoma</v>
      </c>
      <c r="C29" s="65" t="str">
        <f>IF('Prediction Log'!C30=0, "",'Prediction Log'!C30)</f>
        <v>Temple</v>
      </c>
      <c r="D29" s="65" t="n">
        <f>IF('Prediction Log'!D30=0, "",'Prediction Log'!D30)</f>
        <v>-42.5</v>
      </c>
      <c r="E29" s="65" t="n">
        <f>IF('Prediction Log'!E30=0, "",'Prediction Log'!E30)</f>
        <v>-30.1058587678252</v>
      </c>
      <c r="F29" s="65" t="str">
        <f>IF('Prediction Log'!H30=0, "",'Prediction Log'!H30)</f>
        <v>Oklahoma</v>
      </c>
      <c r="G29" s="64" t="str">
        <f>IF(ISBLANK(Games!B29), "",'Prediction Log'!$I30)</f>
        <v>Oklahoma</v>
      </c>
      <c r="H29" s="66" t="n">
        <f>'Prediction Log'!$J30</f>
        <v>0.9902472415436423</v>
      </c>
      <c r="I29" s="65" t="str">
        <f>IF(ISBLANK(Games!T29), "",IF(AND(Games!T29="",Games!U29=""),"",IF(ISTEXT(Games!U29), "Side",Games!T29)))</f>
      </c>
      <c r="J29" s="65" t="str">
        <f>IF(ISBLANK(Games!B29), "",IF(Games!P29="Y", Games!B29, Games!C29))</f>
        <v>Oklahoma</v>
      </c>
      <c r="K29" s="65" t="str">
        <f>Games!K29</f>
        <v>Oklahoma</v>
      </c>
      <c r="L29" s="65" t="str">
        <f>IF(ISBLANK(Games!D29), "",Games!D29)</f>
        <v>-42.5</v>
      </c>
      <c r="M29" s="65"/>
      <c r="N29" s="167" t="str">
        <f>IF(ISBLANK(Table123[[#This Row],[Odds Side - Difference Model]]), "", 1)</f>
      </c>
      <c r="O29" s="167" t="str">
        <f>IF(ISBLANK(Table123[[#This Row],[Odds Spread]]), "", 1)</f>
      </c>
      <c r="P29" s="67"/>
      <c r="Q29" s="67"/>
      <c r="R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" s="67"/>
      <c r="T29" s="67"/>
      <c r="U29" s="168" t="str">
        <f>IF(ISBLANK(Table123[[#This Row],[Odds Side - Difference Model]]), "",N29+IF(Q29&lt;0, (N29/(Q29/-100)), N29*(Q29/100)))</f>
      </c>
      <c r="V29" s="169" t="str">
        <f>IFERROR(IF(ISBLANK(Table123[[#This Row],[Odds Side - Win Probability Model]]), "",N29+IF(R29&lt;0, (N29/(R29/-100)), N29*(R29/100))),"")</f>
      </c>
      <c r="W29" s="168" t="str">
        <f t="shared" si="2"/>
      </c>
      <c r="X29" s="169" t="str">
        <f t="shared" si="3"/>
      </c>
      <c r="Y29" s="168" t="str">
        <f>IF(ISBLANK(Table123[[#This Row],[Odds Spread]]), "",O29+IF(S29&lt;0, (O29/(S29/-100)), O29*(S29/100)))</f>
      </c>
      <c r="Z29" s="168" t="str">
        <f t="shared" si="4"/>
      </c>
      <c r="AA29" s="68" t="n">
        <f t="shared" si="5"/>
        <v>0</v>
      </c>
      <c r="AB29" s="68" t="n">
        <f t="shared" si="6"/>
        <v>0</v>
      </c>
      <c r="AC29" s="170" t="str">
        <f>IF('Prediction Log'!$T30="Y", "W", IF('Prediction Log'!$T30="N","L",""))</f>
        <v>W</v>
      </c>
      <c r="AD29" s="171" t="str">
        <f>IF('Prediction Log'!$V30="Y", "W", IF('Prediction Log'!$V30="N","L",""))</f>
        <v>W</v>
      </c>
      <c r="AE29" s="172" t="str">
        <f>IF(ISBLANK(Table123[[#This Row],[Odds Side - Difference Model]]), "",IF(AC29="W", W29, IF(AC29="L",-N29, "")))</f>
      </c>
      <c r="AF29" s="173" t="str">
        <f>IFERROR((IF(ISERR(Table123[[#This Row],[Potential Payout Side - Win Probability Model]]), "",IF(AD29="W", X29, IF(AD29="L",-N29, "")))), "")</f>
      </c>
      <c r="AG29" s="170" t="str">
        <f>IF('Prediction Log'!$U30="Y", "W", IF('Prediction Log'!$U30="N", "L", ""))</f>
        <v>W</v>
      </c>
      <c r="AH29" s="172" t="str">
        <f>IF(ISBLANK(Table123[[#This Row],[Odds Spread]]), "",IF(AG29="W", Z29, IF(AG29="L",-O29, "")))</f>
      </c>
      <c r="AI29" s="184"/>
      <c r="AJ29" s="183" t="str">
        <f t="shared" si="7"/>
      </c>
      <c r="AK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">
      <c r="A30" s="65" t="n">
        <f>Games!A30</f>
        <v>1</v>
      </c>
      <c r="B30" s="65" t="str">
        <f>IF('Prediction Log'!B31=0, "",'Prediction Log'!B31)</f>
        <v>Duke</v>
      </c>
      <c r="C30" s="65" t="str">
        <f>IF('Prediction Log'!C31=0, "",'Prediction Log'!C31)</f>
        <v>Elon</v>
      </c>
      <c r="D30" s="65" t="n">
        <f>IF('Prediction Log'!D31=0, "",'Prediction Log'!D31)</f>
        <v>-24.5</v>
      </c>
      <c r="E30" s="65" t="n">
        <f>IF('Prediction Log'!E31=0, "",'Prediction Log'!E31)</f>
        <v>-24.383201289791199</v>
      </c>
      <c r="F30" s="65" t="str">
        <f>IF('Prediction Log'!H31=0, "",'Prediction Log'!H31)</f>
        <v>Duke</v>
      </c>
      <c r="G30" s="64" t="str">
        <f>IF(ISBLANK(Games!B30), "",'Prediction Log'!$I31)</f>
        <v>Duke</v>
      </c>
      <c r="H30" s="66" t="n">
        <f>'Prediction Log'!$J31</f>
        <v>0.9780511639917534</v>
      </c>
      <c r="I30" s="65" t="str">
        <f>IF(ISBLANK(Games!T30), "",IF(AND(Games!T30="",Games!U30=""),"",IF(ISTEXT(Games!U30), "Side",Games!T30)))</f>
      </c>
      <c r="J30" s="65" t="str">
        <f>IF(ISBLANK(Games!B30), "",IF(Games!P30="Y", Games!B30, Games!C30))</f>
        <v>Elon</v>
      </c>
      <c r="K30" s="65" t="str">
        <f>Games!K30</f>
        <v>Duke</v>
      </c>
      <c r="L30" s="65" t="n">
        <f>IF(ISBLANK(Games!D30), "",Games!D30)</f>
        <v>-24.5</v>
      </c>
      <c r="M30" s="65"/>
      <c r="N30" s="167" t="str">
        <f>IF(ISBLANK(Table123[[#This Row],[Odds Side - Difference Model]]), "", 1)</f>
      </c>
      <c r="O30" s="167" t="str">
        <f>IF(ISBLANK(Table123[[#This Row],[Odds Spread]]), "", 1)</f>
      </c>
      <c r="P30" s="67"/>
      <c r="Q30" s="67"/>
      <c r="R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" s="67"/>
      <c r="T30" s="67"/>
      <c r="U30" s="168" t="str">
        <f>IF(ISBLANK(Table123[[#This Row],[Odds Side - Difference Model]]), "",N30+IF(Q30&lt;0, (N30/(Q30/-100)), N30*(Q30/100)))</f>
      </c>
      <c r="V30" s="169" t="str">
        <f>IFERROR(IF(ISBLANK(Table123[[#This Row],[Odds Side - Win Probability Model]]), "",N30+IF(R30&lt;0, (N30/(R30/-100)), N30*(R30/100))),"")</f>
      </c>
      <c r="W30" s="168" t="str">
        <f t="shared" si="2"/>
      </c>
      <c r="X30" s="169" t="str">
        <f t="shared" si="3"/>
      </c>
      <c r="Y30" s="168" t="str">
        <f>IF(ISBLANK(Table123[[#This Row],[Odds Spread]]), "",O30+IF(S30&lt;0, (O30/(S30/-100)), O30*(S30/100)))</f>
      </c>
      <c r="Z30" s="168" t="str">
        <f t="shared" si="4"/>
      </c>
      <c r="AA30" s="68" t="n">
        <f t="shared" si="5"/>
        <v>0</v>
      </c>
      <c r="AB30" s="68" t="n">
        <f t="shared" si="6"/>
        <v>0</v>
      </c>
      <c r="AC30" s="170" t="str">
        <f>IF('Prediction Log'!$T31="Y", "W", IF('Prediction Log'!$T31="N","L",""))</f>
        <v>W</v>
      </c>
      <c r="AD30" s="171" t="str">
        <f>IF('Prediction Log'!$V31="Y", "W", IF('Prediction Log'!$V31="N","L",""))</f>
        <v>W</v>
      </c>
      <c r="AE30" s="172" t="str">
        <f>IF(ISBLANK(Table123[[#This Row],[Odds Side - Difference Model]]), "",IF(AC30="W", W30, IF(AC30="L",-N30, "")))</f>
      </c>
      <c r="AF30" s="173" t="str">
        <f>IFERROR((IF(ISERR(Table123[[#This Row],[Potential Payout Side - Win Probability Model]]), "",IF(AD30="W", X30, IF(AD30="L",-N30, "")))), "")</f>
      </c>
      <c r="AG30" s="170" t="str">
        <f>IF('Prediction Log'!$U31="Y", "W", IF('Prediction Log'!$U31="N", "L", ""))</f>
        <v>W</v>
      </c>
      <c r="AH30" s="172" t="str">
        <f>IF(ISBLANK(Table123[[#This Row],[Odds Spread]]), "",IF(AG30="W", Z30, IF(AG30="L",-O30, "")))</f>
      </c>
      <c r="AI30" s="184"/>
      <c r="AJ30" s="183" t="str">
        <f t="shared" si="7"/>
      </c>
      <c r="AK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">
      <c r="A31" s="65" t="n">
        <f>Games!A31</f>
        <v>1</v>
      </c>
      <c r="B31" s="65" t="str">
        <f>IF('Prediction Log'!B32=0, "",'Prediction Log'!B32)</f>
        <v>Wisconsin</v>
      </c>
      <c r="C31" s="65" t="str">
        <f>IF('Prediction Log'!C32=0, "",'Prediction Log'!C32)</f>
        <v>Western Michigan</v>
      </c>
      <c r="D31" s="65" t="n">
        <f>IF('Prediction Log'!D32=0, "",'Prediction Log'!D32)</f>
        <v>-24</v>
      </c>
      <c r="E31" s="65" t="n">
        <f>IF('Prediction Log'!E32=0, "",'Prediction Log'!E32)</f>
        <v>-49.4</v>
      </c>
      <c r="F31" s="65" t="str">
        <f>IF('Prediction Log'!H32=0, "",'Prediction Log'!H32)</f>
        <v>Wisconsin</v>
      </c>
      <c r="G31" s="64" t="str">
        <f>IF(ISBLANK(Games!B31), "",'Prediction Log'!$I32)</f>
        <v>Wisconsin</v>
      </c>
      <c r="H31" s="66" t="n">
        <f>'Prediction Log'!$J32</f>
        <v>0.8841391172224492</v>
      </c>
      <c r="I31" s="65" t="str">
        <f>IF(ISBLANK(Games!T31), "",IF(AND(Games!T31="",Games!U31=""),"",IF(ISTEXT(Games!U31), "Side",Games!T31)))</f>
      </c>
      <c r="J31" s="65" t="str">
        <f>IF(ISBLANK(Games!B31), "",IF(Games!P31="Y", Games!B31, Games!C31))</f>
        <v>Wisconsin</v>
      </c>
      <c r="K31" s="65" t="str">
        <f>Games!K31</f>
        <v>Wisconsin</v>
      </c>
      <c r="L31" s="65" t="str">
        <f>IF(ISBLANK(Games!D31), "",Games!D31)</f>
        <v>-24</v>
      </c>
      <c r="M31" s="65"/>
      <c r="N31" s="167" t="str">
        <f>IF(ISBLANK(Table123[[#This Row],[Odds Side - Difference Model]]), "", 1)</f>
      </c>
      <c r="O31" s="167" t="str">
        <f>IF(ISBLANK(Table123[[#This Row],[Odds Spread]]), "", 1)</f>
      </c>
      <c r="P31" s="67"/>
      <c r="Q31" s="67"/>
      <c r="R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" s="67"/>
      <c r="T31" s="67"/>
      <c r="U31" s="168" t="str">
        <f>IF(ISBLANK(Table123[[#This Row],[Odds Side - Difference Model]]), "",N31+IF(Q31&lt;0, (N31/(Q31/-100)), N31*(Q31/100)))</f>
      </c>
      <c r="V31" s="169" t="str">
        <f>IFERROR(IF(ISBLANK(Table123[[#This Row],[Odds Side - Win Probability Model]]), "",N31+IF(R31&lt;0, (N31/(R31/-100)), N31*(R31/100))),"")</f>
      </c>
      <c r="W31" s="168" t="str">
        <f t="shared" si="2"/>
      </c>
      <c r="X31" s="169" t="str">
        <f t="shared" si="3"/>
      </c>
      <c r="Y31" s="168" t="str">
        <f>IF(ISBLANK(Table123[[#This Row],[Odds Spread]]), "",O31+IF(S31&lt;0, (O31/(S31/-100)), O31*(S31/100)))</f>
      </c>
      <c r="Z31" s="168" t="str">
        <f t="shared" si="4"/>
      </c>
      <c r="AA31" s="68" t="n">
        <f t="shared" si="5"/>
        <v>0</v>
      </c>
      <c r="AB31" s="68" t="n">
        <f t="shared" si="6"/>
        <v>0</v>
      </c>
      <c r="AC31" s="170" t="str">
        <f>IF('Prediction Log'!$T32="Y", "W", IF('Prediction Log'!$T32="N","L",""))</f>
        <v>W</v>
      </c>
      <c r="AD31" s="171" t="str">
        <f>IF('Prediction Log'!$V32="Y", "W", IF('Prediction Log'!$V32="N","L",""))</f>
        <v>W</v>
      </c>
      <c r="AE31" s="172" t="str">
        <f>IF(ISBLANK(Table123[[#This Row],[Odds Side - Difference Model]]), "",IF(AC31="W", W31, IF(AC31="L",-N31, "")))</f>
      </c>
      <c r="AF31" s="173" t="str">
        <f>IFERROR((IF(ISERR(Table123[[#This Row],[Potential Payout Side - Win Probability Model]]), "",IF(AD31="W", X31, IF(AD31="L",-N31, "")))), "")</f>
      </c>
      <c r="AG31" s="170" t="str">
        <f>IF('Prediction Log'!$U32="Y", "W", IF('Prediction Log'!$U32="N", "L", ""))</f>
        <v>L</v>
      </c>
      <c r="AH31" s="172" t="str">
        <f>IF(ISBLANK(Table123[[#This Row],[Odds Spread]]), "",IF(AG31="W", Z31, IF(AG31="L",-O31, "")))</f>
      </c>
      <c r="AI31" s="184"/>
      <c r="AJ31" s="183" t="str">
        <f t="shared" si="7"/>
      </c>
      <c r="AK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">
      <c r="A32" s="65" t="n">
        <f>Games!A32</f>
        <v>1</v>
      </c>
      <c r="B32" s="65" t="str">
        <f>IF('Prediction Log'!B33=0, "",'Prediction Log'!B33)</f>
        <v>Stanford</v>
      </c>
      <c r="C32" s="65" t="str">
        <f>IF('Prediction Log'!C33=0, "",'Prediction Log'!C33)</f>
        <v>TCU</v>
      </c>
      <c r="D32" s="65" t="n">
        <f>IF('Prediction Log'!D33=0, "",'Prediction Log'!D33)</f>
        <v>8.5</v>
      </c>
      <c r="E32" s="65" t="n">
        <f>IF('Prediction Log'!E33=0, "",'Prediction Log'!E33)</f>
        <v>20.6</v>
      </c>
      <c r="F32" s="65" t="str">
        <f>IF('Prediction Log'!H33=0, "",'Prediction Log'!H33)</f>
        <v>TCU</v>
      </c>
      <c r="G32" s="64" t="str">
        <f>IF(ISBLANK(Games!B32), "",'Prediction Log'!$I33)</f>
        <v>TCU</v>
      </c>
      <c r="H32" s="66" t="n">
        <f>'Prediction Log'!$J33</f>
        <v>0.825043757611716</v>
      </c>
      <c r="I32" s="65" t="str">
        <f>IF(ISBLANK(Games!T32), "",IF(AND(Games!T32="",Games!U32=""),"",IF(ISTEXT(Games!U32), "Side",Games!T32)))</f>
      </c>
      <c r="J32" s="65" t="str">
        <f>IF(ISBLANK(Games!B32), "",IF(Games!P32="Y", Games!B32, Games!C32))</f>
        <v>Stanford</v>
      </c>
      <c r="K32" s="65" t="str">
        <f>Games!K32</f>
        <v>TCU</v>
      </c>
      <c r="L32" s="65" t="str">
        <f>IF(ISBLANK(Games!D32), "",Games!D32)</f>
        <v>8.5</v>
      </c>
      <c r="M32" s="65"/>
      <c r="N32" s="167" t="str">
        <f>IF(ISBLANK(Table123[[#This Row],[Odds Side - Difference Model]]), "", 1)</f>
      </c>
      <c r="O32" s="167" t="str">
        <f>IF(ISBLANK(Table123[[#This Row],[Odds Spread]]), "", 1)</f>
      </c>
      <c r="P32" s="67"/>
      <c r="Q32" s="67"/>
      <c r="R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" s="67"/>
      <c r="T32" s="67"/>
      <c r="U32" s="168" t="str">
        <f>IF(ISBLANK(Table123[[#This Row],[Odds Side - Difference Model]]), "",N32+IF(Q32&lt;0, (N32/(Q32/-100)), N32*(Q32/100)))</f>
      </c>
      <c r="V32" s="169" t="str">
        <f>IFERROR(IF(ISBLANK(Table123[[#This Row],[Odds Side - Win Probability Model]]), "",N32+IF(R32&lt;0, (N32/(R32/-100)), N32*(R32/100))),"")</f>
      </c>
      <c r="W32" s="168" t="str">
        <f t="shared" si="2"/>
      </c>
      <c r="X32" s="169" t="str">
        <f t="shared" si="3"/>
      </c>
      <c r="Y32" s="168" t="str">
        <f>IF(ISBLANK(Table123[[#This Row],[Odds Spread]]), "",O32+IF(S32&lt;0, (O32/(S32/-100)), O32*(S32/100)))</f>
      </c>
      <c r="Z32" s="168" t="str">
        <f t="shared" si="4"/>
      </c>
      <c r="AA32" s="68" t="n">
        <f t="shared" si="5"/>
        <v>0</v>
      </c>
      <c r="AB32" s="68" t="n">
        <f t="shared" si="6"/>
        <v>0</v>
      </c>
      <c r="AC32" s="170" t="str">
        <f>IF('Prediction Log'!$T33="Y", "W", IF('Prediction Log'!$T33="N","L",""))</f>
        <v>W</v>
      </c>
      <c r="AD32" s="171" t="str">
        <f>IF('Prediction Log'!$V33="Y", "W", IF('Prediction Log'!$V33="N","L",""))</f>
        <v>W</v>
      </c>
      <c r="AE32" s="172" t="str">
        <f>IF(ISBLANK(Table123[[#This Row],[Odds Side - Difference Model]]), "",IF(AC32="W", W32, IF(AC32="L",-N32, "")))</f>
      </c>
      <c r="AF32" s="173" t="str">
        <f>IFERROR((IF(ISERR(Table123[[#This Row],[Potential Payout Side - Win Probability Model]]), "",IF(AD32="W", X32, IF(AD32="L",-N32, "")))), "")</f>
      </c>
      <c r="AG32" s="170" t="str">
        <f>IF('Prediction Log'!$U33="Y", "W", IF('Prediction Log'!$U33="N", "L", ""))</f>
        <v>W</v>
      </c>
      <c r="AH32" s="172" t="str">
        <f>IF(ISBLANK(Table123[[#This Row],[Odds Spread]]), "",IF(AG32="W", Z32, IF(AG32="L",-O32, "")))</f>
      </c>
      <c r="AI32" s="184"/>
      <c r="AJ32" s="183" t="str">
        <f t="shared" si="7"/>
      </c>
      <c r="AK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">
      <c r="A33" s="65" t="n">
        <f>Games!A33</f>
        <v>1</v>
      </c>
      <c r="B33" s="65" t="str">
        <f>IF('Prediction Log'!B34=0, "",'Prediction Log'!B34)</f>
        <v>Utah State</v>
      </c>
      <c r="C33" s="65" t="str">
        <f>IF('Prediction Log'!C34=0, "",'Prediction Log'!C34)</f>
        <v>Robert Morris</v>
      </c>
      <c r="D33" s="65" t="str">
        <f>IF('Prediction Log'!D34=0, "",'Prediction Log'!D34)</f>
      </c>
      <c r="E33" s="65" t="n">
        <f>IF('Prediction Log'!E34=0, "",'Prediction Log'!E34)</f>
        <v>-13.259568940560801</v>
      </c>
      <c r="F33" s="65" t="str">
        <f>IF('Prediction Log'!H34=0, "",'Prediction Log'!H34)</f>
        <v>Utah State</v>
      </c>
      <c r="G33" s="64" t="str">
        <f>IF(ISBLANK(Games!B33), "",'Prediction Log'!$I34)</f>
        <v>Utah State</v>
      </c>
      <c r="H33" s="66" t="n">
        <f>'Prediction Log'!$J34</f>
        <v>0.89989230134640896</v>
      </c>
      <c r="I33" s="65" t="str">
        <f>IF(ISBLANK(Games!T33), "",IF(AND(Games!T33="",Games!U33=""),"",IF(ISTEXT(Games!U33), "Side",Games!T33)))</f>
      </c>
      <c r="J33" s="65" t="str">
        <f>IF(ISBLANK(Games!B33), "",IF(Games!P33="Y", Games!B33, Games!C33))</f>
        <v>Utah State</v>
      </c>
      <c r="K33" s="65" t="str">
        <f>Games!K33</f>
        <v>Utah State</v>
      </c>
      <c r="L33" s="65" t="str">
        <f>IF(ISBLANK(Games!D33), "",Games!D33)</f>
      </c>
      <c r="M33" s="65"/>
      <c r="N33" s="167" t="str">
        <f>IF(ISBLANK(Table123[[#This Row],[Odds Side - Difference Model]]), "", 1)</f>
      </c>
      <c r="O33" s="167" t="str">
        <f>IF(ISBLANK(Table123[[#This Row],[Odds Spread]]), "", 1)</f>
      </c>
      <c r="P33" s="67"/>
      <c r="Q33" s="67"/>
      <c r="R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" s="67"/>
      <c r="T33" s="67"/>
      <c r="U33" s="168" t="str">
        <f>IF(ISBLANK(Table123[[#This Row],[Odds Side - Difference Model]]), "",N33+IF(Q33&lt;0, (N33/(Q33/-100)), N33*(Q33/100)))</f>
      </c>
      <c r="V33" s="169" t="str">
        <f>IFERROR(IF(ISBLANK(Table123[[#This Row],[Odds Side - Win Probability Model]]), "",N33+IF(R33&lt;0, (N33/(R33/-100)), N33*(R33/100))),"")</f>
      </c>
      <c r="W33" s="168" t="str">
        <f t="shared" si="2"/>
      </c>
      <c r="X33" s="169" t="str">
        <f t="shared" si="3"/>
      </c>
      <c r="Y33" s="168" t="str">
        <f>IF(ISBLANK(Table123[[#This Row],[Odds Spread]]), "",O33+IF(S33&lt;0, (O33/(S33/-100)), O33*(S33/100)))</f>
      </c>
      <c r="Z33" s="168" t="str">
        <f t="shared" si="4"/>
      </c>
      <c r="AA33" s="68" t="n">
        <f t="shared" si="5"/>
        <v>0</v>
      </c>
      <c r="AB33" s="68" t="n">
        <f t="shared" si="6"/>
        <v>0</v>
      </c>
      <c r="AC33" s="170" t="str">
        <f>IF('Prediction Log'!$T34="Y", "W", IF('Prediction Log'!$T34="N","L",""))</f>
        <v>W</v>
      </c>
      <c r="AD33" s="171" t="str">
        <f>IF('Prediction Log'!$V34="Y", "W", IF('Prediction Log'!$V34="N","L",""))</f>
        <v>W</v>
      </c>
      <c r="AE33" s="172" t="str">
        <f>IF(ISBLANK(Table123[[#This Row],[Odds Side - Difference Model]]), "",IF(AC33="W", W33, IF(AC33="L",-N33, "")))</f>
      </c>
      <c r="AF33" s="173" t="str">
        <f>IFERROR((IF(ISERR(Table123[[#This Row],[Potential Payout Side - Win Probability Model]]), "",IF(AD33="W", X33, IF(AD33="L",-N33, "")))), "")</f>
      </c>
      <c r="AG33" s="170" t="str">
        <f>IF('Prediction Log'!$U34="Y", "W", IF('Prediction Log'!$U34="N", "L", ""))</f>
      </c>
      <c r="AH33" s="172" t="str">
        <f>IF(ISBLANK(Table123[[#This Row],[Odds Spread]]), "",IF(AG33="W", Z33, IF(AG33="L",-O33, "")))</f>
      </c>
      <c r="AI33" s="184"/>
      <c r="AJ33" s="183" t="str">
        <f t="shared" si="7"/>
      </c>
      <c r="AK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">
      <c r="A34" s="65" t="n">
        <f>Games!A34</f>
        <v>1</v>
      </c>
      <c r="B34" s="65" t="str">
        <f>IF('Prediction Log'!B35=0, "",'Prediction Log'!B35)</f>
        <v>Iowa</v>
      </c>
      <c r="C34" s="65" t="str">
        <f>IF('Prediction Log'!C35=0, "",'Prediction Log'!C35)</f>
        <v>Illinois State</v>
      </c>
      <c r="D34" s="65" t="str">
        <f>IF('Prediction Log'!D35=0, "",'Prediction Log'!D35)</f>
      </c>
      <c r="E34" s="65" t="n">
        <f>IF('Prediction Log'!E35=0, "",'Prediction Log'!E35)</f>
        <v>-20.830312252837601</v>
      </c>
      <c r="F34" s="65" t="str">
        <f>IF('Prediction Log'!H35=0, "",'Prediction Log'!H35)</f>
        <v>Iowa</v>
      </c>
      <c r="G34" s="64" t="str">
        <f>IF(ISBLANK(Games!B34), "",'Prediction Log'!$I35)</f>
        <v>Iowa</v>
      </c>
      <c r="H34" s="66" t="n">
        <f>'Prediction Log'!$J35</f>
        <v>0.96392961261658183</v>
      </c>
      <c r="I34" s="65" t="str">
        <f>IF(ISBLANK(Games!T34), "",IF(AND(Games!T34="",Games!U34=""),"",IF(ISTEXT(Games!U34), "Side",Games!T34)))</f>
      </c>
      <c r="J34" s="65" t="str">
        <f>IF(ISBLANK(Games!B34), "",IF(Games!P34="Y", Games!B34, Games!C34))</f>
        <v>Iowa</v>
      </c>
      <c r="K34" s="65" t="str">
        <f>Games!K34</f>
        <v>Iowa</v>
      </c>
      <c r="L34" s="65" t="str">
        <f>IF(ISBLANK(Games!D34), "",Games!D34)</f>
      </c>
      <c r="M34" s="65"/>
      <c r="N34" s="167" t="str">
        <f>IF(ISBLANK(Table123[[#This Row],[Odds Side - Difference Model]]), "", 1)</f>
      </c>
      <c r="O34" s="167" t="str">
        <f>IF(ISBLANK(Table123[[#This Row],[Odds Spread]]), "", 1)</f>
      </c>
      <c r="P34" s="67"/>
      <c r="Q34" s="67"/>
      <c r="R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" s="67"/>
      <c r="T34" s="67"/>
      <c r="U34" s="168" t="str">
        <f>IF(ISBLANK(Table123[[#This Row],[Odds Side - Difference Model]]), "",N34+IF(Q34&lt;0, (N34/(Q34/-100)), N34*(Q34/100)))</f>
      </c>
      <c r="V34" s="169" t="str">
        <f>IFERROR(IF(ISBLANK(Table123[[#This Row],[Odds Side - Win Probability Model]]), "",N34+IF(R34&lt;0, (N34/(R34/-100)), N34*(R34/100))),"")</f>
      </c>
      <c r="W34" s="168" t="str">
        <f t="shared" si="2"/>
      </c>
      <c r="X34" s="169" t="str">
        <f t="shared" si="3"/>
      </c>
      <c r="Y34" s="168" t="str">
        <f>IF(ISBLANK(Table123[[#This Row],[Odds Spread]]), "",O34+IF(S34&lt;0, (O34/(S34/-100)), O34*(S34/100)))</f>
      </c>
      <c r="Z34" s="168" t="str">
        <f t="shared" si="4"/>
      </c>
      <c r="AA34" s="68" t="n">
        <f t="shared" si="5"/>
        <v>0</v>
      </c>
      <c r="AB34" s="68" t="n">
        <f t="shared" si="6"/>
        <v>0</v>
      </c>
      <c r="AC34" s="170" t="str">
        <f>IF('Prediction Log'!$T35="Y", "W", IF('Prediction Log'!$T35="N","L",""))</f>
        <v>W</v>
      </c>
      <c r="AD34" s="171" t="str">
        <f>IF('Prediction Log'!$V35="Y", "W", IF('Prediction Log'!$V35="N","L",""))</f>
        <v>W</v>
      </c>
      <c r="AE34" s="172" t="str">
        <f>IF(ISBLANK(Table123[[#This Row],[Odds Side - Difference Model]]), "",IF(AC34="W", W34, IF(AC34="L",-N34, "")))</f>
      </c>
      <c r="AF34" s="173" t="str">
        <f>IFERROR((IF(ISERR(Table123[[#This Row],[Potential Payout Side - Win Probability Model]]), "",IF(AD34="W", X34, IF(AD34="L",-N34, "")))), "")</f>
      </c>
      <c r="AG34" s="170" t="str">
        <f>IF('Prediction Log'!$U35="Y", "W", IF('Prediction Log'!$U35="N", "L", ""))</f>
      </c>
      <c r="AH34" s="172" t="str">
        <f>IF(ISBLANK(Table123[[#This Row],[Odds Spread]]), "",IF(AG34="W", Z34, IF(AG34="L",-O34, "")))</f>
      </c>
      <c r="AI34" s="184"/>
      <c r="AJ34" s="183" t="str">
        <f t="shared" si="7"/>
      </c>
      <c r="AK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">
      <c r="A35" s="65" t="n">
        <f>Games!A35</f>
        <v>1</v>
      </c>
      <c r="B35" s="65" t="str">
        <f>IF('Prediction Log'!B36=0, "",'Prediction Log'!B36)</f>
        <v>Purdue</v>
      </c>
      <c r="C35" s="65" t="str">
        <f>IF('Prediction Log'!C36=0, "",'Prediction Log'!C36)</f>
        <v>Indiana State</v>
      </c>
      <c r="D35" s="65" t="str">
        <f>IF('Prediction Log'!D36=0, "",'Prediction Log'!D36)</f>
      </c>
      <c r="E35" s="65" t="n">
        <f>IF('Prediction Log'!E36=0, "",'Prediction Log'!E36)</f>
        <v>-20.398106856005199</v>
      </c>
      <c r="F35" s="65" t="str">
        <f>IF('Prediction Log'!H36=0, "",'Prediction Log'!H36)</f>
        <v>Purdue</v>
      </c>
      <c r="G35" s="64" t="str">
        <f>IF(ISBLANK(Games!B35), "",'Prediction Log'!$I36)</f>
        <v>Purdue</v>
      </c>
      <c r="H35" s="66" t="n">
        <f>'Prediction Log'!$J36</f>
        <v>0.96170346324261458</v>
      </c>
      <c r="I35" s="65" t="str">
        <f>IF(ISBLANK(Games!T35), "",IF(AND(Games!T35="",Games!U35=""),"",IF(ISTEXT(Games!U35), "Side",Games!T35)))</f>
      </c>
      <c r="J35" s="65" t="str">
        <f>IF(ISBLANK(Games!B35), "",IF(Games!P35="Y", Games!B35, Games!C35))</f>
        <v>Purdue</v>
      </c>
      <c r="K35" s="65" t="str">
        <f>Games!K35</f>
        <v>Purdue</v>
      </c>
      <c r="L35" s="65" t="str">
        <f>IF(ISBLANK(Games!D35), "",Games!D35)</f>
      </c>
      <c r="M35" s="65"/>
      <c r="N35" s="167" t="str">
        <f>IF(ISBLANK(Table123[[#This Row],[Odds Side - Difference Model]]), "", 1)</f>
      </c>
      <c r="O35" s="167" t="str">
        <f>IF(ISBLANK(Table123[[#This Row],[Odds Spread]]), "", 1)</f>
      </c>
      <c r="P35" s="67"/>
      <c r="Q35" s="67"/>
      <c r="R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" s="67"/>
      <c r="T35" s="67"/>
      <c r="U35" s="168" t="str">
        <f>IF(ISBLANK(Table123[[#This Row],[Odds Side - Difference Model]]), "",N35+IF(Q35&lt;0, (N35/(Q35/-100)), N35*(Q35/100)))</f>
      </c>
      <c r="V35" s="169" t="str">
        <f>IFERROR(IF(ISBLANK(Table123[[#This Row],[Odds Side - Win Probability Model]]), "",N35+IF(R35&lt;0, (N35/(R35/-100)), N35*(R35/100))),"")</f>
      </c>
      <c r="W35" s="168" t="str">
        <f t="shared" si="2"/>
      </c>
      <c r="X35" s="169" t="str">
        <f t="shared" si="3"/>
      </c>
      <c r="Y35" s="168" t="str">
        <f>IF(ISBLANK(Table123[[#This Row],[Odds Spread]]), "",O35+IF(S35&lt;0, (O35/(S35/-100)), O35*(S35/100)))</f>
      </c>
      <c r="Z35" s="168" t="str">
        <f t="shared" si="4"/>
      </c>
      <c r="AA35" s="68" t="n">
        <f t="shared" si="5"/>
        <v>0</v>
      </c>
      <c r="AB35" s="68" t="n">
        <f t="shared" si="6"/>
        <v>0</v>
      </c>
      <c r="AC35" s="170" t="str">
        <f>IF('Prediction Log'!$T36="Y", "W", IF('Prediction Log'!$T36="N","L",""))</f>
        <v>W</v>
      </c>
      <c r="AD35" s="171" t="str">
        <f>IF('Prediction Log'!$V36="Y", "W", IF('Prediction Log'!$V36="N","L",""))</f>
        <v>W</v>
      </c>
      <c r="AE35" s="172" t="str">
        <f>IF(ISBLANK(Table123[[#This Row],[Odds Side - Difference Model]]), "",IF(AC35="W", W35, IF(AC35="L",-N35, "")))</f>
      </c>
      <c r="AF35" s="173" t="str">
        <f>IFERROR((IF(ISERR(Table123[[#This Row],[Potential Payout Side - Win Probability Model]]), "",IF(AD35="W", X35, IF(AD35="L",-N35, "")))), "")</f>
      </c>
      <c r="AG35" s="170" t="str">
        <f>IF('Prediction Log'!$U36="Y", "W", IF('Prediction Log'!$U36="N", "L", ""))</f>
      </c>
      <c r="AH35" s="172" t="str">
        <f>IF(ISBLANK(Table123[[#This Row],[Odds Spread]]), "",IF(AG35="W", Z35, IF(AG35="L",-O35, "")))</f>
      </c>
      <c r="AI35" s="184"/>
      <c r="AJ35" s="183" t="str">
        <f t="shared" si="7"/>
      </c>
      <c r="AK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">
      <c r="A36" s="65" t="n">
        <f>Games!A36</f>
        <v>1</v>
      </c>
      <c r="B36" s="65" t="str">
        <f>IF('Prediction Log'!B37=0, "",'Prediction Log'!B37)</f>
        <v>West Virginia</v>
      </c>
      <c r="C36" s="65" t="str">
        <f>IF('Prediction Log'!C37=0, "",'Prediction Log'!C37)</f>
        <v>Penn State</v>
      </c>
      <c r="D36" s="65" t="n">
        <f>IF('Prediction Log'!D37=0, "",'Prediction Log'!D37)</f>
        <v>7.5</v>
      </c>
      <c r="E36" s="65" t="n">
        <f>IF('Prediction Log'!E37=0, "",'Prediction Log'!E37)</f>
        <v>35.799999999999997</v>
      </c>
      <c r="F36" s="65" t="str">
        <f>IF('Prediction Log'!H37=0, "",'Prediction Log'!H37)</f>
        <v>Penn State</v>
      </c>
      <c r="G36" s="64" t="str">
        <f>IF(ISBLANK(Games!B36), "",'Prediction Log'!$I37)</f>
        <v>Penn State</v>
      </c>
      <c r="H36" s="66" t="n">
        <f>'Prediction Log'!$J37</f>
        <v>0.76982485211101037</v>
      </c>
      <c r="I36" s="65" t="str">
        <f>IF(ISBLANK(Games!T36), "",IF(AND(Games!T36="",Games!U36=""),"",IF(ISTEXT(Games!U36), "Side",Games!T36)))</f>
        <v>Spread</v>
      </c>
      <c r="J36" s="65" t="str">
        <f>IF(ISBLANK(Games!B36), "",IF(Games!P36="Y", Games!B36, Games!C36))</f>
        <v>Penn State</v>
      </c>
      <c r="K36" s="65" t="str">
        <f>Games!K36</f>
        <v>Penn State</v>
      </c>
      <c r="L36" s="65" t="n">
        <f>IF(ISBLANK(Games!D36), "",Games!D36)</f>
        <v>7.5</v>
      </c>
      <c r="M36" s="65"/>
      <c r="N36" s="167" t="str">
        <f>IF(ISBLANK(Table123[[#This Row],[Odds Side - Difference Model]]), "", 1)</f>
      </c>
      <c r="O36" s="167" t="str">
        <f>IF(ISBLANK(Table123[[#This Row],[Odds Spread]]), "", 1)</f>
      </c>
      <c r="P36" s="67"/>
      <c r="Q36" s="67"/>
      <c r="R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" s="67"/>
      <c r="T36" s="67"/>
      <c r="U36" s="168" t="str">
        <f>IF(ISBLANK(Table123[[#This Row],[Odds Side - Difference Model]]), "",N36+IF(Q36&lt;0, (N36/(Q36/-100)), N36*(Q36/100)))</f>
      </c>
      <c r="V36" s="169" t="str">
        <f>IFERROR(IF(ISBLANK(Table123[[#This Row],[Odds Side - Win Probability Model]]), "",N36+IF(R36&lt;0, (N36/(R36/-100)), N36*(R36/100))),"")</f>
      </c>
      <c r="W36" s="168" t="str">
        <f t="shared" si="2"/>
      </c>
      <c r="X36" s="169" t="str">
        <f t="shared" si="3"/>
      </c>
      <c r="Y36" s="168" t="str">
        <f>IF(ISBLANK(Table123[[#This Row],[Odds Spread]]), "",O36+IF(S36&lt;0, (O36/(S36/-100)), O36*(S36/100)))</f>
      </c>
      <c r="Z36" s="168" t="str">
        <f t="shared" si="4"/>
      </c>
      <c r="AA36" s="68" t="n">
        <f t="shared" si="5"/>
        <v>0</v>
      </c>
      <c r="AB36" s="68" t="n">
        <f t="shared" si="6"/>
        <v>0</v>
      </c>
      <c r="AC36" s="170" t="str">
        <f>IF('Prediction Log'!$T37="Y", "W", IF('Prediction Log'!$T37="N","L",""))</f>
        <v>W</v>
      </c>
      <c r="AD36" s="171" t="str">
        <f>IF('Prediction Log'!$V37="Y", "W", IF('Prediction Log'!$V37="N","L",""))</f>
        <v>W</v>
      </c>
      <c r="AE36" s="172" t="str">
        <f>IF(ISBLANK(Table123[[#This Row],[Odds Side - Difference Model]]), "",IF(AC36="W", W36, IF(AC36="L",-N36, "")))</f>
      </c>
      <c r="AF36" s="173" t="str">
        <f>IFERROR((IF(ISERR(Table123[[#This Row],[Potential Payout Side - Win Probability Model]]), "",IF(AD36="W", X36, IF(AD36="L",-N36, "")))), "")</f>
      </c>
      <c r="AG36" s="170" t="str">
        <f>IF('Prediction Log'!$U37="Y", "W", IF('Prediction Log'!$U37="N", "L", ""))</f>
        <v>W</v>
      </c>
      <c r="AH36" s="172" t="str">
        <f>IF(ISBLANK(Table123[[#This Row],[Odds Spread]]), "",IF(AG36="W", Z36, IF(AG36="L",-O36, "")))</f>
      </c>
      <c r="AI36" s="184"/>
      <c r="AJ36" s="183" t="str">
        <f t="shared" si="7"/>
      </c>
      <c r="AK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">
      <c r="A37" s="65" t="n">
        <f>Games!A37</f>
        <v>1</v>
      </c>
      <c r="B37" s="65" t="str">
        <f>IF('Prediction Log'!B38=0, "",'Prediction Log'!B38)</f>
        <v>Maryland</v>
      </c>
      <c r="C37" s="65" t="str">
        <f>IF('Prediction Log'!C38=0, "",'Prediction Log'!C38)</f>
        <v>Connecticut</v>
      </c>
      <c r="D37" s="65" t="n">
        <f>IF('Prediction Log'!D38=0, "",'Prediction Log'!D38)</f>
        <v>-20.5</v>
      </c>
      <c r="E37" s="65" t="n">
        <f>IF('Prediction Log'!E38=0, "",'Prediction Log'!E38)</f>
        <v>-50.1</v>
      </c>
      <c r="F37" s="65" t="str">
        <f>IF('Prediction Log'!H38=0, "",'Prediction Log'!H38)</f>
        <v>Maryland</v>
      </c>
      <c r="G37" s="64" t="str">
        <f>IF(ISBLANK(Games!B37), "",'Prediction Log'!$I38)</f>
        <v>Maryland</v>
      </c>
      <c r="H37" s="66" t="n">
        <f>'Prediction Log'!$J38</f>
        <v>0.95270374029961113</v>
      </c>
      <c r="I37" s="65" t="str">
        <f>IF(ISBLANK(Games!T37), "",IF(AND(Games!T37="",Games!U37=""),"",IF(ISTEXT(Games!U37), "Side",Games!T37)))</f>
      </c>
      <c r="J37" s="65" t="str">
        <f>IF(ISBLANK(Games!B37), "",IF(Games!P37="Y", Games!B37, Games!C37))</f>
        <v>Maryland</v>
      </c>
      <c r="K37" s="65" t="str">
        <f>Games!K37</f>
        <v>Maryland</v>
      </c>
      <c r="L37" s="65" t="str">
        <f>IF(ISBLANK(Games!D37), "",Games!D37)</f>
        <v>-20.5</v>
      </c>
      <c r="M37" s="65"/>
      <c r="N37" s="167" t="str">
        <f>IF(ISBLANK(Table123[[#This Row],[Odds Side - Difference Model]]), "", 1)</f>
      </c>
      <c r="O37" s="167" t="str">
        <f>IF(ISBLANK(Table123[[#This Row],[Odds Spread]]), "", 1)</f>
      </c>
      <c r="P37" s="67"/>
      <c r="Q37" s="67"/>
      <c r="R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" s="67"/>
      <c r="T37" s="67"/>
      <c r="U37" s="168" t="str">
        <f>IF(ISBLANK(Table123[[#This Row],[Odds Side - Difference Model]]), "",N37+IF(Q37&lt;0, (N37/(Q37/-100)), N37*(Q37/100)))</f>
      </c>
      <c r="V37" s="169" t="str">
        <f>IFERROR(IF(ISBLANK(Table123[[#This Row],[Odds Side - Win Probability Model]]), "",N37+IF(R37&lt;0, (N37/(R37/-100)), N37*(R37/100))),"")</f>
      </c>
      <c r="W37" s="168" t="str">
        <f t="shared" si="2"/>
      </c>
      <c r="X37" s="169" t="str">
        <f t="shared" si="3"/>
      </c>
      <c r="Y37" s="168" t="str">
        <f>IF(ISBLANK(Table123[[#This Row],[Odds Spread]]), "",O37+IF(S37&lt;0, (O37/(S37/-100)), O37*(S37/100)))</f>
      </c>
      <c r="Z37" s="168" t="str">
        <f t="shared" si="4"/>
      </c>
      <c r="AA37" s="68" t="n">
        <f t="shared" si="5"/>
        <v>0</v>
      </c>
      <c r="AB37" s="68" t="n">
        <f t="shared" si="6"/>
        <v>0</v>
      </c>
      <c r="AC37" s="170" t="str">
        <f>IF('Prediction Log'!$T38="Y", "W", IF('Prediction Log'!$T38="N","L",""))</f>
        <v>W</v>
      </c>
      <c r="AD37" s="171" t="str">
        <f>IF('Prediction Log'!$V38="Y", "W", IF('Prediction Log'!$V38="N","L",""))</f>
        <v>W</v>
      </c>
      <c r="AE37" s="172" t="str">
        <f>IF(ISBLANK(Table123[[#This Row],[Odds Side - Difference Model]]), "",IF(AC37="W", W37, IF(AC37="L",-N37, "")))</f>
      </c>
      <c r="AF37" s="173" t="str">
        <f>IFERROR((IF(ISERR(Table123[[#This Row],[Potential Payout Side - Win Probability Model]]), "",IF(AD37="W", X37, IF(AD37="L",-N37, "")))), "")</f>
      </c>
      <c r="AG37" s="170" t="str">
        <f>IF('Prediction Log'!$U38="Y", "W", IF('Prediction Log'!$U38="N", "L", ""))</f>
        <v>W</v>
      </c>
      <c r="AH37" s="172" t="str">
        <f>IF(ISBLANK(Table123[[#This Row],[Odds Spread]]), "",IF(AG37="W", Z37, IF(AG37="L",-O37, "")))</f>
      </c>
      <c r="AI37" s="184"/>
      <c r="AJ37" s="183" t="str">
        <f t="shared" si="7"/>
      </c>
      <c r="AK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">
      <c r="A38" s="65" t="n">
        <f>Games!A38</f>
        <v>1</v>
      </c>
      <c r="B38" s="65" t="str">
        <f>IF('Prediction Log'!B39=0, "",'Prediction Log'!B39)</f>
        <v>Pittsburgh</v>
      </c>
      <c r="C38" s="65" t="str">
        <f>IF('Prediction Log'!C39=0, "",'Prediction Log'!C39)</f>
        <v>Kent State</v>
      </c>
      <c r="D38" s="65" t="n">
        <f>IF('Prediction Log'!D39=0, "",'Prediction Log'!D39)</f>
        <v>-23.5</v>
      </c>
      <c r="E38" s="65" t="n">
        <f>IF('Prediction Log'!E39=0, "",'Prediction Log'!E39)</f>
        <v>-64.3</v>
      </c>
      <c r="F38" s="65" t="str">
        <f>IF('Prediction Log'!H39=0, "",'Prediction Log'!H39)</f>
        <v>Pittsburgh</v>
      </c>
      <c r="G38" s="64" t="str">
        <f>IF(ISBLANK(Games!B38), "",'Prediction Log'!$I39)</f>
        <v>Pittsburgh</v>
      </c>
      <c r="H38" s="66" t="n">
        <f>'Prediction Log'!$J39</f>
        <v>0.90643185034289142</v>
      </c>
      <c r="I38" s="65" t="str">
        <f>IF(ISBLANK(Games!T38), "",IF(AND(Games!T38="",Games!U38=""),"",IF(ISTEXT(Games!U38), "Side",Games!T38)))</f>
      </c>
      <c r="J38" s="65" t="str">
        <f>IF(ISBLANK(Games!B38), "",IF(Games!P38="Y", Games!B38, Games!C38))</f>
        <v>Pittsburgh</v>
      </c>
      <c r="K38" s="65" t="str">
        <f>Games!K38</f>
        <v>Pittsburgh</v>
      </c>
      <c r="L38" s="65" t="str">
        <f>IF(ISBLANK(Games!D38), "",Games!D38)</f>
        <v>-23.5</v>
      </c>
      <c r="M38" s="65"/>
      <c r="N38" s="167" t="str">
        <f>IF(ISBLANK(Table123[[#This Row],[Odds Side - Difference Model]]), "", 1)</f>
      </c>
      <c r="O38" s="167" t="str">
        <f>IF(ISBLANK(Table123[[#This Row],[Odds Spread]]), "", 1)</f>
      </c>
      <c r="P38" s="67"/>
      <c r="Q38" s="67"/>
      <c r="R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" s="67"/>
      <c r="T38" s="67"/>
      <c r="U38" s="168" t="str">
        <f>IF(ISBLANK(Table123[[#This Row],[Odds Side - Difference Model]]), "",N38+IF(Q38&lt;0, (N38/(Q38/-100)), N38*(Q38/100)))</f>
      </c>
      <c r="V38" s="169" t="str">
        <f>IFERROR(IF(ISBLANK(Table123[[#This Row],[Odds Side - Win Probability Model]]), "",N38+IF(R38&lt;0, (N38/(R38/-100)), N38*(R38/100))),"")</f>
      </c>
      <c r="W38" s="168" t="str">
        <f t="shared" si="2"/>
      </c>
      <c r="X38" s="169" t="str">
        <f t="shared" si="3"/>
      </c>
      <c r="Y38" s="168" t="str">
        <f>IF(ISBLANK(Table123[[#This Row],[Odds Spread]]), "",O38+IF(S38&lt;0, (O38/(S38/-100)), O38*(S38/100)))</f>
      </c>
      <c r="Z38" s="168" t="str">
        <f t="shared" si="4"/>
      </c>
      <c r="AA38" s="68" t="n">
        <f t="shared" si="5"/>
        <v>0</v>
      </c>
      <c r="AB38" s="68" t="n">
        <f t="shared" si="6"/>
        <v>0</v>
      </c>
      <c r="AC38" s="170" t="str">
        <f>IF('Prediction Log'!$T39="Y", "W", IF('Prediction Log'!$T39="N","L",""))</f>
        <v>W</v>
      </c>
      <c r="AD38" s="171" t="str">
        <f>IF('Prediction Log'!$V39="Y", "W", IF('Prediction Log'!$V39="N","L",""))</f>
        <v>W</v>
      </c>
      <c r="AE38" s="172" t="str">
        <f>IF(ISBLANK(Table123[[#This Row],[Odds Side - Difference Model]]), "",IF(AC38="W", W38, IF(AC38="L",-N38, "")))</f>
      </c>
      <c r="AF38" s="173" t="str">
        <f>IFERROR((IF(ISERR(Table123[[#This Row],[Potential Payout Side - Win Probability Model]]), "",IF(AD38="W", X38, IF(AD38="L",-N38, "")))), "")</f>
      </c>
      <c r="AG38" s="170" t="str">
        <f>IF('Prediction Log'!$U39="Y", "W", IF('Prediction Log'!$U39="N", "L", ""))</f>
        <v>W</v>
      </c>
      <c r="AH38" s="172" t="str">
        <f>IF(ISBLANK(Table123[[#This Row],[Odds Spread]]), "",IF(AG38="W", Z38, IF(AG38="L",-O38, "")))</f>
      </c>
      <c r="AI38" s="184"/>
      <c r="AJ38" s="183" t="str">
        <f t="shared" si="7"/>
      </c>
      <c r="AK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">
      <c r="A39" s="65" t="n">
        <f>Games!A39</f>
        <v>1</v>
      </c>
      <c r="B39" s="65" t="str">
        <f>IF('Prediction Log'!B40=0, "",'Prediction Log'!B40)</f>
        <v>Georgia</v>
      </c>
      <c r="C39" s="65" t="str">
        <f>IF('Prediction Log'!C40=0, "",'Prediction Log'!C40)</f>
        <v>Clemson</v>
      </c>
      <c r="D39" s="65" t="n">
        <f>IF('Prediction Log'!D40=0, "",'Prediction Log'!D40)</f>
        <v>-11.5</v>
      </c>
      <c r="E39" s="65" t="n">
        <f>IF('Prediction Log'!E40=0, "",'Prediction Log'!E40)</f>
        <v>-46.3</v>
      </c>
      <c r="F39" s="65" t="str">
        <f>IF('Prediction Log'!H40=0, "",'Prediction Log'!H40)</f>
        <v>Georgia</v>
      </c>
      <c r="G39" s="64" t="str">
        <f>IF(ISBLANK(Games!B39), "",'Prediction Log'!$I40)</f>
        <v>Georgia</v>
      </c>
      <c r="H39" s="66" t="n">
        <f>'Prediction Log'!$J40</f>
        <v>0.90456934995981964</v>
      </c>
      <c r="I39" s="65" t="str">
        <f>IF(ISBLANK(Games!T39), "",IF(AND(Games!T39="",Games!U39=""),"",IF(ISTEXT(Games!U39), "Side",Games!T39)))</f>
        <v>Spread</v>
      </c>
      <c r="J39" s="65" t="str">
        <f>IF(ISBLANK(Games!B39), "",IF(Games!P39="Y", Games!B39, Games!C39))</f>
        <v>Georgia</v>
      </c>
      <c r="K39" s="65" t="str">
        <f>Games!K39</f>
        <v>Georgia</v>
      </c>
      <c r="L39" s="65" t="n">
        <f>IF(ISBLANK(Games!D39), "",Games!D39)</f>
        <v>-11.5</v>
      </c>
      <c r="M39" s="65"/>
      <c r="N39" s="167" t="str">
        <f>IF(ISBLANK(Table123[[#This Row],[Odds Side - Difference Model]]), "", 1)</f>
      </c>
      <c r="O39" s="167" t="str">
        <f>IF(ISBLANK(Table123[[#This Row],[Odds Spread]]), "", 1)</f>
      </c>
      <c r="P39" s="67"/>
      <c r="Q39" s="67"/>
      <c r="R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" s="67"/>
      <c r="T39" s="67"/>
      <c r="U39" s="168" t="str">
        <f>IF(ISBLANK(Table123[[#This Row],[Odds Side - Difference Model]]), "",N39+IF(Q39&lt;0, (N39/(Q39/-100)), N39*(Q39/100)))</f>
      </c>
      <c r="V39" s="169" t="str">
        <f>IFERROR(IF(ISBLANK(Table123[[#This Row],[Odds Side - Win Probability Model]]), "",N39+IF(R39&lt;0, (N39/(R39/-100)), N39*(R39/100))),"")</f>
      </c>
      <c r="W39" s="168" t="str">
        <f t="shared" si="2"/>
      </c>
      <c r="X39" s="169" t="str">
        <f t="shared" si="3"/>
      </c>
      <c r="Y39" s="168" t="str">
        <f>IF(ISBLANK(Table123[[#This Row],[Odds Spread]]), "",O39+IF(S39&lt;0, (O39/(S39/-100)), O39*(S39/100)))</f>
      </c>
      <c r="Z39" s="168" t="str">
        <f t="shared" si="4"/>
      </c>
      <c r="AA39" s="68" t="n">
        <f t="shared" si="5"/>
        <v>0</v>
      </c>
      <c r="AB39" s="68" t="n">
        <f t="shared" si="6"/>
        <v>0</v>
      </c>
      <c r="AC39" s="170" t="str">
        <f>IF('Prediction Log'!$T40="Y", "W", IF('Prediction Log'!$T40="N","L",""))</f>
        <v>W</v>
      </c>
      <c r="AD39" s="171" t="str">
        <f>IF('Prediction Log'!$V40="Y", "W", IF('Prediction Log'!$V40="N","L",""))</f>
        <v>W</v>
      </c>
      <c r="AE39" s="172" t="str">
        <f>IF(ISBLANK(Table123[[#This Row],[Odds Side - Difference Model]]), "",IF(AC39="W", W39, IF(AC39="L",-N39, "")))</f>
      </c>
      <c r="AF39" s="173" t="str">
        <f>IFERROR((IF(ISERR(Table123[[#This Row],[Potential Payout Side - Win Probability Model]]), "",IF(AD39="W", X39, IF(AD39="L",-N39, "")))), "")</f>
      </c>
      <c r="AG39" s="170" t="str">
        <f>IF('Prediction Log'!$U40="Y", "W", IF('Prediction Log'!$U40="N", "L", ""))</f>
        <v>W</v>
      </c>
      <c r="AH39" s="172" t="str">
        <f>IF(ISBLANK(Table123[[#This Row],[Odds Spread]]), "",IF(AG39="W", Z39, IF(AG39="L",-O39, "")))</f>
      </c>
      <c r="AI39" s="184"/>
      <c r="AJ39" s="183" t="str">
        <f t="shared" si="7"/>
      </c>
      <c r="AK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">
      <c r="A40" s="65" t="n">
        <f>Games!A40</f>
        <v>1</v>
      </c>
      <c r="B40" s="65" t="str">
        <f>IF('Prediction Log'!B41=0, "",'Prediction Log'!B41)</f>
        <v>Vanderbilt</v>
      </c>
      <c r="C40" s="65" t="str">
        <f>IF('Prediction Log'!C41=0, "",'Prediction Log'!C41)</f>
        <v>Virginia Tech</v>
      </c>
      <c r="D40" s="65" t="n">
        <f>IF('Prediction Log'!D41=0, "",'Prediction Log'!D41)</f>
        <v>13.5</v>
      </c>
      <c r="E40" s="65" t="n">
        <f>IF('Prediction Log'!E41=0, "",'Prediction Log'!E41)</f>
        <v>21.8</v>
      </c>
      <c r="F40" s="65" t="str">
        <f>IF('Prediction Log'!H41=0, "",'Prediction Log'!H41)</f>
        <v>Virginia Tech</v>
      </c>
      <c r="G40" s="64" t="str">
        <f>IF(ISBLANK(Games!B40), "",'Prediction Log'!$I41)</f>
        <v>Virginia Tech</v>
      </c>
      <c r="H40" s="66" t="n">
        <f>'Prediction Log'!$J41</f>
        <v>0.89001376761203932</v>
      </c>
      <c r="I40" s="65" t="str">
        <f>IF(ISBLANK(Games!T40), "",IF(AND(Games!T40="",Games!U40=""),"",IF(ISTEXT(Games!U40), "Side",Games!T40)))</f>
        <v>Spread</v>
      </c>
      <c r="J40" s="65" t="str">
        <f>IF(ISBLANK(Games!B40), "",IF(Games!P40="Y", Games!B40, Games!C40))</f>
        <v>Vanderbilt</v>
      </c>
      <c r="K40" s="65" t="str">
        <f>Games!K40</f>
        <v>Virginia Tech</v>
      </c>
      <c r="L40" s="65" t="str">
        <f>IF(ISBLANK(Games!D40), "",Games!D40)</f>
        <v>13.5</v>
      </c>
      <c r="M40" s="65"/>
      <c r="N40" s="167" t="str">
        <f>IF(ISBLANK(Table123[[#This Row],[Odds Side - Difference Model]]), "", 1)</f>
      </c>
      <c r="O40" s="167" t="str">
        <f>IF(ISBLANK(Table123[[#This Row],[Odds Spread]]), "", 1)</f>
      </c>
      <c r="P40" s="67"/>
      <c r="Q40" s="67"/>
      <c r="R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" s="67"/>
      <c r="T40" s="67"/>
      <c r="U40" s="168" t="str">
        <f>IF(ISBLANK(Table123[[#This Row],[Odds Side - Difference Model]]), "",N40+IF(Q40&lt;0, (N40/(Q40/-100)), N40*(Q40/100)))</f>
      </c>
      <c r="V40" s="169" t="str">
        <f>IFERROR(IF(ISBLANK(Table123[[#This Row],[Odds Side - Win Probability Model]]), "",N40+IF(R40&lt;0, (N40/(R40/-100)), N40*(R40/100))),"")</f>
      </c>
      <c r="W40" s="168" t="str">
        <f t="shared" si="2"/>
      </c>
      <c r="X40" s="169" t="str">
        <f t="shared" si="3"/>
      </c>
      <c r="Y40" s="168" t="str">
        <f>IF(ISBLANK(Table123[[#This Row],[Odds Spread]]), "",O40+IF(S40&lt;0, (O40/(S40/-100)), O40*(S40/100)))</f>
      </c>
      <c r="Z40" s="168" t="str">
        <f t="shared" si="4"/>
      </c>
      <c r="AA40" s="68" t="n">
        <f t="shared" si="5"/>
        <v>0</v>
      </c>
      <c r="AB40" s="68" t="n">
        <f t="shared" si="6"/>
        <v>0</v>
      </c>
      <c r="AC40" s="170" t="str">
        <f>IF('Prediction Log'!$T41="Y", "W", IF('Prediction Log'!$T41="N","L",""))</f>
        <v>L</v>
      </c>
      <c r="AD40" s="171" t="str">
        <f>IF('Prediction Log'!$V41="Y", "W", IF('Prediction Log'!$V41="N","L",""))</f>
        <v>L</v>
      </c>
      <c r="AE40" s="172" t="str">
        <f>IF(ISBLANK(Table123[[#This Row],[Odds Side - Difference Model]]), "",IF(AC40="W", W40, IF(AC40="L",-N40, "")))</f>
      </c>
      <c r="AF40" s="173" t="str">
        <f>IFERROR((IF(ISERR(Table123[[#This Row],[Potential Payout Side - Win Probability Model]]), "",IF(AD40="W", X40, IF(AD40="L",-N40, "")))), "")</f>
      </c>
      <c r="AG40" s="170" t="str">
        <f>IF('Prediction Log'!$U41="Y", "W", IF('Prediction Log'!$U41="N", "L", ""))</f>
        <v>W</v>
      </c>
      <c r="AH40" s="172" t="str">
        <f>IF(ISBLANK(Table123[[#This Row],[Odds Spread]]), "",IF(AG40="W", Z40, IF(AG40="L",-O40, "")))</f>
      </c>
      <c r="AI40" s="184"/>
      <c r="AJ40" s="183" t="str">
        <f t="shared" si="7"/>
      </c>
      <c r="AK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">
      <c r="A41" s="65" t="n">
        <f>Games!A41</f>
        <v>1</v>
      </c>
      <c r="B41" s="65" t="str">
        <f>IF('Prediction Log'!B42=0, "",'Prediction Log'!B42)</f>
        <v>Louisville</v>
      </c>
      <c r="C41" s="65" t="str">
        <f>IF('Prediction Log'!C42=0, "",'Prediction Log'!C42)</f>
        <v>Austin Peay</v>
      </c>
      <c r="D41" s="65" t="n">
        <f>IF('Prediction Log'!D42=0, "",'Prediction Log'!D42)</f>
        <v>-37.5</v>
      </c>
      <c r="E41" s="65" t="n">
        <f>IF('Prediction Log'!E42=0, "",'Prediction Log'!E42)</f>
        <v>-23.7857281438252</v>
      </c>
      <c r="F41" s="65" t="str">
        <f>IF('Prediction Log'!H42=0, "",'Prediction Log'!H42)</f>
        <v>Louisville</v>
      </c>
      <c r="G41" s="64" t="str">
        <f>IF(ISBLANK(Games!B41), "",'Prediction Log'!$I42)</f>
        <v>Louisville</v>
      </c>
      <c r="H41" s="66" t="n">
        <f>'Prediction Log'!$J42</f>
        <v>0.97612746581420196</v>
      </c>
      <c r="I41" s="65" t="str">
        <f>IF(ISBLANK(Games!T41), "",IF(AND(Games!T41="",Games!U41=""),"",IF(ISTEXT(Games!U41), "Side",Games!T41)))</f>
      </c>
      <c r="J41" s="65" t="str">
        <f>IF(ISBLANK(Games!B41), "",IF(Games!P41="Y", Games!B41, Games!C41))</f>
        <v>Austin Peay</v>
      </c>
      <c r="K41" s="65" t="str">
        <f>Games!K41</f>
        <v>Louisville</v>
      </c>
      <c r="L41" s="65" t="n">
        <f>IF(ISBLANK(Games!D41), "",Games!D41)</f>
        <v>-37.5</v>
      </c>
      <c r="M41" s="65"/>
      <c r="N41" s="167" t="str">
        <f>IF(ISBLANK(Table123[[#This Row],[Odds Side - Difference Model]]), "", 1)</f>
      </c>
      <c r="O41" s="167" t="str">
        <f>IF(ISBLANK(Table123[[#This Row],[Odds Spread]]), "", 1)</f>
      </c>
      <c r="P41" s="67"/>
      <c r="Q41" s="67"/>
      <c r="R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" s="67"/>
      <c r="T41" s="67"/>
      <c r="U41" s="168" t="str">
        <f>IF(ISBLANK(Table123[[#This Row],[Odds Side - Difference Model]]), "",N41+IF(Q41&lt;0, (N41/(Q41/-100)), N41*(Q41/100)))</f>
      </c>
      <c r="V41" s="169" t="str">
        <f>IFERROR(IF(ISBLANK(Table123[[#This Row],[Odds Side - Win Probability Model]]), "",N41+IF(R41&lt;0, (N41/(R41/-100)), N41*(R41/100))),"")</f>
      </c>
      <c r="W41" s="168" t="str">
        <f t="shared" si="2"/>
      </c>
      <c r="X41" s="169" t="str">
        <f t="shared" si="3"/>
      </c>
      <c r="Y41" s="168" t="str">
        <f>IF(ISBLANK(Table123[[#This Row],[Odds Spread]]), "",O41+IF(S41&lt;0, (O41/(S41/-100)), O41*(S41/100)))</f>
      </c>
      <c r="Z41" s="168" t="str">
        <f t="shared" si="4"/>
      </c>
      <c r="AA41" s="68" t="n">
        <f t="shared" si="5"/>
        <v>0</v>
      </c>
      <c r="AB41" s="68" t="n">
        <f t="shared" si="6"/>
        <v>0</v>
      </c>
      <c r="AC41" s="170" t="str">
        <f>IF('Prediction Log'!$T42="Y", "W", IF('Prediction Log'!$T42="N","L",""))</f>
        <v>W</v>
      </c>
      <c r="AD41" s="171" t="str">
        <f>IF('Prediction Log'!$V42="Y", "W", IF('Prediction Log'!$V42="N","L",""))</f>
        <v>W</v>
      </c>
      <c r="AE41" s="172" t="str">
        <f>IF(ISBLANK(Table123[[#This Row],[Odds Side - Difference Model]]), "",IF(AC41="W", W41, IF(AC41="L",-N41, "")))</f>
      </c>
      <c r="AF41" s="173" t="str">
        <f>IFERROR((IF(ISERR(Table123[[#This Row],[Potential Payout Side - Win Probability Model]]), "",IF(AD41="W", X41, IF(AD41="L",-N41, "")))), "")</f>
      </c>
      <c r="AG41" s="170" t="str">
        <f>IF('Prediction Log'!$U42="Y", "W", IF('Prediction Log'!$U42="N", "L", ""))</f>
        <v>L</v>
      </c>
      <c r="AH41" s="172" t="str">
        <f>IF(ISBLANK(Table123[[#This Row],[Odds Spread]]), "",IF(AG41="W", Z41, IF(AG41="L",-O41, "")))</f>
      </c>
      <c r="AI41" s="184"/>
      <c r="AJ41" s="183" t="str">
        <f t="shared" si="7"/>
      </c>
      <c r="AK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">
      <c r="A42" s="65" t="n">
        <f>Games!A42</f>
        <v>1</v>
      </c>
      <c r="B42" s="65" t="str">
        <f>IF('Prediction Log'!B43=0, "",'Prediction Log'!B43)</f>
        <v>Navy</v>
      </c>
      <c r="C42" s="65" t="str">
        <f>IF('Prediction Log'!C43=0, "",'Prediction Log'!C43)</f>
        <v>Bucknell</v>
      </c>
      <c r="D42" s="65" t="n">
        <f>IF('Prediction Log'!D43=0, "",'Prediction Log'!D43)</f>
        <v>-31.5</v>
      </c>
      <c r="E42" s="65" t="n">
        <f>IF('Prediction Log'!E43=0, "",'Prediction Log'!E43)</f>
        <v>-9.9909327363639999</v>
      </c>
      <c r="F42" s="65" t="str">
        <f>IF('Prediction Log'!H43=0, "",'Prediction Log'!H43)</f>
        <v>Navy</v>
      </c>
      <c r="G42" s="64" t="str">
        <f>IF(ISBLANK(Games!B42), "",'Prediction Log'!$I43)</f>
        <v>Navy</v>
      </c>
      <c r="H42" s="66" t="n">
        <f>'Prediction Log'!$J43</f>
        <v>0.84885310037888273</v>
      </c>
      <c r="I42" s="65" t="str">
        <f>IF(ISBLANK(Games!T42), "",IF(AND(Games!T42="",Games!U42=""),"",IF(ISTEXT(Games!U42), "Side",Games!T42)))</f>
      </c>
      <c r="J42" s="65" t="str">
        <f>IF(ISBLANK(Games!B42), "",IF(Games!P42="Y", Games!B42, Games!C42))</f>
        <v>Bucknell</v>
      </c>
      <c r="K42" s="65" t="str">
        <f>Games!K42</f>
        <v>Navy</v>
      </c>
      <c r="L42" s="65" t="n">
        <f>IF(ISBLANK(Games!D42), "",Games!D42)</f>
        <v>-31.5</v>
      </c>
      <c r="M42" s="65"/>
      <c r="N42" s="167" t="str">
        <f>IF(ISBLANK(Table123[[#This Row],[Odds Side - Difference Model]]), "", 1)</f>
      </c>
      <c r="O42" s="167" t="str">
        <f>IF(ISBLANK(Table123[[#This Row],[Odds Spread]]), "", 1)</f>
      </c>
      <c r="P42" s="67"/>
      <c r="Q42" s="67"/>
      <c r="R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" s="67"/>
      <c r="T42" s="67"/>
      <c r="U42" s="168" t="str">
        <f>IF(ISBLANK(Table123[[#This Row],[Odds Side - Difference Model]]), "",N42+IF(Q42&lt;0, (N42/(Q42/-100)), N42*(Q42/100)))</f>
      </c>
      <c r="V42" s="169" t="str">
        <f>IFERROR(IF(ISBLANK(Table123[[#This Row],[Odds Side - Win Probability Model]]), "",N42+IF(R42&lt;0, (N42/(R42/-100)), N42*(R42/100))),"")</f>
      </c>
      <c r="W42" s="168" t="str">
        <f t="shared" si="2"/>
      </c>
      <c r="X42" s="169" t="str">
        <f t="shared" si="3"/>
      </c>
      <c r="Y42" s="168" t="str">
        <f>IF(ISBLANK(Table123[[#This Row],[Odds Spread]]), "",O42+IF(S42&lt;0, (O42/(S42/-100)), O42*(S42/100)))</f>
      </c>
      <c r="Z42" s="168" t="str">
        <f t="shared" si="4"/>
      </c>
      <c r="AA42" s="68" t="n">
        <f t="shared" si="5"/>
        <v>0</v>
      </c>
      <c r="AB42" s="68" t="n">
        <f t="shared" si="6"/>
        <v>0</v>
      </c>
      <c r="AC42" s="170" t="str">
        <f>IF('Prediction Log'!$T43="Y", "W", IF('Prediction Log'!$T43="N","L",""))</f>
        <v>W</v>
      </c>
      <c r="AD42" s="171" t="str">
        <f>IF('Prediction Log'!$V43="Y", "W", IF('Prediction Log'!$V43="N","L",""))</f>
        <v>W</v>
      </c>
      <c r="AE42" s="172" t="str">
        <f>IF(ISBLANK(Table123[[#This Row],[Odds Side - Difference Model]]), "",IF(AC42="W", W42, IF(AC42="L",-N42, "")))</f>
      </c>
      <c r="AF42" s="173" t="str">
        <f>IFERROR((IF(ISERR(Table123[[#This Row],[Potential Payout Side - Win Probability Model]]), "",IF(AD42="W", X42, IF(AD42="L",-N42, "")))), "")</f>
      </c>
      <c r="AG42" s="170" t="str">
        <f>IF('Prediction Log'!$U43="Y", "W", IF('Prediction Log'!$U43="N", "L", ""))</f>
        <v>W</v>
      </c>
      <c r="AH42" s="172" t="str">
        <f>IF(ISBLANK(Table123[[#This Row],[Odds Spread]]), "",IF(AG42="W", Z42, IF(AG42="L",-O42, "")))</f>
      </c>
      <c r="AI42" s="184"/>
      <c r="AJ42" s="183" t="str">
        <f t="shared" si="7"/>
      </c>
      <c r="AK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">
      <c r="A43" s="65" t="n">
        <f>Games!A43</f>
        <v>1</v>
      </c>
      <c r="B43" s="65" t="str">
        <f>IF('Prediction Log'!B44=0, "",'Prediction Log'!B44)</f>
        <v>Tennessee</v>
      </c>
      <c r="C43" s="65" t="str">
        <f>IF('Prediction Log'!C44=0, "",'Prediction Log'!C44)</f>
        <v>Chattanooga</v>
      </c>
      <c r="D43" s="65" t="n">
        <f>IF('Prediction Log'!D44=0, "",'Prediction Log'!D44)</f>
        <v>-38.5</v>
      </c>
      <c r="E43" s="65" t="n">
        <f>IF('Prediction Log'!E44=0, "",'Prediction Log'!E44)</f>
        <v>-30.887929505411201</v>
      </c>
      <c r="F43" s="65" t="str">
        <f>IF('Prediction Log'!H44=0, "",'Prediction Log'!H44)</f>
        <v>Tennessee</v>
      </c>
      <c r="G43" s="64" t="str">
        <f>IF(ISBLANK(Games!B43), "",'Prediction Log'!$I44)</f>
        <v>Tennessee</v>
      </c>
      <c r="H43" s="66" t="n">
        <f>'Prediction Log'!$J44</f>
        <v>0.99127633172591501</v>
      </c>
      <c r="I43" s="65" t="str">
        <f>IF(ISBLANK(Games!T43), "",IF(AND(Games!T43="",Games!U43=""),"",IF(ISTEXT(Games!U43), "Side",Games!T43)))</f>
      </c>
      <c r="J43" s="65" t="str">
        <f>IF(ISBLANK(Games!B43), "",IF(Games!P43="Y", Games!B43, Games!C43))</f>
        <v>Chattanooga</v>
      </c>
      <c r="K43" s="65" t="str">
        <f>Games!K43</f>
        <v>Tennessee</v>
      </c>
      <c r="L43" s="65" t="n">
        <f>IF(ISBLANK(Games!D43), "",Games!D43)</f>
        <v>-38.5</v>
      </c>
      <c r="M43" s="65"/>
      <c r="N43" s="167" t="str">
        <f>IF(ISBLANK(Table123[[#This Row],[Odds Side - Difference Model]]), "", 1)</f>
      </c>
      <c r="O43" s="167" t="str">
        <f>IF(ISBLANK(Table123[[#This Row],[Odds Spread]]), "", 1)</f>
      </c>
      <c r="P43" s="67"/>
      <c r="Q43" s="67"/>
      <c r="R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" s="67"/>
      <c r="T43" s="67"/>
      <c r="U43" s="168" t="str">
        <f>IF(ISBLANK(Table123[[#This Row],[Odds Side - Difference Model]]), "",N43+IF(Q43&lt;0, (N43/(Q43/-100)), N43*(Q43/100)))</f>
      </c>
      <c r="V43" s="169" t="str">
        <f>IFERROR(IF(ISBLANK(Table123[[#This Row],[Odds Side - Win Probability Model]]), "",N43+IF(R43&lt;0, (N43/(R43/-100)), N43*(R43/100))),"")</f>
      </c>
      <c r="W43" s="168" t="str">
        <f t="shared" si="2"/>
      </c>
      <c r="X43" s="169" t="str">
        <f t="shared" si="3"/>
      </c>
      <c r="Y43" s="168" t="str">
        <f>IF(ISBLANK(Table123[[#This Row],[Odds Spread]]), "",O43+IF(S43&lt;0, (O43/(S43/-100)), O43*(S43/100)))</f>
      </c>
      <c r="Z43" s="168" t="str">
        <f t="shared" si="4"/>
      </c>
      <c r="AA43" s="68" t="n">
        <f t="shared" si="5"/>
        <v>0</v>
      </c>
      <c r="AB43" s="68" t="n">
        <f t="shared" si="6"/>
        <v>0</v>
      </c>
      <c r="AC43" s="170" t="str">
        <f>IF('Prediction Log'!$T44="Y", "W", IF('Prediction Log'!$T44="N","L",""))</f>
        <v>W</v>
      </c>
      <c r="AD43" s="171" t="str">
        <f>IF('Prediction Log'!$V44="Y", "W", IF('Prediction Log'!$V44="N","L",""))</f>
        <v>W</v>
      </c>
      <c r="AE43" s="172" t="str">
        <f>IF(ISBLANK(Table123[[#This Row],[Odds Side - Difference Model]]), "",IF(AC43="W", W43, IF(AC43="L",-N43, "")))</f>
      </c>
      <c r="AF43" s="173" t="str">
        <f>IFERROR((IF(ISERR(Table123[[#This Row],[Potential Payout Side - Win Probability Model]]), "",IF(AD43="W", X43, IF(AD43="L",-N43, "")))), "")</f>
      </c>
      <c r="AG43" s="170" t="str">
        <f>IF('Prediction Log'!$U44="Y", "W", IF('Prediction Log'!$U44="N", "L", ""))</f>
        <v>L</v>
      </c>
      <c r="AH43" s="172" t="str">
        <f>IF(ISBLANK(Table123[[#This Row],[Odds Spread]]), "",IF(AG43="W", Z43, IF(AG43="L",-O43, "")))</f>
      </c>
      <c r="AI43" s="184"/>
      <c r="AJ43" s="183" t="str">
        <f t="shared" si="7"/>
      </c>
      <c r="AK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">
      <c r="A44" s="65" t="n">
        <f>Games!A44</f>
        <v>1</v>
      </c>
      <c r="B44" s="65" t="str">
        <f>IF('Prediction Log'!B45=0, "",'Prediction Log'!B45)</f>
        <v>Oklahoma State</v>
      </c>
      <c r="C44" s="65" t="str">
        <f>IF('Prediction Log'!C45=0, "",'Prediction Log'!C45)</f>
        <v>South Dakota State</v>
      </c>
      <c r="D44" s="65" t="n">
        <f>IF('Prediction Log'!D45=0, "",'Prediction Log'!D45)</f>
        <v>-12.5</v>
      </c>
      <c r="E44" s="65" t="n">
        <f>IF('Prediction Log'!E45=0, "",'Prediction Log'!E45)</f>
        <v>-25.9579224265532</v>
      </c>
      <c r="F44" s="65" t="str">
        <f>IF('Prediction Log'!H45=0, "",'Prediction Log'!H45)</f>
        <v>Oklahoma State</v>
      </c>
      <c r="G44" s="64" t="str">
        <f>IF(ISBLANK(Games!B44), "",'Prediction Log'!$I45)</f>
        <v>Oklahoma State</v>
      </c>
      <c r="H44" s="66" t="n">
        <f>'Prediction Log'!$J45</f>
        <v>0.98242365139445431</v>
      </c>
      <c r="I44" s="65" t="str">
        <f>IF(ISBLANK(Games!T44), "",IF(AND(Games!T44="",Games!U44=""),"",IF(ISTEXT(Games!U44), "Side",Games!T44)))</f>
        <v>Spread</v>
      </c>
      <c r="J44" s="65" t="str">
        <f>IF(ISBLANK(Games!B44), "",IF(Games!P44="Y", Games!B44, Games!C44))</f>
        <v>Oklahoma State</v>
      </c>
      <c r="K44" s="65" t="str">
        <f>Games!K44</f>
        <v>Oklahoma State</v>
      </c>
      <c r="L44" s="65" t="n">
        <f>IF(ISBLANK(Games!D44), "",Games!D44)</f>
        <v>-12.5</v>
      </c>
      <c r="M44" s="65"/>
      <c r="N44" s="167" t="str">
        <f>IF(ISBLANK(Table123[[#This Row],[Odds Side - Difference Model]]), "", 1)</f>
      </c>
      <c r="O44" s="167" t="str">
        <f>IF(ISBLANK(Table123[[#This Row],[Odds Spread]]), "", 1)</f>
      </c>
      <c r="P44" s="67"/>
      <c r="Q44" s="67"/>
      <c r="R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" s="67"/>
      <c r="T44" s="67"/>
      <c r="U44" s="168" t="str">
        <f>IF(ISBLANK(Table123[[#This Row],[Odds Side - Difference Model]]), "",N44+IF(Q44&lt;0, (N44/(Q44/-100)), N44*(Q44/100)))</f>
      </c>
      <c r="V44" s="169" t="str">
        <f>IFERROR(IF(ISBLANK(Table123[[#This Row],[Odds Side - Win Probability Model]]), "",N44+IF(R44&lt;0, (N44/(R44/-100)), N44*(R44/100))),"")</f>
      </c>
      <c r="W44" s="168" t="str">
        <f t="shared" si="2"/>
      </c>
      <c r="X44" s="169" t="str">
        <f t="shared" si="3"/>
      </c>
      <c r="Y44" s="168" t="str">
        <f>IF(ISBLANK(Table123[[#This Row],[Odds Spread]]), "",O44+IF(S44&lt;0, (O44/(S44/-100)), O44*(S44/100)))</f>
      </c>
      <c r="Z44" s="168" t="str">
        <f t="shared" si="4"/>
      </c>
      <c r="AA44" s="68" t="n">
        <f t="shared" si="5"/>
        <v>0</v>
      </c>
      <c r="AB44" s="68" t="n">
        <f t="shared" si="6"/>
        <v>0</v>
      </c>
      <c r="AC44" s="170" t="str">
        <f>IF('Prediction Log'!$T45="Y", "W", IF('Prediction Log'!$T45="N","L",""))</f>
        <v>W</v>
      </c>
      <c r="AD44" s="171" t="str">
        <f>IF('Prediction Log'!$V45="Y", "W", IF('Prediction Log'!$V45="N","L",""))</f>
        <v>W</v>
      </c>
      <c r="AE44" s="172" t="str">
        <f>IF(ISBLANK(Table123[[#This Row],[Odds Side - Difference Model]]), "",IF(AC44="W", W44, IF(AC44="L",-N44, "")))</f>
      </c>
      <c r="AF44" s="173" t="str">
        <f>IFERROR((IF(ISERR(Table123[[#This Row],[Potential Payout Side - Win Probability Model]]), "",IF(AD44="W", X44, IF(AD44="L",-N44, "")))), "")</f>
      </c>
      <c r="AG44" s="170" t="str">
        <f>IF('Prediction Log'!$U45="Y", "W", IF('Prediction Log'!$U45="N", "L", ""))</f>
        <v>W</v>
      </c>
      <c r="AH44" s="172" t="str">
        <f>IF(ISBLANK(Table123[[#This Row],[Odds Spread]]), "",IF(AG44="W", Z44, IF(AG44="L",-O44, "")))</f>
      </c>
      <c r="AI44" s="184"/>
      <c r="AJ44" s="183" t="str">
        <f t="shared" si="7"/>
      </c>
      <c r="AK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">
      <c r="A45" s="65" t="n">
        <f>Games!A45</f>
        <v>1</v>
      </c>
      <c r="B45" s="65" t="str">
        <f>IF('Prediction Log'!B46=0, "",'Prediction Log'!B46)</f>
        <v>Cincinnati</v>
      </c>
      <c r="C45" s="65" t="str">
        <f>IF('Prediction Log'!C46=0, "",'Prediction Log'!C46)</f>
        <v>Towson</v>
      </c>
      <c r="D45" s="65" t="n">
        <f>IF('Prediction Log'!D46=0, "",'Prediction Log'!D46)</f>
        <v>-31.5</v>
      </c>
      <c r="E45" s="65" t="n">
        <f>IF('Prediction Log'!E46=0, "",'Prediction Log'!E46)</f>
        <v>-16.1003221913912</v>
      </c>
      <c r="F45" s="65" t="str">
        <f>IF('Prediction Log'!H46=0, "",'Prediction Log'!H46)</f>
        <v>Cincinnati</v>
      </c>
      <c r="G45" s="64" t="str">
        <f>IF(ISBLANK(Games!B45), "",'Prediction Log'!$I46)</f>
        <v>Cincinnati</v>
      </c>
      <c r="H45" s="66" t="n">
        <f>'Prediction Log'!$J46</f>
        <v>0.93117279373430939</v>
      </c>
      <c r="I45" s="65" t="str">
        <f>IF(ISBLANK(Games!T45), "",IF(AND(Games!T45="",Games!U45=""),"",IF(ISTEXT(Games!U45), "Side",Games!T45)))</f>
      </c>
      <c r="J45" s="65" t="str">
        <f>IF(ISBLANK(Games!B45), "",IF(Games!P45="Y", Games!B45, Games!C45))</f>
        <v>Towson</v>
      </c>
      <c r="K45" s="65" t="str">
        <f>Games!K45</f>
        <v>Cincinnati</v>
      </c>
      <c r="L45" s="65" t="n">
        <f>IF(ISBLANK(Games!D45), "",Games!D45)</f>
        <v>-31.5</v>
      </c>
      <c r="M45" s="65"/>
      <c r="N45" s="167" t="str">
        <f>IF(ISBLANK(Table123[[#This Row],[Odds Side - Difference Model]]), "", 1)</f>
      </c>
      <c r="O45" s="167" t="str">
        <f>IF(ISBLANK(Table123[[#This Row],[Odds Spread]]), "", 1)</f>
      </c>
      <c r="P45" s="67"/>
      <c r="Q45" s="67"/>
      <c r="R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" s="67"/>
      <c r="T45" s="67"/>
      <c r="U45" s="168" t="str">
        <f>IF(ISBLANK(Table123[[#This Row],[Odds Side - Difference Model]]), "",N45+IF(Q45&lt;0, (N45/(Q45/-100)), N45*(Q45/100)))</f>
      </c>
      <c r="V45" s="169" t="str">
        <f>IFERROR(IF(ISBLANK(Table123[[#This Row],[Odds Side - Win Probability Model]]), "",N45+IF(R45&lt;0, (N45/(R45/-100)), N45*(R45/100))),"")</f>
      </c>
      <c r="W45" s="168" t="str">
        <f t="shared" si="2"/>
      </c>
      <c r="X45" s="169" t="str">
        <f t="shared" si="3"/>
      </c>
      <c r="Y45" s="168" t="str">
        <f>IF(ISBLANK(Table123[[#This Row],[Odds Spread]]), "",O45+IF(S45&lt;0, (O45/(S45/-100)), O45*(S45/100)))</f>
      </c>
      <c r="Z45" s="168" t="str">
        <f t="shared" si="4"/>
      </c>
      <c r="AA45" s="68" t="n">
        <f t="shared" si="5"/>
        <v>0</v>
      </c>
      <c r="AB45" s="68" t="n">
        <f t="shared" si="6"/>
        <v>0</v>
      </c>
      <c r="AC45" s="170" t="str">
        <f>IF('Prediction Log'!$T46="Y", "W", IF('Prediction Log'!$T46="N","L",""))</f>
        <v>W</v>
      </c>
      <c r="AD45" s="171" t="str">
        <f>IF('Prediction Log'!$V46="Y", "W", IF('Prediction Log'!$V46="N","L",""))</f>
        <v>W</v>
      </c>
      <c r="AE45" s="172" t="str">
        <f>IF(ISBLANK(Table123[[#This Row],[Odds Side - Difference Model]]), "",IF(AC45="W", W45, IF(AC45="L",-N45, "")))</f>
      </c>
      <c r="AF45" s="173" t="str">
        <f>IFERROR((IF(ISERR(Table123[[#This Row],[Potential Payout Side - Win Probability Model]]), "",IF(AD45="W", X45, IF(AD45="L",-N45, "")))), "")</f>
      </c>
      <c r="AG45" s="170" t="str">
        <f>IF('Prediction Log'!$U46="Y", "W", IF('Prediction Log'!$U46="N", "L", ""))</f>
        <v>W</v>
      </c>
      <c r="AH45" s="172" t="str">
        <f>IF(ISBLANK(Table123[[#This Row],[Odds Spread]]), "",IF(AG45="W", Z45, IF(AG45="L",-O45, "")))</f>
      </c>
      <c r="AI45" s="184"/>
      <c r="AJ45" s="183" t="str">
        <f t="shared" si="7"/>
      </c>
      <c r="AK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">
      <c r="A46" s="65" t="n">
        <f>Games!A46</f>
        <v>1</v>
      </c>
      <c r="B46" s="65" t="str">
        <f>IF('Prediction Log'!B47=0, "",'Prediction Log'!B47)</f>
        <v>Washington State</v>
      </c>
      <c r="C46" s="65" t="str">
        <f>IF('Prediction Log'!C47=0, "",'Prediction Log'!C47)</f>
        <v>Portland State</v>
      </c>
      <c r="D46" s="65" t="n">
        <f>IF('Prediction Log'!D47=0, "",'Prediction Log'!D47)</f>
        <v>-27.5</v>
      </c>
      <c r="E46" s="65" t="n">
        <f>IF('Prediction Log'!E47=0, "",'Prediction Log'!E47)</f>
        <v>-20.839141931078</v>
      </c>
      <c r="F46" s="65" t="str">
        <f>IF('Prediction Log'!H47=0, "",'Prediction Log'!H47)</f>
        <v>Washington State</v>
      </c>
      <c r="G46" s="64" t="str">
        <f>IF(ISBLANK(Games!B46), "",'Prediction Log'!$I47)</f>
        <v>Washington State</v>
      </c>
      <c r="H46" s="66" t="n">
        <f>'Prediction Log'!$J47</f>
        <v>0.96397376769983545</v>
      </c>
      <c r="I46" s="65" t="str">
        <f>IF(ISBLANK(Games!T46), "",IF(AND(Games!T46="",Games!U46=""),"",IF(ISTEXT(Games!U46), "Side",Games!T46)))</f>
      </c>
      <c r="J46" s="65" t="str">
        <f>IF(ISBLANK(Games!B46), "",IF(Games!P46="Y", Games!B46, Games!C46))</f>
        <v>Portland State</v>
      </c>
      <c r="K46" s="65" t="str">
        <f>Games!K46</f>
        <v>Washington State</v>
      </c>
      <c r="L46" s="65" t="n">
        <f>IF(ISBLANK(Games!D46), "",Games!D46)</f>
        <v>-27.5</v>
      </c>
      <c r="M46" s="65"/>
      <c r="N46" s="167" t="str">
        <f>IF(ISBLANK(Table123[[#This Row],[Odds Side - Difference Model]]), "", 1)</f>
      </c>
      <c r="O46" s="167" t="str">
        <f>IF(ISBLANK(Table123[[#This Row],[Odds Spread]]), "", 1)</f>
      </c>
      <c r="P46" s="67"/>
      <c r="Q46" s="67"/>
      <c r="R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" s="67"/>
      <c r="T46" s="67"/>
      <c r="U46" s="168" t="str">
        <f>IF(ISBLANK(Table123[[#This Row],[Odds Side - Difference Model]]), "",N46+IF(Q46&lt;0, (N46/(Q46/-100)), N46*(Q46/100)))</f>
      </c>
      <c r="V46" s="169" t="str">
        <f>IFERROR(IF(ISBLANK(Table123[[#This Row],[Odds Side - Win Probability Model]]), "",N46+IF(R46&lt;0, (N46/(R46/-100)), N46*(R46/100))),"")</f>
      </c>
      <c r="W46" s="168" t="str">
        <f t="shared" si="2"/>
      </c>
      <c r="X46" s="169" t="str">
        <f t="shared" si="3"/>
      </c>
      <c r="Y46" s="168" t="str">
        <f>IF(ISBLANK(Table123[[#This Row],[Odds Spread]]), "",O46+IF(S46&lt;0, (O46/(S46/-100)), O46*(S46/100)))</f>
      </c>
      <c r="Z46" s="168" t="str">
        <f t="shared" si="4"/>
      </c>
      <c r="AA46" s="68" t="n">
        <f t="shared" si="5"/>
        <v>0</v>
      </c>
      <c r="AB46" s="68" t="n">
        <f t="shared" si="6"/>
        <v>0</v>
      </c>
      <c r="AC46" s="170" t="str">
        <f>IF('Prediction Log'!$T47="Y", "W", IF('Prediction Log'!$T47="N","L",""))</f>
        <v>W</v>
      </c>
      <c r="AD46" s="171" t="str">
        <f>IF('Prediction Log'!$V47="Y", "W", IF('Prediction Log'!$V47="N","L",""))</f>
        <v>W</v>
      </c>
      <c r="AE46" s="172" t="str">
        <f>IF(ISBLANK(Table123[[#This Row],[Odds Side - Difference Model]]), "",IF(AC46="W", W46, IF(AC46="L",-N46, "")))</f>
      </c>
      <c r="AF46" s="173" t="str">
        <f>IFERROR((IF(ISERR(Table123[[#This Row],[Potential Payout Side - Win Probability Model]]), "",IF(AD46="W", X46, IF(AD46="L",-N46, "")))), "")</f>
      </c>
      <c r="AG46" s="170" t="str">
        <f>IF('Prediction Log'!$U47="Y", "W", IF('Prediction Log'!$U47="N", "L", ""))</f>
        <v>L</v>
      </c>
      <c r="AH46" s="172" t="str">
        <f>IF(ISBLANK(Table123[[#This Row],[Odds Spread]]), "",IF(AG46="W", Z46, IF(AG46="L",-O46, "")))</f>
      </c>
      <c r="AI46" s="184"/>
      <c r="AJ46" s="183" t="str">
        <f t="shared" si="7"/>
      </c>
      <c r="AK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">
      <c r="A47" s="65" t="n">
        <f>Games!A47</f>
        <v>1</v>
      </c>
      <c r="B47" s="65" t="str">
        <f>IF('Prediction Log'!B48=0, "",'Prediction Log'!B48)</f>
        <v>Indiana</v>
      </c>
      <c r="C47" s="65" t="str">
        <f>IF('Prediction Log'!C48=0, "",'Prediction Log'!C48)</f>
        <v>Florida International</v>
      </c>
      <c r="D47" s="65" t="n">
        <f>IF('Prediction Log'!D48=0, "",'Prediction Log'!D48)</f>
        <v>-20.5</v>
      </c>
      <c r="E47" s="65" t="n">
        <f>IF('Prediction Log'!E48=0, "",'Prediction Log'!E48)</f>
        <v>-42.6</v>
      </c>
      <c r="F47" s="65" t="str">
        <f>IF('Prediction Log'!H48=0, "",'Prediction Log'!H48)</f>
        <v>Indiana</v>
      </c>
      <c r="G47" s="64" t="str">
        <f>IF(ISBLANK(Games!B47), "",'Prediction Log'!$I48)</f>
        <v>Indiana</v>
      </c>
      <c r="H47" s="66" t="n">
        <f>'Prediction Log'!$J48</f>
        <v>0.83752027199209444</v>
      </c>
      <c r="I47" s="65" t="str">
        <f>IF(ISBLANK(Games!T47), "",IF(AND(Games!T47="",Games!U47=""),"",IF(ISTEXT(Games!U47), "Side",Games!T47)))</f>
      </c>
      <c r="J47" s="65" t="str">
        <f>IF(ISBLANK(Games!B47), "",IF(Games!P47="Y", Games!B47, Games!C47))</f>
        <v>Indiana</v>
      </c>
      <c r="K47" s="65" t="str">
        <f>Games!K47</f>
        <v>Indiana</v>
      </c>
      <c r="L47" s="65" t="str">
        <f>IF(ISBLANK(Games!D47), "",Games!D47)</f>
        <v>-20.5</v>
      </c>
      <c r="M47" s="65"/>
      <c r="N47" s="167" t="str">
        <f>IF(ISBLANK(Table123[[#This Row],[Odds Side - Difference Model]]), "", 1)</f>
      </c>
      <c r="O47" s="167" t="str">
        <f>IF(ISBLANK(Table123[[#This Row],[Odds Spread]]), "", 1)</f>
      </c>
      <c r="P47" s="67"/>
      <c r="Q47" s="67"/>
      <c r="R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" s="67"/>
      <c r="T47" s="67"/>
      <c r="U47" s="168" t="str">
        <f>IF(ISBLANK(Table123[[#This Row],[Odds Side - Difference Model]]), "",N47+IF(Q47&lt;0, (N47/(Q47/-100)), N47*(Q47/100)))</f>
      </c>
      <c r="V47" s="169" t="str">
        <f>IFERROR(IF(ISBLANK(Table123[[#This Row],[Odds Side - Win Probability Model]]), "",N47+IF(R47&lt;0, (N47/(R47/-100)), N47*(R47/100))),"")</f>
      </c>
      <c r="W47" s="168" t="str">
        <f t="shared" si="2"/>
      </c>
      <c r="X47" s="169" t="str">
        <f t="shared" si="3"/>
      </c>
      <c r="Y47" s="168" t="str">
        <f>IF(ISBLANK(Table123[[#This Row],[Odds Spread]]), "",O47+IF(S47&lt;0, (O47/(S47/-100)), O47*(S47/100)))</f>
      </c>
      <c r="Z47" s="168" t="str">
        <f t="shared" si="4"/>
      </c>
      <c r="AA47" s="68" t="n">
        <f t="shared" si="5"/>
        <v>0</v>
      </c>
      <c r="AB47" s="68" t="n">
        <f t="shared" si="6"/>
        <v>0</v>
      </c>
      <c r="AC47" s="170" t="str">
        <f>IF('Prediction Log'!$T48="Y", "W", IF('Prediction Log'!$T48="N","L",""))</f>
        <v>W</v>
      </c>
      <c r="AD47" s="171" t="str">
        <f>IF('Prediction Log'!$V48="Y", "W", IF('Prediction Log'!$V48="N","L",""))</f>
        <v>W</v>
      </c>
      <c r="AE47" s="172" t="str">
        <f>IF(ISBLANK(Table123[[#This Row],[Odds Side - Difference Model]]), "",IF(AC47="W", W47, IF(AC47="L",-N47, "")))</f>
      </c>
      <c r="AF47" s="173" t="str">
        <f>IFERROR((IF(ISERR(Table123[[#This Row],[Potential Payout Side - Win Probability Model]]), "",IF(AD47="W", X47, IF(AD47="L",-N47, "")))), "")</f>
      </c>
      <c r="AG47" s="170" t="str">
        <f>IF('Prediction Log'!$U48="Y", "W", IF('Prediction Log'!$U48="N", "L", ""))</f>
        <v>L</v>
      </c>
      <c r="AH47" s="172" t="str">
        <f>IF(ISBLANK(Table123[[#This Row],[Odds Spread]]), "",IF(AG47="W", Z47, IF(AG47="L",-O47, "")))</f>
      </c>
      <c r="AI47" s="184"/>
      <c r="AJ47" s="183" t="str">
        <f t="shared" si="7"/>
      </c>
      <c r="AK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">
      <c r="A48" s="65" t="n">
        <f>Games!A48</f>
        <v>1</v>
      </c>
      <c r="B48" s="65" t="str">
        <f>IF('Prediction Log'!B49=0, "",'Prediction Log'!B49)</f>
        <v>UMass</v>
      </c>
      <c r="C48" s="65" t="str">
        <f>IF('Prediction Log'!C49=0, "",'Prediction Log'!C49)</f>
        <v>Eastern Michigan</v>
      </c>
      <c r="D48" s="65" t="n">
        <f>IF('Prediction Log'!D49=0, "",'Prediction Log'!D49)</f>
        <v>-2.5</v>
      </c>
      <c r="E48" s="65" t="n">
        <f>IF('Prediction Log'!E49=0, "",'Prediction Log'!E49)</f>
        <v>3.7</v>
      </c>
      <c r="F48" s="65" t="str">
        <f>IF('Prediction Log'!H49=0, "",'Prediction Log'!H49)</f>
        <v>Eastern Michigan</v>
      </c>
      <c r="G48" s="64" t="str">
        <f>IF(ISBLANK(Games!B48), "",'Prediction Log'!$I49)</f>
        <v>Eastern Michigan</v>
      </c>
      <c r="H48" s="66" t="n">
        <f>'Prediction Log'!$J49</f>
        <v>0.56415358798962101</v>
      </c>
      <c r="I48" s="65" t="str">
        <f>IF(ISBLANK(Games!T48), "",IF(AND(Games!T48="",Games!U48=""),"",IF(ISTEXT(Games!U48), "Side",Games!T48)))</f>
        <v>Side</v>
      </c>
      <c r="J48" s="65" t="str">
        <f>IF(ISBLANK(Games!B48), "",IF(Games!P48="Y", Games!B48, Games!C48))</f>
        <v>UMass</v>
      </c>
      <c r="K48" s="65" t="str">
        <f>Games!K48</f>
        <v>Eastern Michigan</v>
      </c>
      <c r="L48" s="65" t="str">
        <f>IF(ISBLANK(Games!D48), "",Games!D48)</f>
        <v>-2.5</v>
      </c>
      <c r="M48" s="65"/>
      <c r="N48" s="167" t="str">
        <f>IF(ISBLANK(Table123[[#This Row],[Odds Side - Difference Model]]), "", 1)</f>
      </c>
      <c r="O48" s="167" t="str">
        <f>IF(ISBLANK(Table123[[#This Row],[Odds Spread]]), "", 1)</f>
      </c>
      <c r="P48" s="67"/>
      <c r="Q48" s="67"/>
      <c r="R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" s="67"/>
      <c r="T48" s="67"/>
      <c r="U48" s="168" t="str">
        <f>IF(ISBLANK(Table123[[#This Row],[Odds Side - Difference Model]]), "",N48+IF(Q48&lt;0, (N48/(Q48/-100)), N48*(Q48/100)))</f>
      </c>
      <c r="V48" s="169" t="str">
        <f>IFERROR(IF(ISBLANK(Table123[[#This Row],[Odds Side - Win Probability Model]]), "",N48+IF(R48&lt;0, (N48/(R48/-100)), N48*(R48/100))),"")</f>
      </c>
      <c r="W48" s="168" t="str">
        <f t="shared" si="2"/>
      </c>
      <c r="X48" s="169" t="str">
        <f t="shared" si="3"/>
      </c>
      <c r="Y48" s="168" t="str">
        <f>IF(ISBLANK(Table123[[#This Row],[Odds Spread]]), "",O48+IF(S48&lt;0, (O48/(S48/-100)), O48*(S48/100)))</f>
      </c>
      <c r="Z48" s="168" t="str">
        <f t="shared" si="4"/>
      </c>
      <c r="AA48" s="68" t="n">
        <f t="shared" si="5"/>
        <v>0</v>
      </c>
      <c r="AB48" s="68" t="n">
        <f t="shared" si="6"/>
        <v>0</v>
      </c>
      <c r="AC48" s="170" t="str">
        <f>IF('Prediction Log'!$T49="Y", "W", IF('Prediction Log'!$T49="N","L",""))</f>
        <v>W</v>
      </c>
      <c r="AD48" s="171" t="str">
        <f>IF('Prediction Log'!$V49="Y", "W", IF('Prediction Log'!$V49="N","L",""))</f>
        <v>W</v>
      </c>
      <c r="AE48" s="172" t="str">
        <f>IF(ISBLANK(Table123[[#This Row],[Odds Side - Difference Model]]), "",IF(AC48="W", W48, IF(AC48="L",-N48, "")))</f>
      </c>
      <c r="AF48" s="173" t="str">
        <f>IFERROR((IF(ISERR(Table123[[#This Row],[Potential Payout Side - Win Probability Model]]), "",IF(AD48="W", X48, IF(AD48="L",-N48, "")))), "")</f>
      </c>
      <c r="AG48" s="170" t="str">
        <f>IF('Prediction Log'!$U49="Y", "W", IF('Prediction Log'!$U49="N", "L", ""))</f>
        <v>L</v>
      </c>
      <c r="AH48" s="172" t="str">
        <f>IF(ISBLANK(Table123[[#This Row],[Odds Spread]]), "",IF(AG48="W", Z48, IF(AG48="L",-O48, "")))</f>
      </c>
      <c r="AI48" s="184"/>
      <c r="AJ48" s="183" t="str">
        <f t="shared" si="7"/>
      </c>
      <c r="AK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">
      <c r="A49" s="65" t="n">
        <f>Games!A49</f>
        <v>1</v>
      </c>
      <c r="B49" s="65" t="str">
        <f>IF('Prediction Log'!B50=0, "",'Prediction Log'!B50)</f>
        <v>Texas</v>
      </c>
      <c r="C49" s="65" t="str">
        <f>IF('Prediction Log'!C50=0, "",'Prediction Log'!C50)</f>
        <v>Colorado State</v>
      </c>
      <c r="D49" s="65" t="n">
        <f>IF('Prediction Log'!D50=0, "",'Prediction Log'!D50)</f>
        <v>-36.5</v>
      </c>
      <c r="E49" s="65" t="n">
        <f>IF('Prediction Log'!E50=0, "",'Prediction Log'!E50)</f>
        <v>-21.082517397685201</v>
      </c>
      <c r="F49" s="65" t="str">
        <f>IF('Prediction Log'!H50=0, "",'Prediction Log'!H50)</f>
        <v>Texas</v>
      </c>
      <c r="G49" s="64" t="str">
        <f>IF(ISBLANK(Games!B49), "",'Prediction Log'!$I50)</f>
        <v>Texas</v>
      </c>
      <c r="H49" s="66" t="n">
        <f>'Prediction Log'!$J50</f>
        <v>0.9651705416324482</v>
      </c>
      <c r="I49" s="65" t="str">
        <f>IF(ISBLANK(Games!T49), "",IF(AND(Games!T49="",Games!U49=""),"",IF(ISTEXT(Games!U49), "Side",Games!T49)))</f>
        <v>Spread</v>
      </c>
      <c r="J49" s="65" t="str">
        <f>IF(ISBLANK(Games!B49), "",IF(Games!P49="Y", Games!B49, Games!C49))</f>
        <v>Colorado State</v>
      </c>
      <c r="K49" s="65" t="str">
        <f>Games!K49</f>
        <v>Texas</v>
      </c>
      <c r="L49" s="65" t="n">
        <f>IF(ISBLANK(Games!D49), "",Games!D49)</f>
        <v>-36.5</v>
      </c>
      <c r="M49" s="65"/>
      <c r="N49" s="167" t="str">
        <f>IF(ISBLANK(Table123[[#This Row],[Odds Side - Difference Model]]), "", 1)</f>
      </c>
      <c r="O49" s="167" t="str">
        <f>IF(ISBLANK(Table123[[#This Row],[Odds Spread]]), "", 1)</f>
      </c>
      <c r="P49" s="67"/>
      <c r="Q49" s="67"/>
      <c r="R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" s="67"/>
      <c r="T49" s="67"/>
      <c r="U49" s="168" t="str">
        <f>IF(ISBLANK(Table123[[#This Row],[Odds Side - Difference Model]]), "",N49+IF(Q49&lt;0, (N49/(Q49/-100)), N49*(Q49/100)))</f>
      </c>
      <c r="V49" s="169" t="str">
        <f>IFERROR(IF(ISBLANK(Table123[[#This Row],[Odds Side - Win Probability Model]]), "",N49+IF(R49&lt;0, (N49/(R49/-100)), N49*(R49/100))),"")</f>
      </c>
      <c r="W49" s="168" t="str">
        <f t="shared" si="2"/>
      </c>
      <c r="X49" s="169" t="str">
        <f t="shared" si="3"/>
      </c>
      <c r="Y49" s="168" t="str">
        <f>IF(ISBLANK(Table123[[#This Row],[Odds Spread]]), "",O49+IF(S49&lt;0, (O49/(S49/-100)), O49*(S49/100)))</f>
      </c>
      <c r="Z49" s="168" t="str">
        <f t="shared" si="4"/>
      </c>
      <c r="AA49" s="68" t="n">
        <f t="shared" si="5"/>
        <v>0</v>
      </c>
      <c r="AB49" s="68" t="n">
        <f t="shared" si="6"/>
        <v>0</v>
      </c>
      <c r="AC49" s="170" t="str">
        <f>IF('Prediction Log'!$T50="Y", "W", IF('Prediction Log'!$T50="N","L",""))</f>
        <v>W</v>
      </c>
      <c r="AD49" s="171" t="str">
        <f>IF('Prediction Log'!$V50="Y", "W", IF('Prediction Log'!$V50="N","L",""))</f>
        <v>W</v>
      </c>
      <c r="AE49" s="172" t="str">
        <f>IF(ISBLANK(Table123[[#This Row],[Odds Side - Difference Model]]), "",IF(AC49="W", W49, IF(AC49="L",-N49, "")))</f>
      </c>
      <c r="AF49" s="173" t="str">
        <f>IFERROR((IF(ISERR(Table123[[#This Row],[Potential Payout Side - Win Probability Model]]), "",IF(AD49="W", X49, IF(AD49="L",-N49, "")))), "")</f>
      </c>
      <c r="AG49" s="170" t="str">
        <f>IF('Prediction Log'!$U50="Y", "W", IF('Prediction Log'!$U50="N", "L", ""))</f>
        <v>L</v>
      </c>
      <c r="AH49" s="172" t="str">
        <f>IF(ISBLANK(Table123[[#This Row],[Odds Spread]]), "",IF(AG49="W", Z49, IF(AG49="L",-O49, "")))</f>
      </c>
      <c r="AI49" s="184"/>
      <c r="AJ49" s="183" t="str">
        <f t="shared" si="7"/>
      </c>
      <c r="AK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">
      <c r="A50" s="65" t="n">
        <f>Games!A50</f>
        <v>1</v>
      </c>
      <c r="B50" s="65" t="str">
        <f>IF('Prediction Log'!B51=0, "",'Prediction Log'!B51)</f>
        <v>Iowa State</v>
      </c>
      <c r="C50" s="65" t="str">
        <f>IF('Prediction Log'!C51=0, "",'Prediction Log'!C51)</f>
        <v>North Dakota</v>
      </c>
      <c r="D50" s="65" t="n">
        <f>IF('Prediction Log'!D51=0, "",'Prediction Log'!D51)</f>
        <v>-28.5</v>
      </c>
      <c r="E50" s="65" t="n">
        <f>IF('Prediction Log'!E51=0, "",'Prediction Log'!E51)</f>
        <v>-28.6257778734456</v>
      </c>
      <c r="F50" s="65" t="str">
        <f>IF('Prediction Log'!H51=0, "",'Prediction Log'!H51)</f>
        <v>Iowa State</v>
      </c>
      <c r="G50" s="64" t="str">
        <f>IF(ISBLANK(Games!B50), "",'Prediction Log'!$I51)</f>
        <v>Iowa State</v>
      </c>
      <c r="H50" s="66" t="n">
        <f>'Prediction Log'!$J51</f>
        <v>0.98795995186459507</v>
      </c>
      <c r="I50" s="65" t="str">
        <f>IF(ISBLANK(Games!T50), "",IF(AND(Games!T50="",Games!U50=""),"",IF(ISTEXT(Games!U50), "Side",Games!T50)))</f>
      </c>
      <c r="J50" s="65" t="str">
        <f>IF(ISBLANK(Games!B50), "",IF(Games!P50="Y", Games!B50, Games!C50))</f>
        <v>Iowa State</v>
      </c>
      <c r="K50" s="65" t="str">
        <f>Games!K50</f>
        <v>Iowa State</v>
      </c>
      <c r="L50" s="65" t="n">
        <f>IF(ISBLANK(Games!D50), "",Games!D50)</f>
        <v>-28.5</v>
      </c>
      <c r="M50" s="65"/>
      <c r="N50" s="167" t="str">
        <f>IF(ISBLANK(Table123[[#This Row],[Odds Side - Difference Model]]), "", 1)</f>
      </c>
      <c r="O50" s="167" t="str">
        <f>IF(ISBLANK(Table123[[#This Row],[Odds Spread]]), "", 1)</f>
      </c>
      <c r="P50" s="67"/>
      <c r="Q50" s="67"/>
      <c r="R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" s="67"/>
      <c r="T50" s="67"/>
      <c r="U50" s="168" t="str">
        <f>IF(ISBLANK(Table123[[#This Row],[Odds Side - Difference Model]]), "",N50+IF(Q50&lt;0, (N50/(Q50/-100)), N50*(Q50/100)))</f>
      </c>
      <c r="V50" s="169" t="str">
        <f>IFERROR(IF(ISBLANK(Table123[[#This Row],[Odds Side - Win Probability Model]]), "",N50+IF(R50&lt;0, (N50/(R50/-100)), N50*(R50/100))),"")</f>
      </c>
      <c r="W50" s="168" t="str">
        <f t="shared" si="2"/>
      </c>
      <c r="X50" s="169" t="str">
        <f t="shared" si="3"/>
      </c>
      <c r="Y50" s="168" t="str">
        <f>IF(ISBLANK(Table123[[#This Row],[Odds Spread]]), "",O50+IF(S50&lt;0, (O50/(S50/-100)), O50*(S50/100)))</f>
      </c>
      <c r="Z50" s="168" t="str">
        <f t="shared" si="4"/>
      </c>
      <c r="AA50" s="68" t="n">
        <f t="shared" si="5"/>
        <v>0</v>
      </c>
      <c r="AB50" s="68" t="n">
        <f t="shared" si="6"/>
        <v>0</v>
      </c>
      <c r="AC50" s="170" t="str">
        <f>IF('Prediction Log'!$T51="Y", "W", IF('Prediction Log'!$T51="N","L",""))</f>
        <v>W</v>
      </c>
      <c r="AD50" s="171" t="str">
        <f>IF('Prediction Log'!$V51="Y", "W", IF('Prediction Log'!$V51="N","L",""))</f>
        <v>W</v>
      </c>
      <c r="AE50" s="172" t="str">
        <f>IF(ISBLANK(Table123[[#This Row],[Odds Side - Difference Model]]), "",IF(AC50="W", W50, IF(AC50="L",-N50, "")))</f>
      </c>
      <c r="AF50" s="173" t="str">
        <f>IFERROR((IF(ISERR(Table123[[#This Row],[Potential Payout Side - Win Probability Model]]), "",IF(AD50="W", X50, IF(AD50="L",-N50, "")))), "")</f>
      </c>
      <c r="AG50" s="170" t="str">
        <f>IF('Prediction Log'!$U51="Y", "W", IF('Prediction Log'!$U51="N", "L", ""))</f>
        <v>L</v>
      </c>
      <c r="AH50" s="172" t="str">
        <f>IF(ISBLANK(Table123[[#This Row],[Odds Spread]]), "",IF(AG50="W", Z50, IF(AG50="L",-O50, "")))</f>
      </c>
      <c r="AI50" s="184"/>
      <c r="AJ50" s="183" t="str">
        <f t="shared" si="7"/>
      </c>
      <c r="AK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">
      <c r="A51" s="65" t="n">
        <f>Games!A51</f>
        <v>1</v>
      </c>
      <c r="B51" s="65" t="str">
        <f>IF('Prediction Log'!B52=0, "",'Prediction Log'!B52)</f>
        <v>Nebraska</v>
      </c>
      <c r="C51" s="65" t="str">
        <f>IF('Prediction Log'!C52=0, "",'Prediction Log'!C52)</f>
        <v>UTEP</v>
      </c>
      <c r="D51" s="65" t="n">
        <f>IF('Prediction Log'!D52=0, "",'Prediction Log'!D52)</f>
        <v>-27.5</v>
      </c>
      <c r="E51" s="65" t="n">
        <f>IF('Prediction Log'!E52=0, "",'Prediction Log'!E52)</f>
        <v>-42.7</v>
      </c>
      <c r="F51" s="65" t="str">
        <f>IF('Prediction Log'!H52=0, "",'Prediction Log'!H52)</f>
        <v>Nebraska</v>
      </c>
      <c r="G51" s="64" t="str">
        <f>IF(ISBLANK(Games!B51), "",'Prediction Log'!$I52)</f>
        <v>Nebraska</v>
      </c>
      <c r="H51" s="66" t="n">
        <f>'Prediction Log'!$J52</f>
        <v>0.87172545954058944</v>
      </c>
      <c r="I51" s="65" t="str">
        <f>IF(ISBLANK(Games!T51), "",IF(AND(Games!T51="",Games!U51=""),"",IF(ISTEXT(Games!U51), "Side",Games!T51)))</f>
      </c>
      <c r="J51" s="65" t="str">
        <f>IF(ISBLANK(Games!B51), "",IF(Games!P51="Y", Games!B51, Games!C51))</f>
        <v>Nebraska</v>
      </c>
      <c r="K51" s="65" t="str">
        <f>Games!K51</f>
        <v>Nebraska</v>
      </c>
      <c r="L51" s="65" t="str">
        <f>IF(ISBLANK(Games!D51), "",Games!D51)</f>
        <v>-27.5</v>
      </c>
      <c r="M51" s="65"/>
      <c r="N51" s="167" t="str">
        <f>IF(ISBLANK(Table123[[#This Row],[Odds Side - Difference Model]]), "", 1)</f>
      </c>
      <c r="O51" s="167" t="str">
        <f>IF(ISBLANK(Table123[[#This Row],[Odds Spread]]), "", 1)</f>
      </c>
      <c r="P51" s="67"/>
      <c r="Q51" s="67"/>
      <c r="R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" s="67"/>
      <c r="T51" s="67"/>
      <c r="U51" s="168" t="str">
        <f>IF(ISBLANK(Table123[[#This Row],[Odds Side - Difference Model]]), "",N51+IF(Q51&lt;0, (N51/(Q51/-100)), N51*(Q51/100)))</f>
      </c>
      <c r="V51" s="169" t="str">
        <f>IFERROR(IF(ISBLANK(Table123[[#This Row],[Odds Side - Win Probability Model]]), "",N51+IF(R51&lt;0, (N51/(R51/-100)), N51*(R51/100))),"")</f>
      </c>
      <c r="W51" s="168" t="str">
        <f t="shared" si="2"/>
      </c>
      <c r="X51" s="169" t="str">
        <f t="shared" si="3"/>
      </c>
      <c r="Y51" s="168" t="str">
        <f>IF(ISBLANK(Table123[[#This Row],[Odds Spread]]), "",O51+IF(S51&lt;0, (O51/(S51/-100)), O51*(S51/100)))</f>
      </c>
      <c r="Z51" s="168" t="str">
        <f t="shared" si="4"/>
      </c>
      <c r="AA51" s="68" t="n">
        <f t="shared" si="5"/>
        <v>0</v>
      </c>
      <c r="AB51" s="68" t="n">
        <f t="shared" si="6"/>
        <v>0</v>
      </c>
      <c r="AC51" s="170" t="str">
        <f>IF('Prediction Log'!$T52="Y", "W", IF('Prediction Log'!$T52="N","L",""))</f>
        <v>W</v>
      </c>
      <c r="AD51" s="171" t="str">
        <f>IF('Prediction Log'!$V52="Y", "W", IF('Prediction Log'!$V52="N","L",""))</f>
        <v>W</v>
      </c>
      <c r="AE51" s="172" t="str">
        <f>IF(ISBLANK(Table123[[#This Row],[Odds Side - Difference Model]]), "",IF(AC51="W", W51, IF(AC51="L",-N51, "")))</f>
      </c>
      <c r="AF51" s="173" t="str">
        <f>IFERROR((IF(ISERR(Table123[[#This Row],[Potential Payout Side - Win Probability Model]]), "",IF(AD51="W", X51, IF(AD51="L",-N51, "")))), "")</f>
      </c>
      <c r="AG51" s="170" t="str">
        <f>IF('Prediction Log'!$U52="Y", "W", IF('Prediction Log'!$U52="N", "L", ""))</f>
        <v>W</v>
      </c>
      <c r="AH51" s="172" t="str">
        <f>IF(ISBLANK(Table123[[#This Row],[Odds Spread]]), "",IF(AG51="W", Z51, IF(AG51="L",-O51, "")))</f>
      </c>
      <c r="AI51" s="184"/>
      <c r="AJ51" s="183" t="str">
        <f t="shared" si="7"/>
      </c>
      <c r="AK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">
      <c r="A52" s="65" t="n">
        <f>Games!A52</f>
        <v>1</v>
      </c>
      <c r="B52" s="65" t="str">
        <f>IF('Prediction Log'!B53=0, "",'Prediction Log'!B53)</f>
        <v>Ohio State</v>
      </c>
      <c r="C52" s="65" t="str">
        <f>IF('Prediction Log'!C53=0, "",'Prediction Log'!C53)</f>
        <v>Akron</v>
      </c>
      <c r="D52" s="65" t="n">
        <f>IF('Prediction Log'!D53=0, "",'Prediction Log'!D53)</f>
        <v>-50.5</v>
      </c>
      <c r="E52" s="65" t="n">
        <f>IF('Prediction Log'!E53=0, "",'Prediction Log'!E53)</f>
        <v>-28.679564356093199</v>
      </c>
      <c r="F52" s="65" t="str">
        <f>IF('Prediction Log'!H53=0, "",'Prediction Log'!H53)</f>
        <v>Ohio State</v>
      </c>
      <c r="G52" s="64" t="str">
        <f>IF(ISBLANK(Games!B52), "",'Prediction Log'!$I53)</f>
        <v>Ohio State</v>
      </c>
      <c r="H52" s="66" t="n">
        <f>'Prediction Log'!$J53</f>
        <v>0.98805167882258937</v>
      </c>
      <c r="I52" s="65" t="str">
        <f>IF(ISBLANK(Games!T52), "",IF(AND(Games!T52="",Games!U52=""),"",IF(ISTEXT(Games!U52), "Side",Games!T52)))</f>
      </c>
      <c r="J52" s="65" t="str">
        <f>IF(ISBLANK(Games!B52), "",IF(Games!P52="Y", Games!B52, Games!C52))</f>
        <v>Ohio State</v>
      </c>
      <c r="K52" s="65" t="str">
        <f>Games!K52</f>
        <v>Ohio State</v>
      </c>
      <c r="L52" s="65" t="str">
        <f>IF(ISBLANK(Games!D52), "",Games!D52)</f>
        <v>-50.5</v>
      </c>
      <c r="M52" s="65"/>
      <c r="N52" s="167" t="str">
        <f>IF(ISBLANK(Table123[[#This Row],[Odds Side - Difference Model]]), "", 1)</f>
      </c>
      <c r="O52" s="167" t="str">
        <f>IF(ISBLANK(Table123[[#This Row],[Odds Spread]]), "", 1)</f>
      </c>
      <c r="P52" s="67"/>
      <c r="Q52" s="67"/>
      <c r="R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" s="67"/>
      <c r="T52" s="67"/>
      <c r="U52" s="168" t="str">
        <f>IF(ISBLANK(Table123[[#This Row],[Odds Side - Difference Model]]), "",N52+IF(Q52&lt;0, (N52/(Q52/-100)), N52*(Q52/100)))</f>
      </c>
      <c r="V52" s="169" t="str">
        <f>IFERROR(IF(ISBLANK(Table123[[#This Row],[Odds Side - Win Probability Model]]), "",N52+IF(R52&lt;0, (N52/(R52/-100)), N52*(R52/100))),"")</f>
      </c>
      <c r="W52" s="168" t="str">
        <f t="shared" si="2"/>
      </c>
      <c r="X52" s="169" t="str">
        <f t="shared" si="3"/>
      </c>
      <c r="Y52" s="168" t="str">
        <f>IF(ISBLANK(Table123[[#This Row],[Odds Spread]]), "",O52+IF(S52&lt;0, (O52/(S52/-100)), O52*(S52/100)))</f>
      </c>
      <c r="Z52" s="168" t="str">
        <f t="shared" si="4"/>
      </c>
      <c r="AA52" s="68" t="n">
        <f t="shared" si="5"/>
        <v>0</v>
      </c>
      <c r="AB52" s="68" t="n">
        <f t="shared" si="6"/>
        <v>0</v>
      </c>
      <c r="AC52" s="170" t="str">
        <f>IF('Prediction Log'!$T53="Y", "W", IF('Prediction Log'!$T53="N","L",""))</f>
        <v>W</v>
      </c>
      <c r="AD52" s="171" t="str">
        <f>IF('Prediction Log'!$V53="Y", "W", IF('Prediction Log'!$V53="N","L",""))</f>
        <v>W</v>
      </c>
      <c r="AE52" s="172" t="str">
        <f>IF(ISBLANK(Table123[[#This Row],[Odds Side - Difference Model]]), "",IF(AC52="W", W52, IF(AC52="L",-N52, "")))</f>
      </c>
      <c r="AF52" s="173" t="str">
        <f>IFERROR((IF(ISERR(Table123[[#This Row],[Potential Payout Side - Win Probability Model]]), "",IF(AD52="W", X52, IF(AD52="L",-N52, "")))), "")</f>
      </c>
      <c r="AG52" s="170" t="str">
        <f>IF('Prediction Log'!$U53="Y", "W", IF('Prediction Log'!$U53="N", "L", ""))</f>
        <v>L</v>
      </c>
      <c r="AH52" s="172" t="str">
        <f>IF(ISBLANK(Table123[[#This Row],[Odds Spread]]), "",IF(AG52="W", Z52, IF(AG52="L",-O52, "")))</f>
      </c>
      <c r="AI52" s="184"/>
      <c r="AJ52" s="183" t="str">
        <f t="shared" si="7"/>
      </c>
      <c r="AK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">
      <c r="A53" s="65" t="n">
        <f>Games!A53</f>
        <v>1</v>
      </c>
      <c r="B53" s="65" t="str">
        <f>IF('Prediction Log'!B54=0, "",'Prediction Log'!B54)</f>
        <v>Northern Illinois</v>
      </c>
      <c r="C53" s="65" t="str">
        <f>IF('Prediction Log'!C54=0, "",'Prediction Log'!C54)</f>
        <v>Western Illinois</v>
      </c>
      <c r="D53" s="65" t="n">
        <f>IF('Prediction Log'!D54=0, "",'Prediction Log'!D54)</f>
        <v>-35.5</v>
      </c>
      <c r="E53" s="65" t="n">
        <f>IF('Prediction Log'!E54=0, "",'Prediction Log'!E54)</f>
        <v>-17.122648652459599</v>
      </c>
      <c r="F53" s="65" t="str">
        <f>IF('Prediction Log'!H54=0, "",'Prediction Log'!H54)</f>
        <v>Northern Illinois</v>
      </c>
      <c r="G53" s="64" t="str">
        <f>IF(ISBLANK(Games!B53), "",'Prediction Log'!$I54)</f>
        <v>Northern Illinois</v>
      </c>
      <c r="H53" s="66" t="n">
        <f>'Prediction Log'!$J54</f>
        <v>0.9400245318313204</v>
      </c>
      <c r="I53" s="65" t="str">
        <f>IF(ISBLANK(Games!T53), "",IF(AND(Games!T53="",Games!U53=""),"",IF(ISTEXT(Games!U53), "Side",Games!T53)))</f>
      </c>
      <c r="J53" s="65" t="str">
        <f>IF(ISBLANK(Games!B53), "",IF(Games!P53="Y", Games!B53, Games!C53))</f>
        <v>Western Illinois</v>
      </c>
      <c r="K53" s="65" t="str">
        <f>Games!K53</f>
        <v>Northern Illinois</v>
      </c>
      <c r="L53" s="65" t="n">
        <f>IF(ISBLANK(Games!D53), "",Games!D53)</f>
        <v>-35.5</v>
      </c>
      <c r="M53" s="65"/>
      <c r="N53" s="167" t="str">
        <f>IF(ISBLANK(Table123[[#This Row],[Odds Side - Difference Model]]), "", 1)</f>
      </c>
      <c r="O53" s="167" t="str">
        <f>IF(ISBLANK(Table123[[#This Row],[Odds Spread]]), "", 1)</f>
      </c>
      <c r="P53" s="67"/>
      <c r="Q53" s="67"/>
      <c r="R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" s="67"/>
      <c r="T53" s="67"/>
      <c r="U53" s="168" t="str">
        <f>IF(ISBLANK(Table123[[#This Row],[Odds Side - Difference Model]]), "",N53+IF(Q53&lt;0, (N53/(Q53/-100)), N53*(Q53/100)))</f>
      </c>
      <c r="V53" s="169" t="str">
        <f>IFERROR(IF(ISBLANK(Table123[[#This Row],[Odds Side - Win Probability Model]]), "",N53+IF(R53&lt;0, (N53/(R53/-100)), N53*(R53/100))),"")</f>
      </c>
      <c r="W53" s="168" t="str">
        <f t="shared" si="2"/>
      </c>
      <c r="X53" s="169" t="str">
        <f t="shared" si="3"/>
      </c>
      <c r="Y53" s="168" t="str">
        <f>IF(ISBLANK(Table123[[#This Row],[Odds Spread]]), "",O53+IF(S53&lt;0, (O53/(S53/-100)), O53*(S53/100)))</f>
      </c>
      <c r="Z53" s="168" t="str">
        <f t="shared" si="4"/>
      </c>
      <c r="AA53" s="68" t="n">
        <f t="shared" si="5"/>
        <v>0</v>
      </c>
      <c r="AB53" s="68" t="n">
        <f t="shared" si="6"/>
        <v>0</v>
      </c>
      <c r="AC53" s="170" t="str">
        <f>IF('Prediction Log'!$T54="Y", "W", IF('Prediction Log'!$T54="N","L",""))</f>
        <v>W</v>
      </c>
      <c r="AD53" s="171" t="str">
        <f>IF('Prediction Log'!$V54="Y", "W", IF('Prediction Log'!$V54="N","L",""))</f>
        <v>W</v>
      </c>
      <c r="AE53" s="172" t="str">
        <f>IF(ISBLANK(Table123[[#This Row],[Odds Side - Difference Model]]), "",IF(AC53="W", W53, IF(AC53="L",-N53, "")))</f>
      </c>
      <c r="AF53" s="173" t="str">
        <f>IFERROR((IF(ISERR(Table123[[#This Row],[Potential Payout Side - Win Probability Model]]), "",IF(AD53="W", X53, IF(AD53="L",-N53, "")))), "")</f>
      </c>
      <c r="AG53" s="170" t="str">
        <f>IF('Prediction Log'!$U54="Y", "W", IF('Prediction Log'!$U54="N", "L", ""))</f>
        <v>L</v>
      </c>
      <c r="AH53" s="172" t="str">
        <f>IF(ISBLANK(Table123[[#This Row],[Odds Spread]]), "",IF(AG53="W", Z53, IF(AG53="L",-O53, "")))</f>
      </c>
      <c r="AI53" s="184"/>
      <c r="AJ53" s="183" t="str">
        <f t="shared" si="7"/>
      </c>
      <c r="AK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">
      <c r="A54" s="65" t="n">
        <f>Games!A54</f>
        <v>1</v>
      </c>
      <c r="B54" s="65" t="str">
        <f>IF('Prediction Log'!B55=0, "",'Prediction Log'!B55)</f>
        <v>Northwestern</v>
      </c>
      <c r="C54" s="65" t="str">
        <f>IF('Prediction Log'!C55=0, "",'Prediction Log'!C55)</f>
        <v>Miami (OH)</v>
      </c>
      <c r="D54" s="65" t="n">
        <f>IF('Prediction Log'!D55=0, "",'Prediction Log'!D55)</f>
        <v>-4</v>
      </c>
      <c r="E54" s="65" t="n">
        <f>IF('Prediction Log'!E55=0, "",'Prediction Log'!E55)</f>
        <v>-16.5</v>
      </c>
      <c r="F54" s="65" t="str">
        <f>IF('Prediction Log'!H55=0, "",'Prediction Log'!H55)</f>
        <v>Northwestern</v>
      </c>
      <c r="G54" s="64" t="str">
        <f>IF(ISBLANK(Games!B54), "",'Prediction Log'!$I55)</f>
        <v>Miami (OH)</v>
      </c>
      <c r="H54" s="66" t="n">
        <f>'Prediction Log'!$J55</f>
        <v>0.53060435647524895</v>
      </c>
      <c r="I54" s="65" t="str">
        <f>IF(ISBLANK(Games!T54), "",IF(AND(Games!T54="",Games!U54=""),"",IF(ISTEXT(Games!U54), "Side",Games!T54)))</f>
      </c>
      <c r="J54" s="65" t="str">
        <f>IF(ISBLANK(Games!B54), "",IF(Games!P54="Y", Games!B54, Games!C54))</f>
        <v>Northwestern</v>
      </c>
      <c r="K54" s="65" t="str">
        <f>Games!K54</f>
        <v>Northwestern</v>
      </c>
      <c r="L54" s="65" t="str">
        <f>IF(ISBLANK(Games!D54), "",Games!D54)</f>
        <v>-4</v>
      </c>
      <c r="M54" s="65"/>
      <c r="N54" s="167" t="str">
        <f>IF(ISBLANK(Table123[[#This Row],[Odds Side - Difference Model]]), "", 1)</f>
      </c>
      <c r="O54" s="167" t="str">
        <f>IF(ISBLANK(Table123[[#This Row],[Odds Spread]]), "", 1)</f>
      </c>
      <c r="P54" s="67"/>
      <c r="Q54" s="67"/>
      <c r="R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" s="67"/>
      <c r="T54" s="67"/>
      <c r="U54" s="168" t="str">
        <f>IF(ISBLANK(Table123[[#This Row],[Odds Side - Difference Model]]), "",N54+IF(Q54&lt;0, (N54/(Q54/-100)), N54*(Q54/100)))</f>
      </c>
      <c r="V54" s="169" t="str">
        <f>IFERROR(IF(ISBLANK(Table123[[#This Row],[Odds Side - Win Probability Model]]), "",N54+IF(R54&lt;0, (N54/(R54/-100)), N54*(R54/100))),"")</f>
      </c>
      <c r="W54" s="168" t="str">
        <f t="shared" si="2"/>
      </c>
      <c r="X54" s="169" t="str">
        <f t="shared" si="3"/>
      </c>
      <c r="Y54" s="168" t="str">
        <f>IF(ISBLANK(Table123[[#This Row],[Odds Spread]]), "",O54+IF(S54&lt;0, (O54/(S54/-100)), O54*(S54/100)))</f>
      </c>
      <c r="Z54" s="168" t="str">
        <f t="shared" si="4"/>
      </c>
      <c r="AA54" s="68" t="n">
        <f t="shared" si="5"/>
        <v>0</v>
      </c>
      <c r="AB54" s="68" t="n">
        <f t="shared" si="6"/>
        <v>0</v>
      </c>
      <c r="AC54" s="170" t="str">
        <f>IF('Prediction Log'!$T55="Y", "W", IF('Prediction Log'!$T55="N","L",""))</f>
        <v>W</v>
      </c>
      <c r="AD54" s="171" t="str">
        <f>IF('Prediction Log'!$V55="Y", "W", IF('Prediction Log'!$V55="N","L",""))</f>
        <v>L</v>
      </c>
      <c r="AE54" s="172" t="str">
        <f>IF(ISBLANK(Table123[[#This Row],[Odds Side - Difference Model]]), "",IF(AC54="W", W54, IF(AC54="L",-N54, "")))</f>
      </c>
      <c r="AF54" s="173" t="str">
        <f>IFERROR((IF(ISERR(Table123[[#This Row],[Potential Payout Side - Win Probability Model]]), "",IF(AD54="W", X54, IF(AD54="L",-N54, "")))), "")</f>
      </c>
      <c r="AG54" s="170" t="str">
        <f>IF('Prediction Log'!$U55="Y", "W", IF('Prediction Log'!$U55="N", "L", ""))</f>
        <v>W</v>
      </c>
      <c r="AH54" s="172" t="str">
        <f>IF(ISBLANK(Table123[[#This Row],[Odds Spread]]), "",IF(AG54="W", Z54, IF(AG54="L",-O54, "")))</f>
      </c>
      <c r="AI54" s="184"/>
      <c r="AJ54" s="183" t="str">
        <f t="shared" si="7"/>
      </c>
      <c r="AK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">
      <c r="A55" s="65" t="n">
        <f>Games!A55</f>
        <v>1</v>
      </c>
      <c r="B55" s="65" t="str">
        <f>IF('Prediction Log'!B56=0, "",'Prediction Log'!B56)</f>
        <v>UT San Antonio</v>
      </c>
      <c r="C55" s="65" t="str">
        <f>IF('Prediction Log'!C56=0, "",'Prediction Log'!C56)</f>
        <v>Kennesaw State</v>
      </c>
      <c r="D55" s="65" t="n">
        <f>IF('Prediction Log'!D56=0, "",'Prediction Log'!D56)</f>
        <v>-24</v>
      </c>
      <c r="E55" s="65" t="n">
        <f>IF('Prediction Log'!E56=0, "",'Prediction Log'!E56)</f>
        <v>-18.257670405506801</v>
      </c>
      <c r="F55" s="65" t="str">
        <f>IF('Prediction Log'!H56=0, "",'Prediction Log'!H56)</f>
        <v>UT San Antonio</v>
      </c>
      <c r="G55" s="64" t="str">
        <f>IF(ISBLANK(Games!B55), "",'Prediction Log'!$I56)</f>
        <v>UT San Antonio</v>
      </c>
      <c r="H55" s="66" t="n">
        <f>'Prediction Log'!$J56</f>
        <v>0.94859824845739149</v>
      </c>
      <c r="I55" s="65" t="str">
        <f>IF(ISBLANK(Games!T55), "",IF(AND(Games!T55="",Games!U55=""),"",IF(ISTEXT(Games!U55), "Side",Games!T55)))</f>
      </c>
      <c r="J55" s="65" t="str">
        <f>IF(ISBLANK(Games!B55), "",IF(Games!P55="Y", Games!B55, Games!C55))</f>
        <v>UT San Antonio</v>
      </c>
      <c r="K55" s="65" t="str">
        <f>Games!K55</f>
        <v>UT San Antonio</v>
      </c>
      <c r="L55" s="65" t="str">
        <f>IF(ISBLANK(Games!D55), "",Games!D55)</f>
        <v>-24</v>
      </c>
      <c r="M55" s="65"/>
      <c r="N55" s="167" t="str">
        <f>IF(ISBLANK(Table123[[#This Row],[Odds Side - Difference Model]]), "", 1)</f>
      </c>
      <c r="O55" s="167" t="str">
        <f>IF(ISBLANK(Table123[[#This Row],[Odds Spread]]), "", 1)</f>
      </c>
      <c r="P55" s="67"/>
      <c r="Q55" s="67"/>
      <c r="R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" s="67"/>
      <c r="T55" s="67"/>
      <c r="U55" s="168" t="str">
        <f>IF(ISBLANK(Table123[[#This Row],[Odds Side - Difference Model]]), "",N55+IF(Q55&lt;0, (N55/(Q55/-100)), N55*(Q55/100)))</f>
      </c>
      <c r="V55" s="169" t="str">
        <f>IFERROR(IF(ISBLANK(Table123[[#This Row],[Odds Side - Win Probability Model]]), "",N55+IF(R55&lt;0, (N55/(R55/-100)), N55*(R55/100))),"")</f>
      </c>
      <c r="W55" s="168" t="str">
        <f t="shared" si="2"/>
      </c>
      <c r="X55" s="169" t="str">
        <f t="shared" si="3"/>
      </c>
      <c r="Y55" s="168" t="str">
        <f>IF(ISBLANK(Table123[[#This Row],[Odds Spread]]), "",O55+IF(S55&lt;0, (O55/(S55/-100)), O55*(S55/100)))</f>
      </c>
      <c r="Z55" s="168" t="str">
        <f t="shared" si="4"/>
      </c>
      <c r="AA55" s="68" t="n">
        <f t="shared" si="5"/>
        <v>0</v>
      </c>
      <c r="AB55" s="68" t="n">
        <f t="shared" si="6"/>
        <v>0</v>
      </c>
      <c r="AC55" s="170" t="str">
        <f>IF('Prediction Log'!$T56="Y", "W", IF('Prediction Log'!$T56="N","L",""))</f>
        <v>W</v>
      </c>
      <c r="AD55" s="171" t="str">
        <f>IF('Prediction Log'!$V56="Y", "W", IF('Prediction Log'!$V56="N","L",""))</f>
        <v>W</v>
      </c>
      <c r="AE55" s="172" t="str">
        <f>IF(ISBLANK(Table123[[#This Row],[Odds Side - Difference Model]]), "",IF(AC55="W", W55, IF(AC55="L",-N55, "")))</f>
      </c>
      <c r="AF55" s="173" t="str">
        <f>IFERROR((IF(ISERR(Table123[[#This Row],[Potential Payout Side - Win Probability Model]]), "",IF(AD55="W", X55, IF(AD55="L",-N55, "")))), "")</f>
      </c>
      <c r="AG55" s="170" t="str">
        <f>IF('Prediction Log'!$U56="Y", "W", IF('Prediction Log'!$U56="N", "L", ""))</f>
        <v>L</v>
      </c>
      <c r="AH55" s="172" t="str">
        <f>IF(ISBLANK(Table123[[#This Row],[Odds Spread]]), "",IF(AG55="W", Z55, IF(AG55="L",-O55, "")))</f>
      </c>
      <c r="AI55" s="184"/>
      <c r="AJ55" s="183" t="str">
        <f t="shared" si="7"/>
      </c>
      <c r="AK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">
      <c r="A56" s="65" t="n">
        <f>Games!A56</f>
        <v>1</v>
      </c>
      <c r="B56" s="65" t="str">
        <f>IF('Prediction Log'!B57=0, "",'Prediction Log'!B57)</f>
        <v>Syracuse</v>
      </c>
      <c r="C56" s="65" t="str">
        <f>IF('Prediction Log'!C57=0, "",'Prediction Log'!C57)</f>
        <v>Ohio</v>
      </c>
      <c r="D56" s="65" t="n">
        <f>IF('Prediction Log'!D57=0, "",'Prediction Log'!D57)</f>
        <v>-17.5</v>
      </c>
      <c r="E56" s="65" t="n">
        <f>IF('Prediction Log'!E57=0, "",'Prediction Log'!E57)</f>
        <v>-12.5</v>
      </c>
      <c r="F56" s="65" t="str">
        <f>IF('Prediction Log'!H57=0, "",'Prediction Log'!H57)</f>
        <v>Syracuse</v>
      </c>
      <c r="G56" s="64" t="str">
        <f>IF(ISBLANK(Games!B56), "",'Prediction Log'!$I57)</f>
        <v>Ohio</v>
      </c>
      <c r="H56" s="66" t="n">
        <f>'Prediction Log'!$J57</f>
        <v>0.54608044800074185</v>
      </c>
      <c r="I56" s="65" t="str">
        <f>IF(ISBLANK(Games!T56), "",IF(AND(Games!T56="",Games!U56=""),"",IF(ISTEXT(Games!U56), "Side",Games!T56)))</f>
      </c>
      <c r="J56" s="65" t="str">
        <f>IF(ISBLANK(Games!B56), "",IF(Games!P56="Y", Games!B56, Games!C56))</f>
        <v>Syracuse</v>
      </c>
      <c r="K56" s="65" t="str">
        <f>Games!K56</f>
        <v>Syracuse</v>
      </c>
      <c r="L56" s="65" t="str">
        <f>IF(ISBLANK(Games!D56), "",Games!D56)</f>
        <v>-17.5</v>
      </c>
      <c r="M56" s="65"/>
      <c r="N56" s="167" t="str">
        <f>IF(ISBLANK(Table123[[#This Row],[Odds Side - Difference Model]]), "", 1)</f>
      </c>
      <c r="O56" s="167" t="str">
        <f>IF(ISBLANK(Table123[[#This Row],[Odds Spread]]), "", 1)</f>
      </c>
      <c r="P56" s="67"/>
      <c r="Q56" s="67"/>
      <c r="R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" s="67"/>
      <c r="T56" s="67"/>
      <c r="U56" s="168" t="str">
        <f>IF(ISBLANK(Table123[[#This Row],[Odds Side - Difference Model]]), "",N56+IF(Q56&lt;0, (N56/(Q56/-100)), N56*(Q56/100)))</f>
      </c>
      <c r="V56" s="169" t="str">
        <f>IFERROR(IF(ISBLANK(Table123[[#This Row],[Odds Side - Win Probability Model]]), "",N56+IF(R56&lt;0, (N56/(R56/-100)), N56*(R56/100))),"")</f>
      </c>
      <c r="W56" s="168" t="str">
        <f t="shared" si="2"/>
      </c>
      <c r="X56" s="169" t="str">
        <f t="shared" si="3"/>
      </c>
      <c r="Y56" s="168" t="str">
        <f>IF(ISBLANK(Table123[[#This Row],[Odds Spread]]), "",O56+IF(S56&lt;0, (O56/(S56/-100)), O56*(S56/100)))</f>
      </c>
      <c r="Z56" s="168" t="str">
        <f t="shared" si="4"/>
      </c>
      <c r="AA56" s="68" t="n">
        <f t="shared" si="5"/>
        <v>0</v>
      </c>
      <c r="AB56" s="68" t="n">
        <f t="shared" si="6"/>
        <v>0</v>
      </c>
      <c r="AC56" s="170" t="str">
        <f>IF('Prediction Log'!$T57="Y", "W", IF('Prediction Log'!$T57="N","L",""))</f>
        <v>W</v>
      </c>
      <c r="AD56" s="171" t="str">
        <f>IF('Prediction Log'!$V57="Y", "W", IF('Prediction Log'!$V57="N","L",""))</f>
        <v>L</v>
      </c>
      <c r="AE56" s="172" t="str">
        <f>IF(ISBLANK(Table123[[#This Row],[Odds Side - Difference Model]]), "",IF(AC56="W", W56, IF(AC56="L",-N56, "")))</f>
      </c>
      <c r="AF56" s="173" t="str">
        <f>IFERROR((IF(ISERR(Table123[[#This Row],[Potential Payout Side - Win Probability Model]]), "",IF(AD56="W", X56, IF(AD56="L",-N56, "")))), "")</f>
      </c>
      <c r="AG56" s="170" t="str">
        <f>IF('Prediction Log'!$U57="Y", "W", IF('Prediction Log'!$U57="N", "L", ""))</f>
        <v>L</v>
      </c>
      <c r="AH56" s="172" t="str">
        <f>IF(ISBLANK(Table123[[#This Row],[Odds Spread]]), "",IF(AG56="W", Z56, IF(AG56="L",-O56, "")))</f>
      </c>
      <c r="AI56" s="184"/>
      <c r="AJ56" s="183" t="str">
        <f t="shared" si="7"/>
      </c>
      <c r="AK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">
      <c r="A57" s="65" t="n">
        <f>Games!A57</f>
        <v>1</v>
      </c>
      <c r="B57" s="65" t="str">
        <f>IF('Prediction Log'!B58=0, "",'Prediction Log'!B58)</f>
        <v>Florida</v>
      </c>
      <c r="C57" s="65" t="str">
        <f>IF('Prediction Log'!C58=0, "",'Prediction Log'!C58)</f>
        <v>Miami</v>
      </c>
      <c r="D57" s="65" t="n">
        <f>IF('Prediction Log'!D58=0, "",'Prediction Log'!D58)</f>
        <v>2.5</v>
      </c>
      <c r="E57" s="65" t="n">
        <f>IF('Prediction Log'!E58=0, "",'Prediction Log'!E58)</f>
        <v>0.7</v>
      </c>
      <c r="F57" s="65" t="str">
        <f>IF('Prediction Log'!H58=0, "",'Prediction Log'!H58)</f>
        <v>Miami</v>
      </c>
      <c r="G57" s="64" t="str">
        <f>IF(ISBLANK(Games!B57), "",'Prediction Log'!$I58)</f>
        <v>Florida</v>
      </c>
      <c r="H57" s="66" t="n">
        <f>'Prediction Log'!$J58</f>
        <v>0.59466691018927809</v>
      </c>
      <c r="I57" s="65" t="str">
        <f>IF(ISBLANK(Games!T57), "",IF(AND(Games!T57="",Games!U57=""),"",IF(ISTEXT(Games!U57), "Side",Games!T57)))</f>
      </c>
      <c r="J57" s="65" t="str">
        <f>IF(ISBLANK(Games!B57), "",IF(Games!P57="Y", Games!B57, Games!C57))</f>
        <v>Florida</v>
      </c>
      <c r="K57" s="65" t="str">
        <f>Games!K57</f>
        <v>Miami</v>
      </c>
      <c r="L57" s="65" t="str">
        <f>IF(ISBLANK(Games!D57), "",Games!D57)</f>
        <v>2.5</v>
      </c>
      <c r="M57" s="65"/>
      <c r="N57" s="167" t="str">
        <f>IF(ISBLANK(Table123[[#This Row],[Odds Side - Difference Model]]), "", 1)</f>
      </c>
      <c r="O57" s="167" t="str">
        <f>IF(ISBLANK(Table123[[#This Row],[Odds Spread]]), "", 1)</f>
      </c>
      <c r="P57" s="67"/>
      <c r="Q57" s="67"/>
      <c r="R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" s="67"/>
      <c r="T57" s="67"/>
      <c r="U57" s="168" t="str">
        <f>IF(ISBLANK(Table123[[#This Row],[Odds Side - Difference Model]]), "",N57+IF(Q57&lt;0, (N57/(Q57/-100)), N57*(Q57/100)))</f>
      </c>
      <c r="V57" s="169" t="str">
        <f>IFERROR(IF(ISBLANK(Table123[[#This Row],[Odds Side - Win Probability Model]]), "",N57+IF(R57&lt;0, (N57/(R57/-100)), N57*(R57/100))),"")</f>
      </c>
      <c r="W57" s="168" t="str">
        <f t="shared" si="2"/>
      </c>
      <c r="X57" s="169" t="str">
        <f t="shared" si="3"/>
      </c>
      <c r="Y57" s="168" t="str">
        <f>IF(ISBLANK(Table123[[#This Row],[Odds Spread]]), "",O57+IF(S57&lt;0, (O57/(S57/-100)), O57*(S57/100)))</f>
      </c>
      <c r="Z57" s="168" t="str">
        <f t="shared" si="4"/>
      </c>
      <c r="AA57" s="68" t="n">
        <f t="shared" si="5"/>
        <v>0</v>
      </c>
      <c r="AB57" s="68" t="n">
        <f t="shared" si="6"/>
        <v>0</v>
      </c>
      <c r="AC57" s="170" t="str">
        <f>IF('Prediction Log'!$T58="Y", "W", IF('Prediction Log'!$T58="N","L",""))</f>
        <v>W</v>
      </c>
      <c r="AD57" s="171" t="str">
        <f>IF('Prediction Log'!$V58="Y", "W", IF('Prediction Log'!$V58="N","L",""))</f>
        <v>L</v>
      </c>
      <c r="AE57" s="172" t="str">
        <f>IF(ISBLANK(Table123[[#This Row],[Odds Side - Difference Model]]), "",IF(AC57="W", W57, IF(AC57="L",-N57, "")))</f>
      </c>
      <c r="AF57" s="173" t="str">
        <f>IFERROR((IF(ISERR(Table123[[#This Row],[Potential Payout Side - Win Probability Model]]), "",IF(AD57="W", X57, IF(AD57="L",-N57, "")))), "")</f>
      </c>
      <c r="AG57" s="170" t="str">
        <f>IF('Prediction Log'!$U58="Y", "W", IF('Prediction Log'!$U58="N", "L", ""))</f>
        <v>L</v>
      </c>
      <c r="AH57" s="172" t="str">
        <f>IF(ISBLANK(Table123[[#This Row],[Odds Spread]]), "",IF(AG57="W", Z57, IF(AG57="L",-O57, "")))</f>
      </c>
      <c r="AI57" s="184"/>
      <c r="AJ57" s="183" t="str">
        <f t="shared" si="7"/>
      </c>
      <c r="AK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">
      <c r="A58" s="65" t="n">
        <f>Games!A58</f>
        <v>1</v>
      </c>
      <c r="B58" s="65" t="str">
        <f>IF('Prediction Log'!B59=0, "",'Prediction Log'!B59)</f>
        <v>Appalachian State</v>
      </c>
      <c r="C58" s="65" t="str">
        <f>IF('Prediction Log'!C59=0, "",'Prediction Log'!C59)</f>
        <v>East Tennessee State</v>
      </c>
      <c r="D58" s="65" t="n">
        <f>IF('Prediction Log'!D59=0, "",'Prediction Log'!D59)</f>
        <v>-34.5</v>
      </c>
      <c r="E58" s="65" t="n">
        <f>IF('Prediction Log'!E59=0, "",'Prediction Log'!E59)</f>
        <v>-27.708633939054401</v>
      </c>
      <c r="F58" s="65" t="str">
        <f>IF('Prediction Log'!H59=0, "",'Prediction Log'!H59)</f>
        <v>Appalachian State</v>
      </c>
      <c r="G58" s="64" t="str">
        <f>IF(ISBLANK(Games!B58), "",'Prediction Log'!$I59)</f>
        <v>Appalachian State</v>
      </c>
      <c r="H58" s="66" t="n">
        <f>'Prediction Log'!$J59</f>
        <v>0.98628447064828917</v>
      </c>
      <c r="I58" s="65" t="str">
        <f>IF(ISBLANK(Games!T58), "",IF(AND(Games!T58="",Games!U58=""),"",IF(ISTEXT(Games!U58), "Side",Games!T58)))</f>
      </c>
      <c r="J58" s="65" t="str">
        <f>IF(ISBLANK(Games!B58), "",IF(Games!P58="Y", Games!B58, Games!C58))</f>
        <v>East Tennessee State</v>
      </c>
      <c r="K58" s="65" t="str">
        <f>Games!K58</f>
        <v>Appalachian State</v>
      </c>
      <c r="L58" s="65" t="n">
        <f>IF(ISBLANK(Games!D58), "",Games!D58)</f>
        <v>-34.5</v>
      </c>
      <c r="M58" s="65"/>
      <c r="N58" s="167" t="str">
        <f>IF(ISBLANK(Table123[[#This Row],[Odds Side - Difference Model]]), "", 1)</f>
      </c>
      <c r="O58" s="167" t="str">
        <f>IF(ISBLANK(Table123[[#This Row],[Odds Spread]]), "", 1)</f>
      </c>
      <c r="P58" s="67"/>
      <c r="Q58" s="67"/>
      <c r="R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" s="67"/>
      <c r="T58" s="67"/>
      <c r="U58" s="168" t="str">
        <f>IF(ISBLANK(Table123[[#This Row],[Odds Side - Difference Model]]), "",N58+IF(Q58&lt;0, (N58/(Q58/-100)), N58*(Q58/100)))</f>
      </c>
      <c r="V58" s="169" t="str">
        <f>IFERROR(IF(ISBLANK(Table123[[#This Row],[Odds Side - Win Probability Model]]), "",N58+IF(R58&lt;0, (N58/(R58/-100)), N58*(R58/100))),"")</f>
      </c>
      <c r="W58" s="168" t="str">
        <f t="shared" si="2"/>
      </c>
      <c r="X58" s="169" t="str">
        <f t="shared" si="3"/>
      </c>
      <c r="Y58" s="168" t="str">
        <f>IF(ISBLANK(Table123[[#This Row],[Odds Spread]]), "",O58+IF(S58&lt;0, (O58/(S58/-100)), O58*(S58/100)))</f>
      </c>
      <c r="Z58" s="168" t="str">
        <f t="shared" si="4"/>
      </c>
      <c r="AA58" s="68" t="n">
        <f t="shared" si="5"/>
        <v>0</v>
      </c>
      <c r="AB58" s="68" t="n">
        <f t="shared" si="6"/>
        <v>0</v>
      </c>
      <c r="AC58" s="170" t="str">
        <f>IF('Prediction Log'!$T59="Y", "W", IF('Prediction Log'!$T59="N","L",""))</f>
        <v>W</v>
      </c>
      <c r="AD58" s="171" t="str">
        <f>IF('Prediction Log'!$V59="Y", "W", IF('Prediction Log'!$V59="N","L",""))</f>
        <v>W</v>
      </c>
      <c r="AE58" s="172" t="str">
        <f>IF(ISBLANK(Table123[[#This Row],[Odds Side - Difference Model]]), "",IF(AC58="W", W58, IF(AC58="L",-N58, "")))</f>
      </c>
      <c r="AF58" s="173" t="str">
        <f>IFERROR((IF(ISERR(Table123[[#This Row],[Potential Payout Side - Win Probability Model]]), "",IF(AD58="W", X58, IF(AD58="L",-N58, "")))), "")</f>
      </c>
      <c r="AG58" s="170" t="str">
        <f>IF('Prediction Log'!$U59="Y", "W", IF('Prediction Log'!$U59="N", "L", ""))</f>
        <v>W</v>
      </c>
      <c r="AH58" s="172" t="str">
        <f>IF(ISBLANK(Table123[[#This Row],[Odds Spread]]), "",IF(AG58="W", Z58, IF(AG58="L",-O58, "")))</f>
      </c>
      <c r="AI58" s="184"/>
      <c r="AJ58" s="183" t="str">
        <f t="shared" si="7"/>
      </c>
      <c r="AK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">
      <c r="A59" s="65" t="n">
        <f>Games!A59</f>
        <v>1</v>
      </c>
      <c r="B59" s="65" t="str">
        <f>IF('Prediction Log'!B60=0, "",'Prediction Log'!B60)</f>
        <v>Air Force</v>
      </c>
      <c r="C59" s="65" t="str">
        <f>IF('Prediction Log'!C60=0, "",'Prediction Log'!C60)</f>
        <v>Merrimack</v>
      </c>
      <c r="D59" s="65" t="n">
        <f>IF('Prediction Log'!D60=0, "",'Prediction Log'!D60)</f>
        <v>-29.5</v>
      </c>
      <c r="E59" s="65" t="n">
        <f>IF('Prediction Log'!E60=0, "",'Prediction Log'!E60)</f>
        <v>-18.0024122748708</v>
      </c>
      <c r="F59" s="65" t="str">
        <f>IF('Prediction Log'!H60=0, "",'Prediction Log'!H60)</f>
        <v>Air Force</v>
      </c>
      <c r="G59" s="64" t="str">
        <f>IF(ISBLANK(Games!B59), "",'Prediction Log'!$I60)</f>
        <v>Air Force</v>
      </c>
      <c r="H59" s="66" t="n">
        <f>'Prediction Log'!$J60</f>
        <v>0.94677728063592437</v>
      </c>
      <c r="I59" s="65" t="str">
        <f>IF(ISBLANK(Games!T59), "",IF(AND(Games!T59="",Games!U59=""),"",IF(ISTEXT(Games!U59), "Side",Games!T59)))</f>
      </c>
      <c r="J59" s="65" t="str">
        <f>IF(ISBLANK(Games!B59), "",IF(Games!P59="Y", Games!B59, Games!C59))</f>
        <v>Merrimack</v>
      </c>
      <c r="K59" s="65" t="str">
        <f>Games!K59</f>
        <v>Air Force</v>
      </c>
      <c r="L59" s="65" t="n">
        <f>IF(ISBLANK(Games!D59), "",Games!D59)</f>
        <v>-29.5</v>
      </c>
      <c r="M59" s="65"/>
      <c r="N59" s="167" t="str">
        <f>IF(ISBLANK(Table123[[#This Row],[Odds Side - Difference Model]]), "", 1)</f>
      </c>
      <c r="O59" s="167" t="str">
        <f>IF(ISBLANK(Table123[[#This Row],[Odds Spread]]), "", 1)</f>
      </c>
      <c r="P59" s="67"/>
      <c r="Q59" s="67"/>
      <c r="R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" s="67"/>
      <c r="T59" s="67"/>
      <c r="U59" s="168" t="str">
        <f>IF(ISBLANK(Table123[[#This Row],[Odds Side - Difference Model]]), "",N59+IF(Q59&lt;0, (N59/(Q59/-100)), N59*(Q59/100)))</f>
      </c>
      <c r="V59" s="169" t="str">
        <f>IFERROR(IF(ISBLANK(Table123[[#This Row],[Odds Side - Win Probability Model]]), "",N59+IF(R59&lt;0, (N59/(R59/-100)), N59*(R59/100))),"")</f>
      </c>
      <c r="W59" s="168" t="str">
        <f t="shared" si="2"/>
      </c>
      <c r="X59" s="169" t="str">
        <f t="shared" si="3"/>
      </c>
      <c r="Y59" s="168" t="str">
        <f>IF(ISBLANK(Table123[[#This Row],[Odds Spread]]), "",O59+IF(S59&lt;0, (O59/(S59/-100)), O59*(S59/100)))</f>
      </c>
      <c r="Z59" s="168" t="str">
        <f t="shared" si="4"/>
      </c>
      <c r="AA59" s="68" t="n">
        <f t="shared" si="5"/>
        <v>0</v>
      </c>
      <c r="AB59" s="68" t="n">
        <f t="shared" si="6"/>
        <v>0</v>
      </c>
      <c r="AC59" s="170" t="str">
        <f>IF('Prediction Log'!$T60="Y", "W", IF('Prediction Log'!$T60="N","L",""))</f>
        <v>W</v>
      </c>
      <c r="AD59" s="171" t="str">
        <f>IF('Prediction Log'!$V60="Y", "W", IF('Prediction Log'!$V60="N","L",""))</f>
        <v>W</v>
      </c>
      <c r="AE59" s="172" t="str">
        <f>IF(ISBLANK(Table123[[#This Row],[Odds Side - Difference Model]]), "",IF(AC59="W", W59, IF(AC59="L",-N59, "")))</f>
      </c>
      <c r="AF59" s="173" t="str">
        <f>IFERROR((IF(ISERR(Table123[[#This Row],[Potential Payout Side - Win Probability Model]]), "",IF(AD59="W", X59, IF(AD59="L",-N59, "")))), "")</f>
      </c>
      <c r="AG59" s="170" t="str">
        <f>IF('Prediction Log'!$U60="Y", "W", IF('Prediction Log'!$U60="N", "L", ""))</f>
        <v>W</v>
      </c>
      <c r="AH59" s="172" t="str">
        <f>IF(ISBLANK(Table123[[#This Row],[Odds Spread]]), "",IF(AG59="W", Z59, IF(AG59="L",-O59, "")))</f>
      </c>
      <c r="AI59" s="184"/>
      <c r="AJ59" s="183" t="str">
        <f t="shared" si="7"/>
      </c>
      <c r="AK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">
      <c r="A60" s="65" t="n">
        <f>Games!A60</f>
        <v>1</v>
      </c>
      <c r="B60" s="65" t="str">
        <f>IF('Prediction Log'!B61=0, "",'Prediction Log'!B61)</f>
        <v>Georgia Southern</v>
      </c>
      <c r="C60" s="65" t="str">
        <f>IF('Prediction Log'!C61=0, "",'Prediction Log'!C61)</f>
        <v>Boise State</v>
      </c>
      <c r="D60" s="65" t="n">
        <f>IF('Prediction Log'!D61=0, "",'Prediction Log'!D61)</f>
        <v>12</v>
      </c>
      <c r="E60" s="65" t="n">
        <f>IF('Prediction Log'!E61=0, "",'Prediction Log'!E61)</f>
        <v>23.7</v>
      </c>
      <c r="F60" s="65" t="str">
        <f>IF('Prediction Log'!H61=0, "",'Prediction Log'!H61)</f>
        <v>Boise State</v>
      </c>
      <c r="G60" s="64" t="str">
        <f>IF(ISBLANK(Games!B60), "",'Prediction Log'!$I61)</f>
        <v>Boise State</v>
      </c>
      <c r="H60" s="66" t="n">
        <f>'Prediction Log'!$J61</f>
        <v>0.76949807542123116</v>
      </c>
      <c r="I60" s="65" t="str">
        <f>IF(ISBLANK(Games!T60), "",IF(AND(Games!T60="",Games!U60=""),"",IF(ISTEXT(Games!U60), "Side",Games!T60)))</f>
      </c>
      <c r="J60" s="65" t="str">
        <f>IF(ISBLANK(Games!B60), "",IF(Games!P60="Y", Games!B60, Games!C60))</f>
        <v>Georgia Southern</v>
      </c>
      <c r="K60" s="65" t="str">
        <f>Games!K60</f>
        <v>Boise State</v>
      </c>
      <c r="L60" s="65" t="str">
        <f>IF(ISBLANK(Games!D60), "",Games!D60)</f>
        <v>12</v>
      </c>
      <c r="M60" s="65"/>
      <c r="N60" s="167" t="str">
        <f>IF(ISBLANK(Table123[[#This Row],[Odds Side - Difference Model]]), "", 1)</f>
      </c>
      <c r="O60" s="167" t="str">
        <f>IF(ISBLANK(Table123[[#This Row],[Odds Spread]]), "", 1)</f>
      </c>
      <c r="P60" s="67"/>
      <c r="Q60" s="67"/>
      <c r="R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" s="67"/>
      <c r="T60" s="67"/>
      <c r="U60" s="168" t="str">
        <f>IF(ISBLANK(Table123[[#This Row],[Odds Side - Difference Model]]), "",N60+IF(Q60&lt;0, (N60/(Q60/-100)), N60*(Q60/100)))</f>
      </c>
      <c r="V60" s="169" t="str">
        <f>IFERROR(IF(ISBLANK(Table123[[#This Row],[Odds Side - Win Probability Model]]), "",N60+IF(R60&lt;0, (N60/(R60/-100)), N60*(R60/100))),"")</f>
      </c>
      <c r="W60" s="168" t="str">
        <f t="shared" si="2"/>
      </c>
      <c r="X60" s="169" t="str">
        <f t="shared" si="3"/>
      </c>
      <c r="Y60" s="168" t="str">
        <f>IF(ISBLANK(Table123[[#This Row],[Odds Spread]]), "",O60+IF(S60&lt;0, (O60/(S60/-100)), O60*(S60/100)))</f>
      </c>
      <c r="Z60" s="168" t="str">
        <f t="shared" si="4"/>
      </c>
      <c r="AA60" s="68" t="n">
        <f t="shared" si="5"/>
        <v>0</v>
      </c>
      <c r="AB60" s="68" t="n">
        <f t="shared" si="6"/>
        <v>0</v>
      </c>
      <c r="AC60" s="170" t="str">
        <f>IF('Prediction Log'!$T61="Y", "W", IF('Prediction Log'!$T61="N","L",""))</f>
        <v>W</v>
      </c>
      <c r="AD60" s="171" t="str">
        <f>IF('Prediction Log'!$V61="Y", "W", IF('Prediction Log'!$V61="N","L",""))</f>
        <v>W</v>
      </c>
      <c r="AE60" s="172" t="str">
        <f>IF(ISBLANK(Table123[[#This Row],[Odds Side - Difference Model]]), "",IF(AC60="W", W60, IF(AC60="L",-N60, "")))</f>
      </c>
      <c r="AF60" s="173" t="str">
        <f>IFERROR((IF(ISERR(Table123[[#This Row],[Potential Payout Side - Win Probability Model]]), "",IF(AD60="W", X60, IF(AD60="L",-N60, "")))), "")</f>
      </c>
      <c r="AG60" s="170" t="str">
        <f>IF('Prediction Log'!$U61="Y", "W", IF('Prediction Log'!$U61="N", "L", ""))</f>
        <v>W</v>
      </c>
      <c r="AH60" s="172" t="str">
        <f>IF(ISBLANK(Table123[[#This Row],[Odds Spread]]), "",IF(AG60="W", Z60, IF(AG60="L",-O60, "")))</f>
      </c>
      <c r="AI60" s="184"/>
      <c r="AJ60" s="183" t="str">
        <f t="shared" si="7"/>
      </c>
      <c r="AK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">
      <c r="A61" s="65" t="n">
        <f>Games!A61</f>
        <v>1</v>
      </c>
      <c r="B61" s="65" t="str">
        <f>IF('Prediction Log'!B62=0, "",'Prediction Log'!B62)</f>
        <v>South Carolina</v>
      </c>
      <c r="C61" s="65" t="str">
        <f>IF('Prediction Log'!C62=0, "",'Prediction Log'!C62)</f>
        <v>Old Dominion</v>
      </c>
      <c r="D61" s="65" t="n">
        <f>IF('Prediction Log'!D62=0, "",'Prediction Log'!D62)</f>
        <v>-20</v>
      </c>
      <c r="E61" s="65" t="n">
        <f>IF('Prediction Log'!E62=0, "",'Prediction Log'!E62)</f>
        <v>-37.700000000000003</v>
      </c>
      <c r="F61" s="65" t="str">
        <f>IF('Prediction Log'!H62=0, "",'Prediction Log'!H62)</f>
        <v>South Carolina</v>
      </c>
      <c r="G61" s="64" t="str">
        <f>IF(ISBLANK(Games!B61), "",'Prediction Log'!$I62)</f>
        <v>South Carolina</v>
      </c>
      <c r="H61" s="66" t="n">
        <f>'Prediction Log'!$J62</f>
        <v>0.79120889876425871</v>
      </c>
      <c r="I61" s="65" t="str">
        <f>IF(ISBLANK(Games!T61), "",IF(AND(Games!T61="",Games!U61=""),"",IF(ISTEXT(Games!U61), "Side",Games!T61)))</f>
      </c>
      <c r="J61" s="65" t="str">
        <f>IF(ISBLANK(Games!B61), "",IF(Games!P61="Y", Games!B61, Games!C61))</f>
        <v>South Carolina</v>
      </c>
      <c r="K61" s="65" t="str">
        <f>Games!K61</f>
        <v>South Carolina</v>
      </c>
      <c r="L61" s="65" t="str">
        <f>IF(ISBLANK(Games!D61), "",Games!D61)</f>
        <v>-20</v>
      </c>
      <c r="M61" s="65"/>
      <c r="N61" s="167" t="str">
        <f>IF(ISBLANK(Table123[[#This Row],[Odds Side - Difference Model]]), "", 1)</f>
      </c>
      <c r="O61" s="167" t="str">
        <f>IF(ISBLANK(Table123[[#This Row],[Odds Spread]]), "", 1)</f>
      </c>
      <c r="P61" s="67"/>
      <c r="Q61" s="67"/>
      <c r="R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" s="67"/>
      <c r="T61" s="67"/>
      <c r="U61" s="168" t="str">
        <f>IF(ISBLANK(Table123[[#This Row],[Odds Side - Difference Model]]), "",N61+IF(Q61&lt;0, (N61/(Q61/-100)), N61*(Q61/100)))</f>
      </c>
      <c r="V61" s="169" t="str">
        <f>IFERROR(IF(ISBLANK(Table123[[#This Row],[Odds Side - Win Probability Model]]), "",N61+IF(R61&lt;0, (N61/(R61/-100)), N61*(R61/100))),"")</f>
      </c>
      <c r="W61" s="168" t="str">
        <f t="shared" si="2"/>
      </c>
      <c r="X61" s="169" t="str">
        <f t="shared" si="3"/>
      </c>
      <c r="Y61" s="168" t="str">
        <f>IF(ISBLANK(Table123[[#This Row],[Odds Spread]]), "",O61+IF(S61&lt;0, (O61/(S61/-100)), O61*(S61/100)))</f>
      </c>
      <c r="Z61" s="168" t="str">
        <f t="shared" si="4"/>
      </c>
      <c r="AA61" s="68" t="n">
        <f t="shared" si="5"/>
        <v>0</v>
      </c>
      <c r="AB61" s="68" t="n">
        <f t="shared" si="6"/>
        <v>0</v>
      </c>
      <c r="AC61" s="170" t="str">
        <f>IF('Prediction Log'!$T62="Y", "W", IF('Prediction Log'!$T62="N","L",""))</f>
        <v>W</v>
      </c>
      <c r="AD61" s="171" t="str">
        <f>IF('Prediction Log'!$V62="Y", "W", IF('Prediction Log'!$V62="N","L",""))</f>
        <v>W</v>
      </c>
      <c r="AE61" s="172" t="str">
        <f>IF(ISBLANK(Table123[[#This Row],[Odds Side - Difference Model]]), "",IF(AC61="W", W61, IF(AC61="L",-N61, "")))</f>
      </c>
      <c r="AF61" s="173" t="str">
        <f>IFERROR((IF(ISERR(Table123[[#This Row],[Potential Payout Side - Win Probability Model]]), "",IF(AD61="W", X61, IF(AD61="L",-N61, "")))), "")</f>
      </c>
      <c r="AG61" s="170" t="str">
        <f>IF('Prediction Log'!$U62="Y", "W", IF('Prediction Log'!$U62="N", "L", ""))</f>
        <v>L</v>
      </c>
      <c r="AH61" s="172" t="str">
        <f>IF(ISBLANK(Table123[[#This Row],[Odds Spread]]), "",IF(AG61="W", Z61, IF(AG61="L",-O61, "")))</f>
      </c>
      <c r="AI61" s="184"/>
      <c r="AJ61" s="183" t="str">
        <f t="shared" si="7"/>
      </c>
      <c r="AK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">
      <c r="A62" s="65" t="n">
        <f>Games!A62</f>
        <v>1</v>
      </c>
      <c r="B62" s="65" t="str">
        <f>IF('Prediction Log'!B63=0, "",'Prediction Log'!B63)</f>
        <v>South Alabama</v>
      </c>
      <c r="C62" s="65" t="str">
        <f>IF('Prediction Log'!C63=0, "",'Prediction Log'!C63)</f>
        <v>North Texas</v>
      </c>
      <c r="D62" s="65" t="n">
        <f>IF('Prediction Log'!D63=0, "",'Prediction Log'!D63)</f>
        <v>-6</v>
      </c>
      <c r="E62" s="65" t="n">
        <f>IF('Prediction Log'!E63=0, "",'Prediction Log'!E63)</f>
        <v>-21.2</v>
      </c>
      <c r="F62" s="65" t="str">
        <f>IF('Prediction Log'!H63=0, "",'Prediction Log'!H63)</f>
        <v>South Alabama</v>
      </c>
      <c r="G62" s="64" t="str">
        <f>IF(ISBLANK(Games!B62), "",'Prediction Log'!$I63)</f>
        <v>South Alabama</v>
      </c>
      <c r="H62" s="66" t="n">
        <f>'Prediction Log'!$J63</f>
        <v>0.85869095779635407</v>
      </c>
      <c r="I62" s="65" t="str">
        <f>IF(ISBLANK(Games!T62), "",IF(AND(Games!T62="",Games!U62=""),"",IF(ISTEXT(Games!U62), "Side",Games!T62)))</f>
      </c>
      <c r="J62" s="65" t="str">
        <f>IF(ISBLANK(Games!B62), "",IF(Games!P62="Y", Games!B62, Games!C62))</f>
        <v>South Alabama</v>
      </c>
      <c r="K62" s="65" t="str">
        <f>Games!K62</f>
        <v>South Alabama</v>
      </c>
      <c r="L62" s="65" t="str">
        <f>IF(ISBLANK(Games!D62), "",Games!D62)</f>
        <v>-6</v>
      </c>
      <c r="M62" s="65"/>
      <c r="N62" s="167" t="str">
        <f>IF(ISBLANK(Table123[[#This Row],[Odds Side - Difference Model]]), "", 1)</f>
      </c>
      <c r="O62" s="167" t="str">
        <f>IF(ISBLANK(Table123[[#This Row],[Odds Spread]]), "", 1)</f>
      </c>
      <c r="P62" s="67"/>
      <c r="Q62" s="67"/>
      <c r="R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" s="67"/>
      <c r="T62" s="67"/>
      <c r="U62" s="168" t="str">
        <f>IF(ISBLANK(Table123[[#This Row],[Odds Side - Difference Model]]), "",N62+IF(Q62&lt;0, (N62/(Q62/-100)), N62*(Q62/100)))</f>
      </c>
      <c r="V62" s="169" t="str">
        <f>IFERROR(IF(ISBLANK(Table123[[#This Row],[Odds Side - Win Probability Model]]), "",N62+IF(R62&lt;0, (N62/(R62/-100)), N62*(R62/100))),"")</f>
      </c>
      <c r="W62" s="168" t="str">
        <f t="shared" si="2"/>
      </c>
      <c r="X62" s="169" t="str">
        <f t="shared" si="3"/>
      </c>
      <c r="Y62" s="168" t="str">
        <f>IF(ISBLANK(Table123[[#This Row],[Odds Spread]]), "",O62+IF(S62&lt;0, (O62/(S62/-100)), O62*(S62/100)))</f>
      </c>
      <c r="Z62" s="168" t="str">
        <f t="shared" si="4"/>
      </c>
      <c r="AA62" s="68" t="n">
        <f t="shared" si="5"/>
        <v>0</v>
      </c>
      <c r="AB62" s="68" t="n">
        <f t="shared" si="6"/>
        <v>0</v>
      </c>
      <c r="AC62" s="170" t="str">
        <f>IF('Prediction Log'!$T63="Y", "W", IF('Prediction Log'!$T63="N","L",""))</f>
        <v>L</v>
      </c>
      <c r="AD62" s="171" t="str">
        <f>IF('Prediction Log'!$V63="Y", "W", IF('Prediction Log'!$V63="N","L",""))</f>
        <v>L</v>
      </c>
      <c r="AE62" s="172" t="str">
        <f>IF(ISBLANK(Table123[[#This Row],[Odds Side - Difference Model]]), "",IF(AC62="W", W62, IF(AC62="L",-N62, "")))</f>
      </c>
      <c r="AF62" s="173" t="str">
        <f>IFERROR((IF(ISERR(Table123[[#This Row],[Potential Payout Side - Win Probability Model]]), "",IF(AD62="W", X62, IF(AD62="L",-N62, "")))), "")</f>
      </c>
      <c r="AG62" s="170" t="str">
        <f>IF('Prediction Log'!$U63="Y", "W", IF('Prediction Log'!$U63="N", "L", ""))</f>
        <v>L</v>
      </c>
      <c r="AH62" s="172" t="str">
        <f>IF(ISBLANK(Table123[[#This Row],[Odds Spread]]), "",IF(AG62="W", Z62, IF(AG62="L",-O62, "")))</f>
      </c>
      <c r="AI62" s="184"/>
      <c r="AJ62" s="183" t="str">
        <f t="shared" si="7"/>
      </c>
      <c r="AK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">
      <c r="A63" s="65" t="n">
        <f>Games!A63</f>
        <v>1</v>
      </c>
      <c r="B63" s="65" t="str">
        <f>IF('Prediction Log'!B64=0, "",'Prediction Log'!B64)</f>
        <v>California</v>
      </c>
      <c r="C63" s="65" t="str">
        <f>IF('Prediction Log'!C64=0, "",'Prediction Log'!C64)</f>
        <v>UC Davis</v>
      </c>
      <c r="D63" s="65" t="n">
        <f>IF('Prediction Log'!D64=0, "",'Prediction Log'!D64)</f>
        <v>-20.5</v>
      </c>
      <c r="E63" s="65" t="n">
        <f>IF('Prediction Log'!E64=0, "",'Prediction Log'!E64)</f>
        <v>-20.978759530909599</v>
      </c>
      <c r="F63" s="65" t="str">
        <f>IF('Prediction Log'!H64=0, "",'Prediction Log'!H64)</f>
        <v>California</v>
      </c>
      <c r="G63" s="64" t="str">
        <f>IF(ISBLANK(Games!B63), "",'Prediction Log'!$I64)</f>
        <v>California</v>
      </c>
      <c r="H63" s="66" t="n">
        <f>'Prediction Log'!$J64</f>
        <v>0.9646650819878112</v>
      </c>
      <c r="I63" s="65" t="str">
        <f>IF(ISBLANK(Games!T63), "",IF(AND(Games!T63="",Games!U63=""),"",IF(ISTEXT(Games!U63), "Side",Games!T63)))</f>
      </c>
      <c r="J63" s="65" t="str">
        <f>IF(ISBLANK(Games!B63), "",IF(Games!P63="Y", Games!B63, Games!C63))</f>
        <v>California</v>
      </c>
      <c r="K63" s="65" t="str">
        <f>Games!K63</f>
        <v>California</v>
      </c>
      <c r="L63" s="65" t="n">
        <f>IF(ISBLANK(Games!D63), "",Games!D63)</f>
        <v>-20.5</v>
      </c>
      <c r="M63" s="65"/>
      <c r="N63" s="167" t="str">
        <f>IF(ISBLANK(Table123[[#This Row],[Odds Side - Difference Model]]), "", 1)</f>
      </c>
      <c r="O63" s="167" t="str">
        <f>IF(ISBLANK(Table123[[#This Row],[Odds Spread]]), "", 1)</f>
      </c>
      <c r="P63" s="67"/>
      <c r="Q63" s="67"/>
      <c r="R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" s="67"/>
      <c r="T63" s="67"/>
      <c r="U63" s="168" t="str">
        <f>IF(ISBLANK(Table123[[#This Row],[Odds Side - Difference Model]]), "",N63+IF(Q63&lt;0, (N63/(Q63/-100)), N63*(Q63/100)))</f>
      </c>
      <c r="V63" s="169" t="str">
        <f>IFERROR(IF(ISBLANK(Table123[[#This Row],[Odds Side - Win Probability Model]]), "",N63+IF(R63&lt;0, (N63/(R63/-100)), N63*(R63/100))),"")</f>
      </c>
      <c r="W63" s="168" t="str">
        <f t="shared" si="2"/>
      </c>
      <c r="X63" s="169" t="str">
        <f t="shared" si="3"/>
      </c>
      <c r="Y63" s="168" t="str">
        <f>IF(ISBLANK(Table123[[#This Row],[Odds Spread]]), "",O63+IF(S63&lt;0, (O63/(S63/-100)), O63*(S63/100)))</f>
      </c>
      <c r="Z63" s="168" t="str">
        <f t="shared" si="4"/>
      </c>
      <c r="AA63" s="68" t="n">
        <f t="shared" si="5"/>
        <v>0</v>
      </c>
      <c r="AB63" s="68" t="n">
        <f t="shared" si="6"/>
        <v>0</v>
      </c>
      <c r="AC63" s="170" t="str">
        <f>IF('Prediction Log'!$T64="Y", "W", IF('Prediction Log'!$T64="N","L",""))</f>
        <v>W</v>
      </c>
      <c r="AD63" s="171" t="str">
        <f>IF('Prediction Log'!$V64="Y", "W", IF('Prediction Log'!$V64="N","L",""))</f>
        <v>W</v>
      </c>
      <c r="AE63" s="172" t="str">
        <f>IF(ISBLANK(Table123[[#This Row],[Odds Side - Difference Model]]), "",IF(AC63="W", W63, IF(AC63="L",-N63, "")))</f>
      </c>
      <c r="AF63" s="173" t="str">
        <f>IFERROR((IF(ISERR(Table123[[#This Row],[Potential Payout Side - Win Probability Model]]), "",IF(AD63="W", X63, IF(AD63="L",-N63, "")))), "")</f>
      </c>
      <c r="AG63" s="170" t="str">
        <f>IF('Prediction Log'!$U64="Y", "W", IF('Prediction Log'!$U64="N", "L", ""))</f>
        <v>L</v>
      </c>
      <c r="AH63" s="172" t="str">
        <f>IF(ISBLANK(Table123[[#This Row],[Odds Spread]]), "",IF(AG63="W", Z63, IF(AG63="L",-O63, "")))</f>
      </c>
      <c r="AI63" s="184"/>
      <c r="AJ63" s="183" t="str">
        <f t="shared" si="7"/>
      </c>
      <c r="AK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">
      <c r="A64" s="65" t="n">
        <f>Games!A64</f>
        <v>1</v>
      </c>
      <c r="B64" s="65" t="str">
        <f>IF('Prediction Log'!B65=0, "",'Prediction Log'!B65)</f>
        <v>Marshall</v>
      </c>
      <c r="C64" s="65" t="str">
        <f>IF('Prediction Log'!C65=0, "",'Prediction Log'!C65)</f>
        <v>Stony Brook</v>
      </c>
      <c r="D64" s="65" t="n">
        <f>IF('Prediction Log'!D65=0, "",'Prediction Log'!D65)</f>
        <v>-32.5</v>
      </c>
      <c r="E64" s="65" t="n">
        <f>IF('Prediction Log'!E65=0, "",'Prediction Log'!E65)</f>
        <v>-13.957726528456</v>
      </c>
      <c r="F64" s="65" t="str">
        <f>IF('Prediction Log'!H65=0, "",'Prediction Log'!H65)</f>
        <v>Marshall</v>
      </c>
      <c r="G64" s="64" t="str">
        <f>IF(ISBLANK(Games!B64), "",'Prediction Log'!$I65)</f>
        <v>Marshall</v>
      </c>
      <c r="H64" s="66" t="n">
        <f>'Prediction Log'!$J65</f>
        <v>0.90858687593012633</v>
      </c>
      <c r="I64" s="65" t="str">
        <f>IF(ISBLANK(Games!T64), "",IF(AND(Games!T64="",Games!U64=""),"",IF(ISTEXT(Games!U64), "Side",Games!T64)))</f>
      </c>
      <c r="J64" s="65" t="str">
        <f>IF(ISBLANK(Games!B64), "",IF(Games!P64="Y", Games!B64, Games!C64))</f>
        <v>Stony Brook</v>
      </c>
      <c r="K64" s="65" t="str">
        <f>Games!K64</f>
        <v>Marshall</v>
      </c>
      <c r="L64" s="65" t="n">
        <f>IF(ISBLANK(Games!D64), "",Games!D64)</f>
        <v>-32.5</v>
      </c>
      <c r="M64" s="65"/>
      <c r="N64" s="167" t="str">
        <f>IF(ISBLANK(Table123[[#This Row],[Odds Side - Difference Model]]), "", 1)</f>
      </c>
      <c r="O64" s="167" t="str">
        <f>IF(ISBLANK(Table123[[#This Row],[Odds Spread]]), "", 1)</f>
      </c>
      <c r="P64" s="67"/>
      <c r="Q64" s="67"/>
      <c r="R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" s="67"/>
      <c r="T64" s="67"/>
      <c r="U64" s="168" t="str">
        <f>IF(ISBLANK(Table123[[#This Row],[Odds Side - Difference Model]]), "",N64+IF(Q64&lt;0, (N64/(Q64/-100)), N64*(Q64/100)))</f>
      </c>
      <c r="V64" s="169" t="str">
        <f>IFERROR(IF(ISBLANK(Table123[[#This Row],[Odds Side - Win Probability Model]]), "",N64+IF(R64&lt;0, (N64/(R64/-100)), N64*(R64/100))),"")</f>
      </c>
      <c r="W64" s="168" t="str">
        <f t="shared" si="2"/>
      </c>
      <c r="X64" s="169" t="str">
        <f t="shared" si="3"/>
      </c>
      <c r="Y64" s="168" t="str">
        <f>IF(ISBLANK(Table123[[#This Row],[Odds Spread]]), "",O64+IF(S64&lt;0, (O64/(S64/-100)), O64*(S64/100)))</f>
      </c>
      <c r="Z64" s="168" t="str">
        <f t="shared" si="4"/>
      </c>
      <c r="AA64" s="68" t="n">
        <f t="shared" si="5"/>
        <v>0</v>
      </c>
      <c r="AB64" s="68" t="n">
        <f t="shared" si="6"/>
        <v>0</v>
      </c>
      <c r="AC64" s="170" t="str">
        <f>IF('Prediction Log'!$T65="Y", "W", IF('Prediction Log'!$T65="N","L",""))</f>
        <v>W</v>
      </c>
      <c r="AD64" s="171" t="str">
        <f>IF('Prediction Log'!$V65="Y", "W", IF('Prediction Log'!$V65="N","L",""))</f>
        <v>W</v>
      </c>
      <c r="AE64" s="172" t="str">
        <f>IF(ISBLANK(Table123[[#This Row],[Odds Side - Difference Model]]), "",IF(AC64="W", W64, IF(AC64="L",-N64, "")))</f>
      </c>
      <c r="AF64" s="173" t="str">
        <f>IFERROR((IF(ISERR(Table123[[#This Row],[Potential Payout Side - Win Probability Model]]), "",IF(AD64="W", X64, IF(AD64="L",-N64, "")))), "")</f>
      </c>
      <c r="AG64" s="170" t="str">
        <f>IF('Prediction Log'!$U65="Y", "W", IF('Prediction Log'!$U65="N", "L", ""))</f>
        <v>L</v>
      </c>
      <c r="AH64" s="172" t="str">
        <f>IF(ISBLANK(Table123[[#This Row],[Odds Spread]]), "",IF(AG64="W", Z64, IF(AG64="L",-O64, "")))</f>
      </c>
      <c r="AI64" s="184"/>
      <c r="AJ64" s="183" t="str">
        <f t="shared" si="7"/>
      </c>
      <c r="AK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">
      <c r="A65" s="65" t="n">
        <f>Games!A65</f>
        <v>1</v>
      </c>
      <c r="B65" s="65" t="str">
        <f>IF('Prediction Log'!B66=0, "",'Prediction Log'!B66)</f>
        <v>Virginia</v>
      </c>
      <c r="C65" s="65" t="str">
        <f>IF('Prediction Log'!C66=0, "",'Prediction Log'!C66)</f>
        <v>Richmond</v>
      </c>
      <c r="D65" s="65" t="n">
        <f>IF('Prediction Log'!D66=0, "",'Prediction Log'!D66)</f>
        <v>-19.5</v>
      </c>
      <c r="E65" s="65" t="n">
        <f>IF('Prediction Log'!E66=0, "",'Prediction Log'!E66)</f>
        <v>-14.4648093673324</v>
      </c>
      <c r="F65" s="65" t="str">
        <f>IF('Prediction Log'!H66=0, "",'Prediction Log'!H66)</f>
        <v>Virginia</v>
      </c>
      <c r="G65" s="64" t="str">
        <f>IF(ISBLANK(Games!B65), "",'Prediction Log'!$I66)</f>
        <v>Virginia</v>
      </c>
      <c r="H65" s="66" t="n">
        <f>'Prediction Log'!$J66</f>
        <v>0.91446992703545049</v>
      </c>
      <c r="I65" s="65" t="str">
        <f>IF(ISBLANK(Games!T65), "",IF(AND(Games!T65="",Games!U65=""),"",IF(ISTEXT(Games!U65), "Side",Games!T65)))</f>
      </c>
      <c r="J65" s="65" t="str">
        <f>IF(ISBLANK(Games!B65), "",IF(Games!P65="Y", Games!B65, Games!C65))</f>
        <v>Richmond</v>
      </c>
      <c r="K65" s="65" t="str">
        <f>Games!K65</f>
        <v>Virginia</v>
      </c>
      <c r="L65" s="65" t="n">
        <f>IF(ISBLANK(Games!D65), "",Games!D65)</f>
        <v>-19.5</v>
      </c>
      <c r="M65" s="65"/>
      <c r="N65" s="167" t="str">
        <f>IF(ISBLANK(Table123[[#This Row],[Odds Side - Difference Model]]), "", 1)</f>
      </c>
      <c r="O65" s="167" t="str">
        <f>IF(ISBLANK(Table123[[#This Row],[Odds Spread]]), "", 1)</f>
      </c>
      <c r="P65" s="67"/>
      <c r="Q65" s="67"/>
      <c r="R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" s="67"/>
      <c r="T65" s="67"/>
      <c r="U65" s="168" t="str">
        <f>IF(ISBLANK(Table123[[#This Row],[Odds Side - Difference Model]]), "",N65+IF(Q65&lt;0, (N65/(Q65/-100)), N65*(Q65/100)))</f>
      </c>
      <c r="V65" s="169" t="str">
        <f>IFERROR(IF(ISBLANK(Table123[[#This Row],[Odds Side - Win Probability Model]]), "",N65+IF(R65&lt;0, (N65/(R65/-100)), N65*(R65/100))),"")</f>
      </c>
      <c r="W65" s="168" t="str">
        <f t="shared" si="2"/>
      </c>
      <c r="X65" s="169" t="str">
        <f t="shared" si="3"/>
      </c>
      <c r="Y65" s="168" t="str">
        <f>IF(ISBLANK(Table123[[#This Row],[Odds Spread]]), "",O65+IF(S65&lt;0, (O65/(S65/-100)), O65*(S65/100)))</f>
      </c>
      <c r="Z65" s="168" t="str">
        <f t="shared" si="4"/>
      </c>
      <c r="AA65" s="68" t="n">
        <f t="shared" si="5"/>
        <v>0</v>
      </c>
      <c r="AB65" s="68" t="n">
        <f t="shared" si="6"/>
        <v>0</v>
      </c>
      <c r="AC65" s="170" t="str">
        <f>IF('Prediction Log'!$T66="Y", "W", IF('Prediction Log'!$T66="N","L",""))</f>
        <v>W</v>
      </c>
      <c r="AD65" s="171" t="str">
        <f>IF('Prediction Log'!$V66="Y", "W", IF('Prediction Log'!$V66="N","L",""))</f>
        <v>W</v>
      </c>
      <c r="AE65" s="172" t="str">
        <f>IF(ISBLANK(Table123[[#This Row],[Odds Side - Difference Model]]), "",IF(AC65="W", W65, IF(AC65="L",-N65, "")))</f>
      </c>
      <c r="AF65" s="173" t="str">
        <f>IFERROR((IF(ISERR(Table123[[#This Row],[Potential Payout Side - Win Probability Model]]), "",IF(AD65="W", X65, IF(AD65="L",-N65, "")))), "")</f>
      </c>
      <c r="AG65" s="170" t="str">
        <f>IF('Prediction Log'!$U66="Y", "W", IF('Prediction Log'!$U66="N", "L", ""))</f>
        <v>L</v>
      </c>
      <c r="AH65" s="172" t="str">
        <f>IF(ISBLANK(Table123[[#This Row],[Odds Spread]]), "",IF(AG65="W", Z65, IF(AG65="L",-O65, "")))</f>
      </c>
      <c r="AI65" s="184"/>
      <c r="AJ65" s="183" t="str">
        <f t="shared" si="7"/>
      </c>
      <c r="AK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">
      <c r="A66" s="65" t="n">
        <f>Games!A66</f>
        <v>1</v>
      </c>
      <c r="B66" s="65" t="str">
        <f>IF('Prediction Log'!B67=0, "",'Prediction Log'!B67)</f>
        <v>Liberty</v>
      </c>
      <c r="C66" s="65" t="str">
        <f>IF('Prediction Log'!C67=0, "",'Prediction Log'!C67)</f>
        <v>Campbell</v>
      </c>
      <c r="D66" s="65" t="n">
        <f>IF('Prediction Log'!D67=0, "",'Prediction Log'!D67)</f>
        <v>-39.5</v>
      </c>
      <c r="E66" s="65" t="n">
        <f>IF('Prediction Log'!E67=0, "",'Prediction Log'!E67)</f>
        <v>-27.442964084423199</v>
      </c>
      <c r="F66" s="65" t="str">
        <f>IF('Prediction Log'!H67=0, "",'Prediction Log'!H67)</f>
        <v>Liberty</v>
      </c>
      <c r="G66" s="64" t="str">
        <f>IF(ISBLANK(Games!B66), "",'Prediction Log'!$I67)</f>
        <v>Liberty</v>
      </c>
      <c r="H66" s="66" t="n">
        <f>'Prediction Log'!$J67</f>
        <v>0.98575754504433444</v>
      </c>
      <c r="I66" s="65" t="str">
        <f>IF(ISBLANK(Games!T66), "",IF(AND(Games!T66="",Games!U66=""),"",IF(ISTEXT(Games!U66), "Side",Games!T66)))</f>
      </c>
      <c r="J66" s="65" t="str">
        <f>IF(ISBLANK(Games!B66), "",IF(Games!P66="Y", Games!B66, Games!C66))</f>
        <v>Campbell</v>
      </c>
      <c r="K66" s="65" t="str">
        <f>Games!K66</f>
        <v>Liberty</v>
      </c>
      <c r="L66" s="65" t="n">
        <f>IF(ISBLANK(Games!D66), "",Games!D66)</f>
        <v>-39.5</v>
      </c>
      <c r="M66" s="65"/>
      <c r="N66" s="167" t="str">
        <f>IF(ISBLANK(Table123[[#This Row],[Odds Side - Difference Model]]), "", 1)</f>
      </c>
      <c r="O66" s="167" t="str">
        <f>IF(ISBLANK(Table123[[#This Row],[Odds Spread]]), "", 1)</f>
      </c>
      <c r="P66" s="67"/>
      <c r="Q66" s="67"/>
      <c r="R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" s="67"/>
      <c r="T66" s="67"/>
      <c r="U66" s="168" t="str">
        <f>IF(ISBLANK(Table123[[#This Row],[Odds Side - Difference Model]]), "",N66+IF(Q66&lt;0, (N66/(Q66/-100)), N66*(Q66/100)))</f>
      </c>
      <c r="V66" s="169" t="str">
        <f>IFERROR(IF(ISBLANK(Table123[[#This Row],[Odds Side - Win Probability Model]]), "",N66+IF(R66&lt;0, (N66/(R66/-100)), N66*(R66/100))),"")</f>
      </c>
      <c r="W66" s="168" t="str">
        <f t="shared" si="2"/>
      </c>
      <c r="X66" s="169" t="str">
        <f t="shared" si="3"/>
      </c>
      <c r="Y66" s="168" t="str">
        <f>IF(ISBLANK(Table123[[#This Row],[Odds Spread]]), "",O66+IF(S66&lt;0, (O66/(S66/-100)), O66*(S66/100)))</f>
      </c>
      <c r="Z66" s="168" t="str">
        <f t="shared" si="4"/>
      </c>
      <c r="AA66" s="68" t="n">
        <f t="shared" si="5"/>
        <v>0</v>
      </c>
      <c r="AB66" s="68" t="n">
        <f t="shared" si="6"/>
        <v>0</v>
      </c>
      <c r="AC66" s="170" t="str">
        <f>IF('Prediction Log'!$T67="Y", "W", IF('Prediction Log'!$T67="N","L",""))</f>
        <v>W</v>
      </c>
      <c r="AD66" s="171" t="str">
        <f>IF('Prediction Log'!$V67="Y", "W", IF('Prediction Log'!$V67="N","L",""))</f>
        <v>W</v>
      </c>
      <c r="AE66" s="172" t="str">
        <f>IF(ISBLANK(Table123[[#This Row],[Odds Side - Difference Model]]), "",IF(AC66="W", W66, IF(AC66="L",-N66, "")))</f>
      </c>
      <c r="AF66" s="173" t="str">
        <f>IFERROR((IF(ISERR(Table123[[#This Row],[Potential Payout Side - Win Probability Model]]), "",IF(AD66="W", X66, IF(AD66="L",-N66, "")))), "")</f>
      </c>
      <c r="AG66" s="170" t="str">
        <f>IF('Prediction Log'!$U67="Y", "W", IF('Prediction Log'!$U67="N", "L", ""))</f>
        <v>W</v>
      </c>
      <c r="AH66" s="172" t="str">
        <f>IF(ISBLANK(Table123[[#This Row],[Odds Spread]]), "",IF(AG66="W", Z66, IF(AG66="L",-O66, "")))</f>
      </c>
      <c r="AI66" s="184"/>
      <c r="AJ66" s="183" t="str">
        <f t="shared" si="7"/>
      </c>
      <c r="AK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">
      <c r="A67" s="65" t="n">
        <f>Games!A67</f>
        <v>1</v>
      </c>
      <c r="B67" s="65" t="str">
        <f>IF('Prediction Log'!B68=0, "",'Prediction Log'!B68)</f>
        <v>East Carolina</v>
      </c>
      <c r="C67" s="65" t="str">
        <f>IF('Prediction Log'!C68=0, "",'Prediction Log'!C68)</f>
        <v>Norfolk State</v>
      </c>
      <c r="D67" s="65" t="n">
        <f>IF('Prediction Log'!D68=0, "",'Prediction Log'!D68)</f>
        <v>-33.5</v>
      </c>
      <c r="E67" s="65" t="n">
        <f>IF('Prediction Log'!E68=0, "",'Prediction Log'!E68)</f>
        <v>-13.568660050672401</v>
      </c>
      <c r="F67" s="65" t="str">
        <f>IF('Prediction Log'!H68=0, "",'Prediction Log'!H68)</f>
        <v>East Carolina</v>
      </c>
      <c r="G67" s="64" t="str">
        <f>IF(ISBLANK(Games!B67), "",'Prediction Log'!$I68)</f>
        <v>East Carolina</v>
      </c>
      <c r="H67" s="66" t="n">
        <f>'Prediction Log'!$J68</f>
        <v>0.90382882251586749</v>
      </c>
      <c r="I67" s="65" t="str">
        <f>IF(ISBLANK(Games!T67), "",IF(AND(Games!T67="",Games!U67=""),"",IF(ISTEXT(Games!U67), "Side",Games!T67)))</f>
      </c>
      <c r="J67" s="65" t="str">
        <f>IF(ISBLANK(Games!B67), "",IF(Games!P67="Y", Games!B67, Games!C67))</f>
        <v>Norfolk State</v>
      </c>
      <c r="K67" s="65" t="str">
        <f>Games!K67</f>
        <v>East Carolina</v>
      </c>
      <c r="L67" s="65" t="n">
        <f>IF(ISBLANK(Games!D67), "",Games!D67)</f>
        <v>-33.5</v>
      </c>
      <c r="M67" s="65"/>
      <c r="N67" s="167" t="str">
        <f>IF(ISBLANK(Table123[[#This Row],[Odds Side - Difference Model]]), "", 1)</f>
      </c>
      <c r="O67" s="167" t="str">
        <f>IF(ISBLANK(Table123[[#This Row],[Odds Spread]]), "", 1)</f>
      </c>
      <c r="P67" s="67"/>
      <c r="Q67" s="67"/>
      <c r="R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" s="67"/>
      <c r="T67" s="67"/>
      <c r="U67" s="168" t="str">
        <f>IF(ISBLANK(Table123[[#This Row],[Odds Side - Difference Model]]), "",N67+IF(Q67&lt;0, (N67/(Q67/-100)), N67*(Q67/100)))</f>
      </c>
      <c r="V67" s="169" t="str">
        <f>IFERROR(IF(ISBLANK(Table123[[#This Row],[Odds Side - Win Probability Model]]), "",N67+IF(R67&lt;0, (N67/(R67/-100)), N67*(R67/100))),"")</f>
      </c>
      <c r="W67" s="168" t="str">
        <f t="shared" ref="W67:W130" si="8">IFERROR(U67-N67, "")</f>
      </c>
      <c r="X67" s="169" t="str">
        <f t="shared" ref="X67:X130" si="9">IFERROR(V67-N67, "")</f>
      </c>
      <c r="Y67" s="168" t="str">
        <f>IF(ISBLANK(Table123[[#This Row],[Odds Spread]]), "",O67+IF(S67&lt;0, (O67/(S67/-100)), O67*(S67/100)))</f>
      </c>
      <c r="Z67" s="168" t="str">
        <f t="shared" ref="Z67:Z130" si="10">IFERROR(Y67-O67, "")</f>
      </c>
      <c r="AA67" s="68" t="n">
        <f t="shared" ref="AA67:AA130" si="11">P67+IF(T67&lt;0, (P67/(T67/-100)), P67*(T67/100))</f>
        <v>0</v>
      </c>
      <c r="AB67" s="68" t="n">
        <f t="shared" ref="AB67:AB130" si="12">T67-P67</f>
        <v>0</v>
      </c>
      <c r="AC67" s="170" t="str">
        <f>IF('Prediction Log'!$T68="Y", "W", IF('Prediction Log'!$T68="N","L",""))</f>
        <v>W</v>
      </c>
      <c r="AD67" s="171" t="str">
        <f>IF('Prediction Log'!$V68="Y", "W", IF('Prediction Log'!$V68="N","L",""))</f>
        <v>W</v>
      </c>
      <c r="AE67" s="172" t="str">
        <f>IF(ISBLANK(Table123[[#This Row],[Odds Side - Difference Model]]), "",IF(AC67="W", W67, IF(AC67="L",-N67, "")))</f>
      </c>
      <c r="AF67" s="173" t="str">
        <f>IFERROR((IF(ISERR(Table123[[#This Row],[Potential Payout Side - Win Probability Model]]), "",IF(AD67="W", X67, IF(AD67="L",-N67, "")))), "")</f>
      </c>
      <c r="AG67" s="170" t="str">
        <f>IF('Prediction Log'!$U68="Y", "W", IF('Prediction Log'!$U68="N", "L", ""))</f>
        <v>L</v>
      </c>
      <c r="AH67" s="172" t="str">
        <f>IF(ISBLANK(Table123[[#This Row],[Odds Spread]]), "",IF(AG67="W", Z67, IF(AG67="L",-O67, "")))</f>
      </c>
      <c r="AI67" s="184"/>
      <c r="AJ67" s="183" t="str">
        <f t="shared" ref="AJ67:AJ130" si="13">IF(AI67="W", AB67, IF(AI67="L",-S67, ""))</f>
      </c>
      <c r="AK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">
      <c r="A68" s="65" t="n">
        <f>Games!A68</f>
        <v>1</v>
      </c>
      <c r="B68" s="65" t="str">
        <f>IF('Prediction Log'!B69=0, "",'Prediction Log'!B69)</f>
        <v>Mississippi State</v>
      </c>
      <c r="C68" s="65" t="str">
        <f>IF('Prediction Log'!C69=0, "",'Prediction Log'!C69)</f>
        <v>Eastern Kentucky</v>
      </c>
      <c r="D68" s="65" t="n">
        <f>IF('Prediction Log'!D69=0, "",'Prediction Log'!D69)</f>
        <v>-24.5</v>
      </c>
      <c r="E68" s="65" t="n">
        <f>IF('Prediction Log'!E69=0, "",'Prediction Log'!E69)</f>
        <v>-17.032140609722401</v>
      </c>
      <c r="F68" s="65" t="str">
        <f>IF('Prediction Log'!H69=0, "",'Prediction Log'!H69)</f>
        <v>Mississippi State</v>
      </c>
      <c r="G68" s="64" t="str">
        <f>IF(ISBLANK(Games!B68), "",'Prediction Log'!$I69)</f>
        <v>Mississippi State</v>
      </c>
      <c r="H68" s="66" t="n">
        <f>'Prediction Log'!$J69</f>
        <v>0.93928597178746076</v>
      </c>
      <c r="I68" s="65" t="str">
        <f>IF(ISBLANK(Games!T68), "",IF(AND(Games!T68="",Games!U68=""),"",IF(ISTEXT(Games!U68), "Side",Games!T68)))</f>
      </c>
      <c r="J68" s="65" t="str">
        <f>IF(ISBLANK(Games!B68), "",IF(Games!P68="Y", Games!B68, Games!C68))</f>
        <v>Eastern Kentucky</v>
      </c>
      <c r="K68" s="65" t="str">
        <f>Games!K68</f>
        <v>Mississippi State</v>
      </c>
      <c r="L68" s="65" t="n">
        <f>IF(ISBLANK(Games!D68), "",Games!D68)</f>
        <v>-24.5</v>
      </c>
      <c r="M68" s="65"/>
      <c r="N68" s="167" t="str">
        <f>IF(ISBLANK(Table123[[#This Row],[Odds Side - Difference Model]]), "", 1)</f>
      </c>
      <c r="O68" s="167" t="str">
        <f>IF(ISBLANK(Table123[[#This Row],[Odds Spread]]), "", 1)</f>
      </c>
      <c r="P68" s="67"/>
      <c r="Q68" s="67"/>
      <c r="R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" s="67"/>
      <c r="T68" s="67"/>
      <c r="U68" s="168" t="str">
        <f>IF(ISBLANK(Table123[[#This Row],[Odds Side - Difference Model]]), "",N68+IF(Q68&lt;0, (N68/(Q68/-100)), N68*(Q68/100)))</f>
      </c>
      <c r="V68" s="169" t="str">
        <f>IFERROR(IF(ISBLANK(Table123[[#This Row],[Odds Side - Win Probability Model]]), "",N68+IF(R68&lt;0, (N68/(R68/-100)), N68*(R68/100))),"")</f>
      </c>
      <c r="W68" s="168" t="str">
        <f t="shared" si="8"/>
      </c>
      <c r="X68" s="169" t="str">
        <f t="shared" si="9"/>
      </c>
      <c r="Y68" s="168" t="str">
        <f>IF(ISBLANK(Table123[[#This Row],[Odds Spread]]), "",O68+IF(S68&lt;0, (O68/(S68/-100)), O68*(S68/100)))</f>
      </c>
      <c r="Z68" s="168" t="str">
        <f t="shared" si="10"/>
      </c>
      <c r="AA68" s="68" t="n">
        <f t="shared" si="11"/>
        <v>0</v>
      </c>
      <c r="AB68" s="68" t="n">
        <f t="shared" si="12"/>
        <v>0</v>
      </c>
      <c r="AC68" s="170" t="str">
        <f>IF('Prediction Log'!$T69="Y", "W", IF('Prediction Log'!$T69="N","L",""))</f>
        <v>W</v>
      </c>
      <c r="AD68" s="171" t="str">
        <f>IF('Prediction Log'!$V69="Y", "W", IF('Prediction Log'!$V69="N","L",""))</f>
        <v>W</v>
      </c>
      <c r="AE68" s="172" t="str">
        <f>IF(ISBLANK(Table123[[#This Row],[Odds Side - Difference Model]]), "",IF(AC68="W", W68, IF(AC68="L",-N68, "")))</f>
      </c>
      <c r="AF68" s="173" t="str">
        <f>IFERROR((IF(ISERR(Table123[[#This Row],[Potential Payout Side - Win Probability Model]]), "",IF(AD68="W", X68, IF(AD68="L",-N68, "")))), "")</f>
      </c>
      <c r="AG68" s="170" t="str">
        <f>IF('Prediction Log'!$U69="Y", "W", IF('Prediction Log'!$U69="N", "L", ""))</f>
        <v>L</v>
      </c>
      <c r="AH68" s="172" t="str">
        <f>IF(ISBLANK(Table123[[#This Row],[Odds Spread]]), "",IF(AG68="W", Z68, IF(AG68="L",-O68, "")))</f>
      </c>
      <c r="AI68" s="184"/>
      <c r="AJ68" s="183" t="str">
        <f t="shared" si="13"/>
      </c>
      <c r="AK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">
      <c r="A69" s="65" t="n">
        <f>Games!A69</f>
        <v>1</v>
      </c>
      <c r="B69" s="65" t="str">
        <f>IF('Prediction Log'!B70=0, "",'Prediction Log'!B70)</f>
        <v>Oregon State</v>
      </c>
      <c r="C69" s="65" t="str">
        <f>IF('Prediction Log'!C70=0, "",'Prediction Log'!C70)</f>
        <v>Idaho State</v>
      </c>
      <c r="D69" s="65" t="n">
        <f>IF('Prediction Log'!D70=0, "",'Prediction Log'!D70)</f>
        <v>-27.5</v>
      </c>
      <c r="E69" s="65" t="n">
        <f>IF('Prediction Log'!E70=0, "",'Prediction Log'!E70)</f>
        <v>-23.587774250653599</v>
      </c>
      <c r="F69" s="65" t="str">
        <f>IF('Prediction Log'!H70=0, "",'Prediction Log'!H70)</f>
        <v>Oregon State</v>
      </c>
      <c r="G69" s="64" t="str">
        <f>IF(ISBLANK(Games!B69), "",'Prediction Log'!$I70)</f>
        <v>Oregon State</v>
      </c>
      <c r="H69" s="66" t="n">
        <f>'Prediction Log'!$J70</f>
        <v>0.97545454175300605</v>
      </c>
      <c r="I69" s="65" t="str">
        <f>IF(ISBLANK(Games!T69), "",IF(AND(Games!T69="",Games!U69=""),"",IF(ISTEXT(Games!U69), "Side",Games!T69)))</f>
      </c>
      <c r="J69" s="65" t="str">
        <f>IF(ISBLANK(Games!B69), "",IF(Games!P69="Y", Games!B69, Games!C69))</f>
        <v>Idaho State</v>
      </c>
      <c r="K69" s="65" t="str">
        <f>Games!K69</f>
        <v>Oregon State</v>
      </c>
      <c r="L69" s="65" t="n">
        <f>IF(ISBLANK(Games!D69), "",Games!D69)</f>
        <v>-27.5</v>
      </c>
      <c r="M69" s="65"/>
      <c r="N69" s="167" t="str">
        <f>IF(ISBLANK(Table123[[#This Row],[Odds Side - Difference Model]]), "", 1)</f>
      </c>
      <c r="O69" s="167" t="str">
        <f>IF(ISBLANK(Table123[[#This Row],[Odds Spread]]), "", 1)</f>
      </c>
      <c r="P69" s="67"/>
      <c r="Q69" s="67"/>
      <c r="R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" s="67"/>
      <c r="T69" s="67"/>
      <c r="U69" s="168" t="str">
        <f>IF(ISBLANK(Table123[[#This Row],[Odds Side - Difference Model]]), "",N69+IF(Q69&lt;0, (N69/(Q69/-100)), N69*(Q69/100)))</f>
      </c>
      <c r="V69" s="169" t="str">
        <f>IFERROR(IF(ISBLANK(Table123[[#This Row],[Odds Side - Win Probability Model]]), "",N69+IF(R69&lt;0, (N69/(R69/-100)), N69*(R69/100))),"")</f>
      </c>
      <c r="W69" s="168" t="str">
        <f t="shared" si="8"/>
      </c>
      <c r="X69" s="169" t="str">
        <f t="shared" si="9"/>
      </c>
      <c r="Y69" s="168" t="str">
        <f>IF(ISBLANK(Table123[[#This Row],[Odds Spread]]), "",O69+IF(S69&lt;0, (O69/(S69/-100)), O69*(S69/100)))</f>
      </c>
      <c r="Z69" s="168" t="str">
        <f t="shared" si="10"/>
      </c>
      <c r="AA69" s="68" t="n">
        <f t="shared" si="11"/>
        <v>0</v>
      </c>
      <c r="AB69" s="68" t="n">
        <f t="shared" si="12"/>
        <v>0</v>
      </c>
      <c r="AC69" s="170" t="str">
        <f>IF('Prediction Log'!$T70="Y", "W", IF('Prediction Log'!$T70="N","L",""))</f>
        <v>W</v>
      </c>
      <c r="AD69" s="171" t="str">
        <f>IF('Prediction Log'!$V70="Y", "W", IF('Prediction Log'!$V70="N","L",""))</f>
        <v>W</v>
      </c>
      <c r="AE69" s="172" t="str">
        <f>IF(ISBLANK(Table123[[#This Row],[Odds Side - Difference Model]]), "",IF(AC69="W", W69, IF(AC69="L",-N69, "")))</f>
      </c>
      <c r="AF69" s="173" t="str">
        <f>IFERROR((IF(ISERR(Table123[[#This Row],[Potential Payout Side - Win Probability Model]]), "",IF(AD69="W", X69, IF(AD69="L",-N69, "")))), "")</f>
      </c>
      <c r="AG69" s="170" t="str">
        <f>IF('Prediction Log'!$U70="Y", "W", IF('Prediction Log'!$U70="N", "L", ""))</f>
        <v>W</v>
      </c>
      <c r="AH69" s="172" t="str">
        <f>IF(ISBLANK(Table123[[#This Row],[Odds Spread]]), "",IF(AG69="W", Z69, IF(AG69="L",-O69, "")))</f>
      </c>
      <c r="AI69" s="184"/>
      <c r="AJ69" s="183" t="str">
        <f t="shared" si="13"/>
      </c>
      <c r="AK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">
      <c r="A70" s="65" t="n">
        <f>Games!A70</f>
        <v>1</v>
      </c>
      <c r="B70" s="65" t="str">
        <f>IF('Prediction Log'!B71=0, "",'Prediction Log'!B71)</f>
        <v>Arkansas State</v>
      </c>
      <c r="C70" s="65" t="str">
        <f>IF('Prediction Log'!C71=0, "",'Prediction Log'!C71)</f>
        <v>Central Arkansas</v>
      </c>
      <c r="D70" s="65" t="n">
        <f>IF('Prediction Log'!D71=0, "",'Prediction Log'!D71)</f>
        <v>-12.5</v>
      </c>
      <c r="E70" s="65" t="n">
        <f>IF('Prediction Log'!E71=0, "",'Prediction Log'!E71)</f>
        <v>-18.506807423166801</v>
      </c>
      <c r="F70" s="65" t="str">
        <f>IF('Prediction Log'!H71=0, "",'Prediction Log'!H71)</f>
        <v>Arkansas State</v>
      </c>
      <c r="G70" s="64" t="str">
        <f>IF(ISBLANK(Games!B70), "",'Prediction Log'!$I71)</f>
        <v>Arkansas State</v>
      </c>
      <c r="H70" s="66" t="n">
        <f>'Prediction Log'!$J71</f>
        <v>0.95031860652169164</v>
      </c>
      <c r="I70" s="65" t="str">
        <f>IF(ISBLANK(Games!T70), "",IF(AND(Games!T70="",Games!U70=""),"",IF(ISTEXT(Games!U70), "Side",Games!T70)))</f>
      </c>
      <c r="J70" s="65" t="str">
        <f>IF(ISBLANK(Games!B70), "",IF(Games!P70="Y", Games!B70, Games!C70))</f>
        <v>Arkansas State</v>
      </c>
      <c r="K70" s="65" t="str">
        <f>Games!K70</f>
        <v>Arkansas State</v>
      </c>
      <c r="L70" s="65" t="n">
        <f>IF(ISBLANK(Games!D70), "",Games!D70)</f>
        <v>-12.5</v>
      </c>
      <c r="M70" s="65"/>
      <c r="N70" s="167" t="str">
        <f>IF(ISBLANK(Table123[[#This Row],[Odds Side - Difference Model]]), "", 1)</f>
      </c>
      <c r="O70" s="167" t="str">
        <f>IF(ISBLANK(Table123[[#This Row],[Odds Spread]]), "", 1)</f>
      </c>
      <c r="P70" s="67"/>
      <c r="Q70" s="67"/>
      <c r="R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" s="67"/>
      <c r="T70" s="67"/>
      <c r="U70" s="168" t="str">
        <f>IF(ISBLANK(Table123[[#This Row],[Odds Side - Difference Model]]), "",N70+IF(Q70&lt;0, (N70/(Q70/-100)), N70*(Q70/100)))</f>
      </c>
      <c r="V70" s="169" t="str">
        <f>IFERROR(IF(ISBLANK(Table123[[#This Row],[Odds Side - Win Probability Model]]), "",N70+IF(R70&lt;0, (N70/(R70/-100)), N70*(R70/100))),"")</f>
      </c>
      <c r="W70" s="168" t="str">
        <f t="shared" si="8"/>
      </c>
      <c r="X70" s="169" t="str">
        <f t="shared" si="9"/>
      </c>
      <c r="Y70" s="168" t="str">
        <f>IF(ISBLANK(Table123[[#This Row],[Odds Spread]]), "",O70+IF(S70&lt;0, (O70/(S70/-100)), O70*(S70/100)))</f>
      </c>
      <c r="Z70" s="168" t="str">
        <f t="shared" si="10"/>
      </c>
      <c r="AA70" s="68" t="n">
        <f t="shared" si="11"/>
        <v>0</v>
      </c>
      <c r="AB70" s="68" t="n">
        <f t="shared" si="12"/>
        <v>0</v>
      </c>
      <c r="AC70" s="170" t="str">
        <f>IF('Prediction Log'!$T71="Y", "W", IF('Prediction Log'!$T71="N","L",""))</f>
        <v>W</v>
      </c>
      <c r="AD70" s="171" t="str">
        <f>IF('Prediction Log'!$V71="Y", "W", IF('Prediction Log'!$V71="N","L",""))</f>
        <v>W</v>
      </c>
      <c r="AE70" s="172" t="str">
        <f>IF(ISBLANK(Table123[[#This Row],[Odds Side - Difference Model]]), "",IF(AC70="W", W70, IF(AC70="L",-N70, "")))</f>
      </c>
      <c r="AF70" s="173" t="str">
        <f>IFERROR((IF(ISERR(Table123[[#This Row],[Potential Payout Side - Win Probability Model]]), "",IF(AD70="W", X70, IF(AD70="L",-N70, "")))), "")</f>
      </c>
      <c r="AG70" s="170" t="str">
        <f>IF('Prediction Log'!$U71="Y", "W", IF('Prediction Log'!$U71="N", "L", ""))</f>
        <v>L</v>
      </c>
      <c r="AH70" s="172" t="str">
        <f>IF(ISBLANK(Table123[[#This Row],[Odds Spread]]), "",IF(AG70="W", Z70, IF(AG70="L",-O70, "")))</f>
      </c>
      <c r="AI70" s="184"/>
      <c r="AJ70" s="183" t="str">
        <f t="shared" si="13"/>
      </c>
      <c r="AK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">
      <c r="A71" s="65" t="n">
        <f>Games!A71</f>
        <v>1</v>
      </c>
      <c r="B71" s="65" t="str">
        <f>IF('Prediction Log'!B72=0, "",'Prediction Log'!B72)</f>
        <v>Ole Miss</v>
      </c>
      <c r="C71" s="65" t="str">
        <f>IF('Prediction Log'!C72=0, "",'Prediction Log'!C72)</f>
        <v>Furman</v>
      </c>
      <c r="D71" s="65" t="n">
        <f>IF('Prediction Log'!D72=0, "",'Prediction Log'!D72)</f>
        <v>-42.5</v>
      </c>
      <c r="E71" s="65" t="n">
        <f>IF('Prediction Log'!E72=0, "",'Prediction Log'!E72)</f>
        <v>-33.142400142335603</v>
      </c>
      <c r="F71" s="65" t="str">
        <f>IF('Prediction Log'!H72=0, "",'Prediction Log'!H72)</f>
        <v>Ole Miss</v>
      </c>
      <c r="G71" s="64" t="str">
        <f>IF(ISBLANK(Games!B71), "",'Prediction Log'!$I72)</f>
        <v>Ole Miss</v>
      </c>
      <c r="H71" s="66" t="n">
        <f>'Prediction Log'!$J72</f>
        <v>0.99367812766227892</v>
      </c>
      <c r="I71" s="65" t="str">
        <f>IF(ISBLANK(Games!T71), "",IF(AND(Games!T71="",Games!U71=""),"",IF(ISTEXT(Games!U71), "Side",Games!T71)))</f>
      </c>
      <c r="J71" s="65" t="str">
        <f>IF(ISBLANK(Games!B71), "",IF(Games!P71="Y", Games!B71, Games!C71))</f>
        <v>Furman</v>
      </c>
      <c r="K71" s="65" t="str">
        <f>Games!K71</f>
        <v>Ole Miss</v>
      </c>
      <c r="L71" s="65" t="n">
        <f>IF(ISBLANK(Games!D71), "",Games!D71)</f>
        <v>-42.5</v>
      </c>
      <c r="M71" s="65"/>
      <c r="N71" s="167" t="str">
        <f>IF(ISBLANK(Table123[[#This Row],[Odds Side - Difference Model]]), "", 1)</f>
      </c>
      <c r="O71" s="167" t="str">
        <f>IF(ISBLANK(Table123[[#This Row],[Odds Spread]]), "", 1)</f>
      </c>
      <c r="P71" s="67"/>
      <c r="Q71" s="67"/>
      <c r="R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" s="67"/>
      <c r="T71" s="67"/>
      <c r="U71" s="168" t="str">
        <f>IF(ISBLANK(Table123[[#This Row],[Odds Side - Difference Model]]), "",N71+IF(Q71&lt;0, (N71/(Q71/-100)), N71*(Q71/100)))</f>
      </c>
      <c r="V71" s="169" t="str">
        <f>IFERROR(IF(ISBLANK(Table123[[#This Row],[Odds Side - Win Probability Model]]), "",N71+IF(R71&lt;0, (N71/(R71/-100)), N71*(R71/100))),"")</f>
      </c>
      <c r="W71" s="168" t="str">
        <f t="shared" si="8"/>
      </c>
      <c r="X71" s="169" t="str">
        <f t="shared" si="9"/>
      </c>
      <c r="Y71" s="168" t="str">
        <f>IF(ISBLANK(Table123[[#This Row],[Odds Spread]]), "",O71+IF(S71&lt;0, (O71/(S71/-100)), O71*(S71/100)))</f>
      </c>
      <c r="Z71" s="168" t="str">
        <f t="shared" si="10"/>
      </c>
      <c r="AA71" s="68" t="n">
        <f t="shared" si="11"/>
        <v>0</v>
      </c>
      <c r="AB71" s="68" t="n">
        <f t="shared" si="12"/>
        <v>0</v>
      </c>
      <c r="AC71" s="170" t="str">
        <f>IF('Prediction Log'!$T72="Y", "W", IF('Prediction Log'!$T72="N","L",""))</f>
        <v>W</v>
      </c>
      <c r="AD71" s="171" t="str">
        <f>IF('Prediction Log'!$V72="Y", "W", IF('Prediction Log'!$V72="N","L",""))</f>
        <v>W</v>
      </c>
      <c r="AE71" s="172" t="str">
        <f>IF(ISBLANK(Table123[[#This Row],[Odds Side - Difference Model]]), "",IF(AC71="W", W71, IF(AC71="L",-N71, "")))</f>
      </c>
      <c r="AF71" s="173" t="str">
        <f>IFERROR((IF(ISERR(Table123[[#This Row],[Potential Payout Side - Win Probability Model]]), "",IF(AD71="W", X71, IF(AD71="L",-N71, "")))), "")</f>
      </c>
      <c r="AG71" s="170" t="str">
        <f>IF('Prediction Log'!$U72="Y", "W", IF('Prediction Log'!$U72="N", "L", ""))</f>
        <v>L</v>
      </c>
      <c r="AH71" s="172" t="str">
        <f>IF(ISBLANK(Table123[[#This Row],[Odds Spread]]), "",IF(AG71="W", Z71, IF(AG71="L",-O71, "")))</f>
      </c>
      <c r="AI71" s="184"/>
      <c r="AJ71" s="183" t="str">
        <f t="shared" si="13"/>
      </c>
      <c r="AK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">
      <c r="A72" s="65" t="n">
        <f>Games!A72</f>
        <v>1</v>
      </c>
      <c r="B72" s="65" t="str">
        <f>IF('Prediction Log'!B73=0, "",'Prediction Log'!B73)</f>
        <v>Memphis</v>
      </c>
      <c r="C72" s="65" t="str">
        <f>IF('Prediction Log'!C73=0, "",'Prediction Log'!C73)</f>
        <v>North Alabama</v>
      </c>
      <c r="D72" s="65" t="n">
        <f>IF('Prediction Log'!D73=0, "",'Prediction Log'!D73)</f>
        <v>-36.5</v>
      </c>
      <c r="E72" s="65" t="n">
        <f>IF('Prediction Log'!E73=0, "",'Prediction Log'!E73)</f>
        <v>-28.273732135845599</v>
      </c>
      <c r="F72" s="65" t="str">
        <f>IF('Prediction Log'!H73=0, "",'Prediction Log'!H73)</f>
        <v>Memphis</v>
      </c>
      <c r="G72" s="64" t="str">
        <f>IF(ISBLANK(Games!B72), "",'Prediction Log'!$I73)</f>
        <v>Memphis</v>
      </c>
      <c r="H72" s="66" t="n">
        <f>'Prediction Log'!$J73</f>
        <v>0.98734216512841411</v>
      </c>
      <c r="I72" s="65" t="str">
        <f>IF(ISBLANK(Games!T72), "",IF(AND(Games!T72="",Games!U72=""),"",IF(ISTEXT(Games!U72), "Side",Games!T72)))</f>
      </c>
      <c r="J72" s="65" t="str">
        <f>IF(ISBLANK(Games!B72), "",IF(Games!P72="Y", Games!B72, Games!C72))</f>
        <v>North Alabama</v>
      </c>
      <c r="K72" s="65" t="str">
        <f>Games!K72</f>
        <v>Memphis</v>
      </c>
      <c r="L72" s="65" t="n">
        <f>IF(ISBLANK(Games!D72), "",Games!D72)</f>
        <v>-36.5</v>
      </c>
      <c r="M72" s="65"/>
      <c r="N72" s="167" t="str">
        <f>IF(ISBLANK(Table123[[#This Row],[Odds Side - Difference Model]]), "", 1)</f>
      </c>
      <c r="O72" s="167" t="str">
        <f>IF(ISBLANK(Table123[[#This Row],[Odds Spread]]), "", 1)</f>
      </c>
      <c r="P72" s="67"/>
      <c r="Q72" s="67"/>
      <c r="R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" s="67"/>
      <c r="T72" s="67"/>
      <c r="U72" s="168" t="str">
        <f>IF(ISBLANK(Table123[[#This Row],[Odds Side - Difference Model]]), "",N72+IF(Q72&lt;0, (N72/(Q72/-100)), N72*(Q72/100)))</f>
      </c>
      <c r="V72" s="169" t="str">
        <f>IFERROR(IF(ISBLANK(Table123[[#This Row],[Odds Side - Win Probability Model]]), "",N72+IF(R72&lt;0, (N72/(R72/-100)), N72*(R72/100))),"")</f>
      </c>
      <c r="W72" s="168" t="str">
        <f t="shared" si="8"/>
      </c>
      <c r="X72" s="169" t="str">
        <f t="shared" si="9"/>
      </c>
      <c r="Y72" s="168" t="str">
        <f>IF(ISBLANK(Table123[[#This Row],[Odds Spread]]), "",O72+IF(S72&lt;0, (O72/(S72/-100)), O72*(S72/100)))</f>
      </c>
      <c r="Z72" s="168" t="str">
        <f t="shared" si="10"/>
      </c>
      <c r="AA72" s="68" t="n">
        <f t="shared" si="11"/>
        <v>0</v>
      </c>
      <c r="AB72" s="68" t="n">
        <f t="shared" si="12"/>
        <v>0</v>
      </c>
      <c r="AC72" s="170" t="str">
        <f>IF('Prediction Log'!$T73="Y", "W", IF('Prediction Log'!$T73="N","L",""))</f>
        <v>W</v>
      </c>
      <c r="AD72" s="171" t="str">
        <f>IF('Prediction Log'!$V73="Y", "W", IF('Prediction Log'!$V73="N","L",""))</f>
        <v>W</v>
      </c>
      <c r="AE72" s="172" t="str">
        <f>IF(ISBLANK(Table123[[#This Row],[Odds Side - Difference Model]]), "",IF(AC72="W", W72, IF(AC72="L",-N72, "")))</f>
      </c>
      <c r="AF72" s="173" t="str">
        <f>IFERROR((IF(ISERR(Table123[[#This Row],[Potential Payout Side - Win Probability Model]]), "",IF(AD72="W", X72, IF(AD72="L",-N72, "")))), "")</f>
      </c>
      <c r="AG72" s="170" t="str">
        <f>IF('Prediction Log'!$U73="Y", "W", IF('Prediction Log'!$U73="N", "L", ""))</f>
        <v>L</v>
      </c>
      <c r="AH72" s="172" t="str">
        <f>IF(ISBLANK(Table123[[#This Row],[Odds Spread]]), "",IF(AG72="W", Z72, IF(AG72="L",-O72, "")))</f>
      </c>
      <c r="AI72" s="184"/>
      <c r="AJ72" s="183" t="str">
        <f t="shared" si="13"/>
      </c>
      <c r="AK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">
      <c r="A73" s="65" t="n">
        <f>Games!A73</f>
        <v>1</v>
      </c>
      <c r="B73" s="65" t="str">
        <f>IF('Prediction Log'!B74=0, "",'Prediction Log'!B74)</f>
        <v>Middle Tennessee</v>
      </c>
      <c r="C73" s="65" t="str">
        <f>IF('Prediction Log'!C74=0, "",'Prediction Log'!C74)</f>
        <v>Tennessee Tech</v>
      </c>
      <c r="D73" s="65" t="n">
        <f>IF('Prediction Log'!D74=0, "",'Prediction Log'!D74)</f>
        <v>-24.5</v>
      </c>
      <c r="E73" s="65" t="n">
        <f>IF('Prediction Log'!E74=0, "",'Prediction Log'!E74)</f>
        <v>-15.411515110351599</v>
      </c>
      <c r="F73" s="65" t="str">
        <f>IF('Prediction Log'!H74=0, "",'Prediction Log'!H74)</f>
        <v>Middle Tennessee</v>
      </c>
      <c r="G73" s="64" t="str">
        <f>IF(ISBLANK(Games!B73), "",'Prediction Log'!$I74)</f>
        <v>Middle Tennessee</v>
      </c>
      <c r="H73" s="66" t="n">
        <f>'Prediction Log'!$J74</f>
        <v>0.9245417332593856</v>
      </c>
      <c r="I73" s="65" t="str">
        <f>IF(ISBLANK(Games!T73), "",IF(AND(Games!T73="",Games!U73=""),"",IF(ISTEXT(Games!U73), "Side",Games!T73)))</f>
      </c>
      <c r="J73" s="65" t="str">
        <f>IF(ISBLANK(Games!B73), "",IF(Games!P73="Y", Games!B73, Games!C73))</f>
        <v>Tennessee Tech</v>
      </c>
      <c r="K73" s="65" t="str">
        <f>Games!K73</f>
        <v>Middle Tennessee</v>
      </c>
      <c r="L73" s="65" t="n">
        <f>IF(ISBLANK(Games!D73), "",Games!D73)</f>
        <v>-24.5</v>
      </c>
      <c r="M73" s="65"/>
      <c r="N73" s="167" t="str">
        <f>IF(ISBLANK(Table123[[#This Row],[Odds Side - Difference Model]]), "", 1)</f>
      </c>
      <c r="O73" s="167" t="str">
        <f>IF(ISBLANK(Table123[[#This Row],[Odds Spread]]), "", 1)</f>
      </c>
      <c r="P73" s="67"/>
      <c r="Q73" s="67"/>
      <c r="R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" s="67"/>
      <c r="T73" s="67"/>
      <c r="U73" s="168" t="str">
        <f>IF(ISBLANK(Table123[[#This Row],[Odds Side - Difference Model]]), "",N73+IF(Q73&lt;0, (N73/(Q73/-100)), N73*(Q73/100)))</f>
      </c>
      <c r="V73" s="169" t="str">
        <f>IFERROR(IF(ISBLANK(Table123[[#This Row],[Odds Side - Win Probability Model]]), "",N73+IF(R73&lt;0, (N73/(R73/-100)), N73*(R73/100))),"")</f>
      </c>
      <c r="W73" s="168" t="str">
        <f t="shared" si="8"/>
      </c>
      <c r="X73" s="169" t="str">
        <f t="shared" si="9"/>
      </c>
      <c r="Y73" s="168" t="str">
        <f>IF(ISBLANK(Table123[[#This Row],[Odds Spread]]), "",O73+IF(S73&lt;0, (O73/(S73/-100)), O73*(S73/100)))</f>
      </c>
      <c r="Z73" s="168" t="str">
        <f t="shared" si="10"/>
      </c>
      <c r="AA73" s="68" t="n">
        <f t="shared" si="11"/>
        <v>0</v>
      </c>
      <c r="AB73" s="68" t="n">
        <f t="shared" si="12"/>
        <v>0</v>
      </c>
      <c r="AC73" s="170" t="str">
        <f>IF('Prediction Log'!$T74="Y", "W", IF('Prediction Log'!$T74="N","L",""))</f>
        <v>W</v>
      </c>
      <c r="AD73" s="171" t="str">
        <f>IF('Prediction Log'!$V74="Y", "W", IF('Prediction Log'!$V74="N","L",""))</f>
        <v>W</v>
      </c>
      <c r="AE73" s="172" t="str">
        <f>IF(ISBLANK(Table123[[#This Row],[Odds Side - Difference Model]]), "",IF(AC73="W", W73, IF(AC73="L",-N73, "")))</f>
      </c>
      <c r="AF73" s="173" t="str">
        <f>IFERROR((IF(ISERR(Table123[[#This Row],[Potential Payout Side - Win Probability Model]]), "",IF(AD73="W", X73, IF(AD73="L",-N73, "")))), "")</f>
      </c>
      <c r="AG73" s="170" t="str">
        <f>IF('Prediction Log'!$U74="Y", "W", IF('Prediction Log'!$U74="N", "L", ""))</f>
        <v>W</v>
      </c>
      <c r="AH73" s="172" t="str">
        <f>IF(ISBLANK(Table123[[#This Row],[Odds Spread]]), "",IF(AG73="W", Z73, IF(AG73="L",-O73, "")))</f>
      </c>
      <c r="AI73" s="184"/>
      <c r="AJ73" s="183" t="str">
        <f t="shared" si="13"/>
      </c>
      <c r="AK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">
      <c r="A74" s="65" t="n">
        <f>Games!A74</f>
        <v>1</v>
      </c>
      <c r="B74" s="65" t="str">
        <f>IF('Prediction Log'!B75=0, "",'Prediction Log'!B75)</f>
        <v>Alabama</v>
      </c>
      <c r="C74" s="65" t="str">
        <f>IF('Prediction Log'!C75=0, "",'Prediction Log'!C75)</f>
        <v>Western Kentucky</v>
      </c>
      <c r="D74" s="65" t="n">
        <f>IF('Prediction Log'!D75=0, "",'Prediction Log'!D75)</f>
        <v>-32.5</v>
      </c>
      <c r="E74" s="65" t="n">
        <f>IF('Prediction Log'!E75=0, "",'Prediction Log'!E75)</f>
        <v>-21.189766836254002</v>
      </c>
      <c r="F74" s="65" t="str">
        <f>IF('Prediction Log'!H75=0, "",'Prediction Log'!H75)</f>
        <v>Alabama</v>
      </c>
      <c r="G74" s="64" t="str">
        <f>IF(ISBLANK(Games!B74), "",'Prediction Log'!$I75)</f>
        <v>Alabama</v>
      </c>
      <c r="H74" s="66" t="n">
        <f>'Prediction Log'!$J75</f>
        <v>0.96568568250892706</v>
      </c>
      <c r="I74" s="65" t="str">
        <f>IF(ISBLANK(Games!T74), "",IF(AND(Games!T74="",Games!U74=""),"",IF(ISTEXT(Games!U74), "Side",Games!T74)))</f>
      </c>
      <c r="J74" s="65" t="str">
        <f>IF(ISBLANK(Games!B74), "",IF(Games!P74="Y", Games!B74, Games!C74))</f>
        <v>Western Kentucky</v>
      </c>
      <c r="K74" s="65" t="str">
        <f>Games!K74</f>
        <v>Alabama</v>
      </c>
      <c r="L74" s="65" t="n">
        <f>IF(ISBLANK(Games!D74), "",Games!D74)</f>
        <v>-32.5</v>
      </c>
      <c r="M74" s="65"/>
      <c r="N74" s="167" t="str">
        <f>IF(ISBLANK(Table123[[#This Row],[Odds Side - Difference Model]]), "", 1)</f>
      </c>
      <c r="O74" s="167" t="str">
        <f>IF(ISBLANK(Table123[[#This Row],[Odds Spread]]), "", 1)</f>
      </c>
      <c r="P74" s="67"/>
      <c r="Q74" s="67"/>
      <c r="R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" s="67"/>
      <c r="T74" s="67"/>
      <c r="U74" s="168" t="str">
        <f>IF(ISBLANK(Table123[[#This Row],[Odds Side - Difference Model]]), "",N74+IF(Q74&lt;0, (N74/(Q74/-100)), N74*(Q74/100)))</f>
      </c>
      <c r="V74" s="169" t="str">
        <f>IFERROR(IF(ISBLANK(Table123[[#This Row],[Odds Side - Win Probability Model]]), "",N74+IF(R74&lt;0, (N74/(R74/-100)), N74*(R74/100))),"")</f>
      </c>
      <c r="W74" s="168" t="str">
        <f t="shared" si="8"/>
      </c>
      <c r="X74" s="169" t="str">
        <f t="shared" si="9"/>
      </c>
      <c r="Y74" s="168" t="str">
        <f>IF(ISBLANK(Table123[[#This Row],[Odds Spread]]), "",O74+IF(S74&lt;0, (O74/(S74/-100)), O74*(S74/100)))</f>
      </c>
      <c r="Z74" s="168" t="str">
        <f t="shared" si="10"/>
      </c>
      <c r="AA74" s="68" t="n">
        <f t="shared" si="11"/>
        <v>0</v>
      </c>
      <c r="AB74" s="68" t="n">
        <f t="shared" si="12"/>
        <v>0</v>
      </c>
      <c r="AC74" s="170" t="str">
        <f>IF('Prediction Log'!$T75="Y", "W", IF('Prediction Log'!$T75="N","L",""))</f>
        <v>W</v>
      </c>
      <c r="AD74" s="171" t="str">
        <f>IF('Prediction Log'!$V75="Y", "W", IF('Prediction Log'!$V75="N","L",""))</f>
        <v>W</v>
      </c>
      <c r="AE74" s="172" t="str">
        <f>IF(ISBLANK(Table123[[#This Row],[Odds Side - Difference Model]]), "",IF(AC74="W", W74, IF(AC74="L",-N74, "")))</f>
      </c>
      <c r="AF74" s="173" t="str">
        <f>IFERROR((IF(ISERR(Table123[[#This Row],[Potential Payout Side - Win Probability Model]]), "",IF(AD74="W", X74, IF(AD74="L",-N74, "")))), "")</f>
      </c>
      <c r="AG74" s="170" t="str">
        <f>IF('Prediction Log'!$U75="Y", "W", IF('Prediction Log'!$U75="N", "L", ""))</f>
        <v>L</v>
      </c>
      <c r="AH74" s="172" t="str">
        <f>IF(ISBLANK(Table123[[#This Row],[Odds Spread]]), "",IF(AG74="W", Z74, IF(AG74="L",-O74, "")))</f>
      </c>
      <c r="AI74" s="184"/>
      <c r="AJ74" s="183" t="str">
        <f t="shared" si="13"/>
      </c>
      <c r="AK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">
      <c r="A75" s="65" t="n">
        <f>Games!A75</f>
        <v>1</v>
      </c>
      <c r="B75" s="65" t="str">
        <f>IF('Prediction Log'!B76=0, "",'Prediction Log'!B76)</f>
        <v>Houston</v>
      </c>
      <c r="C75" s="65" t="str">
        <f>IF('Prediction Log'!C76=0, "",'Prediction Log'!C76)</f>
        <v>UNLV</v>
      </c>
      <c r="D75" s="65" t="n">
        <f>IF('Prediction Log'!D76=0, "",'Prediction Log'!D76)</f>
        <v>-1.5</v>
      </c>
      <c r="E75" s="65" t="n">
        <f>IF('Prediction Log'!E76=0, "",'Prediction Log'!E76)</f>
        <v>4.3</v>
      </c>
      <c r="F75" s="65" t="str">
        <f>IF('Prediction Log'!H76=0, "",'Prediction Log'!H76)</f>
        <v>UNLV</v>
      </c>
      <c r="G75" s="64" t="str">
        <f>IF(ISBLANK(Games!B75), "",'Prediction Log'!$I76)</f>
        <v>Houston</v>
      </c>
      <c r="H75" s="66" t="n">
        <f>'Prediction Log'!$J76</f>
        <v>0.52476409220898812</v>
      </c>
      <c r="I75" s="65" t="str">
        <f>IF(ISBLANK(Games!T75), "",IF(AND(Games!T75="",Games!U75=""),"",IF(ISTEXT(Games!U75), "Side",Games!T75)))</f>
      </c>
      <c r="J75" s="65" t="str">
        <f>IF(ISBLANK(Games!B75), "",IF(Games!P75="Y", Games!B75, Games!C75))</f>
        <v>Houston</v>
      </c>
      <c r="K75" s="65" t="str">
        <f>Games!K75</f>
        <v>UNLV</v>
      </c>
      <c r="L75" s="65" t="str">
        <f>IF(ISBLANK(Games!D75), "",Games!D75)</f>
        <v>-1.5</v>
      </c>
      <c r="M75" s="65"/>
      <c r="N75" s="167" t="str">
        <f>IF(ISBLANK(Table123[[#This Row],[Odds Side - Difference Model]]), "", 1)</f>
      </c>
      <c r="O75" s="167" t="str">
        <f>IF(ISBLANK(Table123[[#This Row],[Odds Spread]]), "", 1)</f>
      </c>
      <c r="P75" s="67"/>
      <c r="Q75" s="67"/>
      <c r="R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" s="67"/>
      <c r="T75" s="67"/>
      <c r="U75" s="168" t="str">
        <f>IF(ISBLANK(Table123[[#This Row],[Odds Side - Difference Model]]), "",N75+IF(Q75&lt;0, (N75/(Q75/-100)), N75*(Q75/100)))</f>
      </c>
      <c r="V75" s="169" t="str">
        <f>IFERROR(IF(ISBLANK(Table123[[#This Row],[Odds Side - Win Probability Model]]), "",N75+IF(R75&lt;0, (N75/(R75/-100)), N75*(R75/100))),"")</f>
      </c>
      <c r="W75" s="168" t="str">
        <f t="shared" si="8"/>
      </c>
      <c r="X75" s="169" t="str">
        <f t="shared" si="9"/>
      </c>
      <c r="Y75" s="168" t="str">
        <f>IF(ISBLANK(Table123[[#This Row],[Odds Spread]]), "",O75+IF(S75&lt;0, (O75/(S75/-100)), O75*(S75/100)))</f>
      </c>
      <c r="Z75" s="168" t="str">
        <f t="shared" si="10"/>
      </c>
      <c r="AA75" s="68" t="n">
        <f t="shared" si="11"/>
        <v>0</v>
      </c>
      <c r="AB75" s="68" t="n">
        <f t="shared" si="12"/>
        <v>0</v>
      </c>
      <c r="AC75" s="170" t="str">
        <f>IF('Prediction Log'!$T76="Y", "W", IF('Prediction Log'!$T76="N","L",""))</f>
        <v>W</v>
      </c>
      <c r="AD75" s="171" t="str">
        <f>IF('Prediction Log'!$V76="Y", "W", IF('Prediction Log'!$V76="N","L",""))</f>
        <v>L</v>
      </c>
      <c r="AE75" s="172" t="str">
        <f>IF(ISBLANK(Table123[[#This Row],[Odds Side - Difference Model]]), "",IF(AC75="W", W75, IF(AC75="L",-N75, "")))</f>
      </c>
      <c r="AF75" s="173" t="str">
        <f>IFERROR((IF(ISERR(Table123[[#This Row],[Potential Payout Side - Win Probability Model]]), "",IF(AD75="W", X75, IF(AD75="L",-N75, "")))), "")</f>
      </c>
      <c r="AG75" s="170" t="str">
        <f>IF('Prediction Log'!$U76="Y", "W", IF('Prediction Log'!$U76="N", "L", ""))</f>
        <v>L</v>
      </c>
      <c r="AH75" s="172" t="str">
        <f>IF(ISBLANK(Table123[[#This Row],[Odds Spread]]), "",IF(AG75="W", Z75, IF(AG75="L",-O75, "")))</f>
      </c>
      <c r="AI75" s="184"/>
      <c r="AJ75" s="183" t="str">
        <f t="shared" si="13"/>
      </c>
      <c r="AK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">
      <c r="A76" s="65" t="n">
        <f>Games!A76</f>
        <v>1</v>
      </c>
      <c r="B76" s="65" t="str">
        <f>IF('Prediction Log'!B77=0, "",'Prediction Log'!B77)</f>
        <v>Baylor</v>
      </c>
      <c r="C76" s="65" t="str">
        <f>IF('Prediction Log'!C77=0, "",'Prediction Log'!C77)</f>
        <v>Tarleton State</v>
      </c>
      <c r="D76" s="65" t="n">
        <f>IF('Prediction Log'!D77=0, "",'Prediction Log'!D77)</f>
        <v>-30.5</v>
      </c>
      <c r="E76" s="65" t="n">
        <f>IF('Prediction Log'!E77=0, "",'Prediction Log'!E77)</f>
        <v>-17.313905471667201</v>
      </c>
      <c r="F76" s="65" t="str">
        <f>IF('Prediction Log'!H77=0, "",'Prediction Log'!H77)</f>
        <v>Baylor</v>
      </c>
      <c r="G76" s="64" t="str">
        <f>IF(ISBLANK(Games!B76), "",'Prediction Log'!$I77)</f>
        <v>Baylor</v>
      </c>
      <c r="H76" s="66" t="n">
        <f>'Prediction Log'!$J77</f>
        <v>0.94155763055451192</v>
      </c>
      <c r="I76" s="65" t="str">
        <f>IF(ISBLANK(Games!T76), "",IF(AND(Games!T76="",Games!U76=""),"",IF(ISTEXT(Games!U76), "Side",Games!T76)))</f>
      </c>
      <c r="J76" s="65" t="str">
        <f>IF(ISBLANK(Games!B76), "",IF(Games!P76="Y", Games!B76, Games!C76))</f>
        <v>Tarleton State</v>
      </c>
      <c r="K76" s="65" t="str">
        <f>Games!K76</f>
        <v>Baylor</v>
      </c>
      <c r="L76" s="65" t="n">
        <f>IF(ISBLANK(Games!D76), "",Games!D76)</f>
        <v>-30.5</v>
      </c>
      <c r="M76" s="65"/>
      <c r="N76" s="167" t="str">
        <f>IF(ISBLANK(Table123[[#This Row],[Odds Side - Difference Model]]), "", 1)</f>
      </c>
      <c r="O76" s="167" t="str">
        <f>IF(ISBLANK(Table123[[#This Row],[Odds Spread]]), "", 1)</f>
      </c>
      <c r="P76" s="67"/>
      <c r="Q76" s="67"/>
      <c r="R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6" s="67"/>
      <c r="T76" s="67"/>
      <c r="U76" s="168" t="str">
        <f>IF(ISBLANK(Table123[[#This Row],[Odds Side - Difference Model]]), "",N76+IF(Q76&lt;0, (N76/(Q76/-100)), N76*(Q76/100)))</f>
      </c>
      <c r="V76" s="169" t="str">
        <f>IFERROR(IF(ISBLANK(Table123[[#This Row],[Odds Side - Win Probability Model]]), "",N76+IF(R76&lt;0, (N76/(R76/-100)), N76*(R76/100))),"")</f>
      </c>
      <c r="W76" s="168" t="str">
        <f t="shared" si="8"/>
      </c>
      <c r="X76" s="169" t="str">
        <f t="shared" si="9"/>
      </c>
      <c r="Y76" s="168" t="str">
        <f>IF(ISBLANK(Table123[[#This Row],[Odds Spread]]), "",O76+IF(S76&lt;0, (O76/(S76/-100)), O76*(S76/100)))</f>
      </c>
      <c r="Z76" s="168" t="str">
        <f t="shared" si="10"/>
      </c>
      <c r="AA76" s="68" t="n">
        <f t="shared" si="11"/>
        <v>0</v>
      </c>
      <c r="AB76" s="68" t="n">
        <f t="shared" si="12"/>
        <v>0</v>
      </c>
      <c r="AC76" s="170" t="str">
        <f>IF('Prediction Log'!$T77="Y", "W", IF('Prediction Log'!$T77="N","L",""))</f>
        <v>W</v>
      </c>
      <c r="AD76" s="171" t="str">
        <f>IF('Prediction Log'!$V77="Y", "W", IF('Prediction Log'!$V77="N","L",""))</f>
        <v>W</v>
      </c>
      <c r="AE76" s="172" t="str">
        <f>IF(ISBLANK(Table123[[#This Row],[Odds Side - Difference Model]]), "",IF(AC76="W", W76, IF(AC76="L",-N76, "")))</f>
      </c>
      <c r="AF76" s="173" t="str">
        <f>IFERROR((IF(ISERR(Table123[[#This Row],[Potential Payout Side - Win Probability Model]]), "",IF(AD76="W", X76, IF(AD76="L",-N76, "")))), "")</f>
      </c>
      <c r="AG76" s="170" t="str">
        <f>IF('Prediction Log'!$U77="Y", "W", IF('Prediction Log'!$U77="N", "L", ""))</f>
        <v>L</v>
      </c>
      <c r="AH76" s="172" t="str">
        <f>IF(ISBLANK(Table123[[#This Row],[Odds Spread]]), "",IF(AG76="W", Z76, IF(AG76="L",-O76, "")))</f>
      </c>
      <c r="AI76" s="184"/>
      <c r="AJ76" s="183" t="str">
        <f t="shared" si="13"/>
      </c>
      <c r="AK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">
      <c r="A77" s="65" t="n">
        <f>Games!A77</f>
        <v>1</v>
      </c>
      <c r="B77" s="65" t="str">
        <f>IF('Prediction Log'!B78=0, "",'Prediction Log'!B78)</f>
        <v>Rice</v>
      </c>
      <c r="C77" s="65" t="str">
        <f>IF('Prediction Log'!C78=0, "",'Prediction Log'!C78)</f>
        <v>Sam Houston State</v>
      </c>
      <c r="D77" s="65" t="n">
        <f>IF('Prediction Log'!D78=0, "",'Prediction Log'!D78)</f>
        <v>-10.5</v>
      </c>
      <c r="E77" s="65" t="n">
        <f>IF('Prediction Log'!E78=0, "",'Prediction Log'!E78)</f>
        <v>-15.7</v>
      </c>
      <c r="F77" s="65" t="str">
        <f>IF('Prediction Log'!H78=0, "",'Prediction Log'!H78)</f>
        <v>Rice</v>
      </c>
      <c r="G77" s="64" t="str">
        <f>IF(ISBLANK(Games!B77), "",'Prediction Log'!$I78)</f>
        <v>Rice</v>
      </c>
      <c r="H77" s="66" t="n">
        <f>'Prediction Log'!$J78</f>
        <v>0.66157422404750521</v>
      </c>
      <c r="I77" s="65" t="str">
        <f>IF(ISBLANK(Games!T77), "",IF(AND(Games!T77="",Games!U77=""),"",IF(ISTEXT(Games!U77), "Side",Games!T77)))</f>
      </c>
      <c r="J77" s="65" t="str">
        <f>IF(ISBLANK(Games!B77), "",IF(Games!P77="Y", Games!B77, Games!C77))</f>
        <v>Rice</v>
      </c>
      <c r="K77" s="65" t="str">
        <f>Games!K77</f>
        <v>Rice</v>
      </c>
      <c r="L77" s="65" t="str">
        <f>IF(ISBLANK(Games!D77), "",Games!D77)</f>
        <v>-10.5</v>
      </c>
      <c r="M77" s="65"/>
      <c r="N77" s="167" t="str">
        <f>IF(ISBLANK(Table123[[#This Row],[Odds Side - Difference Model]]), "", 1)</f>
      </c>
      <c r="O77" s="167" t="str">
        <f>IF(ISBLANK(Table123[[#This Row],[Odds Spread]]), "", 1)</f>
      </c>
      <c r="P77" s="67"/>
      <c r="Q77" s="67"/>
      <c r="R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7" s="67"/>
      <c r="T77" s="67"/>
      <c r="U77" s="168" t="str">
        <f>IF(ISBLANK(Table123[[#This Row],[Odds Side - Difference Model]]), "",N77+IF(Q77&lt;0, (N77/(Q77/-100)), N77*(Q77/100)))</f>
      </c>
      <c r="V77" s="169" t="str">
        <f>IFERROR(IF(ISBLANK(Table123[[#This Row],[Odds Side - Win Probability Model]]), "",N77+IF(R77&lt;0, (N77/(R77/-100)), N77*(R77/100))),"")</f>
      </c>
      <c r="W77" s="168" t="str">
        <f t="shared" si="8"/>
      </c>
      <c r="X77" s="169" t="str">
        <f t="shared" si="9"/>
      </c>
      <c r="Y77" s="168" t="str">
        <f>IF(ISBLANK(Table123[[#This Row],[Odds Spread]]), "",O77+IF(S77&lt;0, (O77/(S77/-100)), O77*(S77/100)))</f>
      </c>
      <c r="Z77" s="168" t="str">
        <f t="shared" si="10"/>
      </c>
      <c r="AA77" s="68" t="n">
        <f t="shared" si="11"/>
        <v>0</v>
      </c>
      <c r="AB77" s="68" t="n">
        <f t="shared" si="12"/>
        <v>0</v>
      </c>
      <c r="AC77" s="170" t="str">
        <f>IF('Prediction Log'!$T78="Y", "W", IF('Prediction Log'!$T78="N","L",""))</f>
        <v>L</v>
      </c>
      <c r="AD77" s="171" t="str">
        <f>IF('Prediction Log'!$V78="Y", "W", IF('Prediction Log'!$V78="N","L",""))</f>
        <v>L</v>
      </c>
      <c r="AE77" s="172" t="str">
        <f>IF(ISBLANK(Table123[[#This Row],[Odds Side - Difference Model]]), "",IF(AC77="W", W77, IF(AC77="L",-N77, "")))</f>
      </c>
      <c r="AF77" s="173" t="str">
        <f>IFERROR((IF(ISERR(Table123[[#This Row],[Potential Payout Side - Win Probability Model]]), "",IF(AD77="W", X77, IF(AD77="L",-N77, "")))), "")</f>
      </c>
      <c r="AG77" s="170" t="str">
        <f>IF('Prediction Log'!$U78="Y", "W", IF('Prediction Log'!$U78="N", "L", ""))</f>
        <v>L</v>
      </c>
      <c r="AH77" s="172" t="str">
        <f>IF(ISBLANK(Table123[[#This Row],[Odds Spread]]), "",IF(AG77="W", Z77, IF(AG77="L",-O77, "")))</f>
      </c>
      <c r="AI77" s="184"/>
      <c r="AJ77" s="183" t="str">
        <f t="shared" si="13"/>
      </c>
      <c r="AK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">
      <c r="A78" s="65" t="n">
        <f>Games!A78</f>
        <v>1</v>
      </c>
      <c r="B78" s="65" t="str">
        <f>IF('Prediction Log'!B79=0, "",'Prediction Log'!B79)</f>
        <v>Troy</v>
      </c>
      <c r="C78" s="65" t="str">
        <f>IF('Prediction Log'!C79=0, "",'Prediction Log'!C79)</f>
        <v>Nevada</v>
      </c>
      <c r="D78" s="65" t="n">
        <f>IF('Prediction Log'!D79=0, "",'Prediction Log'!D79)</f>
        <v>-15.5</v>
      </c>
      <c r="E78" s="65" t="n">
        <f>IF('Prediction Log'!E79=0, "",'Prediction Log'!E79)</f>
        <v>-55.3</v>
      </c>
      <c r="F78" s="65" t="str">
        <f>IF('Prediction Log'!H79=0, "",'Prediction Log'!H79)</f>
        <v>Troy</v>
      </c>
      <c r="G78" s="64" t="str">
        <f>IF(ISBLANK(Games!B78), "",'Prediction Log'!$I79)</f>
        <v>Troy</v>
      </c>
      <c r="H78" s="66" t="n">
        <f>'Prediction Log'!$J79</f>
        <v>0.94516084102782238</v>
      </c>
      <c r="I78" s="65" t="str">
        <f>IF(ISBLANK(Games!T78), "",IF(AND(Games!T78="",Games!U78=""),"",IF(ISTEXT(Games!U78), "Side",Games!T78)))</f>
      </c>
      <c r="J78" s="65" t="str">
        <f>IF(ISBLANK(Games!B78), "",IF(Games!P78="Y", Games!B78, Games!C78))</f>
        <v>Troy</v>
      </c>
      <c r="K78" s="65" t="str">
        <f>Games!K78</f>
        <v>Troy</v>
      </c>
      <c r="L78" s="65" t="str">
        <f>IF(ISBLANK(Games!D78), "",Games!D78)</f>
        <v>-15.5</v>
      </c>
      <c r="M78" s="65"/>
      <c r="N78" s="167" t="str">
        <f>IF(ISBLANK(Table123[[#This Row],[Odds Side - Difference Model]]), "", 1)</f>
      </c>
      <c r="O78" s="167" t="str">
        <f>IF(ISBLANK(Table123[[#This Row],[Odds Spread]]), "", 1)</f>
      </c>
      <c r="P78" s="67"/>
      <c r="Q78" s="67"/>
      <c r="R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8" s="67"/>
      <c r="T78" s="67"/>
      <c r="U78" s="168" t="str">
        <f>IF(ISBLANK(Table123[[#This Row],[Odds Side - Difference Model]]), "",N78+IF(Q78&lt;0, (N78/(Q78/-100)), N78*(Q78/100)))</f>
      </c>
      <c r="V78" s="169" t="str">
        <f>IFERROR(IF(ISBLANK(Table123[[#This Row],[Odds Side - Win Probability Model]]), "",N78+IF(R78&lt;0, (N78/(R78/-100)), N78*(R78/100))),"")</f>
      </c>
      <c r="W78" s="168" t="str">
        <f t="shared" si="8"/>
      </c>
      <c r="X78" s="169" t="str">
        <f t="shared" si="9"/>
      </c>
      <c r="Y78" s="168" t="str">
        <f>IF(ISBLANK(Table123[[#This Row],[Odds Spread]]), "",O78+IF(S78&lt;0, (O78/(S78/-100)), O78*(S78/100)))</f>
      </c>
      <c r="Z78" s="168" t="str">
        <f t="shared" si="10"/>
      </c>
      <c r="AA78" s="68" t="n">
        <f t="shared" si="11"/>
        <v>0</v>
      </c>
      <c r="AB78" s="68" t="n">
        <f t="shared" si="12"/>
        <v>0</v>
      </c>
      <c r="AC78" s="170" t="str">
        <f>IF('Prediction Log'!$T79="Y", "W", IF('Prediction Log'!$T79="N","L",""))</f>
        <v>L</v>
      </c>
      <c r="AD78" s="171" t="str">
        <f>IF('Prediction Log'!$V79="Y", "W", IF('Prediction Log'!$V79="N","L",""))</f>
        <v>L</v>
      </c>
      <c r="AE78" s="172" t="str">
        <f>IF(ISBLANK(Table123[[#This Row],[Odds Side - Difference Model]]), "",IF(AC78="W", W78, IF(AC78="L",-N78, "")))</f>
      </c>
      <c r="AF78" s="173" t="str">
        <f>IFERROR((IF(ISERR(Table123[[#This Row],[Potential Payout Side - Win Probability Model]]), "",IF(AD78="W", X78, IF(AD78="L",-N78, "")))), "")</f>
      </c>
      <c r="AG78" s="170" t="str">
        <f>IF('Prediction Log'!$U79="Y", "W", IF('Prediction Log'!$U79="N", "L", ""))</f>
        <v>L</v>
      </c>
      <c r="AH78" s="172" t="str">
        <f>IF(ISBLANK(Table123[[#This Row],[Odds Spread]]), "",IF(AG78="W", Z78, IF(AG78="L",-O78, "")))</f>
      </c>
      <c r="AI78" s="184"/>
      <c r="AJ78" s="183" t="str">
        <f t="shared" si="13"/>
      </c>
      <c r="AK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">
      <c r="A79" s="65" t="n">
        <f>Games!A79</f>
        <v>1</v>
      </c>
      <c r="B79" s="65" t="str">
        <f>IF('Prediction Log'!B80=0, "",'Prediction Log'!B80)</f>
        <v>Kansas State</v>
      </c>
      <c r="C79" s="65" t="str">
        <f>IF('Prediction Log'!C80=0, "",'Prediction Log'!C80)</f>
        <v>UT Martin</v>
      </c>
      <c r="D79" s="65" t="n">
        <f>IF('Prediction Log'!D80=0, "",'Prediction Log'!D80)</f>
        <v>-36.5</v>
      </c>
      <c r="E79" s="65" t="n">
        <f>IF('Prediction Log'!E80=0, "",'Prediction Log'!E80)</f>
        <v>-32.318441711929999</v>
      </c>
      <c r="F79" s="65" t="str">
        <f>IF('Prediction Log'!H80=0, "",'Prediction Log'!H80)</f>
        <v>Kansas State</v>
      </c>
      <c r="G79" s="64" t="str">
        <f>IF(ISBLANK(Games!B79), "",'Prediction Log'!$I80)</f>
        <v>Kansas State</v>
      </c>
      <c r="H79" s="66" t="n">
        <f>'Prediction Log'!$J80</f>
        <v>0.99288790395590631</v>
      </c>
      <c r="I79" s="65" t="str">
        <f>IF(ISBLANK(Games!T79), "",IF(AND(Games!T79="",Games!U79=""),"",IF(ISTEXT(Games!U79), "Side",Games!T79)))</f>
      </c>
      <c r="J79" s="65" t="str">
        <f>IF(ISBLANK(Games!B79), "",IF(Games!P79="Y", Games!B79, Games!C79))</f>
        <v>UT Martin</v>
      </c>
      <c r="K79" s="65" t="str">
        <f>Games!K79</f>
        <v>Kansas State</v>
      </c>
      <c r="L79" s="65" t="n">
        <f>IF(ISBLANK(Games!D79), "",Games!D79)</f>
        <v>-36.5</v>
      </c>
      <c r="M79" s="65"/>
      <c r="N79" s="167" t="str">
        <f>IF(ISBLANK(Table123[[#This Row],[Odds Side - Difference Model]]), "", 1)</f>
      </c>
      <c r="O79" s="167" t="str">
        <f>IF(ISBLANK(Table123[[#This Row],[Odds Spread]]), "", 1)</f>
      </c>
      <c r="P79" s="67"/>
      <c r="Q79" s="67"/>
      <c r="R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9" s="67"/>
      <c r="T79" s="67"/>
      <c r="U79" s="168" t="str">
        <f>IF(ISBLANK(Table123[[#This Row],[Odds Side - Difference Model]]), "",N79+IF(Q79&lt;0, (N79/(Q79/-100)), N79*(Q79/100)))</f>
      </c>
      <c r="V79" s="169" t="str">
        <f>IFERROR(IF(ISBLANK(Table123[[#This Row],[Odds Side - Win Probability Model]]), "",N79+IF(R79&lt;0, (N79/(R79/-100)), N79*(R79/100))),"")</f>
      </c>
      <c r="W79" s="168" t="str">
        <f t="shared" si="8"/>
      </c>
      <c r="X79" s="169" t="str">
        <f t="shared" si="9"/>
      </c>
      <c r="Y79" s="168" t="str">
        <f>IF(ISBLANK(Table123[[#This Row],[Odds Spread]]), "",O79+IF(S79&lt;0, (O79/(S79/-100)), O79*(S79/100)))</f>
      </c>
      <c r="Z79" s="168" t="str">
        <f t="shared" si="10"/>
      </c>
      <c r="AA79" s="68" t="n">
        <f t="shared" si="11"/>
        <v>0</v>
      </c>
      <c r="AB79" s="68" t="n">
        <f t="shared" si="12"/>
        <v>0</v>
      </c>
      <c r="AC79" s="170" t="str">
        <f>IF('Prediction Log'!$T80="Y", "W", IF('Prediction Log'!$T80="N","L",""))</f>
        <v>W</v>
      </c>
      <c r="AD79" s="171" t="str">
        <f>IF('Prediction Log'!$V80="Y", "W", IF('Prediction Log'!$V80="N","L",""))</f>
        <v>W</v>
      </c>
      <c r="AE79" s="172" t="str">
        <f>IF(ISBLANK(Table123[[#This Row],[Odds Side - Difference Model]]), "",IF(AC79="W", W79, IF(AC79="L",-N79, "")))</f>
      </c>
      <c r="AF79" s="173" t="str">
        <f>IFERROR((IF(ISERR(Table123[[#This Row],[Potential Payout Side - Win Probability Model]]), "",IF(AD79="W", X79, IF(AD79="L",-N79, "")))), "")</f>
      </c>
      <c r="AG79" s="170" t="str">
        <f>IF('Prediction Log'!$U80="Y", "W", IF('Prediction Log'!$U80="N", "L", ""))</f>
        <v>W</v>
      </c>
      <c r="AH79" s="172" t="str">
        <f>IF(ISBLANK(Table123[[#This Row],[Odds Spread]]), "",IF(AG79="W", Z79, IF(AG79="L",-O79, "")))</f>
      </c>
      <c r="AI79" s="184"/>
      <c r="AJ79" s="183" t="str">
        <f t="shared" si="13"/>
      </c>
      <c r="AK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0">
      <c r="A80" s="65" t="n">
        <f>Games!A80</f>
        <v>1</v>
      </c>
      <c r="B80" s="65" t="str">
        <f>IF('Prediction Log'!B81=0, "",'Prediction Log'!B81)</f>
        <v>South Florida</v>
      </c>
      <c r="C80" s="65" t="str">
        <f>IF('Prediction Log'!C81=0, "",'Prediction Log'!C81)</f>
        <v>Bethune-Cookman</v>
      </c>
      <c r="D80" s="65" t="str">
        <f>IF('Prediction Log'!D81=0, "",'Prediction Log'!D81)</f>
      </c>
      <c r="E80" s="65" t="n">
        <f>IF('Prediction Log'!E81=0, "",'Prediction Log'!E81)</f>
        <v>-21.297574579451599</v>
      </c>
      <c r="F80" s="65" t="str">
        <f>IF('Prediction Log'!H81=0, "",'Prediction Log'!H81)</f>
        <v>South Florida</v>
      </c>
      <c r="G80" s="64" t="str">
        <f>IF(ISBLANK(Games!B80), "",'Prediction Log'!$I81)</f>
        <v>South Florida</v>
      </c>
      <c r="H80" s="66" t="n">
        <f>'Prediction Log'!$J81</f>
        <v>0.96619609543935114</v>
      </c>
      <c r="I80" s="65" t="str">
        <f>IF(ISBLANK(Games!T80), "",IF(AND(Games!T80="",Games!U80=""),"",IF(ISTEXT(Games!U80), "Side",Games!T80)))</f>
      </c>
      <c r="J80" s="65" t="str">
        <f>IF(ISBLANK(Games!B80), "",IF(Games!P80="Y", Games!B80, Games!C80))</f>
        <v>South Florida</v>
      </c>
      <c r="K80" s="65" t="str">
        <f>Games!K80</f>
        <v>South Florida</v>
      </c>
      <c r="L80" s="65" t="str">
        <f>IF(ISBLANK(Games!D80), "",Games!D80)</f>
      </c>
      <c r="M80" s="65"/>
      <c r="N80" s="167" t="str">
        <f>IF(ISBLANK(Table123[[#This Row],[Odds Side - Difference Model]]), "", 1)</f>
      </c>
      <c r="O80" s="167" t="str">
        <f>IF(ISBLANK(Table123[[#This Row],[Odds Spread]]), "", 1)</f>
      </c>
      <c r="P80" s="67"/>
      <c r="Q80" s="67"/>
      <c r="R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0" s="67"/>
      <c r="T80" s="67"/>
      <c r="U80" s="168" t="str">
        <f>IF(ISBLANK(Table123[[#This Row],[Odds Side - Difference Model]]), "",N80+IF(Q80&lt;0, (N80/(Q80/-100)), N80*(Q80/100)))</f>
      </c>
      <c r="V80" s="169" t="str">
        <f>IFERROR(IF(ISBLANK(Table123[[#This Row],[Odds Side - Win Probability Model]]), "",N80+IF(R80&lt;0, (N80/(R80/-100)), N80*(R80/100))),"")</f>
      </c>
      <c r="W80" s="168" t="str">
        <f t="shared" si="8"/>
      </c>
      <c r="X80" s="169" t="str">
        <f t="shared" si="9"/>
      </c>
      <c r="Y80" s="168" t="str">
        <f>IF(ISBLANK(Table123[[#This Row],[Odds Spread]]), "",O80+IF(S80&lt;0, (O80/(S80/-100)), O80*(S80/100)))</f>
      </c>
      <c r="Z80" s="168" t="str">
        <f t="shared" si="10"/>
      </c>
      <c r="AA80" s="68" t="n">
        <f t="shared" si="11"/>
        <v>0</v>
      </c>
      <c r="AB80" s="68" t="n">
        <f t="shared" si="12"/>
        <v>0</v>
      </c>
      <c r="AC80" s="170" t="str">
        <f>IF('Prediction Log'!$T81="Y", "W", IF('Prediction Log'!$T81="N","L",""))</f>
        <v>W</v>
      </c>
      <c r="AD80" s="171" t="str">
        <f>IF('Prediction Log'!$V81="Y", "W", IF('Prediction Log'!$V81="N","L",""))</f>
        <v>W</v>
      </c>
      <c r="AE80" s="172" t="str">
        <f>IF(ISBLANK(Table123[[#This Row],[Odds Side - Difference Model]]), "",IF(AC80="W", W80, IF(AC80="L",-N80, "")))</f>
      </c>
      <c r="AF80" s="173" t="str">
        <f>IFERROR((IF(ISERR(Table123[[#This Row],[Potential Payout Side - Win Probability Model]]), "",IF(AD80="W", X80, IF(AD80="L",-N80, "")))), "")</f>
      </c>
      <c r="AG80" s="170" t="str">
        <f>IF('Prediction Log'!$U81="Y", "W", IF('Prediction Log'!$U81="N", "L", ""))</f>
      </c>
      <c r="AH80" s="172" t="str">
        <f>IF(ISBLANK(Table123[[#This Row],[Odds Spread]]), "",IF(AG80="W", Z80, IF(AG80="L",-O80, "")))</f>
      </c>
      <c r="AI80" s="184"/>
      <c r="AJ80" s="183" t="str">
        <f t="shared" si="13"/>
      </c>
      <c r="AK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1">
      <c r="A81" s="65" t="n">
        <f>Games!A81</f>
        <v>1</v>
      </c>
      <c r="B81" s="65" t="str">
        <f>IF('Prediction Log'!B82=0, "",'Prediction Log'!B82)</f>
        <v>Oregon</v>
      </c>
      <c r="C81" s="65" t="str">
        <f>IF('Prediction Log'!C82=0, "",'Prediction Log'!C82)</f>
        <v>Idaho</v>
      </c>
      <c r="D81" s="65" t="n">
        <f>IF('Prediction Log'!D82=0, "",'Prediction Log'!D82)</f>
        <v>-44.5</v>
      </c>
      <c r="E81" s="65" t="n">
        <f>IF('Prediction Log'!E82=0, "",'Prediction Log'!E82)</f>
        <v>-40.120990410296002</v>
      </c>
      <c r="F81" s="65" t="str">
        <f>IF('Prediction Log'!H82=0, "",'Prediction Log'!H82)</f>
        <v>Oregon</v>
      </c>
      <c r="G81" s="64" t="str">
        <f>IF(ISBLANK(Games!B81), "",'Prediction Log'!$I82)</f>
        <v>Oregon</v>
      </c>
      <c r="H81" s="66" t="n">
        <f>'Prediction Log'!$J82</f>
        <v>0.99767497739746613</v>
      </c>
      <c r="I81" s="65" t="str">
        <f>IF(ISBLANK(Games!T81), "",IF(AND(Games!T81="",Games!U81=""),"",IF(ISTEXT(Games!U81), "Side",Games!T81)))</f>
      </c>
      <c r="J81" s="65" t="str">
        <f>IF(ISBLANK(Games!B81), "",IF(Games!P81="Y", Games!B81, Games!C81))</f>
        <v>Idaho</v>
      </c>
      <c r="K81" s="65" t="str">
        <f>Games!K81</f>
        <v>Oregon</v>
      </c>
      <c r="L81" s="65" t="n">
        <f>IF(ISBLANK(Games!D81), "",Games!D81)</f>
        <v>-44.5</v>
      </c>
      <c r="M81" s="65"/>
      <c r="N81" s="167" t="str">
        <f>IF(ISBLANK(Table123[[#This Row],[Odds Side - Difference Model]]), "", 1)</f>
      </c>
      <c r="O81" s="167" t="str">
        <f>IF(ISBLANK(Table123[[#This Row],[Odds Spread]]), "", 1)</f>
      </c>
      <c r="P81" s="67"/>
      <c r="Q81" s="67"/>
      <c r="R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1" s="67"/>
      <c r="T81" s="67"/>
      <c r="U81" s="168" t="str">
        <f>IF(ISBLANK(Table123[[#This Row],[Odds Side - Difference Model]]), "",N81+IF(Q81&lt;0, (N81/(Q81/-100)), N81*(Q81/100)))</f>
      </c>
      <c r="V81" s="169" t="str">
        <f>IFERROR(IF(ISBLANK(Table123[[#This Row],[Odds Side - Win Probability Model]]), "",N81+IF(R81&lt;0, (N81/(R81/-100)), N81*(R81/100))),"")</f>
      </c>
      <c r="W81" s="168" t="str">
        <f t="shared" si="8"/>
      </c>
      <c r="X81" s="169" t="str">
        <f t="shared" si="9"/>
      </c>
      <c r="Y81" s="168" t="str">
        <f>IF(ISBLANK(Table123[[#This Row],[Odds Spread]]), "",O81+IF(S81&lt;0, (O81/(S81/-100)), O81*(S81/100)))</f>
      </c>
      <c r="Z81" s="168" t="str">
        <f t="shared" si="10"/>
      </c>
      <c r="AA81" s="68" t="n">
        <f t="shared" si="11"/>
        <v>0</v>
      </c>
      <c r="AB81" s="68" t="n">
        <f t="shared" si="12"/>
        <v>0</v>
      </c>
      <c r="AC81" s="170" t="str">
        <f>IF('Prediction Log'!$T82="Y", "W", IF('Prediction Log'!$T82="N","L",""))</f>
        <v>W</v>
      </c>
      <c r="AD81" s="171" t="str">
        <f>IF('Prediction Log'!$V82="Y", "W", IF('Prediction Log'!$V82="N","L",""))</f>
        <v>W</v>
      </c>
      <c r="AE81" s="172" t="str">
        <f>IF(ISBLANK(Table123[[#This Row],[Odds Side - Difference Model]]), "",IF(AC81="W", W81, IF(AC81="L",-N81, "")))</f>
      </c>
      <c r="AF81" s="173" t="str">
        <f>IFERROR((IF(ISERR(Table123[[#This Row],[Potential Payout Side - Win Probability Model]]), "",IF(AD81="W", X81, IF(AD81="L",-N81, "")))), "")</f>
      </c>
      <c r="AG81" s="170" t="str">
        <f>IF('Prediction Log'!$U82="Y", "W", IF('Prediction Log'!$U82="N", "L", ""))</f>
        <v>W</v>
      </c>
      <c r="AH81" s="172" t="str">
        <f>IF(ISBLANK(Table123[[#This Row],[Odds Spread]]), "",IF(AG81="W", Z81, IF(AG81="L",-O81, "")))</f>
      </c>
      <c r="AI81" s="184"/>
      <c r="AJ81" s="183" t="str">
        <f t="shared" si="13"/>
      </c>
      <c r="AK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2">
      <c r="A82" s="65" t="n">
        <f>Games!A82</f>
        <v>1</v>
      </c>
      <c r="B82" s="65" t="str">
        <f>IF('Prediction Log'!B83=0, "",'Prediction Log'!B83)</f>
        <v>Michigan</v>
      </c>
      <c r="C82" s="65" t="str">
        <f>IF('Prediction Log'!C83=0, "",'Prediction Log'!C83)</f>
        <v>Fresno State</v>
      </c>
      <c r="D82" s="65" t="n">
        <f>IF('Prediction Log'!D83=0, "",'Prediction Log'!D83)</f>
        <v>-21</v>
      </c>
      <c r="E82" s="65" t="n">
        <f>IF('Prediction Log'!E83=0, "",'Prediction Log'!E83)</f>
        <v>-67.8</v>
      </c>
      <c r="F82" s="65" t="str">
        <f>IF('Prediction Log'!H83=0, "",'Prediction Log'!H83)</f>
        <v>Michigan</v>
      </c>
      <c r="G82" s="64" t="str">
        <f>IF(ISBLANK(Games!B82), "",'Prediction Log'!$I83)</f>
        <v>Michigan</v>
      </c>
      <c r="H82" s="66" t="n">
        <f>'Prediction Log'!$J83</f>
        <v>0.92692816398884148</v>
      </c>
      <c r="I82" s="65" t="str">
        <f>IF(ISBLANK(Games!T82), "",IF(AND(Games!T82="",Games!U82=""),"",IF(ISTEXT(Games!U82), "Side",Games!T82)))</f>
      </c>
      <c r="J82" s="65" t="str">
        <f>IF(ISBLANK(Games!B82), "",IF(Games!P82="Y", Games!B82, Games!C82))</f>
        <v>Michigan</v>
      </c>
      <c r="K82" s="65" t="str">
        <f>Games!K82</f>
        <v>Michigan</v>
      </c>
      <c r="L82" s="65" t="str">
        <f>IF(ISBLANK(Games!D82), "",Games!D82)</f>
        <v>-21</v>
      </c>
      <c r="M82" s="65"/>
      <c r="N82" s="167" t="str">
        <f>IF(ISBLANK(Table123[[#This Row],[Odds Side - Difference Model]]), "", 1)</f>
      </c>
      <c r="O82" s="167" t="str">
        <f>IF(ISBLANK(Table123[[#This Row],[Odds Spread]]), "", 1)</f>
      </c>
      <c r="P82" s="67"/>
      <c r="Q82" s="67"/>
      <c r="R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2" s="67"/>
      <c r="T82" s="67"/>
      <c r="U82" s="168" t="str">
        <f>IF(ISBLANK(Table123[[#This Row],[Odds Side - Difference Model]]), "",N82+IF(Q82&lt;0, (N82/(Q82/-100)), N82*(Q82/100)))</f>
      </c>
      <c r="V82" s="169" t="str">
        <f>IFERROR(IF(ISBLANK(Table123[[#This Row],[Odds Side - Win Probability Model]]), "",N82+IF(R82&lt;0, (N82/(R82/-100)), N82*(R82/100))),"")</f>
      </c>
      <c r="W82" s="168" t="str">
        <f t="shared" si="8"/>
      </c>
      <c r="X82" s="169" t="str">
        <f t="shared" si="9"/>
      </c>
      <c r="Y82" s="168" t="str">
        <f>IF(ISBLANK(Table123[[#This Row],[Odds Spread]]), "",O82+IF(S82&lt;0, (O82/(S82/-100)), O82*(S82/100)))</f>
      </c>
      <c r="Z82" s="168" t="str">
        <f t="shared" si="10"/>
      </c>
      <c r="AA82" s="68" t="n">
        <f t="shared" si="11"/>
        <v>0</v>
      </c>
      <c r="AB82" s="68" t="n">
        <f t="shared" si="12"/>
        <v>0</v>
      </c>
      <c r="AC82" s="170" t="str">
        <f>IF('Prediction Log'!$T83="Y", "W", IF('Prediction Log'!$T83="N","L",""))</f>
        <v>W</v>
      </c>
      <c r="AD82" s="171" t="str">
        <f>IF('Prediction Log'!$V83="Y", "W", IF('Prediction Log'!$V83="N","L",""))</f>
        <v>W</v>
      </c>
      <c r="AE82" s="172" t="str">
        <f>IF(ISBLANK(Table123[[#This Row],[Odds Side - Difference Model]]), "",IF(AC82="W", W82, IF(AC82="L",-N82, "")))</f>
      </c>
      <c r="AF82" s="173" t="str">
        <f>IFERROR((IF(ISERR(Table123[[#This Row],[Potential Payout Side - Win Probability Model]]), "",IF(AD82="W", X82, IF(AD82="L",-N82, "")))), "")</f>
      </c>
      <c r="AG82" s="170" t="str">
        <f>IF('Prediction Log'!$U83="Y", "W", IF('Prediction Log'!$U83="N", "L", ""))</f>
        <v>L</v>
      </c>
      <c r="AH82" s="172" t="str">
        <f>IF(ISBLANK(Table123[[#This Row],[Odds Spread]]), "",IF(AG82="W", Z82, IF(AG82="L",-O82, "")))</f>
      </c>
      <c r="AI82" s="184"/>
      <c r="AJ82" s="183" t="str">
        <f t="shared" si="13"/>
      </c>
      <c r="AK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3">
      <c r="A83" s="65" t="n">
        <f>Games!A83</f>
        <v>1</v>
      </c>
      <c r="B83" s="65" t="str">
        <f>IF('Prediction Log'!B84=0, "",'Prediction Log'!B84)</f>
        <v>Auburn</v>
      </c>
      <c r="C83" s="65" t="str">
        <f>IF('Prediction Log'!C84=0, "",'Prediction Log'!C84)</f>
        <v>Alabama A&amp;M</v>
      </c>
      <c r="D83" s="65" t="n">
        <f>IF('Prediction Log'!D84=0, "",'Prediction Log'!D84)</f>
        <v>-48.5</v>
      </c>
      <c r="E83" s="65" t="n">
        <f>IF('Prediction Log'!E84=0, "",'Prediction Log'!E84)</f>
        <v>-25.4456186044312</v>
      </c>
      <c r="F83" s="65" t="str">
        <f>IF('Prediction Log'!H84=0, "",'Prediction Log'!H84)</f>
        <v>Auburn</v>
      </c>
      <c r="G83" s="64" t="str">
        <f>IF(ISBLANK(Games!B83), "",'Prediction Log'!$I84)</f>
        <v>Auburn</v>
      </c>
      <c r="H83" s="66" t="n">
        <f>'Prediction Log'!$J84</f>
        <v>0.98110425598210493</v>
      </c>
      <c r="I83" s="65" t="str">
        <f>IF(ISBLANK(Games!T83), "",IF(AND(Games!T83="",Games!U83=""),"",IF(ISTEXT(Games!U83), "Side",Games!T83)))</f>
      </c>
      <c r="J83" s="65" t="str">
        <f>IF(ISBLANK(Games!B83), "",IF(Games!P83="Y", Games!B83, Games!C83))</f>
        <v>Alabama A&amp;M</v>
      </c>
      <c r="K83" s="65" t="str">
        <f>Games!K83</f>
        <v>Auburn</v>
      </c>
      <c r="L83" s="65" t="n">
        <f>IF(ISBLANK(Games!D83), "",Games!D83)</f>
        <v>-48.5</v>
      </c>
      <c r="M83" s="65"/>
      <c r="N83" s="167" t="str">
        <f>IF(ISBLANK(Table123[[#This Row],[Odds Side - Difference Model]]), "", 1)</f>
      </c>
      <c r="O83" s="167" t="str">
        <f>IF(ISBLANK(Table123[[#This Row],[Odds Spread]]), "", 1)</f>
      </c>
      <c r="P83" s="67"/>
      <c r="Q83" s="67"/>
      <c r="R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3" s="67"/>
      <c r="T83" s="67"/>
      <c r="U83" s="168" t="str">
        <f>IF(ISBLANK(Table123[[#This Row],[Odds Side - Difference Model]]), "",N83+IF(Q83&lt;0, (N83/(Q83/-100)), N83*(Q83/100)))</f>
      </c>
      <c r="V83" s="169" t="str">
        <f>IFERROR(IF(ISBLANK(Table123[[#This Row],[Odds Side - Win Probability Model]]), "",N83+IF(R83&lt;0, (N83/(R83/-100)), N83*(R83/100))),"")</f>
      </c>
      <c r="W83" s="168" t="str">
        <f t="shared" si="8"/>
      </c>
      <c r="X83" s="169" t="str">
        <f t="shared" si="9"/>
      </c>
      <c r="Y83" s="168" t="str">
        <f>IF(ISBLANK(Table123[[#This Row],[Odds Spread]]), "",O83+IF(S83&lt;0, (O83/(S83/-100)), O83*(S83/100)))</f>
      </c>
      <c r="Z83" s="168" t="str">
        <f t="shared" si="10"/>
      </c>
      <c r="AA83" s="68" t="n">
        <f t="shared" si="11"/>
        <v>0</v>
      </c>
      <c r="AB83" s="68" t="n">
        <f t="shared" si="12"/>
        <v>0</v>
      </c>
      <c r="AC83" s="170" t="str">
        <f>IF('Prediction Log'!$T84="Y", "W", IF('Prediction Log'!$T84="N","L",""))</f>
        <v>W</v>
      </c>
      <c r="AD83" s="171" t="str">
        <f>IF('Prediction Log'!$V84="Y", "W", IF('Prediction Log'!$V84="N","L",""))</f>
        <v>W</v>
      </c>
      <c r="AE83" s="172" t="str">
        <f>IF(ISBLANK(Table123[[#This Row],[Odds Side - Difference Model]]), "",IF(AC83="W", W83, IF(AC83="L",-N83, "")))</f>
      </c>
      <c r="AF83" s="173" t="str">
        <f>IFERROR((IF(ISERR(Table123[[#This Row],[Potential Payout Side - Win Probability Model]]), "",IF(AD83="W", X83, IF(AD83="L",-N83, "")))), "")</f>
      </c>
      <c r="AG83" s="170" t="str">
        <f>IF('Prediction Log'!$U84="Y", "W", IF('Prediction Log'!$U84="N", "L", ""))</f>
        <v>L</v>
      </c>
      <c r="AH83" s="172" t="str">
        <f>IF(ISBLANK(Table123[[#This Row],[Odds Spread]]), "",IF(AG83="W", Z83, IF(AG83="L",-O83, "")))</f>
      </c>
      <c r="AI83" s="184"/>
      <c r="AJ83" s="183" t="str">
        <f t="shared" si="13"/>
      </c>
      <c r="AK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4">
      <c r="A84" s="65" t="n">
        <f>Games!A84</f>
        <v>1</v>
      </c>
      <c r="B84" s="65" t="str">
        <f>IF('Prediction Log'!B85=0, "",'Prediction Log'!B85)</f>
        <v>Texas Tech</v>
      </c>
      <c r="C84" s="65" t="str">
        <f>IF('Prediction Log'!C85=0, "",'Prediction Log'!C85)</f>
        <v>Abilene Christian</v>
      </c>
      <c r="D84" s="65" t="n">
        <f>IF('Prediction Log'!D85=0, "",'Prediction Log'!D85)</f>
        <v>-31.5</v>
      </c>
      <c r="E84" s="65" t="n">
        <f>IF('Prediction Log'!E85=0, "",'Prediction Log'!E85)</f>
        <v>-24.370669516298399</v>
      </c>
      <c r="F84" s="65" t="str">
        <f>IF('Prediction Log'!H85=0, "",'Prediction Log'!H85)</f>
        <v>Texas Tech</v>
      </c>
      <c r="G84" s="64" t="str">
        <f>IF(ISBLANK(Games!B84), "",'Prediction Log'!$I85)</f>
        <v>Texas Tech</v>
      </c>
      <c r="H84" s="66" t="n">
        <f>'Prediction Log'!$J85</f>
        <v>0.97801241541270967</v>
      </c>
      <c r="I84" s="65" t="str">
        <f>IF(ISBLANK(Games!T84), "",IF(AND(Games!T84="",Games!U84=""),"",IF(ISTEXT(Games!U84), "Side",Games!T84)))</f>
      </c>
      <c r="J84" s="65" t="str">
        <f>IF(ISBLANK(Games!B84), "",IF(Games!P84="Y", Games!B84, Games!C84))</f>
        <v>Abilene Christian</v>
      </c>
      <c r="K84" s="65" t="str">
        <f>Games!K84</f>
        <v>Texas Tech</v>
      </c>
      <c r="L84" s="65" t="n">
        <f>IF(ISBLANK(Games!D84), "",Games!D84)</f>
        <v>-31.5</v>
      </c>
      <c r="M84" s="65"/>
      <c r="N84" s="167" t="str">
        <f>IF(ISBLANK(Table123[[#This Row],[Odds Side - Difference Model]]), "", 1)</f>
      </c>
      <c r="O84" s="167" t="str">
        <f>IF(ISBLANK(Table123[[#This Row],[Odds Spread]]), "", 1)</f>
      </c>
      <c r="P84" s="67"/>
      <c r="Q84" s="67"/>
      <c r="R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4" s="67"/>
      <c r="T84" s="67"/>
      <c r="U84" s="168" t="str">
        <f>IF(ISBLANK(Table123[[#This Row],[Odds Side - Difference Model]]), "",N84+IF(Q84&lt;0, (N84/(Q84/-100)), N84*(Q84/100)))</f>
      </c>
      <c r="V84" s="169" t="str">
        <f>IFERROR(IF(ISBLANK(Table123[[#This Row],[Odds Side - Win Probability Model]]), "",N84+IF(R84&lt;0, (N84/(R84/-100)), N84*(R84/100))),"")</f>
      </c>
      <c r="W84" s="168" t="str">
        <f t="shared" si="8"/>
      </c>
      <c r="X84" s="169" t="str">
        <f t="shared" si="9"/>
      </c>
      <c r="Y84" s="168" t="str">
        <f>IF(ISBLANK(Table123[[#This Row],[Odds Spread]]), "",O84+IF(S84&lt;0, (O84/(S84/-100)), O84*(S84/100)))</f>
      </c>
      <c r="Z84" s="168" t="str">
        <f t="shared" si="10"/>
      </c>
      <c r="AA84" s="68" t="n">
        <f t="shared" si="11"/>
        <v>0</v>
      </c>
      <c r="AB84" s="68" t="n">
        <f t="shared" si="12"/>
        <v>0</v>
      </c>
      <c r="AC84" s="170" t="str">
        <f>IF('Prediction Log'!$T85="Y", "W", IF('Prediction Log'!$T85="N","L",""))</f>
        <v>W</v>
      </c>
      <c r="AD84" s="171" t="str">
        <f>IF('Prediction Log'!$V85="Y", "W", IF('Prediction Log'!$V85="N","L",""))</f>
        <v>W</v>
      </c>
      <c r="AE84" s="172" t="str">
        <f>IF(ISBLANK(Table123[[#This Row],[Odds Side - Difference Model]]), "",IF(AC84="W", W84, IF(AC84="L",-N84, "")))</f>
      </c>
      <c r="AF84" s="173" t="str">
        <f>IFERROR((IF(ISERR(Table123[[#This Row],[Potential Payout Side - Win Probability Model]]), "",IF(AD84="W", X84, IF(AD84="L",-N84, "")))), "")</f>
      </c>
      <c r="AG84" s="170" t="str">
        <f>IF('Prediction Log'!$U85="Y", "W", IF('Prediction Log'!$U85="N", "L", ""))</f>
        <v>W</v>
      </c>
      <c r="AH84" s="172" t="str">
        <f>IF(ISBLANK(Table123[[#This Row],[Odds Spread]]), "",IF(AG84="W", Z84, IF(AG84="L",-O84, "")))</f>
      </c>
      <c r="AI84" s="184"/>
      <c r="AJ84" s="183" t="str">
        <f t="shared" si="13"/>
      </c>
      <c r="AK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5">
      <c r="A85" s="65" t="n">
        <f>Games!A85</f>
        <v>1</v>
      </c>
      <c r="B85" s="65" t="str">
        <f>IF('Prediction Log'!B86=0, "",'Prediction Log'!B86)</f>
        <v>Hawai'i</v>
      </c>
      <c r="C85" s="65" t="str">
        <f>IF('Prediction Log'!C86=0, "",'Prediction Log'!C86)</f>
        <v>UCLA</v>
      </c>
      <c r="D85" s="65" t="n">
        <f>IF('Prediction Log'!D86=0, "",'Prediction Log'!D86)</f>
        <v>14.5</v>
      </c>
      <c r="E85" s="65" t="n">
        <f>IF('Prediction Log'!E86=0, "",'Prediction Log'!E86)</f>
        <v>39.6</v>
      </c>
      <c r="F85" s="65" t="str">
        <f>IF('Prediction Log'!H86=0, "",'Prediction Log'!H86)</f>
        <v>UCLA</v>
      </c>
      <c r="G85" s="64" t="str">
        <f>IF(ISBLANK(Games!B85), "",'Prediction Log'!$I86)</f>
        <v>UCLA</v>
      </c>
      <c r="H85" s="66" t="n">
        <f>'Prediction Log'!$J86</f>
        <v>0.79544120960489728</v>
      </c>
      <c r="I85" s="65" t="str">
        <f>IF(ISBLANK(Games!T85), "",IF(AND(Games!T85="",Games!U85=""),"",IF(ISTEXT(Games!U85), "Side",Games!T85)))</f>
      </c>
      <c r="J85" s="65" t="str">
        <f>IF(ISBLANK(Games!B85), "",IF(Games!P85="Y", Games!B85, Games!C85))</f>
        <v>UCLA</v>
      </c>
      <c r="K85" s="65" t="str">
        <f>Games!K85</f>
        <v>UCLA</v>
      </c>
      <c r="L85" s="65" t="n">
        <f>IF(ISBLANK(Games!D85), "",Games!D85)</f>
        <v>14.5</v>
      </c>
      <c r="M85" s="65"/>
      <c r="N85" s="167" t="str">
        <f>IF(ISBLANK(Table123[[#This Row],[Odds Side - Difference Model]]), "", 1)</f>
      </c>
      <c r="O85" s="167" t="str">
        <f>IF(ISBLANK(Table123[[#This Row],[Odds Spread]]), "", 1)</f>
      </c>
      <c r="P85" s="67"/>
      <c r="Q85" s="67"/>
      <c r="R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5" s="67"/>
      <c r="T85" s="67"/>
      <c r="U85" s="168" t="str">
        <f>IF(ISBLANK(Table123[[#This Row],[Odds Side - Difference Model]]), "",N85+IF(Q85&lt;0, (N85/(Q85/-100)), N85*(Q85/100)))</f>
      </c>
      <c r="V85" s="169" t="str">
        <f>IFERROR(IF(ISBLANK(Table123[[#This Row],[Odds Side - Win Probability Model]]), "",N85+IF(R85&lt;0, (N85/(R85/-100)), N85*(R85/100))),"")</f>
      </c>
      <c r="W85" s="168" t="str">
        <f t="shared" si="8"/>
      </c>
      <c r="X85" s="169" t="str">
        <f t="shared" si="9"/>
      </c>
      <c r="Y85" s="168" t="str">
        <f>IF(ISBLANK(Table123[[#This Row],[Odds Spread]]), "",O85+IF(S85&lt;0, (O85/(S85/-100)), O85*(S85/100)))</f>
      </c>
      <c r="Z85" s="168" t="str">
        <f t="shared" si="10"/>
      </c>
      <c r="AA85" s="68" t="n">
        <f t="shared" si="11"/>
        <v>0</v>
      </c>
      <c r="AB85" s="68" t="n">
        <f t="shared" si="12"/>
        <v>0</v>
      </c>
      <c r="AC85" s="170" t="str">
        <f>IF('Prediction Log'!$T86="Y", "W", IF('Prediction Log'!$T86="N","L",""))</f>
        <v>W</v>
      </c>
      <c r="AD85" s="171" t="str">
        <f>IF('Prediction Log'!$V86="Y", "W", IF('Prediction Log'!$V86="N","L",""))</f>
        <v>W</v>
      </c>
      <c r="AE85" s="172" t="str">
        <f>IF(ISBLANK(Table123[[#This Row],[Odds Side - Difference Model]]), "",IF(AC85="W", W85, IF(AC85="L",-N85, "")))</f>
      </c>
      <c r="AF85" s="173" t="str">
        <f>IFERROR((IF(ISERR(Table123[[#This Row],[Potential Payout Side - Win Probability Model]]), "",IF(AD85="W", X85, IF(AD85="L",-N85, "")))), "")</f>
      </c>
      <c r="AG85" s="170" t="str">
        <f>IF('Prediction Log'!$U86="Y", "W", IF('Prediction Log'!$U86="N", "L", ""))</f>
        <v>L</v>
      </c>
      <c r="AH85" s="172" t="str">
        <f>IF(ISBLANK(Table123[[#This Row],[Odds Spread]]), "",IF(AG85="W", Z85, IF(AG85="L",-O85, "")))</f>
      </c>
      <c r="AI85" s="184"/>
      <c r="AJ85" s="183" t="str">
        <f t="shared" si="13"/>
      </c>
      <c r="AK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6">
      <c r="A86" s="65" t="n">
        <f>Games!A86</f>
        <v>1</v>
      </c>
      <c r="B86" s="65" t="str">
        <f>IF('Prediction Log'!B87=0, "",'Prediction Log'!B87)</f>
        <v>Texas A&amp;M</v>
      </c>
      <c r="C86" s="65" t="str">
        <f>IF('Prediction Log'!C87=0, "",'Prediction Log'!C87)</f>
        <v>Notre Dame</v>
      </c>
      <c r="D86" s="65" t="n">
        <f>IF('Prediction Log'!D87=0, "",'Prediction Log'!D87)</f>
        <v>-2.5</v>
      </c>
      <c r="E86" s="65" t="n">
        <f>IF('Prediction Log'!E87=0, "",'Prediction Log'!E87)</f>
        <v>9.6</v>
      </c>
      <c r="F86" s="65" t="str">
        <f>IF('Prediction Log'!H87=0, "",'Prediction Log'!H87)</f>
        <v>Notre Dame</v>
      </c>
      <c r="G86" s="64" t="str">
        <f>IF(ISBLANK(Games!B86), "",'Prediction Log'!$I87)</f>
        <v>Notre Dame</v>
      </c>
      <c r="H86" s="66" t="n">
        <f>'Prediction Log'!$J87</f>
        <v>0.6528175474869089</v>
      </c>
      <c r="I86" s="65" t="str">
        <f>IF(ISBLANK(Games!T86), "",IF(AND(Games!T86="",Games!U86=""),"",IF(ISTEXT(Games!U86), "Side",Games!T86)))</f>
        <v>Spread</v>
      </c>
      <c r="J86" s="65" t="str">
        <f>IF(ISBLANK(Games!B86), "",IF(Games!P86="Y", Games!B86, Games!C86))</f>
        <v>Texas A&amp;M</v>
      </c>
      <c r="K86" s="65" t="str">
        <f>Games!K86</f>
        <v>Notre Dame</v>
      </c>
      <c r="L86" s="65" t="str">
        <f>IF(ISBLANK(Games!D86), "",Games!D86)</f>
        <v>-2.5</v>
      </c>
      <c r="M86" s="65"/>
      <c r="N86" s="167" t="str">
        <f>IF(ISBLANK(Table123[[#This Row],[Odds Side - Difference Model]]), "", 1)</f>
      </c>
      <c r="O86" s="167" t="str">
        <f>IF(ISBLANK(Table123[[#This Row],[Odds Spread]]), "", 1)</f>
      </c>
      <c r="P86" s="67"/>
      <c r="Q86" s="67"/>
      <c r="R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6" s="67"/>
      <c r="T86" s="67"/>
      <c r="U86" s="168" t="str">
        <f>IF(ISBLANK(Table123[[#This Row],[Odds Side - Difference Model]]), "",N86+IF(Q86&lt;0, (N86/(Q86/-100)), N86*(Q86/100)))</f>
      </c>
      <c r="V86" s="169" t="str">
        <f>IFERROR(IF(ISBLANK(Table123[[#This Row],[Odds Side - Win Probability Model]]), "",N86+IF(R86&lt;0, (N86/(R86/-100)), N86*(R86/100))),"")</f>
      </c>
      <c r="W86" s="168" t="str">
        <f t="shared" si="8"/>
      </c>
      <c r="X86" s="169" t="str">
        <f t="shared" si="9"/>
      </c>
      <c r="Y86" s="168" t="str">
        <f>IF(ISBLANK(Table123[[#This Row],[Odds Spread]]), "",O86+IF(S86&lt;0, (O86/(S86/-100)), O86*(S86/100)))</f>
      </c>
      <c r="Z86" s="168" t="str">
        <f t="shared" si="10"/>
      </c>
      <c r="AA86" s="68" t="n">
        <f t="shared" si="11"/>
        <v>0</v>
      </c>
      <c r="AB86" s="68" t="n">
        <f t="shared" si="12"/>
        <v>0</v>
      </c>
      <c r="AC86" s="170" t="str">
        <f>IF('Prediction Log'!$T87="Y", "W", IF('Prediction Log'!$T87="N","L",""))</f>
        <v>W</v>
      </c>
      <c r="AD86" s="171" t="str">
        <f>IF('Prediction Log'!$V87="Y", "W", IF('Prediction Log'!$V87="N","L",""))</f>
        <v>W</v>
      </c>
      <c r="AE86" s="172" t="str">
        <f>IF(ISBLANK(Table123[[#This Row],[Odds Side - Difference Model]]), "",IF(AC86="W", W86, IF(AC86="L",-N86, "")))</f>
      </c>
      <c r="AF86" s="173" t="str">
        <f>IFERROR((IF(ISERR(Table123[[#This Row],[Potential Payout Side - Win Probability Model]]), "",IF(AD86="W", X86, IF(AD86="L",-N86, "")))), "")</f>
      </c>
      <c r="AG86" s="170" t="str">
        <f>IF('Prediction Log'!$U87="Y", "W", IF('Prediction Log'!$U87="N", "L", ""))</f>
        <v>L</v>
      </c>
      <c r="AH86" s="172" t="str">
        <f>IF(ISBLANK(Table123[[#This Row],[Odds Spread]]), "",IF(AG86="W", Z86, IF(AG86="L",-O86, "")))</f>
      </c>
      <c r="AI86" s="184"/>
      <c r="AJ86" s="183" t="str">
        <f t="shared" si="13"/>
      </c>
      <c r="AK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7">
      <c r="A87" s="65" t="n">
        <f>Games!A87</f>
        <v>1</v>
      </c>
      <c r="B87" s="65" t="str">
        <f>IF('Prediction Log'!B88=0, "",'Prediction Log'!B88)</f>
        <v>Kentucky</v>
      </c>
      <c r="C87" s="65" t="str">
        <f>IF('Prediction Log'!C88=0, "",'Prediction Log'!C88)</f>
        <v>Southern Mississippi</v>
      </c>
      <c r="D87" s="65" t="n">
        <f>IF('Prediction Log'!D88=0, "",'Prediction Log'!D88)</f>
        <v>-25.5</v>
      </c>
      <c r="E87" s="65" t="n">
        <f>IF('Prediction Log'!E88=0, "",'Prediction Log'!E88)</f>
        <v>-50</v>
      </c>
      <c r="F87" s="65" t="str">
        <f>IF('Prediction Log'!H88=0, "",'Prediction Log'!H88)</f>
        <v>Kentucky</v>
      </c>
      <c r="G87" s="64" t="str">
        <f>IF(ISBLANK(Games!B87), "",'Prediction Log'!$I88)</f>
        <v>Kentucky</v>
      </c>
      <c r="H87" s="66" t="n">
        <f>'Prediction Log'!$J88</f>
        <v>0.92336769261813212</v>
      </c>
      <c r="I87" s="65" t="str">
        <f>IF(ISBLANK(Games!T87), "",IF(AND(Games!T87="",Games!U87=""),"",IF(ISTEXT(Games!U87), "Side",Games!T87)))</f>
      </c>
      <c r="J87" s="65" t="str">
        <f>IF(ISBLANK(Games!B87), "",IF(Games!P87="Y", Games!B87, Games!C87))</f>
        <v>Kentucky</v>
      </c>
      <c r="K87" s="65" t="str">
        <f>Games!K87</f>
        <v>Kentucky</v>
      </c>
      <c r="L87" s="65" t="str">
        <f>IF(ISBLANK(Games!D87), "",Games!D87)</f>
        <v>-25.5</v>
      </c>
      <c r="M87" s="65"/>
      <c r="N87" s="167" t="str">
        <f>IF(ISBLANK(Table123[[#This Row],[Odds Side - Difference Model]]), "", 1)</f>
      </c>
      <c r="O87" s="167" t="str">
        <f>IF(ISBLANK(Table123[[#This Row],[Odds Spread]]), "", 1)</f>
      </c>
      <c r="P87" s="67"/>
      <c r="Q87" s="67"/>
      <c r="R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7" s="67"/>
      <c r="T87" s="67"/>
      <c r="U87" s="168" t="str">
        <f>IF(ISBLANK(Table123[[#This Row],[Odds Side - Difference Model]]), "",N87+IF(Q87&lt;0, (N87/(Q87/-100)), N87*(Q87/100)))</f>
      </c>
      <c r="V87" s="169" t="str">
        <f>IFERROR(IF(ISBLANK(Table123[[#This Row],[Odds Side - Win Probability Model]]), "",N87+IF(R87&lt;0, (N87/(R87/-100)), N87*(R87/100))),"")</f>
      </c>
      <c r="W87" s="168" t="str">
        <f t="shared" si="8"/>
      </c>
      <c r="X87" s="169" t="str">
        <f t="shared" si="9"/>
      </c>
      <c r="Y87" s="168" t="str">
        <f>IF(ISBLANK(Table123[[#This Row],[Odds Spread]]), "",O87+IF(S87&lt;0, (O87/(S87/-100)), O87*(S87/100)))</f>
      </c>
      <c r="Z87" s="168" t="str">
        <f t="shared" si="10"/>
      </c>
      <c r="AA87" s="68" t="n">
        <f t="shared" si="11"/>
        <v>0</v>
      </c>
      <c r="AB87" s="68" t="n">
        <f t="shared" si="12"/>
        <v>0</v>
      </c>
      <c r="AC87" s="170" t="str">
        <f>IF('Prediction Log'!$T88="Y", "W", IF('Prediction Log'!$T88="N","L",""))</f>
        <v>W</v>
      </c>
      <c r="AD87" s="171" t="str">
        <f>IF('Prediction Log'!$V88="Y", "W", IF('Prediction Log'!$V88="N","L",""))</f>
        <v>W</v>
      </c>
      <c r="AE87" s="172" t="str">
        <f>IF(ISBLANK(Table123[[#This Row],[Odds Side - Difference Model]]), "",IF(AC87="W", W87, IF(AC87="L",-N87, "")))</f>
      </c>
      <c r="AF87" s="173" t="str">
        <f>IFERROR((IF(ISERR(Table123[[#This Row],[Potential Payout Side - Win Probability Model]]), "",IF(AD87="W", X87, IF(AD87="L",-N87, "")))), "")</f>
      </c>
      <c r="AG87" s="170" t="str">
        <f>IF('Prediction Log'!$U88="Y", "W", IF('Prediction Log'!$U88="N", "L", ""))</f>
        <v>W</v>
      </c>
      <c r="AH87" s="172" t="str">
        <f>IF(ISBLANK(Table123[[#This Row],[Odds Spread]]), "",IF(AG87="W", Z87, IF(AG87="L",-O87, "")))</f>
      </c>
      <c r="AI87" s="184"/>
      <c r="AJ87" s="183" t="str">
        <f t="shared" si="13"/>
      </c>
      <c r="AK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8">
      <c r="A88" s="65" t="n">
        <f>Games!A88</f>
        <v>1</v>
      </c>
      <c r="B88" s="65" t="str">
        <f>IF('Prediction Log'!B89=0, "",'Prediction Log'!B89)</f>
        <v>Charlotte</v>
      </c>
      <c r="C88" s="65" t="str">
        <f>IF('Prediction Log'!C89=0, "",'Prediction Log'!C89)</f>
        <v>James Madison</v>
      </c>
      <c r="D88" s="65" t="n">
        <f>IF('Prediction Log'!D89=0, "",'Prediction Log'!D89)</f>
        <v>7.5</v>
      </c>
      <c r="E88" s="65" t="n">
        <f>IF('Prediction Log'!E89=0, "",'Prediction Log'!E89)</f>
        <v>55.8</v>
      </c>
      <c r="F88" s="65" t="str">
        <f>IF('Prediction Log'!H89=0, "",'Prediction Log'!H89)</f>
        <v>James Madison</v>
      </c>
      <c r="G88" s="64" t="str">
        <f>IF(ISBLANK(Games!B88), "",'Prediction Log'!$I89)</f>
        <v>James Madison</v>
      </c>
      <c r="H88" s="66" t="n">
        <f>'Prediction Log'!$J89</f>
        <v>0.8665086864552014</v>
      </c>
      <c r="I88" s="65" t="str">
        <f>IF(ISBLANK(Games!T88), "",IF(AND(Games!T88="",Games!U88=""),"",IF(ISTEXT(Games!U88), "Side",Games!T88)))</f>
      </c>
      <c r="J88" s="65" t="str">
        <f>IF(ISBLANK(Games!B88), "",IF(Games!P88="Y", Games!B88, Games!C88))</f>
        <v>Charlotte</v>
      </c>
      <c r="K88" s="65" t="str">
        <f>Games!K88</f>
        <v>James Madison</v>
      </c>
      <c r="L88" s="65" t="str">
        <f>IF(ISBLANK(Games!D88), "",Games!D88)</f>
        <v>7.5</v>
      </c>
      <c r="M88" s="65"/>
      <c r="N88" s="167" t="str">
        <f>IF(ISBLANK(Table123[[#This Row],[Odds Side - Difference Model]]), "", 1)</f>
      </c>
      <c r="O88" s="167" t="str">
        <f>IF(ISBLANK(Table123[[#This Row],[Odds Spread]]), "", 1)</f>
      </c>
      <c r="P88" s="67"/>
      <c r="Q88" s="67"/>
      <c r="R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8" s="67"/>
      <c r="T88" s="67"/>
      <c r="U88" s="168" t="str">
        <f>IF(ISBLANK(Table123[[#This Row],[Odds Side - Difference Model]]), "",N88+IF(Q88&lt;0, (N88/(Q88/-100)), N88*(Q88/100)))</f>
      </c>
      <c r="V88" s="169" t="str">
        <f>IFERROR(IF(ISBLANK(Table123[[#This Row],[Odds Side - Win Probability Model]]), "",N88+IF(R88&lt;0, (N88/(R88/-100)), N88*(R88/100))),"")</f>
      </c>
      <c r="W88" s="168" t="str">
        <f t="shared" si="8"/>
      </c>
      <c r="X88" s="169" t="str">
        <f t="shared" si="9"/>
      </c>
      <c r="Y88" s="168" t="str">
        <f>IF(ISBLANK(Table123[[#This Row],[Odds Spread]]), "",O88+IF(S88&lt;0, (O88/(S88/-100)), O88*(S88/100)))</f>
      </c>
      <c r="Z88" s="168" t="str">
        <f t="shared" si="10"/>
      </c>
      <c r="AA88" s="68" t="n">
        <f t="shared" si="11"/>
        <v>0</v>
      </c>
      <c r="AB88" s="68" t="n">
        <f t="shared" si="12"/>
        <v>0</v>
      </c>
      <c r="AC88" s="170" t="str">
        <f>IF('Prediction Log'!$T89="Y", "W", IF('Prediction Log'!$T89="N","L",""))</f>
        <v>W</v>
      </c>
      <c r="AD88" s="171" t="str">
        <f>IF('Prediction Log'!$V89="Y", "W", IF('Prediction Log'!$V89="N","L",""))</f>
        <v>W</v>
      </c>
      <c r="AE88" s="172" t="str">
        <f>IF(ISBLANK(Table123[[#This Row],[Odds Side - Difference Model]]), "",IF(AC88="W", W88, IF(AC88="L",-N88, "")))</f>
      </c>
      <c r="AF88" s="173" t="str">
        <f>IFERROR((IF(ISERR(Table123[[#This Row],[Potential Payout Side - Win Probability Model]]), "",IF(AD88="W", X88, IF(AD88="L",-N88, "")))), "")</f>
      </c>
      <c r="AG88" s="170" t="str">
        <f>IF('Prediction Log'!$U89="Y", "W", IF('Prediction Log'!$U89="N", "L", ""))</f>
        <v>L</v>
      </c>
      <c r="AH88" s="172" t="str">
        <f>IF(ISBLANK(Table123[[#This Row],[Odds Spread]]), "",IF(AG88="W", Z88, IF(AG88="L",-O88, "")))</f>
      </c>
      <c r="AI88" s="184"/>
      <c r="AJ88" s="183" t="str">
        <f t="shared" si="13"/>
      </c>
      <c r="AK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9">
      <c r="A89" s="65" t="n">
        <f>Games!A89</f>
        <v>1</v>
      </c>
      <c r="B89" s="65" t="str">
        <f>IF('Prediction Log'!B90=0, "",'Prediction Log'!B90)</f>
        <v>Georgia Tech</v>
      </c>
      <c r="C89" s="65" t="str">
        <f>IF('Prediction Log'!C90=0, "",'Prediction Log'!C90)</f>
        <v>Georgia State</v>
      </c>
      <c r="D89" s="65" t="n">
        <f>IF('Prediction Log'!D90=0, "",'Prediction Log'!D90)</f>
        <v>-20.5</v>
      </c>
      <c r="E89" s="65" t="n">
        <f>IF('Prediction Log'!E90=0, "",'Prediction Log'!E90)</f>
        <v>-18</v>
      </c>
      <c r="F89" s="65" t="str">
        <f>IF('Prediction Log'!H90=0, "",'Prediction Log'!H90)</f>
        <v>Georgia Tech</v>
      </c>
      <c r="G89" s="64" t="str">
        <f>IF(ISBLANK(Games!B89), "",'Prediction Log'!$I90)</f>
        <v>Georgia Tech</v>
      </c>
      <c r="H89" s="66" t="n">
        <f>'Prediction Log'!$J90</f>
        <v>0.82221498736908349</v>
      </c>
      <c r="I89" s="65" t="str">
        <f>IF(ISBLANK(Games!T89), "",IF(AND(Games!T89="",Games!U89=""),"",IF(ISTEXT(Games!U89), "Side",Games!T89)))</f>
      </c>
      <c r="J89" s="65" t="str">
        <f>IF(ISBLANK(Games!B89), "",IF(Games!P89="Y", Games!B89, Games!C89))</f>
        <v>Georgia Tech</v>
      </c>
      <c r="K89" s="65" t="str">
        <f>Games!K89</f>
        <v>Georgia Tech</v>
      </c>
      <c r="L89" s="65" t="str">
        <f>IF(ISBLANK(Games!D89), "",Games!D89)</f>
        <v>-20.5</v>
      </c>
      <c r="M89" s="65"/>
      <c r="N89" s="167" t="str">
        <f>IF(ISBLANK(Table123[[#This Row],[Odds Side - Difference Model]]), "", 1)</f>
      </c>
      <c r="O89" s="167" t="str">
        <f>IF(ISBLANK(Table123[[#This Row],[Odds Spread]]), "", 1)</f>
      </c>
      <c r="P89" s="67"/>
      <c r="Q89" s="67"/>
      <c r="R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9" s="67"/>
      <c r="T89" s="67"/>
      <c r="U89" s="168" t="str">
        <f>IF(ISBLANK(Table123[[#This Row],[Odds Side - Difference Model]]), "",N89+IF(Q89&lt;0, (N89/(Q89/-100)), N89*(Q89/100)))</f>
      </c>
      <c r="V89" s="169" t="str">
        <f>IFERROR(IF(ISBLANK(Table123[[#This Row],[Odds Side - Win Probability Model]]), "",N89+IF(R89&lt;0, (N89/(R89/-100)), N89*(R89/100))),"")</f>
      </c>
      <c r="W89" s="168" t="str">
        <f t="shared" si="8"/>
      </c>
      <c r="X89" s="169" t="str">
        <f t="shared" si="9"/>
      </c>
      <c r="Y89" s="168" t="str">
        <f>IF(ISBLANK(Table123[[#This Row],[Odds Spread]]), "",O89+IF(S89&lt;0, (O89/(S89/-100)), O89*(S89/100)))</f>
      </c>
      <c r="Z89" s="168" t="str">
        <f t="shared" si="10"/>
      </c>
      <c r="AA89" s="68" t="n">
        <f t="shared" si="11"/>
        <v>0</v>
      </c>
      <c r="AB89" s="68" t="n">
        <f t="shared" si="12"/>
        <v>0</v>
      </c>
      <c r="AC89" s="170" t="str">
        <f>IF('Prediction Log'!$T90="Y", "W", IF('Prediction Log'!$T90="N","L",""))</f>
        <v>W</v>
      </c>
      <c r="AD89" s="171" t="str">
        <f>IF('Prediction Log'!$V90="Y", "W", IF('Prediction Log'!$V90="N","L",""))</f>
        <v>W</v>
      </c>
      <c r="AE89" s="172" t="str">
        <f>IF(ISBLANK(Table123[[#This Row],[Odds Side - Difference Model]]), "",IF(AC89="W", W89, IF(AC89="L",-N89, "")))</f>
      </c>
      <c r="AF89" s="173" t="str">
        <f>IFERROR((IF(ISERR(Table123[[#This Row],[Potential Payout Side - Win Probability Model]]), "",IF(AD89="W", X89, IF(AD89="L",-N89, "")))), "")</f>
      </c>
      <c r="AG89" s="170" t="str">
        <f>IF('Prediction Log'!$U90="Y", "W", IF('Prediction Log'!$U90="N", "L", ""))</f>
        <v>W</v>
      </c>
      <c r="AH89" s="172" t="str">
        <f>IF(ISBLANK(Table123[[#This Row],[Odds Spread]]), "",IF(AG89="W", Z89, IF(AG89="L",-O89, "")))</f>
      </c>
      <c r="AI89" s="184"/>
      <c r="AJ89" s="183" t="str">
        <f t="shared" si="13"/>
      </c>
      <c r="AK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0">
      <c r="A90" s="65" t="n">
        <f>Games!A90</f>
        <v>1</v>
      </c>
      <c r="B90" s="65" t="str">
        <f>IF('Prediction Log'!B91=0, "",'Prediction Log'!B91)</f>
        <v>SMU</v>
      </c>
      <c r="C90" s="65" t="str">
        <f>IF('Prediction Log'!C91=0, "",'Prediction Log'!C91)</f>
        <v>Houston Christian</v>
      </c>
      <c r="D90" s="65" t="n">
        <f>IF('Prediction Log'!D91=0, "",'Prediction Log'!D91)</f>
        <v>-44.5</v>
      </c>
      <c r="E90" s="65" t="n">
        <f>IF('Prediction Log'!E91=0, "",'Prediction Log'!E91)</f>
        <v>-34.167705660108801</v>
      </c>
      <c r="F90" s="65" t="str">
        <f>IF('Prediction Log'!H91=0, "",'Prediction Log'!H91)</f>
        <v>SMU</v>
      </c>
      <c r="G90" s="64" t="str">
        <f>IF(ISBLANK(Games!B90), "",'Prediction Log'!$I91)</f>
        <v>SMU</v>
      </c>
      <c r="H90" s="66" t="n">
        <f>'Prediction Log'!$J91</f>
        <v>0.99454065003571879</v>
      </c>
      <c r="I90" s="65" t="str">
        <f>IF(ISBLANK(Games!T90), "",IF(AND(Games!T90="",Games!U90=""),"",IF(ISTEXT(Games!U90), "Side",Games!T90)))</f>
      </c>
      <c r="J90" s="65" t="str">
        <f>IF(ISBLANK(Games!B90), "",IF(Games!P90="Y", Games!B90, Games!C90))</f>
        <v>Houston Christian</v>
      </c>
      <c r="K90" s="65" t="str">
        <f>Games!K90</f>
        <v>SMU</v>
      </c>
      <c r="L90" s="65" t="n">
        <f>IF(ISBLANK(Games!D90), "",Games!D90)</f>
        <v>-44.5</v>
      </c>
      <c r="M90" s="65"/>
      <c r="N90" s="167" t="str">
        <f>IF(ISBLANK(Table123[[#This Row],[Odds Side - Difference Model]]), "", 1)</f>
      </c>
      <c r="O90" s="167" t="str">
        <f>IF(ISBLANK(Table123[[#This Row],[Odds Spread]]), "", 1)</f>
      </c>
      <c r="P90" s="67"/>
      <c r="Q90" s="67"/>
      <c r="R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0" s="67"/>
      <c r="T90" s="67"/>
      <c r="U90" s="168" t="str">
        <f>IF(ISBLANK(Table123[[#This Row],[Odds Side - Difference Model]]), "",N90+IF(Q90&lt;0, (N90/(Q90/-100)), N90*(Q90/100)))</f>
      </c>
      <c r="V90" s="169" t="str">
        <f>IFERROR(IF(ISBLANK(Table123[[#This Row],[Odds Side - Win Probability Model]]), "",N90+IF(R90&lt;0, (N90/(R90/-100)), N90*(R90/100))),"")</f>
      </c>
      <c r="W90" s="168" t="str">
        <f t="shared" si="8"/>
      </c>
      <c r="X90" s="169" t="str">
        <f t="shared" si="9"/>
      </c>
      <c r="Y90" s="168" t="str">
        <f>IF(ISBLANK(Table123[[#This Row],[Odds Spread]]), "",O90+IF(S90&lt;0, (O90/(S90/-100)), O90*(S90/100)))</f>
      </c>
      <c r="Z90" s="168" t="str">
        <f t="shared" si="10"/>
      </c>
      <c r="AA90" s="68" t="n">
        <f t="shared" si="11"/>
        <v>0</v>
      </c>
      <c r="AB90" s="68" t="n">
        <f t="shared" si="12"/>
        <v>0</v>
      </c>
      <c r="AC90" s="170" t="str">
        <f>IF('Prediction Log'!$T91="Y", "W", IF('Prediction Log'!$T91="N","L",""))</f>
        <v>W</v>
      </c>
      <c r="AD90" s="171" t="str">
        <f>IF('Prediction Log'!$V91="Y", "W", IF('Prediction Log'!$V91="N","L",""))</f>
        <v>W</v>
      </c>
      <c r="AE90" s="172" t="str">
        <f>IF(ISBLANK(Table123[[#This Row],[Odds Side - Difference Model]]), "",IF(AC90="W", W90, IF(AC90="L",-N90, "")))</f>
      </c>
      <c r="AF90" s="173" t="str">
        <f>IFERROR((IF(ISERR(Table123[[#This Row],[Potential Payout Side - Win Probability Model]]), "",IF(AD90="W", X90, IF(AD90="L",-N90, "")))), "")</f>
      </c>
      <c r="AG90" s="170" t="str">
        <f>IF('Prediction Log'!$U91="Y", "W", IF('Prediction Log'!$U91="N", "L", ""))</f>
        <v>L</v>
      </c>
      <c r="AH90" s="172" t="str">
        <f>IF(ISBLANK(Table123[[#This Row],[Odds Spread]]), "",IF(AG90="W", Z90, IF(AG90="L",-O90, "")))</f>
      </c>
      <c r="AI90" s="184"/>
      <c r="AJ90" s="183" t="str">
        <f t="shared" si="13"/>
      </c>
      <c r="AK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1">
      <c r="A91" s="65" t="n">
        <f>Games!A91</f>
        <v>1</v>
      </c>
      <c r="B91" s="65" t="str">
        <f>IF('Prediction Log'!B92=0, "",'Prediction Log'!B92)</f>
        <v>Louisiana</v>
      </c>
      <c r="C91" s="65" t="str">
        <f>IF('Prediction Log'!C92=0, "",'Prediction Log'!C92)</f>
        <v>Grambling</v>
      </c>
      <c r="D91" s="65" t="str">
        <f>IF('Prediction Log'!D92=0, "",'Prediction Log'!D92)</f>
      </c>
      <c r="E91" s="65" t="n">
        <f>IF('Prediction Log'!E92=0, "",'Prediction Log'!E92)</f>
        <v>-18.668598852337201</v>
      </c>
      <c r="F91" s="65" t="str">
        <f>IF('Prediction Log'!H92=0, "",'Prediction Log'!H92)</f>
        <v>Louisiana</v>
      </c>
      <c r="G91" s="64" t="str">
        <f>IF(ISBLANK(Games!B91), "",'Prediction Log'!$I92)</f>
        <v>Louisiana</v>
      </c>
      <c r="H91" s="66" t="n">
        <f>'Prediction Log'!$J92</f>
        <v>0.95140644622030979</v>
      </c>
      <c r="I91" s="65" t="str">
        <f>IF(ISBLANK(Games!T91), "",IF(AND(Games!T91="",Games!U91=""),"",IF(ISTEXT(Games!U91), "Side",Games!T91)))</f>
      </c>
      <c r="J91" s="65" t="str">
        <f>IF(ISBLANK(Games!B91), "",IF(Games!P91="Y", Games!B91, Games!C91))</f>
        <v>Louisiana</v>
      </c>
      <c r="K91" s="65" t="str">
        <f>Games!K91</f>
        <v>Louisiana</v>
      </c>
      <c r="L91" s="65" t="str">
        <f>IF(ISBLANK(Games!D91), "",Games!D91)</f>
      </c>
      <c r="M91" s="65"/>
      <c r="N91" s="167" t="str">
        <f>IF(ISBLANK(Table123[[#This Row],[Odds Side - Difference Model]]), "", 1)</f>
      </c>
      <c r="O91" s="167" t="str">
        <f>IF(ISBLANK(Table123[[#This Row],[Odds Spread]]), "", 1)</f>
      </c>
      <c r="P91" s="67"/>
      <c r="Q91" s="67"/>
      <c r="R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1" s="67"/>
      <c r="T91" s="67"/>
      <c r="U91" s="168" t="str">
        <f>IF(ISBLANK(Table123[[#This Row],[Odds Side - Difference Model]]), "",N91+IF(Q91&lt;0, (N91/(Q91/-100)), N91*(Q91/100)))</f>
      </c>
      <c r="V91" s="169" t="str">
        <f>IFERROR(IF(ISBLANK(Table123[[#This Row],[Odds Side - Win Probability Model]]), "",N91+IF(R91&lt;0, (N91/(R91/-100)), N91*(R91/100))),"")</f>
      </c>
      <c r="W91" s="168" t="str">
        <f t="shared" si="8"/>
      </c>
      <c r="X91" s="169" t="str">
        <f t="shared" si="9"/>
      </c>
      <c r="Y91" s="168" t="str">
        <f>IF(ISBLANK(Table123[[#This Row],[Odds Spread]]), "",O91+IF(S91&lt;0, (O91/(S91/-100)), O91*(S91/100)))</f>
      </c>
      <c r="Z91" s="168" t="str">
        <f t="shared" si="10"/>
      </c>
      <c r="AA91" s="68" t="n">
        <f t="shared" si="11"/>
        <v>0</v>
      </c>
      <c r="AB91" s="68" t="n">
        <f t="shared" si="12"/>
        <v>0</v>
      </c>
      <c r="AC91" s="170" t="str">
        <f>IF('Prediction Log'!$T92="Y", "W", IF('Prediction Log'!$T92="N","L",""))</f>
        <v>W</v>
      </c>
      <c r="AD91" s="171" t="str">
        <f>IF('Prediction Log'!$V92="Y", "W", IF('Prediction Log'!$V92="N","L",""))</f>
        <v>W</v>
      </c>
      <c r="AE91" s="172" t="str">
        <f>IF(ISBLANK(Table123[[#This Row],[Odds Side - Difference Model]]), "",IF(AC91="W", W91, IF(AC91="L",-N91, "")))</f>
      </c>
      <c r="AF91" s="173" t="str">
        <f>IFERROR((IF(ISERR(Table123[[#This Row],[Potential Payout Side - Win Probability Model]]), "",IF(AD91="W", X91, IF(AD91="L",-N91, "")))), "")</f>
      </c>
      <c r="AG91" s="170" t="str">
        <f>IF('Prediction Log'!$U92="Y", "W", IF('Prediction Log'!$U92="N", "L", ""))</f>
      </c>
      <c r="AH91" s="172" t="str">
        <f>IF(ISBLANK(Table123[[#This Row],[Odds Spread]]), "",IF(AG91="W", Z91, IF(AG91="L",-O91, "")))</f>
      </c>
      <c r="AI91" s="184"/>
      <c r="AJ91" s="183" t="str">
        <f t="shared" si="13"/>
      </c>
      <c r="AK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2">
      <c r="A92" s="65" t="n">
        <f>Games!A92</f>
        <v>1</v>
      </c>
      <c r="B92" s="65" t="str">
        <f>IF('Prediction Log'!B93=0, "",'Prediction Log'!B93)</f>
        <v>Louisiana Tech</v>
      </c>
      <c r="C92" s="65" t="str">
        <f>IF('Prediction Log'!C93=0, "",'Prediction Log'!C93)</f>
        <v>Nicholls</v>
      </c>
      <c r="D92" s="65" t="str">
        <f>IF('Prediction Log'!D93=0, "",'Prediction Log'!D93)</f>
      </c>
      <c r="E92" s="65" t="n">
        <f>IF('Prediction Log'!E93=0, "",'Prediction Log'!E93)</f>
        <v>-7.9069049199755996</v>
      </c>
      <c r="F92" s="65" t="str">
        <f>IF('Prediction Log'!H93=0, "",'Prediction Log'!H93)</f>
        <v>Louisiana Tech</v>
      </c>
      <c r="G92" s="64" t="str">
        <f>IF(ISBLANK(Games!B92), "",'Prediction Log'!$I93)</f>
        <v>Louisiana Tech</v>
      </c>
      <c r="H92" s="66" t="n">
        <f>'Prediction Log'!$J93</f>
        <v>0.80623328867444155</v>
      </c>
      <c r="I92" s="65" t="str">
        <f>IF(ISBLANK(Games!T92), "",IF(AND(Games!T92="",Games!U92=""),"",IF(ISTEXT(Games!U92), "Side",Games!T92)))</f>
      </c>
      <c r="J92" s="65" t="str">
        <f>IF(ISBLANK(Games!B92), "",IF(Games!P92="Y", Games!B92, Games!C92))</f>
        <v>Louisiana Tech</v>
      </c>
      <c r="K92" s="65" t="str">
        <f>Games!K92</f>
        <v>Louisiana Tech</v>
      </c>
      <c r="L92" s="65" t="str">
        <f>IF(ISBLANK(Games!D92), "",Games!D92)</f>
      </c>
      <c r="M92" s="65"/>
      <c r="N92" s="167" t="str">
        <f>IF(ISBLANK(Table123[[#This Row],[Odds Side - Difference Model]]), "", 1)</f>
      </c>
      <c r="O92" s="167" t="str">
        <f>IF(ISBLANK(Table123[[#This Row],[Odds Spread]]), "", 1)</f>
      </c>
      <c r="P92" s="67"/>
      <c r="Q92" s="67"/>
      <c r="R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2" s="67"/>
      <c r="T92" s="67"/>
      <c r="U92" s="168" t="str">
        <f>IF(ISBLANK(Table123[[#This Row],[Odds Side - Difference Model]]), "",N92+IF(Q92&lt;0, (N92/(Q92/-100)), N92*(Q92/100)))</f>
      </c>
      <c r="V92" s="169" t="str">
        <f>IFERROR(IF(ISBLANK(Table123[[#This Row],[Odds Side - Win Probability Model]]), "",N92+IF(R92&lt;0, (N92/(R92/-100)), N92*(R92/100))),"")</f>
      </c>
      <c r="W92" s="168" t="str">
        <f t="shared" si="8"/>
      </c>
      <c r="X92" s="169" t="str">
        <f t="shared" si="9"/>
      </c>
      <c r="Y92" s="168" t="str">
        <f>IF(ISBLANK(Table123[[#This Row],[Odds Spread]]), "",O92+IF(S92&lt;0, (O92/(S92/-100)), O92*(S92/100)))</f>
      </c>
      <c r="Z92" s="168" t="str">
        <f t="shared" si="10"/>
      </c>
      <c r="AA92" s="68" t="n">
        <f t="shared" si="11"/>
        <v>0</v>
      </c>
      <c r="AB92" s="68" t="n">
        <f t="shared" si="12"/>
        <v>0</v>
      </c>
      <c r="AC92" s="170" t="str">
        <f>IF('Prediction Log'!$T93="Y", "W", IF('Prediction Log'!$T93="N","L",""))</f>
        <v>W</v>
      </c>
      <c r="AD92" s="171" t="str">
        <f>IF('Prediction Log'!$V93="Y", "W", IF('Prediction Log'!$V93="N","L",""))</f>
        <v>W</v>
      </c>
      <c r="AE92" s="172" t="str">
        <f>IF(ISBLANK(Table123[[#This Row],[Odds Side - Difference Model]]), "",IF(AC92="W", W92, IF(AC92="L",-N92, "")))</f>
      </c>
      <c r="AF92" s="173" t="str">
        <f>IFERROR((IF(ISERR(Table123[[#This Row],[Potential Payout Side - Win Probability Model]]), "",IF(AD92="W", X92, IF(AD92="L",-N92, "")))), "")</f>
      </c>
      <c r="AG92" s="170" t="str">
        <f>IF('Prediction Log'!$U93="Y", "W", IF('Prediction Log'!$U93="N", "L", ""))</f>
      </c>
      <c r="AH92" s="172" t="str">
        <f>IF(ISBLANK(Table123[[#This Row],[Odds Spread]]), "",IF(AG92="W", Z92, IF(AG92="L",-O92, "")))</f>
      </c>
      <c r="AI92" s="184"/>
      <c r="AJ92" s="183" t="str">
        <f t="shared" si="13"/>
      </c>
      <c r="AK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3">
      <c r="A93" s="65" t="n">
        <f>Games!A93</f>
        <v>1</v>
      </c>
      <c r="B93" s="65" t="str">
        <f>IF('Prediction Log'!B94=0, "",'Prediction Log'!B94)</f>
        <v>Texas State</v>
      </c>
      <c r="C93" s="65" t="str">
        <f>IF('Prediction Log'!C94=0, "",'Prediction Log'!C94)</f>
        <v>Lamar</v>
      </c>
      <c r="D93" s="65" t="str">
        <f>IF('Prediction Log'!D94=0, "",'Prediction Log'!D94)</f>
      </c>
      <c r="E93" s="65" t="n">
        <f>IF('Prediction Log'!E94=0, "",'Prediction Log'!E94)</f>
        <v>-16.450274771128001</v>
      </c>
      <c r="F93" s="65" t="str">
        <f>IF('Prediction Log'!H94=0, "",'Prediction Log'!H94)</f>
        <v>Texas State</v>
      </c>
      <c r="G93" s="64" t="str">
        <f>IF(ISBLANK(Games!B93), "",'Prediction Log'!$I94)</f>
        <v>Texas State</v>
      </c>
      <c r="H93" s="66" t="n">
        <f>'Prediction Log'!$J94</f>
        <v>0.93433125679934681</v>
      </c>
      <c r="I93" s="65" t="str">
        <f>IF(ISBLANK(Games!T93), "",IF(AND(Games!T93="",Games!U93=""),"",IF(ISTEXT(Games!U93), "Side",Games!T93)))</f>
      </c>
      <c r="J93" s="65" t="str">
        <f>IF(ISBLANK(Games!B93), "",IF(Games!P93="Y", Games!B93, Games!C93))</f>
        <v>Texas State</v>
      </c>
      <c r="K93" s="65" t="str">
        <f>Games!K93</f>
        <v>Texas State</v>
      </c>
      <c r="L93" s="65" t="str">
        <f>IF(ISBLANK(Games!D93), "",Games!D93)</f>
      </c>
      <c r="M93" s="65"/>
      <c r="N93" s="167" t="str">
        <f>IF(ISBLANK(Table123[[#This Row],[Odds Side - Difference Model]]), "", 1)</f>
      </c>
      <c r="O93" s="167" t="str">
        <f>IF(ISBLANK(Table123[[#This Row],[Odds Spread]]), "", 1)</f>
      </c>
      <c r="P93" s="67"/>
      <c r="Q93" s="67"/>
      <c r="R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3" s="67"/>
      <c r="T93" s="67"/>
      <c r="U93" s="168" t="str">
        <f>IF(ISBLANK(Table123[[#This Row],[Odds Side - Difference Model]]), "",N93+IF(Q93&lt;0, (N93/(Q93/-100)), N93*(Q93/100)))</f>
      </c>
      <c r="V93" s="169" t="str">
        <f>IFERROR(IF(ISBLANK(Table123[[#This Row],[Odds Side - Win Probability Model]]), "",N93+IF(R93&lt;0, (N93/(R93/-100)), N93*(R93/100))),"")</f>
      </c>
      <c r="W93" s="168" t="str">
        <f t="shared" si="8"/>
      </c>
      <c r="X93" s="169" t="str">
        <f t="shared" si="9"/>
      </c>
      <c r="Y93" s="168" t="str">
        <f>IF(ISBLANK(Table123[[#This Row],[Odds Spread]]), "",O93+IF(S93&lt;0, (O93/(S93/-100)), O93*(S93/100)))</f>
      </c>
      <c r="Z93" s="168" t="str">
        <f t="shared" si="10"/>
      </c>
      <c r="AA93" s="68" t="n">
        <f t="shared" si="11"/>
        <v>0</v>
      </c>
      <c r="AB93" s="68" t="n">
        <f t="shared" si="12"/>
        <v>0</v>
      </c>
      <c r="AC93" s="170" t="str">
        <f>IF('Prediction Log'!$T94="Y", "W", IF('Prediction Log'!$T94="N","L",""))</f>
        <v>W</v>
      </c>
      <c r="AD93" s="171" t="str">
        <f>IF('Prediction Log'!$V94="Y", "W", IF('Prediction Log'!$V94="N","L",""))</f>
        <v>W</v>
      </c>
      <c r="AE93" s="172" t="str">
        <f>IF(ISBLANK(Table123[[#This Row],[Odds Side - Difference Model]]), "",IF(AC93="W", W93, IF(AC93="L",-N93, "")))</f>
      </c>
      <c r="AF93" s="173" t="str">
        <f>IFERROR((IF(ISERR(Table123[[#This Row],[Potential Payout Side - Win Probability Model]]), "",IF(AD93="W", X93, IF(AD93="L",-N93, "")))), "")</f>
      </c>
      <c r="AG93" s="170" t="str">
        <f>IF('Prediction Log'!$U94="Y", "W", IF('Prediction Log'!$U94="N", "L", ""))</f>
      </c>
      <c r="AH93" s="172" t="str">
        <f>IF(ISBLANK(Table123[[#This Row],[Odds Spread]]), "",IF(AG93="W", Z93, IF(AG93="L",-O93, "")))</f>
      </c>
      <c r="AI93" s="184"/>
      <c r="AJ93" s="183" t="str">
        <f t="shared" si="13"/>
      </c>
      <c r="AK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4">
      <c r="A94" s="65" t="n">
        <f>Games!A94</f>
        <v>1</v>
      </c>
      <c r="B94" s="65" t="str">
        <f>IF('Prediction Log'!B95=0, "",'Prediction Log'!B95)</f>
        <v>BYU</v>
      </c>
      <c r="C94" s="65" t="str">
        <f>IF('Prediction Log'!C95=0, "",'Prediction Log'!C95)</f>
        <v>Southern Illinois</v>
      </c>
      <c r="D94" s="65" t="str">
        <f>IF('Prediction Log'!D95=0, "",'Prediction Log'!D95)</f>
      </c>
      <c r="E94" s="65" t="n">
        <f>IF('Prediction Log'!E95=0, "",'Prediction Log'!E95)</f>
        <v>-16.493486635338002</v>
      </c>
      <c r="F94" s="65" t="str">
        <f>IF('Prediction Log'!H95=0, "",'Prediction Log'!H95)</f>
        <v>BYU</v>
      </c>
      <c r="G94" s="64" t="str">
        <f>IF(ISBLANK(Games!B94), "",'Prediction Log'!$I95)</f>
        <v>BYU</v>
      </c>
      <c r="H94" s="66" t="n">
        <f>'Prediction Log'!$J95</f>
        <v>0.93471178378443864</v>
      </c>
      <c r="I94" s="65" t="str">
        <f>IF(ISBLANK(Games!T94), "",IF(AND(Games!T94="",Games!U94=""),"",IF(ISTEXT(Games!U94), "Side",Games!T94)))</f>
      </c>
      <c r="J94" s="65" t="str">
        <f>IF(ISBLANK(Games!B94), "",IF(Games!P94="Y", Games!B94, Games!C94))</f>
        <v>BYU</v>
      </c>
      <c r="K94" s="65" t="str">
        <f>Games!K94</f>
        <v>BYU</v>
      </c>
      <c r="L94" s="65" t="str">
        <f>IF(ISBLANK(Games!D94), "",Games!D94)</f>
      </c>
      <c r="M94" s="65"/>
      <c r="N94" s="167" t="str">
        <f>IF(ISBLANK(Table123[[#This Row],[Odds Side - Difference Model]]), "", 1)</f>
      </c>
      <c r="O94" s="167" t="str">
        <f>IF(ISBLANK(Table123[[#This Row],[Odds Spread]]), "", 1)</f>
      </c>
      <c r="P94" s="67"/>
      <c r="Q94" s="67"/>
      <c r="R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4" s="67"/>
      <c r="T94" s="67"/>
      <c r="U94" s="168" t="str">
        <f>IF(ISBLANK(Table123[[#This Row],[Odds Side - Difference Model]]), "",N94+IF(Q94&lt;0, (N94/(Q94/-100)), N94*(Q94/100)))</f>
      </c>
      <c r="V94" s="169" t="str">
        <f>IFERROR(IF(ISBLANK(Table123[[#This Row],[Odds Side - Win Probability Model]]), "",N94+IF(R94&lt;0, (N94/(R94/-100)), N94*(R94/100))),"")</f>
      </c>
      <c r="W94" s="168" t="str">
        <f t="shared" si="8"/>
      </c>
      <c r="X94" s="169" t="str">
        <f t="shared" si="9"/>
      </c>
      <c r="Y94" s="168" t="str">
        <f>IF(ISBLANK(Table123[[#This Row],[Odds Spread]]), "",O94+IF(S94&lt;0, (O94/(S94/-100)), O94*(S94/100)))</f>
      </c>
      <c r="Z94" s="168" t="str">
        <f t="shared" si="10"/>
      </c>
      <c r="AA94" s="68" t="n">
        <f t="shared" si="11"/>
        <v>0</v>
      </c>
      <c r="AB94" s="68" t="n">
        <f t="shared" si="12"/>
        <v>0</v>
      </c>
      <c r="AC94" s="170" t="str">
        <f>IF('Prediction Log'!$T95="Y", "W", IF('Prediction Log'!$T95="N","L",""))</f>
        <v>W</v>
      </c>
      <c r="AD94" s="171" t="str">
        <f>IF('Prediction Log'!$V95="Y", "W", IF('Prediction Log'!$V95="N","L",""))</f>
        <v>W</v>
      </c>
      <c r="AE94" s="172" t="str">
        <f>IF(ISBLANK(Table123[[#This Row],[Odds Side - Difference Model]]), "",IF(AC94="W", W94, IF(AC94="L",-N94, "")))</f>
      </c>
      <c r="AF94" s="173" t="str">
        <f>IFERROR((IF(ISERR(Table123[[#This Row],[Potential Payout Side - Win Probability Model]]), "",IF(AD94="W", X94, IF(AD94="L",-N94, "")))), "")</f>
      </c>
      <c r="AG94" s="170" t="str">
        <f>IF('Prediction Log'!$U95="Y", "W", IF('Prediction Log'!$U95="N", "L", ""))</f>
      </c>
      <c r="AH94" s="172" t="str">
        <f>IF(ISBLANK(Table123[[#This Row],[Odds Spread]]), "",IF(AG94="W", Z94, IF(AG94="L",-O94, "")))</f>
      </c>
      <c r="AI94" s="184"/>
      <c r="AJ94" s="183" t="str">
        <f t="shared" si="13"/>
      </c>
      <c r="AK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5">
      <c r="A95" s="65" t="n">
        <f>Games!A95</f>
        <v>1</v>
      </c>
      <c r="B95" s="65" t="str">
        <f>IF('Prediction Log'!B96=0, "",'Prediction Log'!B96)</f>
        <v>San Diego State</v>
      </c>
      <c r="C95" s="65" t="str">
        <f>IF('Prediction Log'!C96=0, "",'Prediction Log'!C96)</f>
        <v>Texas A&amp;M-Commerce</v>
      </c>
      <c r="D95" s="65" t="str">
        <f>IF('Prediction Log'!D96=0, "",'Prediction Log'!D96)</f>
      </c>
      <c r="E95" s="65" t="n">
        <f>IF('Prediction Log'!E96=0, "",'Prediction Log'!E96)</f>
        <v>-13.965480915514799</v>
      </c>
      <c r="F95" s="65" t="str">
        <f>IF('Prediction Log'!H96=0, "",'Prediction Log'!H96)</f>
        <v>San Diego State</v>
      </c>
      <c r="G95" s="64" t="str">
        <f>IF(ISBLANK(Games!B95), "",'Prediction Log'!$I96)</f>
        <v>San Diego State</v>
      </c>
      <c r="H95" s="66" t="n">
        <f>'Prediction Log'!$J96</f>
        <v>0.90867952054290624</v>
      </c>
      <c r="I95" s="65" t="str">
        <f>IF(ISBLANK(Games!T95), "",IF(AND(Games!T95="",Games!U95=""),"",IF(ISTEXT(Games!U95), "Side",Games!T95)))</f>
      </c>
      <c r="J95" s="65" t="str">
        <f>IF(ISBLANK(Games!B95), "",IF(Games!P95="Y", Games!B95, Games!C95))</f>
        <v>San Diego State</v>
      </c>
      <c r="K95" s="65" t="str">
        <f>Games!K95</f>
        <v>San Diego State</v>
      </c>
      <c r="L95" s="65" t="str">
        <f>IF(ISBLANK(Games!D95), "",Games!D95)</f>
      </c>
      <c r="M95" s="65"/>
      <c r="N95" s="167" t="str">
        <f>IF(ISBLANK(Table123[[#This Row],[Odds Side - Difference Model]]), "", 1)</f>
      </c>
      <c r="O95" s="167" t="str">
        <f>IF(ISBLANK(Table123[[#This Row],[Odds Spread]]), "", 1)</f>
      </c>
      <c r="P95" s="67"/>
      <c r="Q95" s="67"/>
      <c r="R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5" s="67"/>
      <c r="T95" s="67"/>
      <c r="U95" s="168" t="str">
        <f>IF(ISBLANK(Table123[[#This Row],[Odds Side - Difference Model]]), "",N95+IF(Q95&lt;0, (N95/(Q95/-100)), N95*(Q95/100)))</f>
      </c>
      <c r="V95" s="169" t="str">
        <f>IFERROR(IF(ISBLANK(Table123[[#This Row],[Odds Side - Win Probability Model]]), "",N95+IF(R95&lt;0, (N95/(R95/-100)), N95*(R95/100))),"")</f>
      </c>
      <c r="W95" s="168" t="str">
        <f t="shared" si="8"/>
      </c>
      <c r="X95" s="169" t="str">
        <f t="shared" si="9"/>
      </c>
      <c r="Y95" s="168" t="str">
        <f>IF(ISBLANK(Table123[[#This Row],[Odds Spread]]), "",O95+IF(S95&lt;0, (O95/(S95/-100)), O95*(S95/100)))</f>
      </c>
      <c r="Z95" s="168" t="str">
        <f t="shared" si="10"/>
      </c>
      <c r="AA95" s="68" t="n">
        <f t="shared" si="11"/>
        <v>0</v>
      </c>
      <c r="AB95" s="68" t="n">
        <f t="shared" si="12"/>
        <v>0</v>
      </c>
      <c r="AC95" s="170" t="str">
        <f>IF('Prediction Log'!$T96="Y", "W", IF('Prediction Log'!$T96="N","L",""))</f>
        <v>W</v>
      </c>
      <c r="AD95" s="171" t="str">
        <f>IF('Prediction Log'!$V96="Y", "W", IF('Prediction Log'!$V96="N","L",""))</f>
        <v>W</v>
      </c>
      <c r="AE95" s="172" t="str">
        <f>IF(ISBLANK(Table123[[#This Row],[Odds Side - Difference Model]]), "",IF(AC95="W", W95, IF(AC95="L",-N95, "")))</f>
      </c>
      <c r="AF95" s="173" t="str">
        <f>IFERROR((IF(ISERR(Table123[[#This Row],[Potential Payout Side - Win Probability Model]]), "",IF(AD95="W", X95, IF(AD95="L",-N95, "")))), "")</f>
      </c>
      <c r="AG95" s="170" t="str">
        <f>IF('Prediction Log'!$U96="Y", "W", IF('Prediction Log'!$U96="N", "L", ""))</f>
      </c>
      <c r="AH95" s="172" t="str">
        <f>IF(ISBLANK(Table123[[#This Row],[Odds Spread]]), "",IF(AG95="W", Z95, IF(AG95="L",-O95, "")))</f>
      </c>
      <c r="AI95" s="184"/>
      <c r="AJ95" s="183" t="str">
        <f t="shared" si="13"/>
      </c>
      <c r="AK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6">
      <c r="A96" s="65" t="n">
        <f>Games!A96</f>
        <v>1</v>
      </c>
      <c r="B96" s="65" t="str">
        <f>IF('Prediction Log'!B97=0, "",'Prediction Log'!B97)</f>
        <v>New Mexico State</v>
      </c>
      <c r="C96" s="65" t="str">
        <f>IF('Prediction Log'!C97=0, "",'Prediction Log'!C97)</f>
        <v>Southeast Missouri State</v>
      </c>
      <c r="D96" s="65" t="n">
        <f>IF('Prediction Log'!D97=0, "",'Prediction Log'!D97)</f>
        <v>-9.5</v>
      </c>
      <c r="E96" s="65" t="n">
        <f>IF('Prediction Log'!E97=0, "",'Prediction Log'!E97)</f>
        <v>-13.031144979498</v>
      </c>
      <c r="F96" s="65" t="str">
        <f>IF('Prediction Log'!H97=0, "",'Prediction Log'!H97)</f>
        <v>New Mexico State</v>
      </c>
      <c r="G96" s="64" t="str">
        <f>IF(ISBLANK(Games!B96), "",'Prediction Log'!$I97)</f>
        <v>New Mexico State</v>
      </c>
      <c r="H96" s="66" t="n">
        <f>'Prediction Log'!$J97</f>
        <v>0.89689173890414653</v>
      </c>
      <c r="I96" s="65" t="str">
        <f>IF(ISBLANK(Games!T96), "",IF(AND(Games!T96="",Games!U96=""),"",IF(ISTEXT(Games!U96), "Side",Games!T96)))</f>
      </c>
      <c r="J96" s="65" t="str">
        <f>IF(ISBLANK(Games!B96), "",IF(Games!P96="Y", Games!B96, Games!C96))</f>
        <v>New Mexico State</v>
      </c>
      <c r="K96" s="65" t="str">
        <f>Games!K96</f>
        <v>New Mexico State</v>
      </c>
      <c r="L96" s="65" t="n">
        <f>IF(ISBLANK(Games!D96), "",Games!D96)</f>
        <v>-9.5</v>
      </c>
      <c r="M96" s="65"/>
      <c r="N96" s="167" t="str">
        <f>IF(ISBLANK(Table123[[#This Row],[Odds Side - Difference Model]]), "", 1)</f>
      </c>
      <c r="O96" s="167" t="str">
        <f>IF(ISBLANK(Table123[[#This Row],[Odds Spread]]), "", 1)</f>
      </c>
      <c r="P96" s="67"/>
      <c r="Q96" s="67"/>
      <c r="R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6" s="67"/>
      <c r="T96" s="67"/>
      <c r="U96" s="168" t="str">
        <f>IF(ISBLANK(Table123[[#This Row],[Odds Side - Difference Model]]), "",N96+IF(Q96&lt;0, (N96/(Q96/-100)), N96*(Q96/100)))</f>
      </c>
      <c r="V96" s="169" t="str">
        <f>IFERROR(IF(ISBLANK(Table123[[#This Row],[Odds Side - Win Probability Model]]), "",N96+IF(R96&lt;0, (N96/(R96/-100)), N96*(R96/100))),"")</f>
      </c>
      <c r="W96" s="168" t="str">
        <f t="shared" si="8"/>
      </c>
      <c r="X96" s="169" t="str">
        <f t="shared" si="9"/>
      </c>
      <c r="Y96" s="168" t="str">
        <f>IF(ISBLANK(Table123[[#This Row],[Odds Spread]]), "",O96+IF(S96&lt;0, (O96/(S96/-100)), O96*(S96/100)))</f>
      </c>
      <c r="Z96" s="168" t="str">
        <f t="shared" si="10"/>
      </c>
      <c r="AA96" s="68" t="n">
        <f t="shared" si="11"/>
        <v>0</v>
      </c>
      <c r="AB96" s="68" t="n">
        <f t="shared" si="12"/>
        <v>0</v>
      </c>
      <c r="AC96" s="170" t="str">
        <f>IF('Prediction Log'!$T97="Y", "W", IF('Prediction Log'!$T97="N","L",""))</f>
        <v>W</v>
      </c>
      <c r="AD96" s="171" t="str">
        <f>IF('Prediction Log'!$V97="Y", "W", IF('Prediction Log'!$V97="N","L",""))</f>
        <v>W</v>
      </c>
      <c r="AE96" s="172" t="str">
        <f>IF(ISBLANK(Table123[[#This Row],[Odds Side - Difference Model]]), "",IF(AC96="W", W96, IF(AC96="L",-N96, "")))</f>
      </c>
      <c r="AF96" s="173" t="str">
        <f>IFERROR((IF(ISERR(Table123[[#This Row],[Potential Payout Side - Win Probability Model]]), "",IF(AD96="W", X96, IF(AD96="L",-N96, "")))), "")</f>
      </c>
      <c r="AG96" s="170" t="str">
        <f>IF('Prediction Log'!$U97="Y", "W", IF('Prediction Log'!$U97="N", "L", ""))</f>
        <v>L</v>
      </c>
      <c r="AH96" s="172" t="str">
        <f>IF(ISBLANK(Table123[[#This Row],[Odds Spread]]), "",IF(AG96="W", Z96, IF(AG96="L",-O96, "")))</f>
      </c>
      <c r="AI96" s="184"/>
      <c r="AJ96" s="183" t="str">
        <f t="shared" si="13"/>
      </c>
      <c r="AK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7">
      <c r="A97" s="65" t="n">
        <f>Games!A97</f>
        <v>1</v>
      </c>
      <c r="B97" s="65" t="str">
        <f>IF('Prediction Log'!B98=0, "",'Prediction Log'!B98)</f>
        <v>Arizona State</v>
      </c>
      <c r="C97" s="65" t="str">
        <f>IF('Prediction Log'!C98=0, "",'Prediction Log'!C98)</f>
        <v>Wyoming</v>
      </c>
      <c r="D97" s="65" t="n">
        <f>IF('Prediction Log'!D98=0, "",'Prediction Log'!D98)</f>
        <v>7</v>
      </c>
      <c r="E97" s="65" t="n">
        <f>IF('Prediction Log'!E98=0, "",'Prediction Log'!E98)</f>
        <v>10.7</v>
      </c>
      <c r="F97" s="65" t="str">
        <f>IF('Prediction Log'!H98=0, "",'Prediction Log'!H98)</f>
        <v>Wyoming</v>
      </c>
      <c r="G97" s="64" t="str">
        <f>IF(ISBLANK(Games!B97), "",'Prediction Log'!$I98)</f>
        <v>Wyoming</v>
      </c>
      <c r="H97" s="66" t="n">
        <f>'Prediction Log'!$J98</f>
        <v>0.52856975979692022</v>
      </c>
      <c r="I97" s="65" t="str">
        <f>IF(ISBLANK(Games!T97), "",IF(AND(Games!T97="",Games!U97=""),"",IF(ISTEXT(Games!U97), "Side",Games!T97)))</f>
        <v>Spread</v>
      </c>
      <c r="J97" s="65" t="str">
        <f>IF(ISBLANK(Games!B97), "",IF(Games!P97="Y", Games!B97, Games!C97))</f>
        <v>Wyoming</v>
      </c>
      <c r="K97" s="65" t="str">
        <f>Games!K97</f>
        <v>Wyoming</v>
      </c>
      <c r="L97" s="65" t="n">
        <f>IF(ISBLANK(Games!D97), "",Games!D97)</f>
        <v>7</v>
      </c>
      <c r="M97" s="65"/>
      <c r="N97" s="167" t="str">
        <f>IF(ISBLANK(Table123[[#This Row],[Odds Side - Difference Model]]), "", 1)</f>
      </c>
      <c r="O97" s="167" t="str">
        <f>IF(ISBLANK(Table123[[#This Row],[Odds Spread]]), "", 1)</f>
      </c>
      <c r="P97" s="67"/>
      <c r="Q97" s="67"/>
      <c r="R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7" s="67"/>
      <c r="T97" s="67"/>
      <c r="U97" s="168" t="str">
        <f>IF(ISBLANK(Table123[[#This Row],[Odds Side - Difference Model]]), "",N97+IF(Q97&lt;0, (N97/(Q97/-100)), N97*(Q97/100)))</f>
      </c>
      <c r="V97" s="169" t="str">
        <f>IFERROR(IF(ISBLANK(Table123[[#This Row],[Odds Side - Win Probability Model]]), "",N97+IF(R97&lt;0, (N97/(R97/-100)), N97*(R97/100))),"")</f>
      </c>
      <c r="W97" s="168" t="str">
        <f t="shared" si="8"/>
      </c>
      <c r="X97" s="169" t="str">
        <f t="shared" si="9"/>
      </c>
      <c r="Y97" s="168" t="str">
        <f>IF(ISBLANK(Table123[[#This Row],[Odds Spread]]), "",O97+IF(S97&lt;0, (O97/(S97/-100)), O97*(S97/100)))</f>
      </c>
      <c r="Z97" s="168" t="str">
        <f t="shared" si="10"/>
      </c>
      <c r="AA97" s="68" t="n">
        <f t="shared" si="11"/>
        <v>0</v>
      </c>
      <c r="AB97" s="68" t="n">
        <f t="shared" si="12"/>
        <v>0</v>
      </c>
      <c r="AC97" s="170" t="str">
        <f>IF('Prediction Log'!$T98="Y", "W", IF('Prediction Log'!$T98="N","L",""))</f>
        <v>L</v>
      </c>
      <c r="AD97" s="171" t="str">
        <f>IF('Prediction Log'!$V98="Y", "W", IF('Prediction Log'!$V98="N","L",""))</f>
        <v>L</v>
      </c>
      <c r="AE97" s="172" t="str">
        <f>IF(ISBLANK(Table123[[#This Row],[Odds Side - Difference Model]]), "",IF(AC97="W", W97, IF(AC97="L",-N97, "")))</f>
      </c>
      <c r="AF97" s="173" t="str">
        <f>IFERROR((IF(ISERR(Table123[[#This Row],[Potential Payout Side - Win Probability Model]]), "",IF(AD97="W", X97, IF(AD97="L",-N97, "")))), "")</f>
      </c>
      <c r="AG97" s="170" t="str">
        <f>IF('Prediction Log'!$U98="Y", "W", IF('Prediction Log'!$U98="N", "L", ""))</f>
        <v>L</v>
      </c>
      <c r="AH97" s="172" t="str">
        <f>IF(ISBLANK(Table123[[#This Row],[Odds Spread]]), "",IF(AG97="W", Z97, IF(AG97="L",-O97, "")))</f>
      </c>
      <c r="AI97" s="184"/>
      <c r="AJ97" s="183" t="str">
        <f t="shared" si="13"/>
      </c>
      <c r="AK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8">
      <c r="A98" s="65" t="n">
        <f>Games!A98</f>
        <v>1</v>
      </c>
      <c r="B98" s="65" t="str">
        <f>IF('Prediction Log'!B99=0, "",'Prediction Log'!B99)</f>
        <v>Arizona</v>
      </c>
      <c r="C98" s="65" t="str">
        <f>IF('Prediction Log'!C99=0, "",'Prediction Log'!C99)</f>
        <v>New Mexico</v>
      </c>
      <c r="D98" s="65" t="n">
        <f>IF('Prediction Log'!D99=0, "",'Prediction Log'!D99)</f>
        <v>-30.5</v>
      </c>
      <c r="E98" s="65" t="n">
        <f>IF('Prediction Log'!E99=0, "",'Prediction Log'!E99)</f>
        <v>-23.156320677089099</v>
      </c>
      <c r="F98" s="65" t="str">
        <f>IF('Prediction Log'!H99=0, "",'Prediction Log'!H99)</f>
        <v>Arizona</v>
      </c>
      <c r="G98" s="64" t="str">
        <f>IF(ISBLANK(Games!B98), "",'Prediction Log'!$I99)</f>
        <v>Arizona</v>
      </c>
      <c r="H98" s="66" t="n">
        <f>'Prediction Log'!$J99</f>
        <v>0.97392317819215035</v>
      </c>
      <c r="I98" s="65" t="str">
        <f>IF(ISBLANK(Games!T98), "",IF(AND(Games!T98="",Games!U98=""),"",IF(ISTEXT(Games!U98), "Side",Games!T98)))</f>
      </c>
      <c r="J98" s="65" t="str">
        <f>IF(ISBLANK(Games!B98), "",IF(Games!P98="Y", Games!B98, Games!C98))</f>
        <v>Arizona</v>
      </c>
      <c r="K98" s="65" t="str">
        <f>Games!K98</f>
        <v>Arizona</v>
      </c>
      <c r="L98" s="65" t="str">
        <f>IF(ISBLANK(Games!D98), "",Games!D98)</f>
        <v>-30.5</v>
      </c>
      <c r="M98" s="65"/>
      <c r="N98" s="167" t="str">
        <f>IF(ISBLANK(Table123[[#This Row],[Odds Side - Difference Model]]), "", 1)</f>
      </c>
      <c r="O98" s="167" t="str">
        <f>IF(ISBLANK(Table123[[#This Row],[Odds Spread]]), "", 1)</f>
      </c>
      <c r="P98" s="67"/>
      <c r="Q98" s="67"/>
      <c r="R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8" s="67"/>
      <c r="T98" s="67"/>
      <c r="U98" s="168" t="str">
        <f>IF(ISBLANK(Table123[[#This Row],[Odds Side - Difference Model]]), "",N98+IF(Q98&lt;0, (N98/(Q98/-100)), N98*(Q98/100)))</f>
      </c>
      <c r="V98" s="169" t="str">
        <f>IFERROR(IF(ISBLANK(Table123[[#This Row],[Odds Side - Win Probability Model]]), "",N98+IF(R98&lt;0, (N98/(R98/-100)), N98*(R98/100))),"")</f>
      </c>
      <c r="W98" s="168" t="str">
        <f t="shared" si="8"/>
      </c>
      <c r="X98" s="169" t="str">
        <f t="shared" si="9"/>
      </c>
      <c r="Y98" s="168" t="str">
        <f>IF(ISBLANK(Table123[[#This Row],[Odds Spread]]), "",O98+IF(S98&lt;0, (O98/(S98/-100)), O98*(S98/100)))</f>
      </c>
      <c r="Z98" s="168" t="str">
        <f t="shared" si="10"/>
      </c>
      <c r="AA98" s="68" t="n">
        <f t="shared" si="11"/>
        <v>0</v>
      </c>
      <c r="AB98" s="68" t="n">
        <f t="shared" si="12"/>
        <v>0</v>
      </c>
      <c r="AC98" s="170" t="str">
        <f>IF('Prediction Log'!$T99="Y", "W", IF('Prediction Log'!$T99="N","L",""))</f>
        <v>W</v>
      </c>
      <c r="AD98" s="171" t="str">
        <f>IF('Prediction Log'!$V99="Y", "W", IF('Prediction Log'!$V99="N","L",""))</f>
        <v>W</v>
      </c>
      <c r="AE98" s="172" t="str">
        <f>IF(ISBLANK(Table123[[#This Row],[Odds Side - Difference Model]]), "",IF(AC98="W", W98, IF(AC98="L",-N98, "")))</f>
      </c>
      <c r="AF98" s="173" t="str">
        <f>IFERROR((IF(ISERR(Table123[[#This Row],[Potential Payout Side - Win Probability Model]]), "",IF(AD98="W", X98, IF(AD98="L",-N98, "")))), "")</f>
      </c>
      <c r="AG98" s="170" t="str">
        <f>IF('Prediction Log'!$U99="Y", "W", IF('Prediction Log'!$U99="N", "L", ""))</f>
        <v>L</v>
      </c>
      <c r="AH98" s="172" t="str">
        <f>IF(ISBLANK(Table123[[#This Row],[Odds Spread]]), "",IF(AG98="W", Z98, IF(AG98="L",-O98, "")))</f>
      </c>
      <c r="AI98" s="184"/>
      <c r="AJ98" s="183" t="str">
        <f t="shared" si="13"/>
      </c>
      <c r="AK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9">
      <c r="A99" s="65" t="n">
        <f>Games!A99</f>
        <v>1</v>
      </c>
      <c r="B99" s="65" t="str">
        <f>IF('Prediction Log'!B100=0, "",'Prediction Log'!B100)</f>
        <v>Washington</v>
      </c>
      <c r="C99" s="65" t="str">
        <f>IF('Prediction Log'!C100=0, "",'Prediction Log'!C100)</f>
        <v>Weber State</v>
      </c>
      <c r="D99" s="65" t="n">
        <f>IF('Prediction Log'!D100=0, "",'Prediction Log'!D100)</f>
        <v>-29</v>
      </c>
      <c r="E99" s="65" t="n">
        <f>IF('Prediction Log'!E100=0, "",'Prediction Log'!E100)</f>
        <v>-27.720043961184</v>
      </c>
      <c r="F99" s="65" t="str">
        <f>IF('Prediction Log'!H100=0, "",'Prediction Log'!H100)</f>
        <v>Washington</v>
      </c>
      <c r="G99" s="64" t="str">
        <f>IF(ISBLANK(Games!B99), "",'Prediction Log'!$I100)</f>
        <v>Washington</v>
      </c>
      <c r="H99" s="66" t="n">
        <f>'Prediction Log'!$J100</f>
        <v>0.98630666539638789</v>
      </c>
      <c r="I99" s="65" t="str">
        <f>IF(ISBLANK(Games!T99), "",IF(AND(Games!T99="",Games!U99=""),"",IF(ISTEXT(Games!U99), "Side",Games!T99)))</f>
      </c>
      <c r="J99" s="65" t="str">
        <f>IF(ISBLANK(Games!B99), "",IF(Games!P99="Y", Games!B99, Games!C99))</f>
        <v>Weber State</v>
      </c>
      <c r="K99" s="65" t="str">
        <f>Games!K99</f>
        <v>Washington</v>
      </c>
      <c r="L99" s="65" t="n">
        <f>IF(ISBLANK(Games!D99), "",Games!D99)</f>
        <v>-29</v>
      </c>
      <c r="M99" s="65"/>
      <c r="N99" s="167" t="str">
        <f>IF(ISBLANK(Table123[[#This Row],[Odds Side - Difference Model]]), "", 1)</f>
      </c>
      <c r="O99" s="167" t="str">
        <f>IF(ISBLANK(Table123[[#This Row],[Odds Spread]]), "", 1)</f>
      </c>
      <c r="P99" s="67"/>
      <c r="Q99" s="67"/>
      <c r="R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9" s="67"/>
      <c r="T99" s="67"/>
      <c r="U99" s="168" t="str">
        <f>IF(ISBLANK(Table123[[#This Row],[Odds Side - Difference Model]]), "",N99+IF(Q99&lt;0, (N99/(Q99/-100)), N99*(Q99/100)))</f>
      </c>
      <c r="V99" s="169" t="str">
        <f>IFERROR(IF(ISBLANK(Table123[[#This Row],[Odds Side - Win Probability Model]]), "",N99+IF(R99&lt;0, (N99/(R99/-100)), N99*(R99/100))),"")</f>
      </c>
      <c r="W99" s="168" t="str">
        <f t="shared" si="8"/>
      </c>
      <c r="X99" s="169" t="str">
        <f t="shared" si="9"/>
      </c>
      <c r="Y99" s="168" t="str">
        <f>IF(ISBLANK(Table123[[#This Row],[Odds Spread]]), "",O99+IF(S99&lt;0, (O99/(S99/-100)), O99*(S99/100)))</f>
      </c>
      <c r="Z99" s="168" t="str">
        <f t="shared" si="10"/>
      </c>
      <c r="AA99" s="68" t="n">
        <f t="shared" si="11"/>
        <v>0</v>
      </c>
      <c r="AB99" s="68" t="n">
        <f t="shared" si="12"/>
        <v>0</v>
      </c>
      <c r="AC99" s="170" t="str">
        <f>IF('Prediction Log'!$T100="Y", "W", IF('Prediction Log'!$T100="N","L",""))</f>
        <v>W</v>
      </c>
      <c r="AD99" s="171" t="str">
        <f>IF('Prediction Log'!$V100="Y", "W", IF('Prediction Log'!$V100="N","L",""))</f>
        <v>W</v>
      </c>
      <c r="AE99" s="172" t="str">
        <f>IF(ISBLANK(Table123[[#This Row],[Odds Side - Difference Model]]), "",IF(AC99="W", W99, IF(AC99="L",-N99, "")))</f>
      </c>
      <c r="AF99" s="173" t="str">
        <f>IFERROR((IF(ISERR(Table123[[#This Row],[Potential Payout Side - Win Probability Model]]), "",IF(AD99="W", X99, IF(AD99="L",-N99, "")))), "")</f>
      </c>
      <c r="AG99" s="170" t="str">
        <f>IF('Prediction Log'!$U100="Y", "W", IF('Prediction Log'!$U100="N", "L", ""))</f>
        <v>L</v>
      </c>
      <c r="AH99" s="172" t="str">
        <f>IF(ISBLANK(Table123[[#This Row],[Odds Spread]]), "",IF(AG99="W", Z99, IF(AG99="L",-O99, "")))</f>
      </c>
      <c r="AI99" s="184"/>
      <c r="AJ99" s="183" t="str">
        <f t="shared" si="13"/>
      </c>
      <c r="AK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0">
      <c r="A100" s="65" t="n">
        <f>Games!A100</f>
        <v>1</v>
      </c>
      <c r="B100" s="65" t="str">
        <f>IF('Prediction Log'!B101=0, "",'Prediction Log'!B101)</f>
        <v>LSU</v>
      </c>
      <c r="C100" s="65" t="str">
        <f>IF('Prediction Log'!C101=0, "",'Prediction Log'!C101)</f>
        <v>USC</v>
      </c>
      <c r="D100" s="65" t="n">
        <f>IF('Prediction Log'!D101=0, "",'Prediction Log'!D101)</f>
        <v>4</v>
      </c>
      <c r="E100" s="65" t="n">
        <f>IF('Prediction Log'!E101=0, "",'Prediction Log'!E101)</f>
        <v>-15.4</v>
      </c>
      <c r="F100" s="65" t="str">
        <f>IF('Prediction Log'!H101=0, "",'Prediction Log'!H101)</f>
        <v>LSU</v>
      </c>
      <c r="G100" s="64" t="str">
        <f>IF(ISBLANK(Games!B100), "",'Prediction Log'!$I101)</f>
        <v>LSU</v>
      </c>
      <c r="H100" s="66" t="n">
        <f>'Prediction Log'!$J101</f>
        <v>0.71587572891310769</v>
      </c>
      <c r="I100" s="65" t="str">
        <f>IF(ISBLANK(Games!T100), "",IF(AND(Games!T100="",Games!U100=""),"",IF(ISTEXT(Games!U100), "Side",Games!T100)))</f>
        <v>Spread</v>
      </c>
      <c r="J100" s="65" t="str">
        <f>IF(ISBLANK(Games!B100), "",IF(Games!P100="Y", Games!B100, Games!C100))</f>
        <v>LSU</v>
      </c>
      <c r="K100" s="65" t="str">
        <f>Games!K100</f>
        <v>LSU</v>
      </c>
      <c r="L100" s="65" t="n">
        <f>IF(ISBLANK(Games!D100), "",Games!D100)</f>
        <v>4</v>
      </c>
      <c r="M100" s="65"/>
      <c r="N100" s="167" t="str">
        <f>IF(ISBLANK(Table123[[#This Row],[Odds Side - Difference Model]]), "", 1)</f>
      </c>
      <c r="O100" s="167" t="str">
        <f>IF(ISBLANK(Table123[[#This Row],[Odds Spread]]), "", 1)</f>
      </c>
      <c r="P100" s="67"/>
      <c r="Q100" s="67"/>
      <c r="R1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0" s="67"/>
      <c r="T100" s="67"/>
      <c r="U100" s="168" t="str">
        <f>IF(ISBLANK(Table123[[#This Row],[Odds Side - Difference Model]]), "",N100+IF(Q100&lt;0, (N100/(Q100/-100)), N100*(Q100/100)))</f>
      </c>
      <c r="V100" s="169" t="str">
        <f>IFERROR(IF(ISBLANK(Table123[[#This Row],[Odds Side - Win Probability Model]]), "",N100+IF(R100&lt;0, (N100/(R100/-100)), N100*(R100/100))),"")</f>
      </c>
      <c r="W100" s="168" t="str">
        <f t="shared" si="8"/>
      </c>
      <c r="X100" s="169" t="str">
        <f t="shared" si="9"/>
      </c>
      <c r="Y100" s="168" t="str">
        <f>IF(ISBLANK(Table123[[#This Row],[Odds Spread]]), "",O100+IF(S100&lt;0, (O100/(S100/-100)), O100*(S100/100)))</f>
      </c>
      <c r="Z100" s="168" t="str">
        <f t="shared" si="10"/>
      </c>
      <c r="AA100" s="68" t="n">
        <f t="shared" si="11"/>
        <v>0</v>
      </c>
      <c r="AB100" s="68" t="n">
        <f t="shared" si="12"/>
        <v>0</v>
      </c>
      <c r="AC100" s="170" t="str">
        <f>IF('Prediction Log'!$T101="Y", "W", IF('Prediction Log'!$T101="N","L",""))</f>
      </c>
      <c r="AD100" s="171" t="str">
        <f>IF('Prediction Log'!$V101="Y", "W", IF('Prediction Log'!$V101="N","L",""))</f>
      </c>
      <c r="AE100" s="172" t="str">
        <f>IF(ISBLANK(Table123[[#This Row],[Odds Side - Difference Model]]), "",IF(AC100="W", W100, IF(AC100="L",-N100, "")))</f>
      </c>
      <c r="AF100" s="173" t="str">
        <f>IFERROR((IF(ISERR(Table123[[#This Row],[Potential Payout Side - Win Probability Model]]), "",IF(AD100="W", X100, IF(AD100="L",-N100, "")))), "")</f>
      </c>
      <c r="AG100" s="170" t="str">
        <f>IF('Prediction Log'!$U101="Y", "W", IF('Prediction Log'!$U101="N", "L", ""))</f>
      </c>
      <c r="AH100" s="172" t="str">
        <f>IF(ISBLANK(Table123[[#This Row],[Odds Spread]]), "",IF(AG100="W", Z100, IF(AG100="L",-O100, "")))</f>
      </c>
      <c r="AI100" s="184"/>
      <c r="AJ100" s="183" t="str">
        <f t="shared" si="13"/>
      </c>
      <c r="AK1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1">
      <c r="A101" s="65" t="n">
        <f>Games!A101</f>
        <v>1</v>
      </c>
      <c r="B101" s="65" t="str">
        <f>IF('Prediction Log'!B102=0, "",'Prediction Log'!B102)</f>
        <v>Florida State</v>
      </c>
      <c r="C101" s="65" t="str">
        <f>IF('Prediction Log'!C102=0, "",'Prediction Log'!C102)</f>
        <v>Boston College</v>
      </c>
      <c r="D101" s="65" t="n">
        <f>IF('Prediction Log'!D102=0, "",'Prediction Log'!D102)</f>
        <v>-17</v>
      </c>
      <c r="E101" s="65" t="n">
        <f>IF('Prediction Log'!E102=0, "",'Prediction Log'!E102)</f>
        <v>-53.4</v>
      </c>
      <c r="F101" s="65" t="str">
        <f>IF('Prediction Log'!H102=0, "",'Prediction Log'!H102)</f>
        <v>Florida State</v>
      </c>
      <c r="G101" s="64" t="str">
        <f>IF(ISBLANK(Games!B101), "",'Prediction Log'!$I102)</f>
        <v>Florida State</v>
      </c>
      <c r="H101" s="66" t="n">
        <f>'Prediction Log'!$J102</f>
        <v>0.81966974659280711</v>
      </c>
      <c r="I101" s="65" t="str">
        <f>IF(ISBLANK(Games!T101), "",IF(AND(Games!T101="",Games!U101=""),"",IF(ISTEXT(Games!U101), "Side",Games!T101)))</f>
        <v>Spread</v>
      </c>
      <c r="J101" s="65" t="str">
        <f>IF(ISBLANK(Games!B101), "",IF(Games!P101="Y", Games!B101, Games!C101))</f>
        <v>Florida State</v>
      </c>
      <c r="K101" s="65" t="str">
        <f>Games!K101</f>
        <v>Florida State</v>
      </c>
      <c r="L101" s="65" t="n">
        <f>IF(ISBLANK(Games!D101), "",Games!D101)</f>
        <v>-17</v>
      </c>
      <c r="M101" s="65"/>
      <c r="N101" s="167" t="str">
        <f>IF(ISBLANK(Table123[[#This Row],[Odds Side - Difference Model]]), "", 1)</f>
      </c>
      <c r="O101" s="167" t="str">
        <f>IF(ISBLANK(Table123[[#This Row],[Odds Spread]]), "", 1)</f>
      </c>
      <c r="P101" s="67"/>
      <c r="Q101" s="67"/>
      <c r="R1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1" s="67"/>
      <c r="T101" s="67"/>
      <c r="U101" s="168" t="str">
        <f>IF(ISBLANK(Table123[[#This Row],[Odds Side - Difference Model]]), "",N101+IF(Q101&lt;0, (N101/(Q101/-100)), N101*(Q101/100)))</f>
      </c>
      <c r="V101" s="169" t="str">
        <f>IFERROR(IF(ISBLANK(Table123[[#This Row],[Odds Side - Win Probability Model]]), "",N101+IF(R101&lt;0, (N101/(R101/-100)), N101*(R101/100))),"")</f>
      </c>
      <c r="W101" s="168" t="str">
        <f t="shared" si="8"/>
      </c>
      <c r="X101" s="169" t="str">
        <f t="shared" si="9"/>
      </c>
      <c r="Y101" s="168" t="str">
        <f>IF(ISBLANK(Table123[[#This Row],[Odds Spread]]), "",O101+IF(S101&lt;0, (O101/(S101/-100)), O101*(S101/100)))</f>
      </c>
      <c r="Z101" s="168" t="str">
        <f t="shared" si="10"/>
      </c>
      <c r="AA101" s="68" t="n">
        <f t="shared" si="11"/>
        <v>0</v>
      </c>
      <c r="AB101" s="68" t="n">
        <f t="shared" si="12"/>
        <v>0</v>
      </c>
      <c r="AC101" s="170" t="str">
        <f>IF('Prediction Log'!$T102="Y", "W", IF('Prediction Log'!$T102="N","L",""))</f>
      </c>
      <c r="AD101" s="171" t="str">
        <f>IF('Prediction Log'!$V102="Y", "W", IF('Prediction Log'!$V102="N","L",""))</f>
      </c>
      <c r="AE101" s="172" t="str">
        <f>IF(ISBLANK(Table123[[#This Row],[Odds Side - Difference Model]]), "",IF(AC101="W", W101, IF(AC101="L",-N101, "")))</f>
      </c>
      <c r="AF101" s="173" t="str">
        <f>IFERROR((IF(ISERR(Table123[[#This Row],[Potential Payout Side - Win Probability Model]]), "",IF(AD101="W", X101, IF(AD101="L",-N101, "")))), "")</f>
      </c>
      <c r="AG101" s="170" t="str">
        <f>IF('Prediction Log'!$U102="Y", "W", IF('Prediction Log'!$U102="N", "L", ""))</f>
      </c>
      <c r="AH101" s="172" t="str">
        <f>IF(ISBLANK(Table123[[#This Row],[Odds Spread]]), "",IF(AG101="W", Z101, IF(AG101="L",-O101, "")))</f>
      </c>
      <c r="AI101" s="184"/>
      <c r="AJ101" s="183" t="str">
        <f t="shared" si="13"/>
      </c>
      <c r="AK1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2">
      <c r="A102" s="65" t="e">
        <f>Games!#REF!</f>
        <v>#REF!</v>
      </c>
      <c r="B102" s="65" t="e">
        <f>IF('Prediction Log'!#REF!=0, "",'Prediction Log'!#REF!)</f>
        <v>#REF!</v>
      </c>
      <c r="C102" s="65" t="e">
        <f>IF('Prediction Log'!#REF!=0, "",'Prediction Log'!#REF!)</f>
        <v>#REF!</v>
      </c>
      <c r="D102" s="65" t="e">
        <f>IF('Prediction Log'!#REF!=0, "",'Prediction Log'!#REF!)</f>
        <v>#REF!</v>
      </c>
      <c r="E102" s="65" t="e">
        <f>IF('Prediction Log'!#REF!=0, "",'Prediction Log'!#REF!)</f>
        <v>#REF!</v>
      </c>
      <c r="F102" s="65" t="e">
        <f>IF('Prediction Log'!#REF!=0, "",'Prediction Log'!#REF!)</f>
        <v>#REF!</v>
      </c>
      <c r="G102" s="64" t="e">
        <f>IF(ISBLANK(Games!#REF!), "",'Prediction Log'!#REF!)</f>
        <v>#REF!</v>
      </c>
      <c r="H102" s="66" t="e">
        <f>'Prediction Log'!#REF!</f>
        <v>#REF!</v>
      </c>
      <c r="I102" s="65" t="e">
        <f>IF(ISBLANK(Games!#REF!), "",IF(AND(Games!#REF!="",Games!#REF!=""),"",IF(ISTEXT(Games!#REF!), "Side",Games!#REF!)))</f>
        <v>#REF!</v>
      </c>
      <c r="J102" s="65" t="e">
        <f>IF(ISBLANK(Games!#REF!), "",IF(Games!#REF!="Y", Games!#REF!, Games!#REF!))</f>
        <v>#REF!</v>
      </c>
      <c r="K102" s="65" t="e">
        <f>Games!#REF!</f>
        <v>#REF!</v>
      </c>
      <c r="L102" s="65" t="e">
        <f>IF(ISBLANK(Games!#REF!), "",Games!#REF!)</f>
        <v>#REF!</v>
      </c>
      <c r="M102" s="65"/>
      <c r="N102" s="167" t="str">
        <f>IF(ISBLANK(Table123[[#This Row],[Odds Side - Difference Model]]), "", 1)</f>
      </c>
      <c r="O102" s="167" t="str">
        <f>IF(ISBLANK(Table123[[#This Row],[Odds Spread]]), "", 1)</f>
      </c>
      <c r="P102" s="67"/>
      <c r="Q102" s="67"/>
      <c r="R1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2" s="67"/>
      <c r="T102" s="67"/>
      <c r="U102" s="168" t="str">
        <f>IF(ISBLANK(Table123[[#This Row],[Odds Side - Difference Model]]), "",N102+IF(Q102&lt;0, (N102/(Q102/-100)), N102*(Q102/100)))</f>
      </c>
      <c r="V102" s="169" t="str">
        <f>IFERROR(IF(ISBLANK(Table123[[#This Row],[Odds Side - Win Probability Model]]), "",N102+IF(R102&lt;0, (N102/(R102/-100)), N102*(R102/100))),"")</f>
      </c>
      <c r="W102" s="168" t="str">
        <f t="shared" si="8"/>
      </c>
      <c r="X102" s="169" t="str">
        <f t="shared" si="9"/>
      </c>
      <c r="Y102" s="168" t="str">
        <f>IF(ISBLANK(Table123[[#This Row],[Odds Spread]]), "",O102+IF(S102&lt;0, (O102/(S102/-100)), O102*(S102/100)))</f>
      </c>
      <c r="Z102" s="168" t="str">
        <f t="shared" si="10"/>
      </c>
      <c r="AA102" s="68" t="n">
        <f t="shared" si="11"/>
        <v>0</v>
      </c>
      <c r="AB102" s="68" t="n">
        <f t="shared" si="12"/>
        <v>0</v>
      </c>
      <c r="AC102" s="170" t="e">
        <f>IF('Prediction Log'!#REF!="Y", "W", IF('Prediction Log'!#REF!="N","L",""))</f>
        <v>#REF!</v>
      </c>
      <c r="AD102" s="171" t="e">
        <f>IF('Prediction Log'!#REF!="Y", "W", IF('Prediction Log'!#REF!="N","L",""))</f>
        <v>#REF!</v>
      </c>
      <c r="AE102" s="172" t="str">
        <f>IF(ISBLANK(Table123[[#This Row],[Odds Side - Difference Model]]), "",IF(AC102="W", W102, IF(AC102="L",-N102, "")))</f>
      </c>
      <c r="AF102" s="173" t="str">
        <f>IFERROR((IF(ISERR(Table123[[#This Row],[Potential Payout Side - Win Probability Model]]), "",IF(AD102="W", X102, IF(AD102="L",-N102, "")))), "")</f>
      </c>
      <c r="AG102" s="170" t="e">
        <f>IF('Prediction Log'!#REF!="Y", "W", IF('Prediction Log'!#REF!="N", "L", ""))</f>
        <v>#REF!</v>
      </c>
      <c r="AH102" s="172" t="str">
        <f>IF(ISBLANK(Table123[[#This Row],[Odds Spread]]), "",IF(AG102="W", Z102, IF(AG102="L",-O102, "")))</f>
      </c>
      <c r="AI102" s="184"/>
      <c r="AJ102" s="183" t="str">
        <f t="shared" si="13"/>
      </c>
      <c r="AK1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3">
      <c r="A103" s="65" t="e">
        <f>Games!#REF!</f>
        <v>#REF!</v>
      </c>
      <c r="B103" s="65" t="e">
        <f>IF('Prediction Log'!#REF!=0, "",'Prediction Log'!#REF!)</f>
        <v>#REF!</v>
      </c>
      <c r="C103" s="65" t="e">
        <f>IF('Prediction Log'!#REF!=0, "",'Prediction Log'!#REF!)</f>
        <v>#REF!</v>
      </c>
      <c r="D103" s="65" t="e">
        <f>IF('Prediction Log'!#REF!=0, "",'Prediction Log'!#REF!)</f>
        <v>#REF!</v>
      </c>
      <c r="E103" s="65" t="e">
        <f>IF('Prediction Log'!#REF!=0, "",'Prediction Log'!#REF!)</f>
        <v>#REF!</v>
      </c>
      <c r="F103" s="65" t="e">
        <f>IF('Prediction Log'!#REF!=0, "",'Prediction Log'!#REF!)</f>
        <v>#REF!</v>
      </c>
      <c r="G103" s="64" t="e">
        <f>IF(ISBLANK(Games!#REF!), "",'Prediction Log'!#REF!)</f>
        <v>#REF!</v>
      </c>
      <c r="H103" s="66" t="e">
        <f>'Prediction Log'!#REF!</f>
        <v>#REF!</v>
      </c>
      <c r="I103" s="65" t="e">
        <f>IF(ISBLANK(Games!#REF!), "",IF(AND(Games!#REF!="",Games!#REF!=""),"",IF(ISTEXT(Games!#REF!), "Side",Games!#REF!)))</f>
        <v>#REF!</v>
      </c>
      <c r="J103" s="65" t="e">
        <f>IF(ISBLANK(Games!#REF!), "",IF(Games!#REF!="Y", Games!#REF!, Games!#REF!))</f>
        <v>#REF!</v>
      </c>
      <c r="K103" s="65" t="e">
        <f>Games!#REF!</f>
        <v>#REF!</v>
      </c>
      <c r="L103" s="65" t="e">
        <f>IF(ISBLANK(Games!#REF!), "",Games!#REF!)</f>
        <v>#REF!</v>
      </c>
      <c r="M103" s="65"/>
      <c r="N103" s="167" t="str">
        <f>IF(ISBLANK(Table123[[#This Row],[Odds Side - Difference Model]]), "", 1)</f>
      </c>
      <c r="O103" s="167" t="str">
        <f>IF(ISBLANK(Table123[[#This Row],[Odds Spread]]), "", 1)</f>
      </c>
      <c r="P103" s="67"/>
      <c r="Q103" s="67"/>
      <c r="R1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3" s="67"/>
      <c r="T103" s="67"/>
      <c r="U103" s="168" t="str">
        <f>IF(ISBLANK(Table123[[#This Row],[Odds Side - Difference Model]]), "",N103+IF(Q103&lt;0, (N103/(Q103/-100)), N103*(Q103/100)))</f>
      </c>
      <c r="V103" s="169" t="str">
        <f>IFERROR(IF(ISBLANK(Table123[[#This Row],[Odds Side - Win Probability Model]]), "",N103+IF(R103&lt;0, (N103/(R103/-100)), N103*(R103/100))),"")</f>
      </c>
      <c r="W103" s="168" t="str">
        <f t="shared" si="8"/>
      </c>
      <c r="X103" s="169" t="str">
        <f t="shared" si="9"/>
      </c>
      <c r="Y103" s="168" t="str">
        <f>IF(ISBLANK(Table123[[#This Row],[Odds Spread]]), "",O103+IF(S103&lt;0, (O103/(S103/-100)), O103*(S103/100)))</f>
      </c>
      <c r="Z103" s="168" t="str">
        <f t="shared" si="10"/>
      </c>
      <c r="AA103" s="68" t="n">
        <f t="shared" si="11"/>
        <v>0</v>
      </c>
      <c r="AB103" s="68" t="n">
        <f t="shared" si="12"/>
        <v>0</v>
      </c>
      <c r="AC103" s="170" t="e">
        <f>IF('Prediction Log'!#REF!="Y", "W", IF('Prediction Log'!#REF!="N","L",""))</f>
        <v>#REF!</v>
      </c>
      <c r="AD103" s="171" t="e">
        <f>IF('Prediction Log'!#REF!="Y", "W", IF('Prediction Log'!#REF!="N","L",""))</f>
        <v>#REF!</v>
      </c>
      <c r="AE103" s="172" t="str">
        <f>IF(ISBLANK(Table123[[#This Row],[Odds Side - Difference Model]]), "",IF(AC103="W", W103, IF(AC103="L",-N103, "")))</f>
      </c>
      <c r="AF103" s="173" t="str">
        <f>IFERROR((IF(ISERR(Table123[[#This Row],[Potential Payout Side - Win Probability Model]]), "",IF(AD103="W", X103, IF(AD103="L",-N103, "")))), "")</f>
      </c>
      <c r="AG103" s="170" t="e">
        <f>IF('Prediction Log'!#REF!="Y", "W", IF('Prediction Log'!#REF!="N", "L", ""))</f>
        <v>#REF!</v>
      </c>
      <c r="AH103" s="172" t="str">
        <f>IF(ISBLANK(Table123[[#This Row],[Odds Spread]]), "",IF(AG103="W", Z103, IF(AG103="L",-O103, "")))</f>
      </c>
      <c r="AI103" s="184"/>
      <c r="AJ103" s="183" t="str">
        <f t="shared" si="13"/>
      </c>
      <c r="AK1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4">
      <c r="A104" s="65" t="e">
        <f>Games!#REF!</f>
        <v>#REF!</v>
      </c>
      <c r="B104" s="65" t="e">
        <f>IF('Prediction Log'!#REF!=0, "",'Prediction Log'!#REF!)</f>
        <v>#REF!</v>
      </c>
      <c r="C104" s="65" t="e">
        <f>IF('Prediction Log'!#REF!=0, "",'Prediction Log'!#REF!)</f>
        <v>#REF!</v>
      </c>
      <c r="D104" s="65" t="e">
        <f>IF('Prediction Log'!#REF!=0, "",'Prediction Log'!#REF!)</f>
        <v>#REF!</v>
      </c>
      <c r="E104" s="65" t="e">
        <f>IF('Prediction Log'!#REF!=0, "",'Prediction Log'!#REF!)</f>
        <v>#REF!</v>
      </c>
      <c r="F104" s="65" t="e">
        <f>IF('Prediction Log'!#REF!=0, "",'Prediction Log'!#REF!)</f>
        <v>#REF!</v>
      </c>
      <c r="G104" s="64" t="e">
        <f>IF(ISBLANK(Games!#REF!), "",'Prediction Log'!#REF!)</f>
        <v>#REF!</v>
      </c>
      <c r="H104" s="66" t="e">
        <f>'Prediction Log'!#REF!</f>
        <v>#REF!</v>
      </c>
      <c r="I104" s="65" t="e">
        <f>IF(ISBLANK(Games!#REF!), "",IF(AND(Games!#REF!="",Games!#REF!=""),"",IF(ISTEXT(Games!#REF!), "Side",Games!#REF!)))</f>
        <v>#REF!</v>
      </c>
      <c r="J104" s="65" t="e">
        <f>IF(ISBLANK(Games!#REF!), "",IF(Games!#REF!="Y", Games!#REF!, Games!#REF!))</f>
        <v>#REF!</v>
      </c>
      <c r="K104" s="65" t="e">
        <f>Games!#REF!</f>
        <v>#REF!</v>
      </c>
      <c r="L104" s="65" t="e">
        <f>IF(ISBLANK(Games!#REF!), "",Games!#REF!)</f>
        <v>#REF!</v>
      </c>
      <c r="M104" s="65"/>
      <c r="N104" s="167" t="str">
        <f>IF(ISBLANK(Table123[[#This Row],[Odds Side - Difference Model]]), "", 1)</f>
      </c>
      <c r="O104" s="167" t="str">
        <f>IF(ISBLANK(Table123[[#This Row],[Odds Spread]]), "", 1)</f>
      </c>
      <c r="P104" s="67"/>
      <c r="Q104" s="67"/>
      <c r="R1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4" s="67"/>
      <c r="T104" s="67"/>
      <c r="U104" s="168" t="str">
        <f>IF(ISBLANK(Table123[[#This Row],[Odds Side - Difference Model]]), "",N104+IF(Q104&lt;0, (N104/(Q104/-100)), N104*(Q104/100)))</f>
      </c>
      <c r="V104" s="169" t="str">
        <f>IFERROR(IF(ISBLANK(Table123[[#This Row],[Odds Side - Win Probability Model]]), "",N104+IF(R104&lt;0, (N104/(R104/-100)), N104*(R104/100))),"")</f>
      </c>
      <c r="W104" s="168" t="str">
        <f t="shared" si="8"/>
      </c>
      <c r="X104" s="169" t="str">
        <f t="shared" si="9"/>
      </c>
      <c r="Y104" s="168" t="str">
        <f>IF(ISBLANK(Table123[[#This Row],[Odds Spread]]), "",O104+IF(S104&lt;0, (O104/(S104/-100)), O104*(S104/100)))</f>
      </c>
      <c r="Z104" s="168" t="str">
        <f t="shared" si="10"/>
      </c>
      <c r="AA104" s="68" t="n">
        <f t="shared" si="11"/>
        <v>0</v>
      </c>
      <c r="AB104" s="68" t="n">
        <f t="shared" si="12"/>
        <v>0</v>
      </c>
      <c r="AC104" s="170" t="e">
        <f>IF('Prediction Log'!#REF!="Y", "W", IF('Prediction Log'!#REF!="N","L",""))</f>
        <v>#REF!</v>
      </c>
      <c r="AD104" s="171" t="e">
        <f>IF('Prediction Log'!#REF!="Y", "W", IF('Prediction Log'!#REF!="N","L",""))</f>
        <v>#REF!</v>
      </c>
      <c r="AE104" s="172" t="str">
        <f>IF(ISBLANK(Table123[[#This Row],[Odds Side - Difference Model]]), "",IF(AC104="W", W104, IF(AC104="L",-N104, "")))</f>
      </c>
      <c r="AF104" s="173" t="str">
        <f>IFERROR((IF(ISERR(Table123[[#This Row],[Potential Payout Side - Win Probability Model]]), "",IF(AD104="W", X104, IF(AD104="L",-N104, "")))), "")</f>
      </c>
      <c r="AG104" s="170" t="e">
        <f>IF('Prediction Log'!#REF!="Y", "W", IF('Prediction Log'!#REF!="N", "L", ""))</f>
        <v>#REF!</v>
      </c>
      <c r="AH104" s="172" t="str">
        <f>IF(ISBLANK(Table123[[#This Row],[Odds Spread]]), "",IF(AG104="W", Z104, IF(AG104="L",-O104, "")))</f>
      </c>
      <c r="AI104" s="184"/>
      <c r="AJ104" s="183" t="str">
        <f t="shared" si="13"/>
      </c>
      <c r="AK1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5">
      <c r="A105" s="65" t="e">
        <f>Games!#REF!</f>
        <v>#REF!</v>
      </c>
      <c r="B105" s="65" t="e">
        <f>IF('Prediction Log'!#REF!=0, "",'Prediction Log'!#REF!)</f>
        <v>#REF!</v>
      </c>
      <c r="C105" s="65" t="e">
        <f>IF('Prediction Log'!#REF!=0, "",'Prediction Log'!#REF!)</f>
        <v>#REF!</v>
      </c>
      <c r="D105" s="65" t="e">
        <f>IF('Prediction Log'!#REF!=0, "",'Prediction Log'!#REF!)</f>
        <v>#REF!</v>
      </c>
      <c r="E105" s="65" t="e">
        <f>IF('Prediction Log'!#REF!=0, "",'Prediction Log'!#REF!)</f>
        <v>#REF!</v>
      </c>
      <c r="F105" s="65" t="e">
        <f>IF('Prediction Log'!#REF!=0, "",'Prediction Log'!#REF!)</f>
        <v>#REF!</v>
      </c>
      <c r="G105" s="64" t="e">
        <f>IF(ISBLANK(Games!#REF!), "",'Prediction Log'!#REF!)</f>
        <v>#REF!</v>
      </c>
      <c r="H105" s="66" t="e">
        <f>'Prediction Log'!#REF!</f>
        <v>#REF!</v>
      </c>
      <c r="I105" s="65" t="e">
        <f>IF(ISBLANK(Games!#REF!), "",IF(AND(Games!#REF!="",Games!#REF!=""),"",IF(ISTEXT(Games!#REF!), "Side",Games!#REF!)))</f>
        <v>#REF!</v>
      </c>
      <c r="J105" s="65" t="e">
        <f>IF(ISBLANK(Games!#REF!), "",IF(Games!#REF!="Y", Games!#REF!, Games!#REF!))</f>
        <v>#REF!</v>
      </c>
      <c r="K105" s="65" t="e">
        <f>Games!#REF!</f>
        <v>#REF!</v>
      </c>
      <c r="L105" s="65" t="e">
        <f>IF(ISBLANK(Games!#REF!), "",Games!#REF!)</f>
        <v>#REF!</v>
      </c>
      <c r="M105" s="65"/>
      <c r="N105" s="167" t="str">
        <f>IF(ISBLANK(Table123[[#This Row],[Odds Side - Difference Model]]), "", 1)</f>
      </c>
      <c r="O105" s="167" t="str">
        <f>IF(ISBLANK(Table123[[#This Row],[Odds Spread]]), "", 1)</f>
      </c>
      <c r="P105" s="67"/>
      <c r="Q105" s="67"/>
      <c r="R1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5" s="67"/>
      <c r="T105" s="67"/>
      <c r="U105" s="168" t="str">
        <f>IF(ISBLANK(Table123[[#This Row],[Odds Side - Difference Model]]), "",N105+IF(Q105&lt;0, (N105/(Q105/-100)), N105*(Q105/100)))</f>
      </c>
      <c r="V105" s="169" t="str">
        <f>IFERROR(IF(ISBLANK(Table123[[#This Row],[Odds Side - Win Probability Model]]), "",N105+IF(R105&lt;0, (N105/(R105/-100)), N105*(R105/100))),"")</f>
      </c>
      <c r="W105" s="168" t="str">
        <f t="shared" si="8"/>
      </c>
      <c r="X105" s="169" t="str">
        <f t="shared" si="9"/>
      </c>
      <c r="Y105" s="168" t="str">
        <f>IF(ISBLANK(Table123[[#This Row],[Odds Spread]]), "",O105+IF(S105&lt;0, (O105/(S105/-100)), O105*(S105/100)))</f>
      </c>
      <c r="Z105" s="168" t="str">
        <f t="shared" si="10"/>
      </c>
      <c r="AA105" s="68" t="n">
        <f t="shared" si="11"/>
        <v>0</v>
      </c>
      <c r="AB105" s="68" t="n">
        <f t="shared" si="12"/>
        <v>0</v>
      </c>
      <c r="AC105" s="170" t="e">
        <f>IF('Prediction Log'!#REF!="Y", "W", IF('Prediction Log'!#REF!="N","L",""))</f>
        <v>#REF!</v>
      </c>
      <c r="AD105" s="171" t="e">
        <f>IF('Prediction Log'!#REF!="Y", "W", IF('Prediction Log'!#REF!="N","L",""))</f>
        <v>#REF!</v>
      </c>
      <c r="AE105" s="172" t="str">
        <f>IF(ISBLANK(Table123[[#This Row],[Odds Side - Difference Model]]), "",IF(AC105="W", W105, IF(AC105="L",-N105, "")))</f>
      </c>
      <c r="AF105" s="173" t="str">
        <f>IFERROR((IF(ISERR(Table123[[#This Row],[Potential Payout Side - Win Probability Model]]), "",IF(AD105="W", X105, IF(AD105="L",-N105, "")))), "")</f>
      </c>
      <c r="AG105" s="170" t="e">
        <f>IF('Prediction Log'!#REF!="Y", "W", IF('Prediction Log'!#REF!="N", "L", ""))</f>
        <v>#REF!</v>
      </c>
      <c r="AH105" s="172" t="str">
        <f>IF(ISBLANK(Table123[[#This Row],[Odds Spread]]), "",IF(AG105="W", Z105, IF(AG105="L",-O105, "")))</f>
      </c>
      <c r="AI105" s="184"/>
      <c r="AJ105" s="183" t="str">
        <f t="shared" si="13"/>
      </c>
      <c r="AK1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6">
      <c r="A106" s="65" t="e">
        <f>Games!#REF!</f>
        <v>#REF!</v>
      </c>
      <c r="B106" s="65" t="e">
        <f>IF('Prediction Log'!#REF!=0, "",'Prediction Log'!#REF!)</f>
        <v>#REF!</v>
      </c>
      <c r="C106" s="65" t="e">
        <f>IF('Prediction Log'!#REF!=0, "",'Prediction Log'!#REF!)</f>
        <v>#REF!</v>
      </c>
      <c r="D106" s="65" t="e">
        <f>IF('Prediction Log'!#REF!=0, "",'Prediction Log'!#REF!)</f>
        <v>#REF!</v>
      </c>
      <c r="E106" s="65" t="e">
        <f>IF('Prediction Log'!#REF!=0, "",'Prediction Log'!#REF!)</f>
        <v>#REF!</v>
      </c>
      <c r="F106" s="65" t="e">
        <f>IF('Prediction Log'!#REF!=0, "",'Prediction Log'!#REF!)</f>
        <v>#REF!</v>
      </c>
      <c r="G106" s="64" t="e">
        <f>IF(ISBLANK(Games!#REF!), "",'Prediction Log'!#REF!)</f>
        <v>#REF!</v>
      </c>
      <c r="H106" s="66" t="e">
        <f>'Prediction Log'!#REF!</f>
        <v>#REF!</v>
      </c>
      <c r="I106" s="65" t="e">
        <f>IF(ISBLANK(Games!#REF!), "",IF(AND(Games!#REF!="",Games!#REF!=""),"",IF(ISTEXT(Games!#REF!), "Side",Games!#REF!)))</f>
        <v>#REF!</v>
      </c>
      <c r="J106" s="65" t="e">
        <f>IF(ISBLANK(Games!#REF!), "",IF(Games!#REF!="Y", Games!#REF!, Games!#REF!))</f>
        <v>#REF!</v>
      </c>
      <c r="K106" s="65" t="e">
        <f>Games!#REF!</f>
        <v>#REF!</v>
      </c>
      <c r="L106" s="65" t="e">
        <f>IF(ISBLANK(Games!#REF!), "",Games!#REF!)</f>
        <v>#REF!</v>
      </c>
      <c r="M106" s="65"/>
      <c r="N106" s="167" t="str">
        <f>IF(ISBLANK(Table123[[#This Row],[Odds Side - Difference Model]]), "", 1)</f>
      </c>
      <c r="O106" s="167" t="str">
        <f>IF(ISBLANK(Table123[[#This Row],[Odds Spread]]), "", 1)</f>
      </c>
      <c r="P106" s="67"/>
      <c r="Q106" s="67"/>
      <c r="R1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6" s="67"/>
      <c r="T106" s="67"/>
      <c r="U106" s="168" t="str">
        <f>IF(ISBLANK(Table123[[#This Row],[Odds Side - Difference Model]]), "",N106+IF(Q106&lt;0, (N106/(Q106/-100)), N106*(Q106/100)))</f>
      </c>
      <c r="V106" s="169" t="str">
        <f>IFERROR(IF(ISBLANK(Table123[[#This Row],[Odds Side - Win Probability Model]]), "",N106+IF(R106&lt;0, (N106/(R106/-100)), N106*(R106/100))),"")</f>
      </c>
      <c r="W106" s="168" t="str">
        <f t="shared" si="8"/>
      </c>
      <c r="X106" s="169" t="str">
        <f t="shared" si="9"/>
      </c>
      <c r="Y106" s="168" t="str">
        <f>IF(ISBLANK(Table123[[#This Row],[Odds Spread]]), "",O106+IF(S106&lt;0, (O106/(S106/-100)), O106*(S106/100)))</f>
      </c>
      <c r="Z106" s="168" t="str">
        <f t="shared" si="10"/>
      </c>
      <c r="AA106" s="68" t="n">
        <f t="shared" si="11"/>
        <v>0</v>
      </c>
      <c r="AB106" s="68" t="n">
        <f t="shared" si="12"/>
        <v>0</v>
      </c>
      <c r="AC106" s="170" t="e">
        <f>IF('Prediction Log'!#REF!="Y", "W", IF('Prediction Log'!#REF!="N","L",""))</f>
        <v>#REF!</v>
      </c>
      <c r="AD106" s="171" t="e">
        <f>IF('Prediction Log'!#REF!="Y", "W", IF('Prediction Log'!#REF!="N","L",""))</f>
        <v>#REF!</v>
      </c>
      <c r="AE106" s="172" t="str">
        <f>IF(ISBLANK(Table123[[#This Row],[Odds Side - Difference Model]]), "",IF(AC106="W", W106, IF(AC106="L",-N106, "")))</f>
      </c>
      <c r="AF106" s="173" t="str">
        <f>IFERROR((IF(ISERR(Table123[[#This Row],[Potential Payout Side - Win Probability Model]]), "",IF(AD106="W", X106, IF(AD106="L",-N106, "")))), "")</f>
      </c>
      <c r="AG106" s="170" t="e">
        <f>IF('Prediction Log'!#REF!="Y", "W", IF('Prediction Log'!#REF!="N", "L", ""))</f>
        <v>#REF!</v>
      </c>
      <c r="AH106" s="172" t="str">
        <f>IF(ISBLANK(Table123[[#This Row],[Odds Spread]]), "",IF(AG106="W", Z106, IF(AG106="L",-O106, "")))</f>
      </c>
      <c r="AI106" s="184"/>
      <c r="AJ106" s="183" t="str">
        <f t="shared" si="13"/>
      </c>
      <c r="AK1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7">
      <c r="A107" s="65" t="e">
        <f>Games!#REF!</f>
        <v>#REF!</v>
      </c>
      <c r="B107" s="65" t="e">
        <f>IF('Prediction Log'!#REF!=0, "",'Prediction Log'!#REF!)</f>
        <v>#REF!</v>
      </c>
      <c r="C107" s="65" t="e">
        <f>IF('Prediction Log'!#REF!=0, "",'Prediction Log'!#REF!)</f>
        <v>#REF!</v>
      </c>
      <c r="D107" s="65" t="e">
        <f>IF('Prediction Log'!#REF!=0, "",'Prediction Log'!#REF!)</f>
        <v>#REF!</v>
      </c>
      <c r="E107" s="65" t="e">
        <f>IF('Prediction Log'!#REF!=0, "",'Prediction Log'!#REF!)</f>
        <v>#REF!</v>
      </c>
      <c r="F107" s="65" t="e">
        <f>IF('Prediction Log'!#REF!=0, "",'Prediction Log'!#REF!)</f>
        <v>#REF!</v>
      </c>
      <c r="G107" s="64" t="e">
        <f>IF(ISBLANK(Games!#REF!), "",'Prediction Log'!#REF!)</f>
        <v>#REF!</v>
      </c>
      <c r="H107" s="66" t="e">
        <f>'Prediction Log'!#REF!</f>
        <v>#REF!</v>
      </c>
      <c r="I107" s="65" t="e">
        <f>IF(ISBLANK(Games!#REF!), "",IF(AND(Games!#REF!="",Games!#REF!=""),"",IF(ISTEXT(Games!#REF!), "Side",Games!#REF!)))</f>
        <v>#REF!</v>
      </c>
      <c r="J107" s="65" t="e">
        <f>IF(ISBLANK(Games!#REF!), "",IF(Games!#REF!="Y", Games!#REF!, Games!#REF!))</f>
        <v>#REF!</v>
      </c>
      <c r="K107" s="65" t="e">
        <f>Games!#REF!</f>
        <v>#REF!</v>
      </c>
      <c r="L107" s="65" t="e">
        <f>IF(ISBLANK(Games!#REF!), "",Games!#REF!)</f>
        <v>#REF!</v>
      </c>
      <c r="M107" s="65"/>
      <c r="N107" s="167" t="str">
        <f>IF(ISBLANK(Table123[[#This Row],[Odds Side - Difference Model]]), "", 1)</f>
      </c>
      <c r="O107" s="167" t="str">
        <f>IF(ISBLANK(Table123[[#This Row],[Odds Spread]]), "", 1)</f>
      </c>
      <c r="P107" s="67"/>
      <c r="Q107" s="67"/>
      <c r="R1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7" s="67"/>
      <c r="T107" s="67"/>
      <c r="U107" s="168" t="str">
        <f>IF(ISBLANK(Table123[[#This Row],[Odds Side - Difference Model]]), "",N107+IF(Q107&lt;0, (N107/(Q107/-100)), N107*(Q107/100)))</f>
      </c>
      <c r="V107" s="169" t="str">
        <f>IFERROR(IF(ISBLANK(Table123[[#This Row],[Odds Side - Win Probability Model]]), "",N107+IF(R107&lt;0, (N107/(R107/-100)), N107*(R107/100))),"")</f>
      </c>
      <c r="W107" s="168" t="str">
        <f t="shared" si="8"/>
      </c>
      <c r="X107" s="169" t="str">
        <f t="shared" si="9"/>
      </c>
      <c r="Y107" s="168" t="str">
        <f>IF(ISBLANK(Table123[[#This Row],[Odds Spread]]), "",O107+IF(S107&lt;0, (O107/(S107/-100)), O107*(S107/100)))</f>
      </c>
      <c r="Z107" s="168" t="str">
        <f t="shared" si="10"/>
      </c>
      <c r="AA107" s="68" t="n">
        <f t="shared" si="11"/>
        <v>0</v>
      </c>
      <c r="AB107" s="68" t="n">
        <f t="shared" si="12"/>
        <v>0</v>
      </c>
      <c r="AC107" s="170" t="e">
        <f>IF('Prediction Log'!#REF!="Y", "W", IF('Prediction Log'!#REF!="N","L",""))</f>
        <v>#REF!</v>
      </c>
      <c r="AD107" s="171" t="e">
        <f>IF('Prediction Log'!#REF!="Y", "W", IF('Prediction Log'!#REF!="N","L",""))</f>
        <v>#REF!</v>
      </c>
      <c r="AE107" s="172" t="str">
        <f>IF(ISBLANK(Table123[[#This Row],[Odds Side - Difference Model]]), "",IF(AC107="W", W107, IF(AC107="L",-N107, "")))</f>
      </c>
      <c r="AF107" s="173" t="str">
        <f>IFERROR((IF(ISERR(Table123[[#This Row],[Potential Payout Side - Win Probability Model]]), "",IF(AD107="W", X107, IF(AD107="L",-N107, "")))), "")</f>
      </c>
      <c r="AG107" s="170" t="e">
        <f>IF('Prediction Log'!#REF!="Y", "W", IF('Prediction Log'!#REF!="N", "L", ""))</f>
        <v>#REF!</v>
      </c>
      <c r="AH107" s="172" t="str">
        <f>IF(ISBLANK(Table123[[#This Row],[Odds Spread]]), "",IF(AG107="W", Z107, IF(AG107="L",-O107, "")))</f>
      </c>
      <c r="AI107" s="184"/>
      <c r="AJ107" s="183" t="str">
        <f t="shared" si="13"/>
      </c>
      <c r="AK1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8">
      <c r="A108" s="65" t="e">
        <f>Games!#REF!</f>
        <v>#REF!</v>
      </c>
      <c r="B108" s="65" t="e">
        <f>IF('Prediction Log'!#REF!=0, "",'Prediction Log'!#REF!)</f>
        <v>#REF!</v>
      </c>
      <c r="C108" s="65" t="e">
        <f>IF('Prediction Log'!#REF!=0, "",'Prediction Log'!#REF!)</f>
        <v>#REF!</v>
      </c>
      <c r="D108" s="65" t="e">
        <f>IF('Prediction Log'!#REF!=0, "",'Prediction Log'!#REF!)</f>
        <v>#REF!</v>
      </c>
      <c r="E108" s="65" t="e">
        <f>IF('Prediction Log'!#REF!=0, "",'Prediction Log'!#REF!)</f>
        <v>#REF!</v>
      </c>
      <c r="F108" s="65" t="e">
        <f>IF('Prediction Log'!#REF!=0, "",'Prediction Log'!#REF!)</f>
        <v>#REF!</v>
      </c>
      <c r="G108" s="64" t="e">
        <f>IF(ISBLANK(Games!#REF!), "",'Prediction Log'!#REF!)</f>
        <v>#REF!</v>
      </c>
      <c r="H108" s="66" t="e">
        <f>'Prediction Log'!#REF!</f>
        <v>#REF!</v>
      </c>
      <c r="I108" s="65" t="e">
        <f>IF(ISBLANK(Games!#REF!), "",IF(AND(Games!#REF!="",Games!#REF!=""),"",IF(ISTEXT(Games!#REF!), "Side",Games!#REF!)))</f>
        <v>#REF!</v>
      </c>
      <c r="J108" s="65" t="e">
        <f>IF(ISBLANK(Games!#REF!), "",IF(Games!#REF!="Y", Games!#REF!, Games!#REF!))</f>
        <v>#REF!</v>
      </c>
      <c r="K108" s="65" t="e">
        <f>Games!#REF!</f>
        <v>#REF!</v>
      </c>
      <c r="L108" s="65" t="e">
        <f>IF(ISBLANK(Games!#REF!), "",Games!#REF!)</f>
        <v>#REF!</v>
      </c>
      <c r="M108" s="65"/>
      <c r="N108" s="167" t="str">
        <f>IF(ISBLANK(Table123[[#This Row],[Odds Side - Difference Model]]), "", 1)</f>
      </c>
      <c r="O108" s="167" t="str">
        <f>IF(ISBLANK(Table123[[#This Row],[Odds Spread]]), "", 1)</f>
      </c>
      <c r="P108" s="67"/>
      <c r="Q108" s="67"/>
      <c r="R1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8" s="67"/>
      <c r="T108" s="67"/>
      <c r="U108" s="168" t="str">
        <f>IF(ISBLANK(Table123[[#This Row],[Odds Side - Difference Model]]), "",N108+IF(Q108&lt;0, (N108/(Q108/-100)), N108*(Q108/100)))</f>
      </c>
      <c r="V108" s="169" t="str">
        <f>IFERROR(IF(ISBLANK(Table123[[#This Row],[Odds Side - Win Probability Model]]), "",N108+IF(R108&lt;0, (N108/(R108/-100)), N108*(R108/100))),"")</f>
      </c>
      <c r="W108" s="168" t="str">
        <f t="shared" si="8"/>
      </c>
      <c r="X108" s="169" t="str">
        <f t="shared" si="9"/>
      </c>
      <c r="Y108" s="168" t="str">
        <f>IF(ISBLANK(Table123[[#This Row],[Odds Spread]]), "",O108+IF(S108&lt;0, (O108/(S108/-100)), O108*(S108/100)))</f>
      </c>
      <c r="Z108" s="168" t="str">
        <f t="shared" si="10"/>
      </c>
      <c r="AA108" s="68" t="n">
        <f t="shared" si="11"/>
        <v>0</v>
      </c>
      <c r="AB108" s="68" t="n">
        <f t="shared" si="12"/>
        <v>0</v>
      </c>
      <c r="AC108" s="170" t="e">
        <f>IF('Prediction Log'!#REF!="Y", "W", IF('Prediction Log'!#REF!="N","L",""))</f>
        <v>#REF!</v>
      </c>
      <c r="AD108" s="171" t="e">
        <f>IF('Prediction Log'!#REF!="Y", "W", IF('Prediction Log'!#REF!="N","L",""))</f>
        <v>#REF!</v>
      </c>
      <c r="AE108" s="172" t="str">
        <f>IF(ISBLANK(Table123[[#This Row],[Odds Side - Difference Model]]), "",IF(AC108="W", W108, IF(AC108="L",-N108, "")))</f>
      </c>
      <c r="AF108" s="173" t="str">
        <f>IFERROR((IF(ISERR(Table123[[#This Row],[Potential Payout Side - Win Probability Model]]), "",IF(AD108="W", X108, IF(AD108="L",-N108, "")))), "")</f>
      </c>
      <c r="AG108" s="170" t="e">
        <f>IF('Prediction Log'!#REF!="Y", "W", IF('Prediction Log'!#REF!="N", "L", ""))</f>
        <v>#REF!</v>
      </c>
      <c r="AH108" s="172" t="str">
        <f>IF(ISBLANK(Table123[[#This Row],[Odds Spread]]), "",IF(AG108="W", Z108, IF(AG108="L",-O108, "")))</f>
      </c>
      <c r="AI108" s="184"/>
      <c r="AJ108" s="183" t="str">
        <f t="shared" si="13"/>
      </c>
      <c r="AK1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9">
      <c r="A109" s="65" t="e">
        <f>Games!#REF!</f>
        <v>#REF!</v>
      </c>
      <c r="B109" s="65" t="e">
        <f>IF('Prediction Log'!#REF!=0, "",'Prediction Log'!#REF!)</f>
        <v>#REF!</v>
      </c>
      <c r="C109" s="65" t="e">
        <f>IF('Prediction Log'!#REF!=0, "",'Prediction Log'!#REF!)</f>
        <v>#REF!</v>
      </c>
      <c r="D109" s="65" t="e">
        <f>IF('Prediction Log'!#REF!=0, "",'Prediction Log'!#REF!)</f>
        <v>#REF!</v>
      </c>
      <c r="E109" s="65" t="e">
        <f>IF('Prediction Log'!#REF!=0, "",'Prediction Log'!#REF!)</f>
        <v>#REF!</v>
      </c>
      <c r="F109" s="65" t="e">
        <f>IF('Prediction Log'!#REF!=0, "",'Prediction Log'!#REF!)</f>
        <v>#REF!</v>
      </c>
      <c r="G109" s="64" t="e">
        <f>IF(ISBLANK(Games!#REF!), "",'Prediction Log'!#REF!)</f>
        <v>#REF!</v>
      </c>
      <c r="H109" s="66" t="e">
        <f>'Prediction Log'!#REF!</f>
        <v>#REF!</v>
      </c>
      <c r="I109" s="65" t="e">
        <f>IF(ISBLANK(Games!#REF!), "",IF(AND(Games!#REF!="",Games!#REF!=""),"",IF(ISTEXT(Games!#REF!), "Side",Games!#REF!)))</f>
        <v>#REF!</v>
      </c>
      <c r="J109" s="65" t="e">
        <f>IF(ISBLANK(Games!#REF!), "",IF(Games!#REF!="Y", Games!#REF!, Games!#REF!))</f>
        <v>#REF!</v>
      </c>
      <c r="K109" s="65" t="e">
        <f>Games!#REF!</f>
        <v>#REF!</v>
      </c>
      <c r="L109" s="65" t="e">
        <f>IF(ISBLANK(Games!#REF!), "",Games!#REF!)</f>
        <v>#REF!</v>
      </c>
      <c r="M109" s="65"/>
      <c r="N109" s="167" t="str">
        <f>IF(ISBLANK(Table123[[#This Row],[Odds Side - Difference Model]]), "", 1)</f>
      </c>
      <c r="O109" s="167" t="str">
        <f>IF(ISBLANK(Table123[[#This Row],[Odds Spread]]), "", 1)</f>
      </c>
      <c r="P109" s="67"/>
      <c r="Q109" s="67"/>
      <c r="R1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9" s="67"/>
      <c r="T109" s="67"/>
      <c r="U109" s="168" t="str">
        <f>IF(ISBLANK(Table123[[#This Row],[Odds Side - Difference Model]]), "",N109+IF(Q109&lt;0, (N109/(Q109/-100)), N109*(Q109/100)))</f>
      </c>
      <c r="V109" s="169" t="str">
        <f>IFERROR(IF(ISBLANK(Table123[[#This Row],[Odds Side - Win Probability Model]]), "",N109+IF(R109&lt;0, (N109/(R109/-100)), N109*(R109/100))),"")</f>
      </c>
      <c r="W109" s="168" t="str">
        <f t="shared" si="8"/>
      </c>
      <c r="X109" s="169" t="str">
        <f t="shared" si="9"/>
      </c>
      <c r="Y109" s="168" t="str">
        <f>IF(ISBLANK(Table123[[#This Row],[Odds Spread]]), "",O109+IF(S109&lt;0, (O109/(S109/-100)), O109*(S109/100)))</f>
      </c>
      <c r="Z109" s="168" t="str">
        <f t="shared" si="10"/>
      </c>
      <c r="AA109" s="68" t="n">
        <f t="shared" si="11"/>
        <v>0</v>
      </c>
      <c r="AB109" s="68" t="n">
        <f t="shared" si="12"/>
        <v>0</v>
      </c>
      <c r="AC109" s="170" t="e">
        <f>IF('Prediction Log'!#REF!="Y", "W", IF('Prediction Log'!#REF!="N","L",""))</f>
        <v>#REF!</v>
      </c>
      <c r="AD109" s="171" t="e">
        <f>IF('Prediction Log'!#REF!="Y", "W", IF('Prediction Log'!#REF!="N","L",""))</f>
        <v>#REF!</v>
      </c>
      <c r="AE109" s="172" t="str">
        <f>IF(ISBLANK(Table123[[#This Row],[Odds Side - Difference Model]]), "",IF(AC109="W", W109, IF(AC109="L",-N109, "")))</f>
      </c>
      <c r="AF109" s="173" t="str">
        <f>IFERROR((IF(ISERR(Table123[[#This Row],[Potential Payout Side - Win Probability Model]]), "",IF(AD109="W", X109, IF(AD109="L",-N109, "")))), "")</f>
      </c>
      <c r="AG109" s="170" t="e">
        <f>IF('Prediction Log'!#REF!="Y", "W", IF('Prediction Log'!#REF!="N", "L", ""))</f>
        <v>#REF!</v>
      </c>
      <c r="AH109" s="172" t="str">
        <f>IF(ISBLANK(Table123[[#This Row],[Odds Spread]]), "",IF(AG109="W", Z109, IF(AG109="L",-O109, "")))</f>
      </c>
      <c r="AI109" s="184"/>
      <c r="AJ109" s="183" t="str">
        <f t="shared" si="13"/>
      </c>
      <c r="AK1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0">
      <c r="A110" s="65" t="e">
        <f>Games!#REF!</f>
        <v>#REF!</v>
      </c>
      <c r="B110" s="65" t="e">
        <f>IF('Prediction Log'!#REF!=0, "",'Prediction Log'!#REF!)</f>
        <v>#REF!</v>
      </c>
      <c r="C110" s="65" t="e">
        <f>IF('Prediction Log'!#REF!=0, "",'Prediction Log'!#REF!)</f>
        <v>#REF!</v>
      </c>
      <c r="D110" s="65" t="e">
        <f>IF('Prediction Log'!#REF!=0, "",'Prediction Log'!#REF!)</f>
        <v>#REF!</v>
      </c>
      <c r="E110" s="65" t="e">
        <f>IF('Prediction Log'!#REF!=0, "",'Prediction Log'!#REF!)</f>
        <v>#REF!</v>
      </c>
      <c r="F110" s="65" t="e">
        <f>IF('Prediction Log'!#REF!=0, "",'Prediction Log'!#REF!)</f>
        <v>#REF!</v>
      </c>
      <c r="G110" s="64" t="e">
        <f>IF(ISBLANK(Games!#REF!), "",'Prediction Log'!#REF!)</f>
        <v>#REF!</v>
      </c>
      <c r="H110" s="66" t="e">
        <f>'Prediction Log'!#REF!</f>
        <v>#REF!</v>
      </c>
      <c r="I110" s="65" t="e">
        <f>IF(ISBLANK(Games!#REF!), "",IF(AND(Games!#REF!="",Games!#REF!=""),"",IF(ISTEXT(Games!#REF!), "Side",Games!#REF!)))</f>
        <v>#REF!</v>
      </c>
      <c r="J110" s="65" t="e">
        <f>IF(ISBLANK(Games!#REF!), "",IF(Games!#REF!="Y", Games!#REF!, Games!#REF!))</f>
        <v>#REF!</v>
      </c>
      <c r="K110" s="65" t="e">
        <f>Games!#REF!</f>
        <v>#REF!</v>
      </c>
      <c r="L110" s="65" t="e">
        <f>IF(ISBLANK(Games!#REF!), "",Games!#REF!)</f>
        <v>#REF!</v>
      </c>
      <c r="M110" s="65"/>
      <c r="N110" s="167" t="str">
        <f>IF(ISBLANK(Table123[[#This Row],[Odds Side - Difference Model]]), "", 1)</f>
      </c>
      <c r="O110" s="167" t="str">
        <f>IF(ISBLANK(Table123[[#This Row],[Odds Spread]]), "", 1)</f>
      </c>
      <c r="P110" s="67"/>
      <c r="Q110" s="67"/>
      <c r="R1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0" s="67"/>
      <c r="T110" s="67"/>
      <c r="U110" s="168" t="str">
        <f>IF(ISBLANK(Table123[[#This Row],[Odds Side - Difference Model]]), "",N110+IF(Q110&lt;0, (N110/(Q110/-100)), N110*(Q110/100)))</f>
      </c>
      <c r="V110" s="169" t="str">
        <f>IFERROR(IF(ISBLANK(Table123[[#This Row],[Odds Side - Win Probability Model]]), "",N110+IF(R110&lt;0, (N110/(R110/-100)), N110*(R110/100))),"")</f>
      </c>
      <c r="W110" s="168" t="str">
        <f t="shared" si="8"/>
      </c>
      <c r="X110" s="169" t="str">
        <f t="shared" si="9"/>
      </c>
      <c r="Y110" s="168" t="str">
        <f>IF(ISBLANK(Table123[[#This Row],[Odds Spread]]), "",O110+IF(S110&lt;0, (O110/(S110/-100)), O110*(S110/100)))</f>
      </c>
      <c r="Z110" s="168" t="str">
        <f t="shared" si="10"/>
      </c>
      <c r="AA110" s="68" t="n">
        <f t="shared" si="11"/>
        <v>0</v>
      </c>
      <c r="AB110" s="68" t="n">
        <f t="shared" si="12"/>
        <v>0</v>
      </c>
      <c r="AC110" s="170" t="e">
        <f>IF('Prediction Log'!#REF!="Y", "W", IF('Prediction Log'!#REF!="N","L",""))</f>
        <v>#REF!</v>
      </c>
      <c r="AD110" s="171" t="e">
        <f>IF('Prediction Log'!#REF!="Y", "W", IF('Prediction Log'!#REF!="N","L",""))</f>
        <v>#REF!</v>
      </c>
      <c r="AE110" s="172" t="str">
        <f>IF(ISBLANK(Table123[[#This Row],[Odds Side - Difference Model]]), "",IF(AC110="W", W110, IF(AC110="L",-N110, "")))</f>
      </c>
      <c r="AF110" s="173" t="str">
        <f>IFERROR((IF(ISERR(Table123[[#This Row],[Potential Payout Side - Win Probability Model]]), "",IF(AD110="W", X110, IF(AD110="L",-N110, "")))), "")</f>
      </c>
      <c r="AG110" s="170" t="e">
        <f>IF('Prediction Log'!#REF!="Y", "W", IF('Prediction Log'!#REF!="N", "L", ""))</f>
        <v>#REF!</v>
      </c>
      <c r="AH110" s="172" t="str">
        <f>IF(ISBLANK(Table123[[#This Row],[Odds Spread]]), "",IF(AG110="W", Z110, IF(AG110="L",-O110, "")))</f>
      </c>
      <c r="AI110" s="184"/>
      <c r="AJ110" s="183" t="str">
        <f t="shared" si="13"/>
      </c>
      <c r="AK1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1">
      <c r="A111" s="65" t="e">
        <f>Games!#REF!</f>
        <v>#REF!</v>
      </c>
      <c r="B111" s="65" t="e">
        <f>IF('Prediction Log'!#REF!=0, "",'Prediction Log'!#REF!)</f>
        <v>#REF!</v>
      </c>
      <c r="C111" s="65" t="e">
        <f>IF('Prediction Log'!#REF!=0, "",'Prediction Log'!#REF!)</f>
        <v>#REF!</v>
      </c>
      <c r="D111" s="65" t="e">
        <f>IF('Prediction Log'!#REF!=0, "",'Prediction Log'!#REF!)</f>
        <v>#REF!</v>
      </c>
      <c r="E111" s="65" t="e">
        <f>IF('Prediction Log'!#REF!=0, "",'Prediction Log'!#REF!)</f>
        <v>#REF!</v>
      </c>
      <c r="F111" s="65" t="e">
        <f>IF('Prediction Log'!#REF!=0, "",'Prediction Log'!#REF!)</f>
        <v>#REF!</v>
      </c>
      <c r="G111" s="64" t="e">
        <f>IF(ISBLANK(Games!#REF!), "",'Prediction Log'!#REF!)</f>
        <v>#REF!</v>
      </c>
      <c r="H111" s="66" t="e">
        <f>'Prediction Log'!#REF!</f>
        <v>#REF!</v>
      </c>
      <c r="I111" s="65" t="e">
        <f>IF(ISBLANK(Games!#REF!), "",IF(AND(Games!#REF!="",Games!#REF!=""),"",IF(ISTEXT(Games!#REF!), "Side",Games!#REF!)))</f>
        <v>#REF!</v>
      </c>
      <c r="J111" s="65" t="e">
        <f>IF(ISBLANK(Games!#REF!), "",IF(Games!#REF!="Y", Games!#REF!, Games!#REF!))</f>
        <v>#REF!</v>
      </c>
      <c r="K111" s="65" t="e">
        <f>Games!#REF!</f>
        <v>#REF!</v>
      </c>
      <c r="L111" s="65" t="e">
        <f>IF(ISBLANK(Games!#REF!), "",Games!#REF!)</f>
        <v>#REF!</v>
      </c>
      <c r="M111" s="65"/>
      <c r="N111" s="167" t="str">
        <f>IF(ISBLANK(Table123[[#This Row],[Odds Side - Difference Model]]), "", 1)</f>
      </c>
      <c r="O111" s="167" t="str">
        <f>IF(ISBLANK(Table123[[#This Row],[Odds Spread]]), "", 1)</f>
      </c>
      <c r="P111" s="67"/>
      <c r="Q111" s="67"/>
      <c r="R1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1" s="67"/>
      <c r="T111" s="67"/>
      <c r="U111" s="168" t="str">
        <f>IF(ISBLANK(Table123[[#This Row],[Odds Side - Difference Model]]), "",N111+IF(Q111&lt;0, (N111/(Q111/-100)), N111*(Q111/100)))</f>
      </c>
      <c r="V111" s="169" t="str">
        <f>IFERROR(IF(ISBLANK(Table123[[#This Row],[Odds Side - Win Probability Model]]), "",N111+IF(R111&lt;0, (N111/(R111/-100)), N111*(R111/100))),"")</f>
      </c>
      <c r="W111" s="168" t="str">
        <f t="shared" si="8"/>
      </c>
      <c r="X111" s="169" t="str">
        <f t="shared" si="9"/>
      </c>
      <c r="Y111" s="168" t="str">
        <f>IF(ISBLANK(Table123[[#This Row],[Odds Spread]]), "",O111+IF(S111&lt;0, (O111/(S111/-100)), O111*(S111/100)))</f>
      </c>
      <c r="Z111" s="168" t="str">
        <f t="shared" si="10"/>
      </c>
      <c r="AA111" s="68" t="n">
        <f t="shared" si="11"/>
        <v>0</v>
      </c>
      <c r="AB111" s="68" t="n">
        <f t="shared" si="12"/>
        <v>0</v>
      </c>
      <c r="AC111" s="170" t="e">
        <f>IF('Prediction Log'!#REF!="Y", "W", IF('Prediction Log'!#REF!="N","L",""))</f>
        <v>#REF!</v>
      </c>
      <c r="AD111" s="171" t="e">
        <f>IF('Prediction Log'!#REF!="Y", "W", IF('Prediction Log'!#REF!="N","L",""))</f>
        <v>#REF!</v>
      </c>
      <c r="AE111" s="172" t="str">
        <f>IF(ISBLANK(Table123[[#This Row],[Odds Side - Difference Model]]), "",IF(AC111="W", W111, IF(AC111="L",-N111, "")))</f>
      </c>
      <c r="AF111" s="173" t="str">
        <f>IFERROR((IF(ISERR(Table123[[#This Row],[Potential Payout Side - Win Probability Model]]), "",IF(AD111="W", X111, IF(AD111="L",-N111, "")))), "")</f>
      </c>
      <c r="AG111" s="170" t="e">
        <f>IF('Prediction Log'!#REF!="Y", "W", IF('Prediction Log'!#REF!="N", "L", ""))</f>
        <v>#REF!</v>
      </c>
      <c r="AH111" s="172" t="str">
        <f>IF(ISBLANK(Table123[[#This Row],[Odds Spread]]), "",IF(AG111="W", Z111, IF(AG111="L",-O111, "")))</f>
      </c>
      <c r="AI111" s="184"/>
      <c r="AJ111" s="183" t="str">
        <f t="shared" si="13"/>
      </c>
      <c r="AK1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2">
      <c r="A112" s="65" t="e">
        <f>Games!#REF!</f>
        <v>#REF!</v>
      </c>
      <c r="B112" s="65" t="e">
        <f>IF('Prediction Log'!#REF!=0, "",'Prediction Log'!#REF!)</f>
        <v>#REF!</v>
      </c>
      <c r="C112" s="65" t="e">
        <f>IF('Prediction Log'!#REF!=0, "",'Prediction Log'!#REF!)</f>
        <v>#REF!</v>
      </c>
      <c r="D112" s="65" t="e">
        <f>IF('Prediction Log'!#REF!=0, "",'Prediction Log'!#REF!)</f>
        <v>#REF!</v>
      </c>
      <c r="E112" s="65" t="e">
        <f>IF('Prediction Log'!#REF!=0, "",'Prediction Log'!#REF!)</f>
        <v>#REF!</v>
      </c>
      <c r="F112" s="65" t="e">
        <f>IF('Prediction Log'!#REF!=0, "",'Prediction Log'!#REF!)</f>
        <v>#REF!</v>
      </c>
      <c r="G112" s="64" t="e">
        <f>IF(ISBLANK(Games!#REF!), "",'Prediction Log'!#REF!)</f>
        <v>#REF!</v>
      </c>
      <c r="H112" s="66" t="e">
        <f>'Prediction Log'!#REF!</f>
        <v>#REF!</v>
      </c>
      <c r="I112" s="65" t="e">
        <f>IF(ISBLANK(Games!#REF!), "",IF(AND(Games!#REF!="",Games!#REF!=""),"",IF(ISTEXT(Games!#REF!), "Side",Games!#REF!)))</f>
        <v>#REF!</v>
      </c>
      <c r="J112" s="65" t="e">
        <f>IF(ISBLANK(Games!#REF!), "",IF(Games!#REF!="Y", Games!#REF!, Games!#REF!))</f>
        <v>#REF!</v>
      </c>
      <c r="K112" s="65" t="e">
        <f>Games!#REF!</f>
        <v>#REF!</v>
      </c>
      <c r="L112" s="65" t="e">
        <f>IF(ISBLANK(Games!#REF!), "",Games!#REF!)</f>
        <v>#REF!</v>
      </c>
      <c r="M112" s="65"/>
      <c r="N112" s="167" t="str">
        <f>IF(ISBLANK(Table123[[#This Row],[Odds Side - Difference Model]]), "", 1)</f>
      </c>
      <c r="O112" s="167" t="str">
        <f>IF(ISBLANK(Table123[[#This Row],[Odds Spread]]), "", 1)</f>
      </c>
      <c r="P112" s="67"/>
      <c r="Q112" s="67"/>
      <c r="R1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2" s="67"/>
      <c r="T112" s="67"/>
      <c r="U112" s="168" t="str">
        <f>IF(ISBLANK(Table123[[#This Row],[Odds Side - Difference Model]]), "",N112+IF(Q112&lt;0, (N112/(Q112/-100)), N112*(Q112/100)))</f>
      </c>
      <c r="V112" s="169" t="str">
        <f>IFERROR(IF(ISBLANK(Table123[[#This Row],[Odds Side - Win Probability Model]]), "",N112+IF(R112&lt;0, (N112/(R112/-100)), N112*(R112/100))),"")</f>
      </c>
      <c r="W112" s="168" t="str">
        <f t="shared" si="8"/>
      </c>
      <c r="X112" s="169" t="str">
        <f t="shared" si="9"/>
      </c>
      <c r="Y112" s="168" t="str">
        <f>IF(ISBLANK(Table123[[#This Row],[Odds Spread]]), "",O112+IF(S112&lt;0, (O112/(S112/-100)), O112*(S112/100)))</f>
      </c>
      <c r="Z112" s="168" t="str">
        <f t="shared" si="10"/>
      </c>
      <c r="AA112" s="68" t="n">
        <f t="shared" si="11"/>
        <v>0</v>
      </c>
      <c r="AB112" s="68" t="n">
        <f t="shared" si="12"/>
        <v>0</v>
      </c>
      <c r="AC112" s="170" t="e">
        <f>IF('Prediction Log'!#REF!="Y", "W", IF('Prediction Log'!#REF!="N","L",""))</f>
        <v>#REF!</v>
      </c>
      <c r="AD112" s="171" t="e">
        <f>IF('Prediction Log'!#REF!="Y", "W", IF('Prediction Log'!#REF!="N","L",""))</f>
        <v>#REF!</v>
      </c>
      <c r="AE112" s="172" t="str">
        <f>IF(ISBLANK(Table123[[#This Row],[Odds Side - Difference Model]]), "",IF(AC112="W", W112, IF(AC112="L",-N112, "")))</f>
      </c>
      <c r="AF112" s="173" t="str">
        <f>IFERROR((IF(ISERR(Table123[[#This Row],[Potential Payout Side - Win Probability Model]]), "",IF(AD112="W", X112, IF(AD112="L",-N112, "")))), "")</f>
      </c>
      <c r="AG112" s="170" t="e">
        <f>IF('Prediction Log'!#REF!="Y", "W", IF('Prediction Log'!#REF!="N", "L", ""))</f>
        <v>#REF!</v>
      </c>
      <c r="AH112" s="172" t="str">
        <f>IF(ISBLANK(Table123[[#This Row],[Odds Spread]]), "",IF(AG112="W", Z112, IF(AG112="L",-O112, "")))</f>
      </c>
      <c r="AI112" s="184"/>
      <c r="AJ112" s="183" t="str">
        <f t="shared" si="13"/>
      </c>
      <c r="AK1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3">
      <c r="A113" s="65" t="e">
        <f>Games!#REF!</f>
        <v>#REF!</v>
      </c>
      <c r="B113" s="65" t="e">
        <f>IF('Prediction Log'!#REF!=0, "",'Prediction Log'!#REF!)</f>
        <v>#REF!</v>
      </c>
      <c r="C113" s="65" t="e">
        <f>IF('Prediction Log'!#REF!=0, "",'Prediction Log'!#REF!)</f>
        <v>#REF!</v>
      </c>
      <c r="D113" s="65" t="e">
        <f>IF('Prediction Log'!#REF!=0, "",'Prediction Log'!#REF!)</f>
        <v>#REF!</v>
      </c>
      <c r="E113" s="65" t="e">
        <f>IF('Prediction Log'!#REF!=0, "",'Prediction Log'!#REF!)</f>
        <v>#REF!</v>
      </c>
      <c r="F113" s="65" t="e">
        <f>IF('Prediction Log'!#REF!=0, "",'Prediction Log'!#REF!)</f>
        <v>#REF!</v>
      </c>
      <c r="G113" s="64" t="e">
        <f>IF(ISBLANK(Games!#REF!), "",'Prediction Log'!#REF!)</f>
        <v>#REF!</v>
      </c>
      <c r="H113" s="66" t="e">
        <f>'Prediction Log'!#REF!</f>
        <v>#REF!</v>
      </c>
      <c r="I113" s="65" t="e">
        <f>IF(ISBLANK(Games!#REF!), "",IF(AND(Games!#REF!="",Games!#REF!=""),"",IF(ISTEXT(Games!#REF!), "Side",Games!#REF!)))</f>
        <v>#REF!</v>
      </c>
      <c r="J113" s="65" t="e">
        <f>IF(ISBLANK(Games!#REF!), "",IF(Games!#REF!="Y", Games!#REF!, Games!#REF!))</f>
        <v>#REF!</v>
      </c>
      <c r="K113" s="65" t="e">
        <f>Games!#REF!</f>
        <v>#REF!</v>
      </c>
      <c r="L113" s="65" t="e">
        <f>IF(ISBLANK(Games!#REF!), "",Games!#REF!)</f>
        <v>#REF!</v>
      </c>
      <c r="M113" s="65"/>
      <c r="N113" s="167" t="str">
        <f>IF(ISBLANK(Table123[[#This Row],[Odds Side - Difference Model]]), "", 1)</f>
      </c>
      <c r="O113" s="167" t="str">
        <f>IF(ISBLANK(Table123[[#This Row],[Odds Spread]]), "", 1)</f>
      </c>
      <c r="P113" s="67"/>
      <c r="Q113" s="67"/>
      <c r="R1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3" s="67"/>
      <c r="T113" s="67"/>
      <c r="U113" s="168" t="str">
        <f>IF(ISBLANK(Table123[[#This Row],[Odds Side - Difference Model]]), "",N113+IF(Q113&lt;0, (N113/(Q113/-100)), N113*(Q113/100)))</f>
      </c>
      <c r="V113" s="169" t="str">
        <f>IFERROR(IF(ISBLANK(Table123[[#This Row],[Odds Side - Win Probability Model]]), "",N113+IF(R113&lt;0, (N113/(R113/-100)), N113*(R113/100))),"")</f>
      </c>
      <c r="W113" s="168" t="str">
        <f t="shared" si="8"/>
      </c>
      <c r="X113" s="169" t="str">
        <f t="shared" si="9"/>
      </c>
      <c r="Y113" s="168" t="str">
        <f>IF(ISBLANK(Table123[[#This Row],[Odds Spread]]), "",O113+IF(S113&lt;0, (O113/(S113/-100)), O113*(S113/100)))</f>
      </c>
      <c r="Z113" s="168" t="str">
        <f t="shared" si="10"/>
      </c>
      <c r="AA113" s="68" t="n">
        <f t="shared" si="11"/>
        <v>0</v>
      </c>
      <c r="AB113" s="68" t="n">
        <f t="shared" si="12"/>
        <v>0</v>
      </c>
      <c r="AC113" s="170" t="e">
        <f>IF('Prediction Log'!#REF!="Y", "W", IF('Prediction Log'!#REF!="N","L",""))</f>
        <v>#REF!</v>
      </c>
      <c r="AD113" s="171" t="e">
        <f>IF('Prediction Log'!#REF!="Y", "W", IF('Prediction Log'!#REF!="N","L",""))</f>
        <v>#REF!</v>
      </c>
      <c r="AE113" s="172" t="str">
        <f>IF(ISBLANK(Table123[[#This Row],[Odds Side - Difference Model]]), "",IF(AC113="W", W113, IF(AC113="L",-N113, "")))</f>
      </c>
      <c r="AF113" s="173" t="str">
        <f>IFERROR((IF(ISERR(Table123[[#This Row],[Potential Payout Side - Win Probability Model]]), "",IF(AD113="W", X113, IF(AD113="L",-N113, "")))), "")</f>
      </c>
      <c r="AG113" s="170" t="e">
        <f>IF('Prediction Log'!#REF!="Y", "W", IF('Prediction Log'!#REF!="N", "L", ""))</f>
        <v>#REF!</v>
      </c>
      <c r="AH113" s="172" t="str">
        <f>IF(ISBLANK(Table123[[#This Row],[Odds Spread]]), "",IF(AG113="W", Z113, IF(AG113="L",-O113, "")))</f>
      </c>
      <c r="AI113" s="184"/>
      <c r="AJ113" s="183" t="str">
        <f t="shared" si="13"/>
      </c>
      <c r="AK1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4">
      <c r="A114" s="65" t="e">
        <f>Games!#REF!</f>
        <v>#REF!</v>
      </c>
      <c r="B114" s="65" t="e">
        <f>IF('Prediction Log'!#REF!=0, "",'Prediction Log'!#REF!)</f>
        <v>#REF!</v>
      </c>
      <c r="C114" s="65" t="e">
        <f>IF('Prediction Log'!#REF!=0, "",'Prediction Log'!#REF!)</f>
        <v>#REF!</v>
      </c>
      <c r="D114" s="65" t="e">
        <f>IF('Prediction Log'!#REF!=0, "",'Prediction Log'!#REF!)</f>
        <v>#REF!</v>
      </c>
      <c r="E114" s="65" t="e">
        <f>IF('Prediction Log'!#REF!=0, "",'Prediction Log'!#REF!)</f>
        <v>#REF!</v>
      </c>
      <c r="F114" s="65" t="e">
        <f>IF('Prediction Log'!#REF!=0, "",'Prediction Log'!#REF!)</f>
        <v>#REF!</v>
      </c>
      <c r="G114" s="64" t="e">
        <f>IF(ISBLANK(Games!#REF!), "",'Prediction Log'!#REF!)</f>
        <v>#REF!</v>
      </c>
      <c r="H114" s="66" t="e">
        <f>'Prediction Log'!#REF!</f>
        <v>#REF!</v>
      </c>
      <c r="I114" s="65" t="e">
        <f>IF(ISBLANK(Games!#REF!), "",IF(AND(Games!#REF!="",Games!#REF!=""),"",IF(ISTEXT(Games!#REF!), "Side",Games!#REF!)))</f>
        <v>#REF!</v>
      </c>
      <c r="J114" s="65" t="e">
        <f>IF(ISBLANK(Games!#REF!), "",IF(Games!#REF!="Y", Games!#REF!, Games!#REF!))</f>
        <v>#REF!</v>
      </c>
      <c r="K114" s="65" t="e">
        <f>Games!#REF!</f>
        <v>#REF!</v>
      </c>
      <c r="L114" s="65" t="e">
        <f>IF(ISBLANK(Games!#REF!), "",Games!#REF!)</f>
        <v>#REF!</v>
      </c>
      <c r="M114" s="65"/>
      <c r="N114" s="167" t="str">
        <f>IF(ISBLANK(Table123[[#This Row],[Odds Side - Difference Model]]), "", 1)</f>
      </c>
      <c r="O114" s="167" t="str">
        <f>IF(ISBLANK(Table123[[#This Row],[Odds Spread]]), "", 1)</f>
      </c>
      <c r="P114" s="67"/>
      <c r="Q114" s="67"/>
      <c r="R1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4" s="67"/>
      <c r="T114" s="67"/>
      <c r="U114" s="168" t="str">
        <f>IF(ISBLANK(Table123[[#This Row],[Odds Side - Difference Model]]), "",N114+IF(Q114&lt;0, (N114/(Q114/-100)), N114*(Q114/100)))</f>
      </c>
      <c r="V114" s="169" t="str">
        <f>IFERROR(IF(ISBLANK(Table123[[#This Row],[Odds Side - Win Probability Model]]), "",N114+IF(R114&lt;0, (N114/(R114/-100)), N114*(R114/100))),"")</f>
      </c>
      <c r="W114" s="168" t="str">
        <f t="shared" si="8"/>
      </c>
      <c r="X114" s="169" t="str">
        <f t="shared" si="9"/>
      </c>
      <c r="Y114" s="168" t="str">
        <f>IF(ISBLANK(Table123[[#This Row],[Odds Spread]]), "",O114+IF(S114&lt;0, (O114/(S114/-100)), O114*(S114/100)))</f>
      </c>
      <c r="Z114" s="168" t="str">
        <f t="shared" si="10"/>
      </c>
      <c r="AA114" s="68" t="n">
        <f t="shared" si="11"/>
        <v>0</v>
      </c>
      <c r="AB114" s="68" t="n">
        <f t="shared" si="12"/>
        <v>0</v>
      </c>
      <c r="AC114" s="170" t="e">
        <f>IF('Prediction Log'!#REF!="Y", "W", IF('Prediction Log'!#REF!="N","L",""))</f>
        <v>#REF!</v>
      </c>
      <c r="AD114" s="171" t="e">
        <f>IF('Prediction Log'!#REF!="Y", "W", IF('Prediction Log'!#REF!="N","L",""))</f>
        <v>#REF!</v>
      </c>
      <c r="AE114" s="172" t="str">
        <f>IF(ISBLANK(Table123[[#This Row],[Odds Side - Difference Model]]), "",IF(AC114="W", W114, IF(AC114="L",-N114, "")))</f>
      </c>
      <c r="AF114" s="173" t="str">
        <f>IFERROR((IF(ISERR(Table123[[#This Row],[Potential Payout Side - Win Probability Model]]), "",IF(AD114="W", X114, IF(AD114="L",-N114, "")))), "")</f>
      </c>
      <c r="AG114" s="170" t="e">
        <f>IF('Prediction Log'!#REF!="Y", "W", IF('Prediction Log'!#REF!="N", "L", ""))</f>
        <v>#REF!</v>
      </c>
      <c r="AH114" s="172" t="str">
        <f>IF(ISBLANK(Table123[[#This Row],[Odds Spread]]), "",IF(AG114="W", Z114, IF(AG114="L",-O114, "")))</f>
      </c>
      <c r="AI114" s="184"/>
      <c r="AJ114" s="183" t="str">
        <f t="shared" si="13"/>
      </c>
      <c r="AK1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5">
      <c r="A115" s="65" t="e">
        <f>Games!#REF!</f>
        <v>#REF!</v>
      </c>
      <c r="B115" s="65" t="e">
        <f>IF('Prediction Log'!#REF!=0, "",'Prediction Log'!#REF!)</f>
        <v>#REF!</v>
      </c>
      <c r="C115" s="65" t="e">
        <f>IF('Prediction Log'!#REF!=0, "",'Prediction Log'!#REF!)</f>
        <v>#REF!</v>
      </c>
      <c r="D115" s="65" t="e">
        <f>IF('Prediction Log'!#REF!=0, "",'Prediction Log'!#REF!)</f>
        <v>#REF!</v>
      </c>
      <c r="E115" s="65" t="e">
        <f>IF('Prediction Log'!#REF!=0, "",'Prediction Log'!#REF!)</f>
        <v>#REF!</v>
      </c>
      <c r="F115" s="65" t="e">
        <f>IF('Prediction Log'!#REF!=0, "",'Prediction Log'!#REF!)</f>
        <v>#REF!</v>
      </c>
      <c r="G115" s="64" t="e">
        <f>IF(ISBLANK(Games!#REF!), "",'Prediction Log'!#REF!)</f>
        <v>#REF!</v>
      </c>
      <c r="H115" s="66" t="e">
        <f>'Prediction Log'!#REF!</f>
        <v>#REF!</v>
      </c>
      <c r="I115" s="65" t="e">
        <f>IF(ISBLANK(Games!#REF!), "",IF(AND(Games!#REF!="",Games!#REF!=""),"",IF(ISTEXT(Games!#REF!), "Side",Games!#REF!)))</f>
        <v>#REF!</v>
      </c>
      <c r="J115" s="65" t="e">
        <f>IF(ISBLANK(Games!#REF!), "",IF(Games!#REF!="Y", Games!#REF!, Games!#REF!))</f>
        <v>#REF!</v>
      </c>
      <c r="K115" s="65" t="e">
        <f>Games!#REF!</f>
        <v>#REF!</v>
      </c>
      <c r="L115" s="65" t="e">
        <f>IF(ISBLANK(Games!#REF!), "",Games!#REF!)</f>
        <v>#REF!</v>
      </c>
      <c r="M115" s="65"/>
      <c r="N115" s="167" t="str">
        <f>IF(ISBLANK(Table123[[#This Row],[Odds Side - Difference Model]]), "", 1)</f>
      </c>
      <c r="O115" s="167" t="str">
        <f>IF(ISBLANK(Table123[[#This Row],[Odds Spread]]), "", 1)</f>
      </c>
      <c r="P115" s="67"/>
      <c r="Q115" s="67"/>
      <c r="R1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5" s="67"/>
      <c r="T115" s="67"/>
      <c r="U115" s="168" t="str">
        <f>IF(ISBLANK(Table123[[#This Row],[Odds Side - Difference Model]]), "",N115+IF(Q115&lt;0, (N115/(Q115/-100)), N115*(Q115/100)))</f>
      </c>
      <c r="V115" s="169" t="str">
        <f>IFERROR(IF(ISBLANK(Table123[[#This Row],[Odds Side - Win Probability Model]]), "",N115+IF(R115&lt;0, (N115/(R115/-100)), N115*(R115/100))),"")</f>
      </c>
      <c r="W115" s="168" t="str">
        <f t="shared" si="8"/>
      </c>
      <c r="X115" s="169" t="str">
        <f t="shared" si="9"/>
      </c>
      <c r="Y115" s="168" t="str">
        <f>IF(ISBLANK(Table123[[#This Row],[Odds Spread]]), "",O115+IF(S115&lt;0, (O115/(S115/-100)), O115*(S115/100)))</f>
      </c>
      <c r="Z115" s="168" t="str">
        <f t="shared" si="10"/>
      </c>
      <c r="AA115" s="68" t="n">
        <f t="shared" si="11"/>
        <v>0</v>
      </c>
      <c r="AB115" s="68" t="n">
        <f t="shared" si="12"/>
        <v>0</v>
      </c>
      <c r="AC115" s="170" t="e">
        <f>IF('Prediction Log'!#REF!="Y", "W", IF('Prediction Log'!#REF!="N","L",""))</f>
        <v>#REF!</v>
      </c>
      <c r="AD115" s="171" t="e">
        <f>IF('Prediction Log'!#REF!="Y", "W", IF('Prediction Log'!#REF!="N","L",""))</f>
        <v>#REF!</v>
      </c>
      <c r="AE115" s="172" t="str">
        <f>IF(ISBLANK(Table123[[#This Row],[Odds Side - Difference Model]]), "",IF(AC115="W", W115, IF(AC115="L",-N115, "")))</f>
      </c>
      <c r="AF115" s="173" t="str">
        <f>IFERROR((IF(ISERR(Table123[[#This Row],[Potential Payout Side - Win Probability Model]]), "",IF(AD115="W", X115, IF(AD115="L",-N115, "")))), "")</f>
      </c>
      <c r="AG115" s="170" t="e">
        <f>IF('Prediction Log'!#REF!="Y", "W", IF('Prediction Log'!#REF!="N", "L", ""))</f>
        <v>#REF!</v>
      </c>
      <c r="AH115" s="172" t="str">
        <f>IF(ISBLANK(Table123[[#This Row],[Odds Spread]]), "",IF(AG115="W", Z115, IF(AG115="L",-O115, "")))</f>
      </c>
      <c r="AI115" s="184"/>
      <c r="AJ115" s="183" t="str">
        <f t="shared" si="13"/>
      </c>
      <c r="AK1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6">
      <c r="A116" s="65" t="e">
        <f>Games!#REF!</f>
        <v>#REF!</v>
      </c>
      <c r="B116" s="65" t="e">
        <f>IF('Prediction Log'!#REF!=0, "",'Prediction Log'!#REF!)</f>
        <v>#REF!</v>
      </c>
      <c r="C116" s="65" t="e">
        <f>IF('Prediction Log'!#REF!=0, "",'Prediction Log'!#REF!)</f>
        <v>#REF!</v>
      </c>
      <c r="D116" s="65" t="e">
        <f>IF('Prediction Log'!#REF!=0, "",'Prediction Log'!#REF!)</f>
        <v>#REF!</v>
      </c>
      <c r="E116" s="65" t="e">
        <f>IF('Prediction Log'!#REF!=0, "",'Prediction Log'!#REF!)</f>
        <v>#REF!</v>
      </c>
      <c r="F116" s="65" t="e">
        <f>IF('Prediction Log'!#REF!=0, "",'Prediction Log'!#REF!)</f>
        <v>#REF!</v>
      </c>
      <c r="G116" s="64" t="e">
        <f>IF(ISBLANK(Games!#REF!), "",'Prediction Log'!#REF!)</f>
        <v>#REF!</v>
      </c>
      <c r="H116" s="66" t="e">
        <f>'Prediction Log'!#REF!</f>
        <v>#REF!</v>
      </c>
      <c r="I116" s="65" t="e">
        <f>IF(ISBLANK(Games!#REF!), "",IF(AND(Games!#REF!="",Games!#REF!=""),"",IF(ISTEXT(Games!#REF!), "Side",Games!#REF!)))</f>
        <v>#REF!</v>
      </c>
      <c r="J116" s="65" t="e">
        <f>IF(ISBLANK(Games!#REF!), "",IF(Games!#REF!="Y", Games!#REF!, Games!#REF!))</f>
        <v>#REF!</v>
      </c>
      <c r="K116" s="65" t="e">
        <f>Games!#REF!</f>
        <v>#REF!</v>
      </c>
      <c r="L116" s="65" t="e">
        <f>IF(ISBLANK(Games!#REF!), "",Games!#REF!)</f>
        <v>#REF!</v>
      </c>
      <c r="M116" s="65"/>
      <c r="N116" s="167" t="str">
        <f>IF(ISBLANK(Table123[[#This Row],[Odds Side - Difference Model]]), "", 1)</f>
      </c>
      <c r="O116" s="167" t="str">
        <f>IF(ISBLANK(Table123[[#This Row],[Odds Spread]]), "", 1)</f>
      </c>
      <c r="P116" s="67"/>
      <c r="Q116" s="67"/>
      <c r="R1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6" s="67"/>
      <c r="T116" s="67"/>
      <c r="U116" s="168" t="str">
        <f>IF(ISBLANK(Table123[[#This Row],[Odds Side - Difference Model]]), "",N116+IF(Q116&lt;0, (N116/(Q116/-100)), N116*(Q116/100)))</f>
      </c>
      <c r="V116" s="169" t="str">
        <f>IFERROR(IF(ISBLANK(Table123[[#This Row],[Odds Side - Win Probability Model]]), "",N116+IF(R116&lt;0, (N116/(R116/-100)), N116*(R116/100))),"")</f>
      </c>
      <c r="W116" s="168" t="str">
        <f t="shared" si="8"/>
      </c>
      <c r="X116" s="169" t="str">
        <f t="shared" si="9"/>
      </c>
      <c r="Y116" s="168" t="str">
        <f>IF(ISBLANK(Table123[[#This Row],[Odds Spread]]), "",O116+IF(S116&lt;0, (O116/(S116/-100)), O116*(S116/100)))</f>
      </c>
      <c r="Z116" s="168" t="str">
        <f t="shared" si="10"/>
      </c>
      <c r="AA116" s="68" t="n">
        <f t="shared" si="11"/>
        <v>0</v>
      </c>
      <c r="AB116" s="68" t="n">
        <f t="shared" si="12"/>
        <v>0</v>
      </c>
      <c r="AC116" s="170" t="e">
        <f>IF('Prediction Log'!#REF!="Y", "W", IF('Prediction Log'!#REF!="N","L",""))</f>
        <v>#REF!</v>
      </c>
      <c r="AD116" s="171" t="e">
        <f>IF('Prediction Log'!#REF!="Y", "W", IF('Prediction Log'!#REF!="N","L",""))</f>
        <v>#REF!</v>
      </c>
      <c r="AE116" s="172" t="str">
        <f>IF(ISBLANK(Table123[[#This Row],[Odds Side - Difference Model]]), "",IF(AC116="W", W116, IF(AC116="L",-N116, "")))</f>
      </c>
      <c r="AF116" s="173" t="str">
        <f>IFERROR((IF(ISERR(Table123[[#This Row],[Potential Payout Side - Win Probability Model]]), "",IF(AD116="W", X116, IF(AD116="L",-N116, "")))), "")</f>
      </c>
      <c r="AG116" s="170" t="e">
        <f>IF('Prediction Log'!#REF!="Y", "W", IF('Prediction Log'!#REF!="N", "L", ""))</f>
        <v>#REF!</v>
      </c>
      <c r="AH116" s="172" t="str">
        <f>IF(ISBLANK(Table123[[#This Row],[Odds Spread]]), "",IF(AG116="W", Z116, IF(AG116="L",-O116, "")))</f>
      </c>
      <c r="AI116" s="184"/>
      <c r="AJ116" s="183" t="str">
        <f t="shared" si="13"/>
      </c>
      <c r="AK1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7">
      <c r="A117" s="65" t="e">
        <f>Games!#REF!</f>
        <v>#REF!</v>
      </c>
      <c r="B117" s="65" t="e">
        <f>IF('Prediction Log'!#REF!=0, "",'Prediction Log'!#REF!)</f>
        <v>#REF!</v>
      </c>
      <c r="C117" s="65" t="e">
        <f>IF('Prediction Log'!#REF!=0, "",'Prediction Log'!#REF!)</f>
        <v>#REF!</v>
      </c>
      <c r="D117" s="65" t="e">
        <f>IF('Prediction Log'!#REF!=0, "",'Prediction Log'!#REF!)</f>
        <v>#REF!</v>
      </c>
      <c r="E117" s="65" t="e">
        <f>IF('Prediction Log'!#REF!=0, "",'Prediction Log'!#REF!)</f>
        <v>#REF!</v>
      </c>
      <c r="F117" s="65" t="e">
        <f>IF('Prediction Log'!#REF!=0, "",'Prediction Log'!#REF!)</f>
        <v>#REF!</v>
      </c>
      <c r="G117" s="64" t="e">
        <f>IF(ISBLANK(Games!#REF!), "",'Prediction Log'!#REF!)</f>
        <v>#REF!</v>
      </c>
      <c r="H117" s="66" t="e">
        <f>'Prediction Log'!#REF!</f>
        <v>#REF!</v>
      </c>
      <c r="I117" s="65" t="e">
        <f>IF(ISBLANK(Games!#REF!), "",IF(AND(Games!#REF!="",Games!#REF!=""),"",IF(ISTEXT(Games!#REF!), "Side",Games!#REF!)))</f>
        <v>#REF!</v>
      </c>
      <c r="J117" s="65" t="e">
        <f>IF(ISBLANK(Games!#REF!), "",IF(Games!#REF!="Y", Games!#REF!, Games!#REF!))</f>
        <v>#REF!</v>
      </c>
      <c r="K117" s="65" t="e">
        <f>Games!#REF!</f>
        <v>#REF!</v>
      </c>
      <c r="L117" s="65" t="e">
        <f>IF(ISBLANK(Games!#REF!), "",Games!#REF!)</f>
        <v>#REF!</v>
      </c>
      <c r="M117" s="65"/>
      <c r="N117" s="167" t="str">
        <f>IF(ISBLANK(Table123[[#This Row],[Odds Side - Difference Model]]), "", 1)</f>
      </c>
      <c r="O117" s="167" t="str">
        <f>IF(ISBLANK(Table123[[#This Row],[Odds Spread]]), "", 1)</f>
      </c>
      <c r="P117" s="67"/>
      <c r="Q117" s="67"/>
      <c r="R1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7" s="67"/>
      <c r="T117" s="67"/>
      <c r="U117" s="168" t="str">
        <f>IF(ISBLANK(Table123[[#This Row],[Odds Side - Difference Model]]), "",N117+IF(Q117&lt;0, (N117/(Q117/-100)), N117*(Q117/100)))</f>
      </c>
      <c r="V117" s="169" t="str">
        <f>IFERROR(IF(ISBLANK(Table123[[#This Row],[Odds Side - Win Probability Model]]), "",N117+IF(R117&lt;0, (N117/(R117/-100)), N117*(R117/100))),"")</f>
      </c>
      <c r="W117" s="168" t="str">
        <f t="shared" si="8"/>
      </c>
      <c r="X117" s="169" t="str">
        <f t="shared" si="9"/>
      </c>
      <c r="Y117" s="168" t="str">
        <f>IF(ISBLANK(Table123[[#This Row],[Odds Spread]]), "",O117+IF(S117&lt;0, (O117/(S117/-100)), O117*(S117/100)))</f>
      </c>
      <c r="Z117" s="168" t="str">
        <f t="shared" si="10"/>
      </c>
      <c r="AA117" s="68" t="n">
        <f t="shared" si="11"/>
        <v>0</v>
      </c>
      <c r="AB117" s="68" t="n">
        <f t="shared" si="12"/>
        <v>0</v>
      </c>
      <c r="AC117" s="170" t="e">
        <f>IF('Prediction Log'!#REF!="Y", "W", IF('Prediction Log'!#REF!="N","L",""))</f>
        <v>#REF!</v>
      </c>
      <c r="AD117" s="171" t="e">
        <f>IF('Prediction Log'!#REF!="Y", "W", IF('Prediction Log'!#REF!="N","L",""))</f>
        <v>#REF!</v>
      </c>
      <c r="AE117" s="172" t="str">
        <f>IF(ISBLANK(Table123[[#This Row],[Odds Side - Difference Model]]), "",IF(AC117="W", W117, IF(AC117="L",-N117, "")))</f>
      </c>
      <c r="AF117" s="173" t="str">
        <f>IFERROR((IF(ISERR(Table123[[#This Row],[Potential Payout Side - Win Probability Model]]), "",IF(AD117="W", X117, IF(AD117="L",-N117, "")))), "")</f>
      </c>
      <c r="AG117" s="170" t="e">
        <f>IF('Prediction Log'!#REF!="Y", "W", IF('Prediction Log'!#REF!="N", "L", ""))</f>
        <v>#REF!</v>
      </c>
      <c r="AH117" s="172" t="str">
        <f>IF(ISBLANK(Table123[[#This Row],[Odds Spread]]), "",IF(AG117="W", Z117, IF(AG117="L",-O117, "")))</f>
      </c>
      <c r="AI117" s="184"/>
      <c r="AJ117" s="183" t="str">
        <f t="shared" si="13"/>
      </c>
      <c r="AK1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8">
      <c r="A118" s="65" t="e">
        <f>Games!#REF!</f>
        <v>#REF!</v>
      </c>
      <c r="B118" s="65" t="e">
        <f>IF('Prediction Log'!#REF!=0, "",'Prediction Log'!#REF!)</f>
        <v>#REF!</v>
      </c>
      <c r="C118" s="65" t="e">
        <f>IF('Prediction Log'!#REF!=0, "",'Prediction Log'!#REF!)</f>
        <v>#REF!</v>
      </c>
      <c r="D118" s="65" t="e">
        <f>IF('Prediction Log'!#REF!=0, "",'Prediction Log'!#REF!)</f>
        <v>#REF!</v>
      </c>
      <c r="E118" s="65" t="e">
        <f>IF('Prediction Log'!#REF!=0, "",'Prediction Log'!#REF!)</f>
        <v>#REF!</v>
      </c>
      <c r="F118" s="65" t="e">
        <f>IF('Prediction Log'!#REF!=0, "",'Prediction Log'!#REF!)</f>
        <v>#REF!</v>
      </c>
      <c r="G118" s="64" t="e">
        <f>IF(ISBLANK(Games!#REF!), "",'Prediction Log'!#REF!)</f>
        <v>#REF!</v>
      </c>
      <c r="H118" s="66" t="e">
        <f>'Prediction Log'!#REF!</f>
        <v>#REF!</v>
      </c>
      <c r="I118" s="65" t="e">
        <f>IF(ISBLANK(Games!#REF!), "",IF(AND(Games!#REF!="",Games!#REF!=""),"",IF(ISTEXT(Games!#REF!), "Side",Games!#REF!)))</f>
        <v>#REF!</v>
      </c>
      <c r="J118" s="65" t="e">
        <f>IF(ISBLANK(Games!#REF!), "",IF(Games!#REF!="Y", Games!#REF!, Games!#REF!))</f>
        <v>#REF!</v>
      </c>
      <c r="K118" s="65" t="e">
        <f>Games!#REF!</f>
        <v>#REF!</v>
      </c>
      <c r="L118" s="65" t="e">
        <f>IF(ISBLANK(Games!#REF!), "",Games!#REF!)</f>
        <v>#REF!</v>
      </c>
      <c r="M118" s="65"/>
      <c r="N118" s="167" t="str">
        <f>IF(ISBLANK(Table123[[#This Row],[Odds Side - Difference Model]]), "", 1)</f>
      </c>
      <c r="O118" s="167" t="str">
        <f>IF(ISBLANK(Table123[[#This Row],[Odds Spread]]), "", 1)</f>
      </c>
      <c r="P118" s="67"/>
      <c r="Q118" s="67"/>
      <c r="R1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8" s="67"/>
      <c r="T118" s="67"/>
      <c r="U118" s="168" t="str">
        <f>IF(ISBLANK(Table123[[#This Row],[Odds Side - Difference Model]]), "",N118+IF(Q118&lt;0, (N118/(Q118/-100)), N118*(Q118/100)))</f>
      </c>
      <c r="V118" s="169" t="str">
        <f>IFERROR(IF(ISBLANK(Table123[[#This Row],[Odds Side - Win Probability Model]]), "",N118+IF(R118&lt;0, (N118/(R118/-100)), N118*(R118/100))),"")</f>
      </c>
      <c r="W118" s="168" t="str">
        <f t="shared" si="8"/>
      </c>
      <c r="X118" s="169" t="str">
        <f t="shared" si="9"/>
      </c>
      <c r="Y118" s="168" t="str">
        <f>IF(ISBLANK(Table123[[#This Row],[Odds Spread]]), "",O118+IF(S118&lt;0, (O118/(S118/-100)), O118*(S118/100)))</f>
      </c>
      <c r="Z118" s="168" t="str">
        <f t="shared" si="10"/>
      </c>
      <c r="AA118" s="68" t="n">
        <f t="shared" si="11"/>
        <v>0</v>
      </c>
      <c r="AB118" s="68" t="n">
        <f t="shared" si="12"/>
        <v>0</v>
      </c>
      <c r="AC118" s="170" t="e">
        <f>IF('Prediction Log'!#REF!="Y", "W", IF('Prediction Log'!#REF!="N","L",""))</f>
        <v>#REF!</v>
      </c>
      <c r="AD118" s="171" t="e">
        <f>IF('Prediction Log'!#REF!="Y", "W", IF('Prediction Log'!#REF!="N","L",""))</f>
        <v>#REF!</v>
      </c>
      <c r="AE118" s="172" t="str">
        <f>IF(ISBLANK(Table123[[#This Row],[Odds Side - Difference Model]]), "",IF(AC118="W", W118, IF(AC118="L",-N118, "")))</f>
      </c>
      <c r="AF118" s="173" t="str">
        <f>IFERROR((IF(ISERR(Table123[[#This Row],[Potential Payout Side - Win Probability Model]]), "",IF(AD118="W", X118, IF(AD118="L",-N118, "")))), "")</f>
      </c>
      <c r="AG118" s="170" t="e">
        <f>IF('Prediction Log'!#REF!="Y", "W", IF('Prediction Log'!#REF!="N", "L", ""))</f>
        <v>#REF!</v>
      </c>
      <c r="AH118" s="172" t="str">
        <f>IF(ISBLANK(Table123[[#This Row],[Odds Spread]]), "",IF(AG118="W", Z118, IF(AG118="L",-O118, "")))</f>
      </c>
      <c r="AI118" s="184"/>
      <c r="AJ118" s="183" t="str">
        <f t="shared" si="13"/>
      </c>
      <c r="AK1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9">
      <c r="A119" s="65" t="e">
        <f>Games!#REF!</f>
        <v>#REF!</v>
      </c>
      <c r="B119" s="65" t="e">
        <f>IF('Prediction Log'!#REF!=0, "",'Prediction Log'!#REF!)</f>
        <v>#REF!</v>
      </c>
      <c r="C119" s="65" t="e">
        <f>IF('Prediction Log'!#REF!=0, "",'Prediction Log'!#REF!)</f>
        <v>#REF!</v>
      </c>
      <c r="D119" s="65" t="e">
        <f>IF('Prediction Log'!#REF!=0, "",'Prediction Log'!#REF!)</f>
        <v>#REF!</v>
      </c>
      <c r="E119" s="65" t="e">
        <f>IF('Prediction Log'!#REF!=0, "",'Prediction Log'!#REF!)</f>
        <v>#REF!</v>
      </c>
      <c r="F119" s="65" t="e">
        <f>IF('Prediction Log'!#REF!=0, "",'Prediction Log'!#REF!)</f>
        <v>#REF!</v>
      </c>
      <c r="G119" s="64" t="e">
        <f>IF(ISBLANK(Games!#REF!), "",'Prediction Log'!#REF!)</f>
        <v>#REF!</v>
      </c>
      <c r="H119" s="66" t="e">
        <f>'Prediction Log'!#REF!</f>
        <v>#REF!</v>
      </c>
      <c r="I119" s="65" t="e">
        <f>IF(ISBLANK(Games!#REF!), "",IF(AND(Games!#REF!="",Games!#REF!=""),"",IF(ISTEXT(Games!#REF!), "Side",Games!#REF!)))</f>
        <v>#REF!</v>
      </c>
      <c r="J119" s="65" t="e">
        <f>IF(ISBLANK(Games!#REF!), "",IF(Games!#REF!="Y", Games!#REF!, Games!#REF!))</f>
        <v>#REF!</v>
      </c>
      <c r="K119" s="65" t="e">
        <f>Games!#REF!</f>
        <v>#REF!</v>
      </c>
      <c r="L119" s="65" t="e">
        <f>IF(ISBLANK(Games!#REF!), "",Games!#REF!)</f>
        <v>#REF!</v>
      </c>
      <c r="M119" s="65"/>
      <c r="N119" s="167" t="str">
        <f>IF(ISBLANK(Table123[[#This Row],[Odds Side - Difference Model]]), "", 1)</f>
      </c>
      <c r="O119" s="167" t="str">
        <f>IF(ISBLANK(Table123[[#This Row],[Odds Spread]]), "", 1)</f>
      </c>
      <c r="P119" s="67"/>
      <c r="Q119" s="67"/>
      <c r="R1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9" s="67"/>
      <c r="T119" s="67"/>
      <c r="U119" s="168" t="str">
        <f>IF(ISBLANK(Table123[[#This Row],[Odds Side - Difference Model]]), "",N119+IF(Q119&lt;0, (N119/(Q119/-100)), N119*(Q119/100)))</f>
      </c>
      <c r="V119" s="169" t="str">
        <f>IFERROR(IF(ISBLANK(Table123[[#This Row],[Odds Side - Win Probability Model]]), "",N119+IF(R119&lt;0, (N119/(R119/-100)), N119*(R119/100))),"")</f>
      </c>
      <c r="W119" s="168" t="str">
        <f t="shared" si="8"/>
      </c>
      <c r="X119" s="169" t="str">
        <f t="shared" si="9"/>
      </c>
      <c r="Y119" s="168" t="str">
        <f>IF(ISBLANK(Table123[[#This Row],[Odds Spread]]), "",O119+IF(S119&lt;0, (O119/(S119/-100)), O119*(S119/100)))</f>
      </c>
      <c r="Z119" s="168" t="str">
        <f t="shared" si="10"/>
      </c>
      <c r="AA119" s="68" t="n">
        <f t="shared" si="11"/>
        <v>0</v>
      </c>
      <c r="AB119" s="68" t="n">
        <f t="shared" si="12"/>
        <v>0</v>
      </c>
      <c r="AC119" s="170" t="e">
        <f>IF('Prediction Log'!#REF!="Y", "W", IF('Prediction Log'!#REF!="N","L",""))</f>
        <v>#REF!</v>
      </c>
      <c r="AD119" s="171" t="e">
        <f>IF('Prediction Log'!#REF!="Y", "W", IF('Prediction Log'!#REF!="N","L",""))</f>
        <v>#REF!</v>
      </c>
      <c r="AE119" s="172" t="str">
        <f>IF(ISBLANK(Table123[[#This Row],[Odds Side - Difference Model]]), "",IF(AC119="W", W119, IF(AC119="L",-N119, "")))</f>
      </c>
      <c r="AF119" s="173" t="str">
        <f>IFERROR((IF(ISERR(Table123[[#This Row],[Potential Payout Side - Win Probability Model]]), "",IF(AD119="W", X119, IF(AD119="L",-N119, "")))), "")</f>
      </c>
      <c r="AG119" s="170" t="e">
        <f>IF('Prediction Log'!#REF!="Y", "W", IF('Prediction Log'!#REF!="N", "L", ""))</f>
        <v>#REF!</v>
      </c>
      <c r="AH119" s="172" t="str">
        <f>IF(ISBLANK(Table123[[#This Row],[Odds Spread]]), "",IF(AG119="W", Z119, IF(AG119="L",-O119, "")))</f>
      </c>
      <c r="AI119" s="184"/>
      <c r="AJ119" s="183" t="str">
        <f t="shared" si="13"/>
      </c>
      <c r="AK1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0">
      <c r="A120" s="65" t="e">
        <f>Games!#REF!</f>
        <v>#REF!</v>
      </c>
      <c r="B120" s="65" t="e">
        <f>IF('Prediction Log'!#REF!=0, "",'Prediction Log'!#REF!)</f>
        <v>#REF!</v>
      </c>
      <c r="C120" s="65" t="e">
        <f>IF('Prediction Log'!#REF!=0, "",'Prediction Log'!#REF!)</f>
        <v>#REF!</v>
      </c>
      <c r="D120" s="65" t="e">
        <f>IF('Prediction Log'!#REF!=0, "",'Prediction Log'!#REF!)</f>
        <v>#REF!</v>
      </c>
      <c r="E120" s="65" t="e">
        <f>IF('Prediction Log'!#REF!=0, "",'Prediction Log'!#REF!)</f>
        <v>#REF!</v>
      </c>
      <c r="F120" s="65" t="e">
        <f>IF('Prediction Log'!#REF!=0, "",'Prediction Log'!#REF!)</f>
        <v>#REF!</v>
      </c>
      <c r="G120" s="64" t="e">
        <f>IF(ISBLANK(Games!#REF!), "",'Prediction Log'!#REF!)</f>
        <v>#REF!</v>
      </c>
      <c r="H120" s="66" t="e">
        <f>'Prediction Log'!#REF!</f>
        <v>#REF!</v>
      </c>
      <c r="I120" s="65" t="e">
        <f>IF(ISBLANK(Games!#REF!), "",IF(AND(Games!#REF!="",Games!#REF!=""),"",IF(ISTEXT(Games!#REF!), "Side",Games!#REF!)))</f>
        <v>#REF!</v>
      </c>
      <c r="J120" s="65" t="e">
        <f>IF(ISBLANK(Games!#REF!), "",IF(Games!#REF!="Y", Games!#REF!, Games!#REF!))</f>
        <v>#REF!</v>
      </c>
      <c r="K120" s="65" t="e">
        <f>Games!#REF!</f>
        <v>#REF!</v>
      </c>
      <c r="L120" s="65" t="e">
        <f>IF(ISBLANK(Games!#REF!), "",Games!#REF!)</f>
        <v>#REF!</v>
      </c>
      <c r="M120" s="65"/>
      <c r="N120" s="167" t="str">
        <f>IF(ISBLANK(Table123[[#This Row],[Odds Side - Difference Model]]), "", 1)</f>
      </c>
      <c r="O120" s="167" t="str">
        <f>IF(ISBLANK(Table123[[#This Row],[Odds Spread]]), "", 1)</f>
      </c>
      <c r="P120" s="67"/>
      <c r="Q120" s="67"/>
      <c r="R1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0" s="67"/>
      <c r="T120" s="67"/>
      <c r="U120" s="168" t="str">
        <f>IF(ISBLANK(Table123[[#This Row],[Odds Side - Difference Model]]), "",N120+IF(Q120&lt;0, (N120/(Q120/-100)), N120*(Q120/100)))</f>
      </c>
      <c r="V120" s="169" t="str">
        <f>IFERROR(IF(ISBLANK(Table123[[#This Row],[Odds Side - Win Probability Model]]), "",N120+IF(R120&lt;0, (N120/(R120/-100)), N120*(R120/100))),"")</f>
      </c>
      <c r="W120" s="168" t="str">
        <f t="shared" si="8"/>
      </c>
      <c r="X120" s="169" t="str">
        <f t="shared" si="9"/>
      </c>
      <c r="Y120" s="168" t="str">
        <f>IF(ISBLANK(Table123[[#This Row],[Odds Spread]]), "",O120+IF(S120&lt;0, (O120/(S120/-100)), O120*(S120/100)))</f>
      </c>
      <c r="Z120" s="168" t="str">
        <f t="shared" si="10"/>
      </c>
      <c r="AA120" s="68" t="n">
        <f t="shared" si="11"/>
        <v>0</v>
      </c>
      <c r="AB120" s="68" t="n">
        <f t="shared" si="12"/>
        <v>0</v>
      </c>
      <c r="AC120" s="170" t="e">
        <f>IF('Prediction Log'!#REF!="Y", "W", IF('Prediction Log'!#REF!="N","L",""))</f>
        <v>#REF!</v>
      </c>
      <c r="AD120" s="171" t="e">
        <f>IF('Prediction Log'!#REF!="Y", "W", IF('Prediction Log'!#REF!="N","L",""))</f>
        <v>#REF!</v>
      </c>
      <c r="AE120" s="172" t="str">
        <f>IF(ISBLANK(Table123[[#This Row],[Odds Side - Difference Model]]), "",IF(AC120="W", W120, IF(AC120="L",-N120, "")))</f>
      </c>
      <c r="AF120" s="173" t="str">
        <f>IFERROR((IF(ISERR(Table123[[#This Row],[Potential Payout Side - Win Probability Model]]), "",IF(AD120="W", X120, IF(AD120="L",-N120, "")))), "")</f>
      </c>
      <c r="AG120" s="170" t="e">
        <f>IF('Prediction Log'!#REF!="Y", "W", IF('Prediction Log'!#REF!="N", "L", ""))</f>
        <v>#REF!</v>
      </c>
      <c r="AH120" s="172" t="str">
        <f>IF(ISBLANK(Table123[[#This Row],[Odds Spread]]), "",IF(AG120="W", Z120, IF(AG120="L",-O120, "")))</f>
      </c>
      <c r="AI120" s="184"/>
      <c r="AJ120" s="183" t="str">
        <f t="shared" si="13"/>
      </c>
      <c r="AK1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1">
      <c r="A121" s="65" t="e">
        <f>Games!#REF!</f>
        <v>#REF!</v>
      </c>
      <c r="B121" s="65" t="e">
        <f>IF('Prediction Log'!#REF!=0, "",'Prediction Log'!#REF!)</f>
        <v>#REF!</v>
      </c>
      <c r="C121" s="65" t="e">
        <f>IF('Prediction Log'!#REF!=0, "",'Prediction Log'!#REF!)</f>
        <v>#REF!</v>
      </c>
      <c r="D121" s="65" t="e">
        <f>IF('Prediction Log'!#REF!=0, "",'Prediction Log'!#REF!)</f>
        <v>#REF!</v>
      </c>
      <c r="E121" s="65" t="e">
        <f>IF('Prediction Log'!#REF!=0, "",'Prediction Log'!#REF!)</f>
        <v>#REF!</v>
      </c>
      <c r="F121" s="65" t="e">
        <f>IF('Prediction Log'!#REF!=0, "",'Prediction Log'!#REF!)</f>
        <v>#REF!</v>
      </c>
      <c r="G121" s="64" t="e">
        <f>IF(ISBLANK(Games!#REF!), "",'Prediction Log'!#REF!)</f>
        <v>#REF!</v>
      </c>
      <c r="H121" s="66" t="e">
        <f>'Prediction Log'!#REF!</f>
        <v>#REF!</v>
      </c>
      <c r="I121" s="65" t="e">
        <f>IF(ISBLANK(Games!#REF!), "",IF(AND(Games!#REF!="",Games!#REF!=""),"",IF(ISTEXT(Games!#REF!), "Side",Games!#REF!)))</f>
        <v>#REF!</v>
      </c>
      <c r="J121" s="65" t="e">
        <f>IF(ISBLANK(Games!#REF!), "",IF(Games!#REF!="Y", Games!#REF!, Games!#REF!))</f>
        <v>#REF!</v>
      </c>
      <c r="K121" s="65" t="e">
        <f>Games!#REF!</f>
        <v>#REF!</v>
      </c>
      <c r="L121" s="65" t="e">
        <f>IF(ISBLANK(Games!#REF!), "",Games!#REF!)</f>
        <v>#REF!</v>
      </c>
      <c r="M121" s="65"/>
      <c r="N121" s="167" t="str">
        <f>IF(ISBLANK(Table123[[#This Row],[Odds Side - Difference Model]]), "", 1)</f>
      </c>
      <c r="O121" s="167" t="str">
        <f>IF(ISBLANK(Table123[[#This Row],[Odds Spread]]), "", 1)</f>
      </c>
      <c r="P121" s="67"/>
      <c r="Q121" s="67"/>
      <c r="R1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1" s="67"/>
      <c r="T121" s="67"/>
      <c r="U121" s="168" t="str">
        <f>IF(ISBLANK(Table123[[#This Row],[Odds Side - Difference Model]]), "",N121+IF(Q121&lt;0, (N121/(Q121/-100)), N121*(Q121/100)))</f>
      </c>
      <c r="V121" s="169" t="str">
        <f>IFERROR(IF(ISBLANK(Table123[[#This Row],[Odds Side - Win Probability Model]]), "",N121+IF(R121&lt;0, (N121/(R121/-100)), N121*(R121/100))),"")</f>
      </c>
      <c r="W121" s="168" t="str">
        <f t="shared" si="8"/>
      </c>
      <c r="X121" s="169" t="str">
        <f t="shared" si="9"/>
      </c>
      <c r="Y121" s="168" t="str">
        <f>IF(ISBLANK(Table123[[#This Row],[Odds Spread]]), "",O121+IF(S121&lt;0, (O121/(S121/-100)), O121*(S121/100)))</f>
      </c>
      <c r="Z121" s="168" t="str">
        <f t="shared" si="10"/>
      </c>
      <c r="AA121" s="68" t="n">
        <f t="shared" si="11"/>
        <v>0</v>
      </c>
      <c r="AB121" s="68" t="n">
        <f t="shared" si="12"/>
        <v>0</v>
      </c>
      <c r="AC121" s="170" t="e">
        <f>IF('Prediction Log'!#REF!="Y", "W", IF('Prediction Log'!#REF!="N","L",""))</f>
        <v>#REF!</v>
      </c>
      <c r="AD121" s="171" t="e">
        <f>IF('Prediction Log'!#REF!="Y", "W", IF('Prediction Log'!#REF!="N","L",""))</f>
        <v>#REF!</v>
      </c>
      <c r="AE121" s="172" t="str">
        <f>IF(ISBLANK(Table123[[#This Row],[Odds Side - Difference Model]]), "",IF(AC121="W", W121, IF(AC121="L",-N121, "")))</f>
      </c>
      <c r="AF121" s="173" t="str">
        <f>IFERROR((IF(ISERR(Table123[[#This Row],[Potential Payout Side - Win Probability Model]]), "",IF(AD121="W", X121, IF(AD121="L",-N121, "")))), "")</f>
      </c>
      <c r="AG121" s="170" t="e">
        <f>IF('Prediction Log'!#REF!="Y", "W", IF('Prediction Log'!#REF!="N", "L", ""))</f>
        <v>#REF!</v>
      </c>
      <c r="AH121" s="172" t="str">
        <f>IF(ISBLANK(Table123[[#This Row],[Odds Spread]]), "",IF(AG121="W", Z121, IF(AG121="L",-O121, "")))</f>
      </c>
      <c r="AI121" s="184"/>
      <c r="AJ121" s="183" t="str">
        <f t="shared" si="13"/>
      </c>
      <c r="AK1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2">
      <c r="A122" s="65" t="e">
        <f>Games!#REF!</f>
        <v>#REF!</v>
      </c>
      <c r="B122" s="65" t="e">
        <f>IF('Prediction Log'!#REF!=0, "",'Prediction Log'!#REF!)</f>
        <v>#REF!</v>
      </c>
      <c r="C122" s="65" t="e">
        <f>IF('Prediction Log'!#REF!=0, "",'Prediction Log'!#REF!)</f>
        <v>#REF!</v>
      </c>
      <c r="D122" s="65" t="e">
        <f>IF('Prediction Log'!#REF!=0, "",'Prediction Log'!#REF!)</f>
        <v>#REF!</v>
      </c>
      <c r="E122" s="65" t="e">
        <f>IF('Prediction Log'!#REF!=0, "",'Prediction Log'!#REF!)</f>
        <v>#REF!</v>
      </c>
      <c r="F122" s="65" t="e">
        <f>IF('Prediction Log'!#REF!=0, "",'Prediction Log'!#REF!)</f>
        <v>#REF!</v>
      </c>
      <c r="G122" s="64" t="e">
        <f>IF(ISBLANK(Games!#REF!), "",'Prediction Log'!#REF!)</f>
        <v>#REF!</v>
      </c>
      <c r="H122" s="66" t="e">
        <f>'Prediction Log'!#REF!</f>
        <v>#REF!</v>
      </c>
      <c r="I122" s="65" t="e">
        <f>IF(ISBLANK(Games!#REF!), "",IF(AND(Games!#REF!="",Games!#REF!=""),"",IF(ISTEXT(Games!#REF!), "Side",Games!#REF!)))</f>
        <v>#REF!</v>
      </c>
      <c r="J122" s="65" t="e">
        <f>IF(ISBLANK(Games!#REF!), "",IF(Games!#REF!="Y", Games!#REF!, Games!#REF!))</f>
        <v>#REF!</v>
      </c>
      <c r="K122" s="65" t="e">
        <f>Games!#REF!</f>
        <v>#REF!</v>
      </c>
      <c r="L122" s="65" t="e">
        <f>IF(ISBLANK(Games!#REF!), "",Games!#REF!)</f>
        <v>#REF!</v>
      </c>
      <c r="M122" s="65"/>
      <c r="N122" s="167" t="str">
        <f>IF(ISBLANK(Table123[[#This Row],[Odds Side - Difference Model]]), "", 1)</f>
      </c>
      <c r="O122" s="167" t="str">
        <f>IF(ISBLANK(Table123[[#This Row],[Odds Spread]]), "", 1)</f>
      </c>
      <c r="P122" s="67"/>
      <c r="Q122" s="67"/>
      <c r="R1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2" s="67"/>
      <c r="T122" s="67"/>
      <c r="U122" s="168" t="str">
        <f>IF(ISBLANK(Table123[[#This Row],[Odds Side - Difference Model]]), "",N122+IF(Q122&lt;0, (N122/(Q122/-100)), N122*(Q122/100)))</f>
      </c>
      <c r="V122" s="169" t="str">
        <f>IFERROR(IF(ISBLANK(Table123[[#This Row],[Odds Side - Win Probability Model]]), "",N122+IF(R122&lt;0, (N122/(R122/-100)), N122*(R122/100))),"")</f>
      </c>
      <c r="W122" s="168" t="str">
        <f t="shared" si="8"/>
      </c>
      <c r="X122" s="169" t="str">
        <f t="shared" si="9"/>
      </c>
      <c r="Y122" s="168" t="str">
        <f>IF(ISBLANK(Table123[[#This Row],[Odds Spread]]), "",O122+IF(S122&lt;0, (O122/(S122/-100)), O122*(S122/100)))</f>
      </c>
      <c r="Z122" s="168" t="str">
        <f t="shared" si="10"/>
      </c>
      <c r="AA122" s="68" t="n">
        <f t="shared" si="11"/>
        <v>0</v>
      </c>
      <c r="AB122" s="68" t="n">
        <f t="shared" si="12"/>
        <v>0</v>
      </c>
      <c r="AC122" s="170" t="e">
        <f>IF('Prediction Log'!#REF!="Y", "W", IF('Prediction Log'!#REF!="N","L",""))</f>
        <v>#REF!</v>
      </c>
      <c r="AD122" s="171" t="e">
        <f>IF('Prediction Log'!#REF!="Y", "W", IF('Prediction Log'!#REF!="N","L",""))</f>
        <v>#REF!</v>
      </c>
      <c r="AE122" s="172" t="str">
        <f>IF(ISBLANK(Table123[[#This Row],[Odds Side - Difference Model]]), "",IF(AC122="W", W122, IF(AC122="L",-N122, "")))</f>
      </c>
      <c r="AF122" s="173" t="str">
        <f>IFERROR((IF(ISERR(Table123[[#This Row],[Potential Payout Side - Win Probability Model]]), "",IF(AD122="W", X122, IF(AD122="L",-N122, "")))), "")</f>
      </c>
      <c r="AG122" s="170" t="e">
        <f>IF('Prediction Log'!#REF!="Y", "W", IF('Prediction Log'!#REF!="N", "L", ""))</f>
        <v>#REF!</v>
      </c>
      <c r="AH122" s="172" t="str">
        <f>IF(ISBLANK(Table123[[#This Row],[Odds Spread]]), "",IF(AG122="W", Z122, IF(AG122="L",-O122, "")))</f>
      </c>
      <c r="AI122" s="184"/>
      <c r="AJ122" s="183" t="str">
        <f t="shared" si="13"/>
      </c>
      <c r="AK1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3">
      <c r="A123" s="65" t="e">
        <f>Games!#REF!</f>
        <v>#REF!</v>
      </c>
      <c r="B123" s="65" t="e">
        <f>IF('Prediction Log'!#REF!=0, "",'Prediction Log'!#REF!)</f>
        <v>#REF!</v>
      </c>
      <c r="C123" s="65" t="e">
        <f>IF('Prediction Log'!#REF!=0, "",'Prediction Log'!#REF!)</f>
        <v>#REF!</v>
      </c>
      <c r="D123" s="65" t="e">
        <f>IF('Prediction Log'!#REF!=0, "",'Prediction Log'!#REF!)</f>
        <v>#REF!</v>
      </c>
      <c r="E123" s="65" t="e">
        <f>IF('Prediction Log'!#REF!=0, "",'Prediction Log'!#REF!)</f>
        <v>#REF!</v>
      </c>
      <c r="F123" s="65" t="e">
        <f>IF('Prediction Log'!#REF!=0, "",'Prediction Log'!#REF!)</f>
        <v>#REF!</v>
      </c>
      <c r="G123" s="64" t="e">
        <f>IF(ISBLANK(Games!#REF!), "",'Prediction Log'!#REF!)</f>
        <v>#REF!</v>
      </c>
      <c r="H123" s="66" t="e">
        <f>'Prediction Log'!#REF!</f>
        <v>#REF!</v>
      </c>
      <c r="I123" s="65" t="e">
        <f>IF(ISBLANK(Games!#REF!), "",IF(AND(Games!#REF!="",Games!#REF!=""),"",IF(ISTEXT(Games!#REF!), "Side",Games!#REF!)))</f>
        <v>#REF!</v>
      </c>
      <c r="J123" s="65" t="e">
        <f>IF(ISBLANK(Games!#REF!), "",IF(Games!#REF!="Y", Games!#REF!, Games!#REF!))</f>
        <v>#REF!</v>
      </c>
      <c r="K123" s="65" t="e">
        <f>Games!#REF!</f>
        <v>#REF!</v>
      </c>
      <c r="L123" s="65" t="e">
        <f>IF(ISBLANK(Games!#REF!), "",Games!#REF!)</f>
        <v>#REF!</v>
      </c>
      <c r="M123" s="65"/>
      <c r="N123" s="167" t="str">
        <f>IF(ISBLANK(Table123[[#This Row],[Odds Side - Difference Model]]), "", 1)</f>
      </c>
      <c r="O123" s="167" t="str">
        <f>IF(ISBLANK(Table123[[#This Row],[Odds Spread]]), "", 1)</f>
      </c>
      <c r="P123" s="67"/>
      <c r="Q123" s="67"/>
      <c r="R1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3" s="67"/>
      <c r="T123" s="67"/>
      <c r="U123" s="168" t="str">
        <f>IF(ISBLANK(Table123[[#This Row],[Odds Side - Difference Model]]), "",N123+IF(Q123&lt;0, (N123/(Q123/-100)), N123*(Q123/100)))</f>
      </c>
      <c r="V123" s="169" t="str">
        <f>IFERROR(IF(ISBLANK(Table123[[#This Row],[Odds Side - Win Probability Model]]), "",N123+IF(R123&lt;0, (N123/(R123/-100)), N123*(R123/100))),"")</f>
      </c>
      <c r="W123" s="168" t="str">
        <f t="shared" si="8"/>
      </c>
      <c r="X123" s="169" t="str">
        <f t="shared" si="9"/>
      </c>
      <c r="Y123" s="168" t="str">
        <f>IF(ISBLANK(Table123[[#This Row],[Odds Spread]]), "",O123+IF(S123&lt;0, (O123/(S123/-100)), O123*(S123/100)))</f>
      </c>
      <c r="Z123" s="168" t="str">
        <f t="shared" si="10"/>
      </c>
      <c r="AA123" s="68" t="n">
        <f t="shared" si="11"/>
        <v>0</v>
      </c>
      <c r="AB123" s="68" t="n">
        <f t="shared" si="12"/>
        <v>0</v>
      </c>
      <c r="AC123" s="170" t="e">
        <f>IF('Prediction Log'!#REF!="Y", "W", IF('Prediction Log'!#REF!="N","L",""))</f>
        <v>#REF!</v>
      </c>
      <c r="AD123" s="171" t="e">
        <f>IF('Prediction Log'!#REF!="Y", "W", IF('Prediction Log'!#REF!="N","L",""))</f>
        <v>#REF!</v>
      </c>
      <c r="AE123" s="172" t="str">
        <f>IF(ISBLANK(Table123[[#This Row],[Odds Side - Difference Model]]), "",IF(AC123="W", W123, IF(AC123="L",-N123, "")))</f>
      </c>
      <c r="AF123" s="173" t="str">
        <f>IFERROR((IF(ISERR(Table123[[#This Row],[Potential Payout Side - Win Probability Model]]), "",IF(AD123="W", X123, IF(AD123="L",-N123, "")))), "")</f>
      </c>
      <c r="AG123" s="170" t="e">
        <f>IF('Prediction Log'!#REF!="Y", "W", IF('Prediction Log'!#REF!="N", "L", ""))</f>
        <v>#REF!</v>
      </c>
      <c r="AH123" s="172" t="str">
        <f>IF(ISBLANK(Table123[[#This Row],[Odds Spread]]), "",IF(AG123="W", Z123, IF(AG123="L",-O123, "")))</f>
      </c>
      <c r="AI123" s="184"/>
      <c r="AJ123" s="183" t="str">
        <f t="shared" si="13"/>
      </c>
      <c r="AK1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4">
      <c r="A124" s="65" t="e">
        <f>Games!#REF!</f>
        <v>#REF!</v>
      </c>
      <c r="B124" s="65" t="e">
        <f>IF('Prediction Log'!#REF!=0, "",'Prediction Log'!#REF!)</f>
        <v>#REF!</v>
      </c>
      <c r="C124" s="65" t="e">
        <f>IF('Prediction Log'!#REF!=0, "",'Prediction Log'!#REF!)</f>
        <v>#REF!</v>
      </c>
      <c r="D124" s="65" t="e">
        <f>IF('Prediction Log'!#REF!=0, "",'Prediction Log'!#REF!)</f>
        <v>#REF!</v>
      </c>
      <c r="E124" s="65" t="e">
        <f>IF('Prediction Log'!#REF!=0, "",'Prediction Log'!#REF!)</f>
        <v>#REF!</v>
      </c>
      <c r="F124" s="65" t="e">
        <f>IF('Prediction Log'!#REF!=0, "",'Prediction Log'!#REF!)</f>
        <v>#REF!</v>
      </c>
      <c r="G124" s="64" t="e">
        <f>IF(ISBLANK(Games!#REF!), "",'Prediction Log'!#REF!)</f>
        <v>#REF!</v>
      </c>
      <c r="H124" s="66" t="e">
        <f>'Prediction Log'!#REF!</f>
        <v>#REF!</v>
      </c>
      <c r="I124" s="65" t="e">
        <f>IF(ISBLANK(Games!#REF!), "",IF(AND(Games!#REF!="",Games!#REF!=""),"",IF(ISTEXT(Games!#REF!), "Side",Games!#REF!)))</f>
        <v>#REF!</v>
      </c>
      <c r="J124" s="65" t="e">
        <f>IF(ISBLANK(Games!#REF!), "",IF(Games!#REF!="Y", Games!#REF!, Games!#REF!))</f>
        <v>#REF!</v>
      </c>
      <c r="K124" s="65" t="e">
        <f>Games!#REF!</f>
        <v>#REF!</v>
      </c>
      <c r="L124" s="65" t="e">
        <f>IF(ISBLANK(Games!#REF!), "",Games!#REF!)</f>
        <v>#REF!</v>
      </c>
      <c r="M124" s="65"/>
      <c r="N124" s="167" t="str">
        <f>IF(ISBLANK(Table123[[#This Row],[Odds Side - Difference Model]]), "", 1)</f>
      </c>
      <c r="O124" s="167" t="str">
        <f>IF(ISBLANK(Table123[[#This Row],[Odds Spread]]), "", 1)</f>
      </c>
      <c r="P124" s="67"/>
      <c r="Q124" s="67"/>
      <c r="R1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4" s="67"/>
      <c r="T124" s="67"/>
      <c r="U124" s="168" t="str">
        <f>IF(ISBLANK(Table123[[#This Row],[Odds Side - Difference Model]]), "",N124+IF(Q124&lt;0, (N124/(Q124/-100)), N124*(Q124/100)))</f>
      </c>
      <c r="V124" s="169" t="str">
        <f>IFERROR(IF(ISBLANK(Table123[[#This Row],[Odds Side - Win Probability Model]]), "",N124+IF(R124&lt;0, (N124/(R124/-100)), N124*(R124/100))),"")</f>
      </c>
      <c r="W124" s="168" t="str">
        <f t="shared" si="8"/>
      </c>
      <c r="X124" s="169" t="str">
        <f t="shared" si="9"/>
      </c>
      <c r="Y124" s="168" t="str">
        <f>IF(ISBLANK(Table123[[#This Row],[Odds Spread]]), "",O124+IF(S124&lt;0, (O124/(S124/-100)), O124*(S124/100)))</f>
      </c>
      <c r="Z124" s="168" t="str">
        <f t="shared" si="10"/>
      </c>
      <c r="AA124" s="68" t="n">
        <f t="shared" si="11"/>
        <v>0</v>
      </c>
      <c r="AB124" s="68" t="n">
        <f t="shared" si="12"/>
        <v>0</v>
      </c>
      <c r="AC124" s="170" t="e">
        <f>IF('Prediction Log'!#REF!="Y", "W", IF('Prediction Log'!#REF!="N","L",""))</f>
        <v>#REF!</v>
      </c>
      <c r="AD124" s="171" t="e">
        <f>IF('Prediction Log'!#REF!="Y", "W", IF('Prediction Log'!#REF!="N","L",""))</f>
        <v>#REF!</v>
      </c>
      <c r="AE124" s="172" t="str">
        <f>IF(ISBLANK(Table123[[#This Row],[Odds Side - Difference Model]]), "",IF(AC124="W", W124, IF(AC124="L",-N124, "")))</f>
      </c>
      <c r="AF124" s="173" t="str">
        <f>IFERROR((IF(ISERR(Table123[[#This Row],[Potential Payout Side - Win Probability Model]]), "",IF(AD124="W", X124, IF(AD124="L",-N124, "")))), "")</f>
      </c>
      <c r="AG124" s="170" t="e">
        <f>IF('Prediction Log'!#REF!="Y", "W", IF('Prediction Log'!#REF!="N", "L", ""))</f>
        <v>#REF!</v>
      </c>
      <c r="AH124" s="172" t="str">
        <f>IF(ISBLANK(Table123[[#This Row],[Odds Spread]]), "",IF(AG124="W", Z124, IF(AG124="L",-O124, "")))</f>
      </c>
      <c r="AI124" s="184"/>
      <c r="AJ124" s="183" t="str">
        <f t="shared" si="13"/>
      </c>
      <c r="AK1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5">
      <c r="A125" s="65" t="e">
        <f>Games!#REF!</f>
        <v>#REF!</v>
      </c>
      <c r="B125" s="65" t="e">
        <f>IF('Prediction Log'!#REF!=0, "",'Prediction Log'!#REF!)</f>
        <v>#REF!</v>
      </c>
      <c r="C125" s="65" t="e">
        <f>IF('Prediction Log'!#REF!=0, "",'Prediction Log'!#REF!)</f>
        <v>#REF!</v>
      </c>
      <c r="D125" s="65" t="e">
        <f>IF('Prediction Log'!#REF!=0, "",'Prediction Log'!#REF!)</f>
        <v>#REF!</v>
      </c>
      <c r="E125" s="65" t="e">
        <f>IF('Prediction Log'!#REF!=0, "",'Prediction Log'!#REF!)</f>
        <v>#REF!</v>
      </c>
      <c r="F125" s="65" t="e">
        <f>IF('Prediction Log'!#REF!=0, "",'Prediction Log'!#REF!)</f>
        <v>#REF!</v>
      </c>
      <c r="G125" s="64" t="e">
        <f>IF(ISBLANK(Games!#REF!), "",'Prediction Log'!#REF!)</f>
        <v>#REF!</v>
      </c>
      <c r="H125" s="66" t="e">
        <f>'Prediction Log'!#REF!</f>
        <v>#REF!</v>
      </c>
      <c r="I125" s="65" t="e">
        <f>IF(ISBLANK(Games!#REF!), "",IF(AND(Games!#REF!="",Games!#REF!=""),"",IF(ISTEXT(Games!#REF!), "Side",Games!#REF!)))</f>
        <v>#REF!</v>
      </c>
      <c r="J125" s="65" t="e">
        <f>IF(ISBLANK(Games!#REF!), "",IF(Games!#REF!="Y", Games!#REF!, Games!#REF!))</f>
        <v>#REF!</v>
      </c>
      <c r="K125" s="65" t="e">
        <f>Games!#REF!</f>
        <v>#REF!</v>
      </c>
      <c r="L125" s="65" t="e">
        <f>IF(ISBLANK(Games!#REF!), "",Games!#REF!)</f>
        <v>#REF!</v>
      </c>
      <c r="M125" s="65"/>
      <c r="N125" s="167" t="str">
        <f>IF(ISBLANK(Table123[[#This Row],[Odds Side - Difference Model]]), "", 1)</f>
      </c>
      <c r="O125" s="167" t="str">
        <f>IF(ISBLANK(Table123[[#This Row],[Odds Spread]]), "", 1)</f>
      </c>
      <c r="P125" s="67"/>
      <c r="Q125" s="67"/>
      <c r="R1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5" s="67"/>
      <c r="T125" s="67"/>
      <c r="U125" s="168" t="str">
        <f>IF(ISBLANK(Table123[[#This Row],[Odds Side - Difference Model]]), "",N125+IF(Q125&lt;0, (N125/(Q125/-100)), N125*(Q125/100)))</f>
      </c>
      <c r="V125" s="169" t="str">
        <f>IFERROR(IF(ISBLANK(Table123[[#This Row],[Odds Side - Win Probability Model]]), "",N125+IF(R125&lt;0, (N125/(R125/-100)), N125*(R125/100))),"")</f>
      </c>
      <c r="W125" s="168" t="str">
        <f t="shared" si="8"/>
      </c>
      <c r="X125" s="169" t="str">
        <f t="shared" si="9"/>
      </c>
      <c r="Y125" s="168" t="str">
        <f>IF(ISBLANK(Table123[[#This Row],[Odds Spread]]), "",O125+IF(S125&lt;0, (O125/(S125/-100)), O125*(S125/100)))</f>
      </c>
      <c r="Z125" s="168" t="str">
        <f t="shared" si="10"/>
      </c>
      <c r="AA125" s="68" t="n">
        <f t="shared" si="11"/>
        <v>0</v>
      </c>
      <c r="AB125" s="68" t="n">
        <f t="shared" si="12"/>
        <v>0</v>
      </c>
      <c r="AC125" s="170" t="e">
        <f>IF('Prediction Log'!#REF!="Y", "W", IF('Prediction Log'!#REF!="N","L",""))</f>
        <v>#REF!</v>
      </c>
      <c r="AD125" s="171" t="e">
        <f>IF('Prediction Log'!#REF!="Y", "W", IF('Prediction Log'!#REF!="N","L",""))</f>
        <v>#REF!</v>
      </c>
      <c r="AE125" s="172" t="str">
        <f>IF(ISBLANK(Table123[[#This Row],[Odds Side - Difference Model]]), "",IF(AC125="W", W125, IF(AC125="L",-N125, "")))</f>
      </c>
      <c r="AF125" s="173" t="str">
        <f>IFERROR((IF(ISERR(Table123[[#This Row],[Potential Payout Side - Win Probability Model]]), "",IF(AD125="W", X125, IF(AD125="L",-N125, "")))), "")</f>
      </c>
      <c r="AG125" s="170" t="e">
        <f>IF('Prediction Log'!#REF!="Y", "W", IF('Prediction Log'!#REF!="N", "L", ""))</f>
        <v>#REF!</v>
      </c>
      <c r="AH125" s="172" t="str">
        <f>IF(ISBLANK(Table123[[#This Row],[Odds Spread]]), "",IF(AG125="W", Z125, IF(AG125="L",-O125, "")))</f>
      </c>
      <c r="AI125" s="184"/>
      <c r="AJ125" s="183" t="str">
        <f t="shared" si="13"/>
      </c>
      <c r="AK1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6">
      <c r="A126" s="65" t="e">
        <f>Games!#REF!</f>
        <v>#REF!</v>
      </c>
      <c r="B126" s="65" t="e">
        <f>IF('Prediction Log'!#REF!=0, "",'Prediction Log'!#REF!)</f>
        <v>#REF!</v>
      </c>
      <c r="C126" s="65" t="e">
        <f>IF('Prediction Log'!#REF!=0, "",'Prediction Log'!#REF!)</f>
        <v>#REF!</v>
      </c>
      <c r="D126" s="65" t="e">
        <f>IF('Prediction Log'!#REF!=0, "",'Prediction Log'!#REF!)</f>
        <v>#REF!</v>
      </c>
      <c r="E126" s="65" t="e">
        <f>IF('Prediction Log'!#REF!=0, "",'Prediction Log'!#REF!)</f>
        <v>#REF!</v>
      </c>
      <c r="F126" s="65" t="e">
        <f>IF('Prediction Log'!#REF!=0, "",'Prediction Log'!#REF!)</f>
        <v>#REF!</v>
      </c>
      <c r="G126" s="64" t="e">
        <f>IF(ISBLANK(Games!#REF!), "",'Prediction Log'!#REF!)</f>
        <v>#REF!</v>
      </c>
      <c r="H126" s="66" t="e">
        <f>'Prediction Log'!#REF!</f>
        <v>#REF!</v>
      </c>
      <c r="I126" s="65" t="e">
        <f>IF(ISBLANK(Games!#REF!), "",IF(AND(Games!#REF!="",Games!#REF!=""),"",IF(ISTEXT(Games!#REF!), "Side",Games!#REF!)))</f>
        <v>#REF!</v>
      </c>
      <c r="J126" s="65" t="e">
        <f>IF(ISBLANK(Games!#REF!), "",IF(Games!#REF!="Y", Games!#REF!, Games!#REF!))</f>
        <v>#REF!</v>
      </c>
      <c r="K126" s="65" t="e">
        <f>Games!#REF!</f>
        <v>#REF!</v>
      </c>
      <c r="L126" s="65" t="e">
        <f>IF(ISBLANK(Games!#REF!), "",Games!#REF!)</f>
        <v>#REF!</v>
      </c>
      <c r="M126" s="65"/>
      <c r="N126" s="167" t="str">
        <f>IF(ISBLANK(Table123[[#This Row],[Odds Side - Difference Model]]), "", 1)</f>
      </c>
      <c r="O126" s="167" t="str">
        <f>IF(ISBLANK(Table123[[#This Row],[Odds Spread]]), "", 1)</f>
      </c>
      <c r="P126" s="67"/>
      <c r="Q126" s="67"/>
      <c r="R1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6" s="67"/>
      <c r="T126" s="67"/>
      <c r="U126" s="168" t="str">
        <f>IF(ISBLANK(Table123[[#This Row],[Odds Side - Difference Model]]), "",N126+IF(Q126&lt;0, (N126/(Q126/-100)), N126*(Q126/100)))</f>
      </c>
      <c r="V126" s="169" t="str">
        <f>IFERROR(IF(ISBLANK(Table123[[#This Row],[Odds Side - Win Probability Model]]), "",N126+IF(R126&lt;0, (N126/(R126/-100)), N126*(R126/100))),"")</f>
      </c>
      <c r="W126" s="168" t="str">
        <f t="shared" si="8"/>
      </c>
      <c r="X126" s="169" t="str">
        <f t="shared" si="9"/>
      </c>
      <c r="Y126" s="168" t="str">
        <f>IF(ISBLANK(Table123[[#This Row],[Odds Spread]]), "",O126+IF(S126&lt;0, (O126/(S126/-100)), O126*(S126/100)))</f>
      </c>
      <c r="Z126" s="168" t="str">
        <f t="shared" si="10"/>
      </c>
      <c r="AA126" s="68" t="n">
        <f t="shared" si="11"/>
        <v>0</v>
      </c>
      <c r="AB126" s="68" t="n">
        <f t="shared" si="12"/>
        <v>0</v>
      </c>
      <c r="AC126" s="170" t="e">
        <f>IF('Prediction Log'!#REF!="Y", "W", IF('Prediction Log'!#REF!="N","L",""))</f>
        <v>#REF!</v>
      </c>
      <c r="AD126" s="171" t="e">
        <f>IF('Prediction Log'!#REF!="Y", "W", IF('Prediction Log'!#REF!="N","L",""))</f>
        <v>#REF!</v>
      </c>
      <c r="AE126" s="172" t="str">
        <f>IF(ISBLANK(Table123[[#This Row],[Odds Side - Difference Model]]), "",IF(AC126="W", W126, IF(AC126="L",-N126, "")))</f>
      </c>
      <c r="AF126" s="173" t="str">
        <f>IFERROR((IF(ISERR(Table123[[#This Row],[Potential Payout Side - Win Probability Model]]), "",IF(AD126="W", X126, IF(AD126="L",-N126, "")))), "")</f>
      </c>
      <c r="AG126" s="170" t="e">
        <f>IF('Prediction Log'!#REF!="Y", "W", IF('Prediction Log'!#REF!="N", "L", ""))</f>
        <v>#REF!</v>
      </c>
      <c r="AH126" s="172" t="str">
        <f>IF(ISBLANK(Table123[[#This Row],[Odds Spread]]), "",IF(AG126="W", Z126, IF(AG126="L",-O126, "")))</f>
      </c>
      <c r="AI126" s="184"/>
      <c r="AJ126" s="183" t="str">
        <f t="shared" si="13"/>
      </c>
      <c r="AK1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7">
      <c r="A127" s="65" t="e">
        <f>Games!#REF!</f>
        <v>#REF!</v>
      </c>
      <c r="B127" s="65" t="e">
        <f>IF('Prediction Log'!#REF!=0, "",'Prediction Log'!#REF!)</f>
        <v>#REF!</v>
      </c>
      <c r="C127" s="65" t="e">
        <f>IF('Prediction Log'!#REF!=0, "",'Prediction Log'!#REF!)</f>
        <v>#REF!</v>
      </c>
      <c r="D127" s="65" t="e">
        <f>IF('Prediction Log'!#REF!=0, "",'Prediction Log'!#REF!)</f>
        <v>#REF!</v>
      </c>
      <c r="E127" s="65" t="e">
        <f>IF('Prediction Log'!#REF!=0, "",'Prediction Log'!#REF!)</f>
        <v>#REF!</v>
      </c>
      <c r="F127" s="65" t="e">
        <f>IF('Prediction Log'!#REF!=0, "",'Prediction Log'!#REF!)</f>
        <v>#REF!</v>
      </c>
      <c r="G127" s="64" t="e">
        <f>IF(ISBLANK(Games!#REF!), "",'Prediction Log'!#REF!)</f>
        <v>#REF!</v>
      </c>
      <c r="H127" s="66" t="e">
        <f>'Prediction Log'!#REF!</f>
        <v>#REF!</v>
      </c>
      <c r="I127" s="65" t="e">
        <f>IF(ISBLANK(Games!#REF!), "",IF(AND(Games!#REF!="",Games!#REF!=""),"",IF(ISTEXT(Games!#REF!), "Side",Games!#REF!)))</f>
        <v>#REF!</v>
      </c>
      <c r="J127" s="65" t="e">
        <f>IF(ISBLANK(Games!#REF!), "",IF(Games!#REF!="Y", Games!#REF!, Games!#REF!))</f>
        <v>#REF!</v>
      </c>
      <c r="K127" s="65" t="e">
        <f>Games!#REF!</f>
        <v>#REF!</v>
      </c>
      <c r="L127" s="65" t="e">
        <f>IF(ISBLANK(Games!#REF!), "",Games!#REF!)</f>
        <v>#REF!</v>
      </c>
      <c r="M127" s="65"/>
      <c r="N127" s="167" t="str">
        <f>IF(ISBLANK(Table123[[#This Row],[Odds Side - Difference Model]]), "", 1)</f>
      </c>
      <c r="O127" s="167" t="str">
        <f>IF(ISBLANK(Table123[[#This Row],[Odds Spread]]), "", 1)</f>
      </c>
      <c r="P127" s="67"/>
      <c r="Q127" s="67"/>
      <c r="R1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7" s="67"/>
      <c r="T127" s="67"/>
      <c r="U127" s="168" t="str">
        <f>IF(ISBLANK(Table123[[#This Row],[Odds Side - Difference Model]]), "",N127+IF(Q127&lt;0, (N127/(Q127/-100)), N127*(Q127/100)))</f>
      </c>
      <c r="V127" s="169" t="str">
        <f>IFERROR(IF(ISBLANK(Table123[[#This Row],[Odds Side - Win Probability Model]]), "",N127+IF(R127&lt;0, (N127/(R127/-100)), N127*(R127/100))),"")</f>
      </c>
      <c r="W127" s="168" t="str">
        <f t="shared" si="8"/>
      </c>
      <c r="X127" s="169" t="str">
        <f t="shared" si="9"/>
      </c>
      <c r="Y127" s="168" t="str">
        <f>IF(ISBLANK(Table123[[#This Row],[Odds Spread]]), "",O127+IF(S127&lt;0, (O127/(S127/-100)), O127*(S127/100)))</f>
      </c>
      <c r="Z127" s="168" t="str">
        <f t="shared" si="10"/>
      </c>
      <c r="AA127" s="68" t="n">
        <f t="shared" si="11"/>
        <v>0</v>
      </c>
      <c r="AB127" s="68" t="n">
        <f t="shared" si="12"/>
        <v>0</v>
      </c>
      <c r="AC127" s="170" t="e">
        <f>IF('Prediction Log'!#REF!="Y", "W", IF('Prediction Log'!#REF!="N","L",""))</f>
        <v>#REF!</v>
      </c>
      <c r="AD127" s="171" t="e">
        <f>IF('Prediction Log'!#REF!="Y", "W", IF('Prediction Log'!#REF!="N","L",""))</f>
        <v>#REF!</v>
      </c>
      <c r="AE127" s="172" t="str">
        <f>IF(ISBLANK(Table123[[#This Row],[Odds Side - Difference Model]]), "",IF(AC127="W", W127, IF(AC127="L",-N127, "")))</f>
      </c>
      <c r="AF127" s="173" t="str">
        <f>IFERROR((IF(ISERR(Table123[[#This Row],[Potential Payout Side - Win Probability Model]]), "",IF(AD127="W", X127, IF(AD127="L",-N127, "")))), "")</f>
      </c>
      <c r="AG127" s="170" t="e">
        <f>IF('Prediction Log'!#REF!="Y", "W", IF('Prediction Log'!#REF!="N", "L", ""))</f>
        <v>#REF!</v>
      </c>
      <c r="AH127" s="172" t="str">
        <f>IF(ISBLANK(Table123[[#This Row],[Odds Spread]]), "",IF(AG127="W", Z127, IF(AG127="L",-O127, "")))</f>
      </c>
      <c r="AI127" s="184"/>
      <c r="AJ127" s="183" t="str">
        <f t="shared" si="13"/>
      </c>
      <c r="AK1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8">
      <c r="A128" s="65" t="e">
        <f>Games!#REF!</f>
        <v>#REF!</v>
      </c>
      <c r="B128" s="65" t="e">
        <f>IF('Prediction Log'!#REF!=0, "",'Prediction Log'!#REF!)</f>
        <v>#REF!</v>
      </c>
      <c r="C128" s="65" t="e">
        <f>IF('Prediction Log'!#REF!=0, "",'Prediction Log'!#REF!)</f>
        <v>#REF!</v>
      </c>
      <c r="D128" s="65" t="e">
        <f>IF('Prediction Log'!#REF!=0, "",'Prediction Log'!#REF!)</f>
        <v>#REF!</v>
      </c>
      <c r="E128" s="65" t="e">
        <f>IF('Prediction Log'!#REF!=0, "",'Prediction Log'!#REF!)</f>
        <v>#REF!</v>
      </c>
      <c r="F128" s="65" t="e">
        <f>IF('Prediction Log'!#REF!=0, "",'Prediction Log'!#REF!)</f>
        <v>#REF!</v>
      </c>
      <c r="G128" s="64" t="e">
        <f>IF(ISBLANK(Games!#REF!), "",'Prediction Log'!#REF!)</f>
        <v>#REF!</v>
      </c>
      <c r="H128" s="66" t="e">
        <f>'Prediction Log'!#REF!</f>
        <v>#REF!</v>
      </c>
      <c r="I128" s="65" t="e">
        <f>IF(ISBLANK(Games!#REF!), "",IF(AND(Games!#REF!="",Games!#REF!=""),"",IF(ISTEXT(Games!#REF!), "Side",Games!#REF!)))</f>
        <v>#REF!</v>
      </c>
      <c r="J128" s="65" t="e">
        <f>IF(ISBLANK(Games!#REF!), "",IF(Games!#REF!="Y", Games!#REF!, Games!#REF!))</f>
        <v>#REF!</v>
      </c>
      <c r="K128" s="65" t="e">
        <f>Games!#REF!</f>
        <v>#REF!</v>
      </c>
      <c r="L128" s="65" t="e">
        <f>IF(ISBLANK(Games!#REF!), "",Games!#REF!)</f>
        <v>#REF!</v>
      </c>
      <c r="M128" s="65"/>
      <c r="N128" s="167" t="str">
        <f>IF(ISBLANK(Table123[[#This Row],[Odds Side - Difference Model]]), "", 1)</f>
      </c>
      <c r="O128" s="167" t="str">
        <f>IF(ISBLANK(Table123[[#This Row],[Odds Spread]]), "", 1)</f>
      </c>
      <c r="P128" s="67"/>
      <c r="Q128" s="67"/>
      <c r="R1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8" s="67"/>
      <c r="T128" s="67"/>
      <c r="U128" s="168" t="str">
        <f>IF(ISBLANK(Table123[[#This Row],[Odds Side - Difference Model]]), "",N128+IF(Q128&lt;0, (N128/(Q128/-100)), N128*(Q128/100)))</f>
      </c>
      <c r="V128" s="169" t="str">
        <f>IFERROR(IF(ISBLANK(Table123[[#This Row],[Odds Side - Win Probability Model]]), "",N128+IF(R128&lt;0, (N128/(R128/-100)), N128*(R128/100))),"")</f>
      </c>
      <c r="W128" s="168" t="str">
        <f t="shared" si="8"/>
      </c>
      <c r="X128" s="169" t="str">
        <f t="shared" si="9"/>
      </c>
      <c r="Y128" s="168" t="str">
        <f>IF(ISBLANK(Table123[[#This Row],[Odds Spread]]), "",O128+IF(S128&lt;0, (O128/(S128/-100)), O128*(S128/100)))</f>
      </c>
      <c r="Z128" s="168" t="str">
        <f t="shared" si="10"/>
      </c>
      <c r="AA128" s="68" t="n">
        <f t="shared" si="11"/>
        <v>0</v>
      </c>
      <c r="AB128" s="68" t="n">
        <f t="shared" si="12"/>
        <v>0</v>
      </c>
      <c r="AC128" s="170" t="e">
        <f>IF('Prediction Log'!#REF!="Y", "W", IF('Prediction Log'!#REF!="N","L",""))</f>
        <v>#REF!</v>
      </c>
      <c r="AD128" s="171" t="e">
        <f>IF('Prediction Log'!#REF!="Y", "W", IF('Prediction Log'!#REF!="N","L",""))</f>
        <v>#REF!</v>
      </c>
      <c r="AE128" s="172" t="str">
        <f>IF(ISBLANK(Table123[[#This Row],[Odds Side - Difference Model]]), "",IF(AC128="W", W128, IF(AC128="L",-N128, "")))</f>
      </c>
      <c r="AF128" s="173" t="str">
        <f>IFERROR((IF(ISERR(Table123[[#This Row],[Potential Payout Side - Win Probability Model]]), "",IF(AD128="W", X128, IF(AD128="L",-N128, "")))), "")</f>
      </c>
      <c r="AG128" s="170" t="e">
        <f>IF('Prediction Log'!#REF!="Y", "W", IF('Prediction Log'!#REF!="N", "L", ""))</f>
        <v>#REF!</v>
      </c>
      <c r="AH128" s="172" t="str">
        <f>IF(ISBLANK(Table123[[#This Row],[Odds Spread]]), "",IF(AG128="W", Z128, IF(AG128="L",-O128, "")))</f>
      </c>
      <c r="AI128" s="184"/>
      <c r="AJ128" s="183" t="str">
        <f t="shared" si="13"/>
      </c>
      <c r="AK1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9">
      <c r="A129" s="65" t="e">
        <f>Games!#REF!</f>
        <v>#REF!</v>
      </c>
      <c r="B129" s="65" t="e">
        <f>IF('Prediction Log'!#REF!=0, "",'Prediction Log'!#REF!)</f>
        <v>#REF!</v>
      </c>
      <c r="C129" s="65" t="e">
        <f>IF('Prediction Log'!#REF!=0, "",'Prediction Log'!#REF!)</f>
        <v>#REF!</v>
      </c>
      <c r="D129" s="65" t="e">
        <f>IF('Prediction Log'!#REF!=0, "",'Prediction Log'!#REF!)</f>
        <v>#REF!</v>
      </c>
      <c r="E129" s="65" t="e">
        <f>IF('Prediction Log'!#REF!=0, "",'Prediction Log'!#REF!)</f>
        <v>#REF!</v>
      </c>
      <c r="F129" s="65" t="e">
        <f>IF('Prediction Log'!#REF!=0, "",'Prediction Log'!#REF!)</f>
        <v>#REF!</v>
      </c>
      <c r="G129" s="64" t="e">
        <f>IF(ISBLANK(Games!#REF!), "",'Prediction Log'!#REF!)</f>
        <v>#REF!</v>
      </c>
      <c r="H129" s="66" t="e">
        <f>'Prediction Log'!#REF!</f>
        <v>#REF!</v>
      </c>
      <c r="I129" s="65" t="e">
        <f>IF(ISBLANK(Games!#REF!), "",IF(AND(Games!#REF!="",Games!#REF!=""),"",IF(ISTEXT(Games!#REF!), "Side",Games!#REF!)))</f>
        <v>#REF!</v>
      </c>
      <c r="J129" s="65" t="e">
        <f>IF(ISBLANK(Games!#REF!), "",IF(Games!#REF!="Y", Games!#REF!, Games!#REF!))</f>
        <v>#REF!</v>
      </c>
      <c r="K129" s="65" t="e">
        <f>Games!#REF!</f>
        <v>#REF!</v>
      </c>
      <c r="L129" s="65" t="e">
        <f>IF(ISBLANK(Games!#REF!), "",Games!#REF!)</f>
        <v>#REF!</v>
      </c>
      <c r="M129" s="65"/>
      <c r="N129" s="167" t="str">
        <f>IF(ISBLANK(Table123[[#This Row],[Odds Side - Difference Model]]), "", 1)</f>
      </c>
      <c r="O129" s="167" t="str">
        <f>IF(ISBLANK(Table123[[#This Row],[Odds Spread]]), "", 1)</f>
      </c>
      <c r="P129" s="67"/>
      <c r="Q129" s="67"/>
      <c r="R1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9" s="67"/>
      <c r="T129" s="67"/>
      <c r="U129" s="168" t="str">
        <f>IF(ISBLANK(Table123[[#This Row],[Odds Side - Difference Model]]), "",N129+IF(Q129&lt;0, (N129/(Q129/-100)), N129*(Q129/100)))</f>
      </c>
      <c r="V129" s="169" t="str">
        <f>IFERROR(IF(ISBLANK(Table123[[#This Row],[Odds Side - Win Probability Model]]), "",N129+IF(R129&lt;0, (N129/(R129/-100)), N129*(R129/100))),"")</f>
      </c>
      <c r="W129" s="168" t="str">
        <f t="shared" si="8"/>
      </c>
      <c r="X129" s="169" t="str">
        <f t="shared" si="9"/>
      </c>
      <c r="Y129" s="168" t="str">
        <f>IF(ISBLANK(Table123[[#This Row],[Odds Spread]]), "",O129+IF(S129&lt;0, (O129/(S129/-100)), O129*(S129/100)))</f>
      </c>
      <c r="Z129" s="168" t="str">
        <f t="shared" si="10"/>
      </c>
      <c r="AA129" s="68" t="n">
        <f t="shared" si="11"/>
        <v>0</v>
      </c>
      <c r="AB129" s="68" t="n">
        <f t="shared" si="12"/>
        <v>0</v>
      </c>
      <c r="AC129" s="170" t="e">
        <f>IF('Prediction Log'!#REF!="Y", "W", IF('Prediction Log'!#REF!="N","L",""))</f>
        <v>#REF!</v>
      </c>
      <c r="AD129" s="171" t="e">
        <f>IF('Prediction Log'!#REF!="Y", "W", IF('Prediction Log'!#REF!="N","L",""))</f>
        <v>#REF!</v>
      </c>
      <c r="AE129" s="172" t="str">
        <f>IF(ISBLANK(Table123[[#This Row],[Odds Side - Difference Model]]), "",IF(AC129="W", W129, IF(AC129="L",-N129, "")))</f>
      </c>
      <c r="AF129" s="173" t="str">
        <f>IFERROR((IF(ISERR(Table123[[#This Row],[Potential Payout Side - Win Probability Model]]), "",IF(AD129="W", X129, IF(AD129="L",-N129, "")))), "")</f>
      </c>
      <c r="AG129" s="170" t="e">
        <f>IF('Prediction Log'!#REF!="Y", "W", IF('Prediction Log'!#REF!="N", "L", ""))</f>
        <v>#REF!</v>
      </c>
      <c r="AH129" s="172" t="str">
        <f>IF(ISBLANK(Table123[[#This Row],[Odds Spread]]), "",IF(AG129="W", Z129, IF(AG129="L",-O129, "")))</f>
      </c>
      <c r="AI129" s="184"/>
      <c r="AJ129" s="183" t="str">
        <f t="shared" si="13"/>
      </c>
      <c r="AK1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0">
      <c r="A130" s="65" t="e">
        <f>Games!#REF!</f>
        <v>#REF!</v>
      </c>
      <c r="B130" s="65" t="e">
        <f>IF('Prediction Log'!#REF!=0, "",'Prediction Log'!#REF!)</f>
        <v>#REF!</v>
      </c>
      <c r="C130" s="65" t="e">
        <f>IF('Prediction Log'!#REF!=0, "",'Prediction Log'!#REF!)</f>
        <v>#REF!</v>
      </c>
      <c r="D130" s="65" t="e">
        <f>IF('Prediction Log'!#REF!=0, "",'Prediction Log'!#REF!)</f>
        <v>#REF!</v>
      </c>
      <c r="E130" s="65" t="e">
        <f>IF('Prediction Log'!#REF!=0, "",'Prediction Log'!#REF!)</f>
        <v>#REF!</v>
      </c>
      <c r="F130" s="65" t="e">
        <f>IF('Prediction Log'!#REF!=0, "",'Prediction Log'!#REF!)</f>
        <v>#REF!</v>
      </c>
      <c r="G130" s="64" t="e">
        <f>IF(ISBLANK(Games!#REF!), "",'Prediction Log'!#REF!)</f>
        <v>#REF!</v>
      </c>
      <c r="H130" s="66" t="e">
        <f>'Prediction Log'!#REF!</f>
        <v>#REF!</v>
      </c>
      <c r="I130" s="65" t="e">
        <f>IF(ISBLANK(Games!#REF!), "",IF(AND(Games!#REF!="",Games!#REF!=""),"",IF(ISTEXT(Games!#REF!), "Side",Games!#REF!)))</f>
        <v>#REF!</v>
      </c>
      <c r="J130" s="65" t="e">
        <f>IF(ISBLANK(Games!#REF!), "",IF(Games!#REF!="Y", Games!#REF!, Games!#REF!))</f>
        <v>#REF!</v>
      </c>
      <c r="K130" s="65" t="e">
        <f>Games!#REF!</f>
        <v>#REF!</v>
      </c>
      <c r="L130" s="65" t="e">
        <f>IF(ISBLANK(Games!#REF!), "",Games!#REF!)</f>
        <v>#REF!</v>
      </c>
      <c r="M130" s="65"/>
      <c r="N130" s="167" t="str">
        <f>IF(ISBLANK(Table123[[#This Row],[Odds Side - Difference Model]]), "", 1)</f>
      </c>
      <c r="O130" s="167" t="str">
        <f>IF(ISBLANK(Table123[[#This Row],[Odds Spread]]), "", 1)</f>
      </c>
      <c r="P130" s="67"/>
      <c r="Q130" s="67"/>
      <c r="R1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0" s="67"/>
      <c r="T130" s="67"/>
      <c r="U130" s="168" t="str">
        <f>IF(ISBLANK(Table123[[#This Row],[Odds Side - Difference Model]]), "",N130+IF(Q130&lt;0, (N130/(Q130/-100)), N130*(Q130/100)))</f>
      </c>
      <c r="V130" s="169" t="str">
        <f>IFERROR(IF(ISBLANK(Table123[[#This Row],[Odds Side - Win Probability Model]]), "",N130+IF(R130&lt;0, (N130/(R130/-100)), N130*(R130/100))),"")</f>
      </c>
      <c r="W130" s="168" t="str">
        <f t="shared" si="8"/>
      </c>
      <c r="X130" s="169" t="str">
        <f t="shared" si="9"/>
      </c>
      <c r="Y130" s="168" t="str">
        <f>IF(ISBLANK(Table123[[#This Row],[Odds Spread]]), "",O130+IF(S130&lt;0, (O130/(S130/-100)), O130*(S130/100)))</f>
      </c>
      <c r="Z130" s="168" t="str">
        <f t="shared" si="10"/>
      </c>
      <c r="AA130" s="68" t="n">
        <f t="shared" si="11"/>
        <v>0</v>
      </c>
      <c r="AB130" s="68" t="n">
        <f t="shared" si="12"/>
        <v>0</v>
      </c>
      <c r="AC130" s="170" t="e">
        <f>IF('Prediction Log'!#REF!="Y", "W", IF('Prediction Log'!#REF!="N","L",""))</f>
        <v>#REF!</v>
      </c>
      <c r="AD130" s="171" t="e">
        <f>IF('Prediction Log'!#REF!="Y", "W", IF('Prediction Log'!#REF!="N","L",""))</f>
        <v>#REF!</v>
      </c>
      <c r="AE130" s="172" t="str">
        <f>IF(ISBLANK(Table123[[#This Row],[Odds Side - Difference Model]]), "",IF(AC130="W", W130, IF(AC130="L",-N130, "")))</f>
      </c>
      <c r="AF130" s="173" t="str">
        <f>IFERROR((IF(ISERR(Table123[[#This Row],[Potential Payout Side - Win Probability Model]]), "",IF(AD130="W", X130, IF(AD130="L",-N130, "")))), "")</f>
      </c>
      <c r="AG130" s="170" t="e">
        <f>IF('Prediction Log'!#REF!="Y", "W", IF('Prediction Log'!#REF!="N", "L", ""))</f>
        <v>#REF!</v>
      </c>
      <c r="AH130" s="172" t="str">
        <f>IF(ISBLANK(Table123[[#This Row],[Odds Spread]]), "",IF(AG130="W", Z130, IF(AG130="L",-O130, "")))</f>
      </c>
      <c r="AI130" s="184"/>
      <c r="AJ130" s="183" t="str">
        <f t="shared" si="13"/>
      </c>
      <c r="AK1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1">
      <c r="A131" s="65" t="e">
        <f>Games!#REF!</f>
        <v>#REF!</v>
      </c>
      <c r="B131" s="65" t="e">
        <f>IF('Prediction Log'!#REF!=0, "",'Prediction Log'!#REF!)</f>
        <v>#REF!</v>
      </c>
      <c r="C131" s="65" t="e">
        <f>IF('Prediction Log'!#REF!=0, "",'Prediction Log'!#REF!)</f>
        <v>#REF!</v>
      </c>
      <c r="D131" s="65" t="e">
        <f>IF('Prediction Log'!#REF!=0, "",'Prediction Log'!#REF!)</f>
        <v>#REF!</v>
      </c>
      <c r="E131" s="65" t="e">
        <f>IF('Prediction Log'!#REF!=0, "",'Prediction Log'!#REF!)</f>
        <v>#REF!</v>
      </c>
      <c r="F131" s="65" t="e">
        <f>IF('Prediction Log'!#REF!=0, "",'Prediction Log'!#REF!)</f>
        <v>#REF!</v>
      </c>
      <c r="G131" s="64" t="e">
        <f>IF(ISBLANK(Games!#REF!), "",'Prediction Log'!#REF!)</f>
        <v>#REF!</v>
      </c>
      <c r="H131" s="66" t="e">
        <f>'Prediction Log'!#REF!</f>
        <v>#REF!</v>
      </c>
      <c r="I131" s="65" t="e">
        <f>IF(ISBLANK(Games!#REF!), "",IF(AND(Games!#REF!="",Games!#REF!=""),"",IF(ISTEXT(Games!#REF!), "Side",Games!#REF!)))</f>
        <v>#REF!</v>
      </c>
      <c r="J131" s="65" t="e">
        <f>IF(ISBLANK(Games!#REF!), "",IF(Games!#REF!="Y", Games!#REF!, Games!#REF!))</f>
        <v>#REF!</v>
      </c>
      <c r="K131" s="65" t="e">
        <f>Games!#REF!</f>
        <v>#REF!</v>
      </c>
      <c r="L131" s="65" t="e">
        <f>IF(ISBLANK(Games!#REF!), "",Games!#REF!)</f>
        <v>#REF!</v>
      </c>
      <c r="M131" s="65"/>
      <c r="N131" s="167" t="str">
        <f>IF(ISBLANK(Table123[[#This Row],[Odds Side - Difference Model]]), "", 1)</f>
      </c>
      <c r="O131" s="167" t="str">
        <f>IF(ISBLANK(Table123[[#This Row],[Odds Spread]]), "", 1)</f>
      </c>
      <c r="P131" s="67"/>
      <c r="Q131" s="67"/>
      <c r="R1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1" s="67"/>
      <c r="T131" s="67"/>
      <c r="U131" s="168" t="str">
        <f>IF(ISBLANK(Table123[[#This Row],[Odds Side - Difference Model]]), "",N131+IF(Q131&lt;0, (N131/(Q131/-100)), N131*(Q131/100)))</f>
      </c>
      <c r="V131" s="169" t="str">
        <f>IFERROR(IF(ISBLANK(Table123[[#This Row],[Odds Side - Win Probability Model]]), "",N131+IF(R131&lt;0, (N131/(R131/-100)), N131*(R131/100))),"")</f>
      </c>
      <c r="W131" s="168" t="str">
        <f t="shared" ref="W131:W194" si="14">IFERROR(U131-N131, "")</f>
      </c>
      <c r="X131" s="169" t="str">
        <f t="shared" ref="X131:X194" si="15">IFERROR(V131-N131, "")</f>
      </c>
      <c r="Y131" s="168" t="str">
        <f>IF(ISBLANK(Table123[[#This Row],[Odds Spread]]), "",O131+IF(S131&lt;0, (O131/(S131/-100)), O131*(S131/100)))</f>
      </c>
      <c r="Z131" s="168" t="str">
        <f t="shared" ref="Z131:Z194" si="16">IFERROR(Y131-O131, "")</f>
      </c>
      <c r="AA131" s="68" t="n">
        <f t="shared" ref="AA131:AA194" si="17">P131+IF(T131&lt;0, (P131/(T131/-100)), P131*(T131/100))</f>
        <v>0</v>
      </c>
      <c r="AB131" s="68" t="n">
        <f t="shared" ref="AB131:AB194" si="18">T131-P131</f>
        <v>0</v>
      </c>
      <c r="AC131" s="170" t="e">
        <f>IF('Prediction Log'!#REF!="Y", "W", IF('Prediction Log'!#REF!="N","L",""))</f>
        <v>#REF!</v>
      </c>
      <c r="AD131" s="171" t="e">
        <f>IF('Prediction Log'!#REF!="Y", "W", IF('Prediction Log'!#REF!="N","L",""))</f>
        <v>#REF!</v>
      </c>
      <c r="AE131" s="172" t="str">
        <f>IF(ISBLANK(Table123[[#This Row],[Odds Side - Difference Model]]), "",IF(AC131="W", W131, IF(AC131="L",-N131, "")))</f>
      </c>
      <c r="AF131" s="173" t="str">
        <f>IFERROR((IF(ISERR(Table123[[#This Row],[Potential Payout Side - Win Probability Model]]), "",IF(AD131="W", X131, IF(AD131="L",-N131, "")))), "")</f>
      </c>
      <c r="AG131" s="170" t="e">
        <f>IF('Prediction Log'!#REF!="Y", "W", IF('Prediction Log'!#REF!="N", "L", ""))</f>
        <v>#REF!</v>
      </c>
      <c r="AH131" s="172" t="str">
        <f>IF(ISBLANK(Table123[[#This Row],[Odds Spread]]), "",IF(AG131="W", Z131, IF(AG131="L",-O131, "")))</f>
      </c>
      <c r="AI131" s="184"/>
      <c r="AJ131" s="183" t="str">
        <f t="shared" ref="AJ131:AJ194" si="19">IF(AI131="W", AB131, IF(AI131="L",-S131, ""))</f>
      </c>
      <c r="AK1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2">
      <c r="A132" s="65" t="e">
        <f>Games!#REF!</f>
        <v>#REF!</v>
      </c>
      <c r="B132" s="65" t="e">
        <f>IF('Prediction Log'!#REF!=0, "",'Prediction Log'!#REF!)</f>
        <v>#REF!</v>
      </c>
      <c r="C132" s="65" t="e">
        <f>IF('Prediction Log'!#REF!=0, "",'Prediction Log'!#REF!)</f>
        <v>#REF!</v>
      </c>
      <c r="D132" s="65" t="e">
        <f>IF('Prediction Log'!#REF!=0, "",'Prediction Log'!#REF!)</f>
        <v>#REF!</v>
      </c>
      <c r="E132" s="65" t="e">
        <f>IF('Prediction Log'!#REF!=0, "",'Prediction Log'!#REF!)</f>
        <v>#REF!</v>
      </c>
      <c r="F132" s="65" t="e">
        <f>IF('Prediction Log'!#REF!=0, "",'Prediction Log'!#REF!)</f>
        <v>#REF!</v>
      </c>
      <c r="G132" s="64" t="e">
        <f>IF(ISBLANK(Games!#REF!), "",'Prediction Log'!#REF!)</f>
        <v>#REF!</v>
      </c>
      <c r="H132" s="66" t="e">
        <f>'Prediction Log'!#REF!</f>
        <v>#REF!</v>
      </c>
      <c r="I132" s="65" t="e">
        <f>IF(ISBLANK(Games!#REF!), "",IF(AND(Games!#REF!="",Games!#REF!=""),"",IF(ISTEXT(Games!#REF!), "Side",Games!#REF!)))</f>
        <v>#REF!</v>
      </c>
      <c r="J132" s="65" t="e">
        <f>IF(ISBLANK(Games!#REF!), "",IF(Games!#REF!="Y", Games!#REF!, Games!#REF!))</f>
        <v>#REF!</v>
      </c>
      <c r="K132" s="65" t="e">
        <f>Games!#REF!</f>
        <v>#REF!</v>
      </c>
      <c r="L132" s="65" t="e">
        <f>IF(ISBLANK(Games!#REF!), "",Games!#REF!)</f>
        <v>#REF!</v>
      </c>
      <c r="M132" s="65"/>
      <c r="N132" s="167" t="str">
        <f>IF(ISBLANK(Table123[[#This Row],[Odds Side - Difference Model]]), "", 1)</f>
      </c>
      <c r="O132" s="167" t="str">
        <f>IF(ISBLANK(Table123[[#This Row],[Odds Spread]]), "", 1)</f>
      </c>
      <c r="P132" s="67"/>
      <c r="Q132" s="67"/>
      <c r="R1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2" s="67"/>
      <c r="T132" s="67"/>
      <c r="U132" s="168" t="str">
        <f>IF(ISBLANK(Table123[[#This Row],[Odds Side - Difference Model]]), "",N132+IF(Q132&lt;0, (N132/(Q132/-100)), N132*(Q132/100)))</f>
      </c>
      <c r="V132" s="169" t="str">
        <f>IFERROR(IF(ISBLANK(Table123[[#This Row],[Odds Side - Win Probability Model]]), "",N132+IF(R132&lt;0, (N132/(R132/-100)), N132*(R132/100))),"")</f>
      </c>
      <c r="W132" s="168" t="str">
        <f t="shared" si="14"/>
      </c>
      <c r="X132" s="169" t="str">
        <f t="shared" si="15"/>
      </c>
      <c r="Y132" s="168" t="str">
        <f>IF(ISBLANK(Table123[[#This Row],[Odds Spread]]), "",O132+IF(S132&lt;0, (O132/(S132/-100)), O132*(S132/100)))</f>
      </c>
      <c r="Z132" s="168" t="str">
        <f t="shared" si="16"/>
      </c>
      <c r="AA132" s="68" t="n">
        <f t="shared" si="17"/>
        <v>0</v>
      </c>
      <c r="AB132" s="68" t="n">
        <f t="shared" si="18"/>
        <v>0</v>
      </c>
      <c r="AC132" s="170" t="e">
        <f>IF('Prediction Log'!#REF!="Y", "W", IF('Prediction Log'!#REF!="N","L",""))</f>
        <v>#REF!</v>
      </c>
      <c r="AD132" s="171" t="e">
        <f>IF('Prediction Log'!#REF!="Y", "W", IF('Prediction Log'!#REF!="N","L",""))</f>
        <v>#REF!</v>
      </c>
      <c r="AE132" s="172" t="str">
        <f>IF(ISBLANK(Table123[[#This Row],[Odds Side - Difference Model]]), "",IF(AC132="W", W132, IF(AC132="L",-N132, "")))</f>
      </c>
      <c r="AF132" s="173" t="str">
        <f>IFERROR((IF(ISERR(Table123[[#This Row],[Potential Payout Side - Win Probability Model]]), "",IF(AD132="W", X132, IF(AD132="L",-N132, "")))), "")</f>
      </c>
      <c r="AG132" s="170" t="e">
        <f>IF('Prediction Log'!#REF!="Y", "W", IF('Prediction Log'!#REF!="N", "L", ""))</f>
        <v>#REF!</v>
      </c>
      <c r="AH132" s="172" t="str">
        <f>IF(ISBLANK(Table123[[#This Row],[Odds Spread]]), "",IF(AG132="W", Z132, IF(AG132="L",-O132, "")))</f>
      </c>
      <c r="AI132" s="184"/>
      <c r="AJ132" s="183" t="str">
        <f t="shared" si="19"/>
      </c>
      <c r="AK1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3">
      <c r="A133" s="65" t="e">
        <f>Games!#REF!</f>
        <v>#REF!</v>
      </c>
      <c r="B133" s="65" t="e">
        <f>IF('Prediction Log'!#REF!=0, "",'Prediction Log'!#REF!)</f>
        <v>#REF!</v>
      </c>
      <c r="C133" s="65" t="e">
        <f>IF('Prediction Log'!#REF!=0, "",'Prediction Log'!#REF!)</f>
        <v>#REF!</v>
      </c>
      <c r="D133" s="65" t="e">
        <f>IF('Prediction Log'!#REF!=0, "",'Prediction Log'!#REF!)</f>
        <v>#REF!</v>
      </c>
      <c r="E133" s="65" t="e">
        <f>IF('Prediction Log'!#REF!=0, "",'Prediction Log'!#REF!)</f>
        <v>#REF!</v>
      </c>
      <c r="F133" s="65" t="e">
        <f>IF('Prediction Log'!#REF!=0, "",'Prediction Log'!#REF!)</f>
        <v>#REF!</v>
      </c>
      <c r="G133" s="64" t="e">
        <f>IF(ISBLANK(Games!#REF!), "",'Prediction Log'!#REF!)</f>
        <v>#REF!</v>
      </c>
      <c r="H133" s="66" t="e">
        <f>'Prediction Log'!#REF!</f>
        <v>#REF!</v>
      </c>
      <c r="I133" s="65" t="e">
        <f>IF(ISBLANK(Games!#REF!), "",IF(AND(Games!#REF!="",Games!#REF!=""),"",IF(ISTEXT(Games!#REF!), "Side",Games!#REF!)))</f>
        <v>#REF!</v>
      </c>
      <c r="J133" s="65" t="e">
        <f>IF(ISBLANK(Games!#REF!), "",IF(Games!#REF!="Y", Games!#REF!, Games!#REF!))</f>
        <v>#REF!</v>
      </c>
      <c r="K133" s="65" t="e">
        <f>Games!#REF!</f>
        <v>#REF!</v>
      </c>
      <c r="L133" s="65" t="e">
        <f>IF(ISBLANK(Games!#REF!), "",Games!#REF!)</f>
        <v>#REF!</v>
      </c>
      <c r="M133" s="65"/>
      <c r="N133" s="167" t="str">
        <f>IF(ISBLANK(Table123[[#This Row],[Odds Side - Difference Model]]), "", 1)</f>
      </c>
      <c r="O133" s="167" t="str">
        <f>IF(ISBLANK(Table123[[#This Row],[Odds Spread]]), "", 1)</f>
      </c>
      <c r="P133" s="67"/>
      <c r="Q133" s="67"/>
      <c r="R1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3" s="67"/>
      <c r="T133" s="67"/>
      <c r="U133" s="168" t="str">
        <f>IF(ISBLANK(Table123[[#This Row],[Odds Side - Difference Model]]), "",N133+IF(Q133&lt;0, (N133/(Q133/-100)), N133*(Q133/100)))</f>
      </c>
      <c r="V133" s="169" t="str">
        <f>IFERROR(IF(ISBLANK(Table123[[#This Row],[Odds Side - Win Probability Model]]), "",N133+IF(R133&lt;0, (N133/(R133/-100)), N133*(R133/100))),"")</f>
      </c>
      <c r="W133" s="168" t="str">
        <f t="shared" si="14"/>
      </c>
      <c r="X133" s="169" t="str">
        <f t="shared" si="15"/>
      </c>
      <c r="Y133" s="168" t="str">
        <f>IF(ISBLANK(Table123[[#This Row],[Odds Spread]]), "",O133+IF(S133&lt;0, (O133/(S133/-100)), O133*(S133/100)))</f>
      </c>
      <c r="Z133" s="168" t="str">
        <f t="shared" si="16"/>
      </c>
      <c r="AA133" s="68" t="n">
        <f t="shared" si="17"/>
        <v>0</v>
      </c>
      <c r="AB133" s="68" t="n">
        <f t="shared" si="18"/>
        <v>0</v>
      </c>
      <c r="AC133" s="170" t="e">
        <f>IF('Prediction Log'!#REF!="Y", "W", IF('Prediction Log'!#REF!="N","L",""))</f>
        <v>#REF!</v>
      </c>
      <c r="AD133" s="171" t="e">
        <f>IF('Prediction Log'!#REF!="Y", "W", IF('Prediction Log'!#REF!="N","L",""))</f>
        <v>#REF!</v>
      </c>
      <c r="AE133" s="172" t="str">
        <f>IF(ISBLANK(Table123[[#This Row],[Odds Side - Difference Model]]), "",IF(AC133="W", W133, IF(AC133="L",-N133, "")))</f>
      </c>
      <c r="AF133" s="173" t="str">
        <f>IFERROR((IF(ISERR(Table123[[#This Row],[Potential Payout Side - Win Probability Model]]), "",IF(AD133="W", X133, IF(AD133="L",-N133, "")))), "")</f>
      </c>
      <c r="AG133" s="170" t="e">
        <f>IF('Prediction Log'!#REF!="Y", "W", IF('Prediction Log'!#REF!="N", "L", ""))</f>
        <v>#REF!</v>
      </c>
      <c r="AH133" s="172" t="str">
        <f>IF(ISBLANK(Table123[[#This Row],[Odds Spread]]), "",IF(AG133="W", Z133, IF(AG133="L",-O133, "")))</f>
      </c>
      <c r="AI133" s="184"/>
      <c r="AJ133" s="183" t="str">
        <f t="shared" si="19"/>
      </c>
      <c r="AK1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4">
      <c r="A134" s="65" t="e">
        <f>Games!#REF!</f>
        <v>#REF!</v>
      </c>
      <c r="B134" s="65" t="e">
        <f>IF('Prediction Log'!#REF!=0, "",'Prediction Log'!#REF!)</f>
        <v>#REF!</v>
      </c>
      <c r="C134" s="65" t="e">
        <f>IF('Prediction Log'!#REF!=0, "",'Prediction Log'!#REF!)</f>
        <v>#REF!</v>
      </c>
      <c r="D134" s="65" t="e">
        <f>IF('Prediction Log'!#REF!=0, "",'Prediction Log'!#REF!)</f>
        <v>#REF!</v>
      </c>
      <c r="E134" s="65" t="e">
        <f>IF('Prediction Log'!#REF!=0, "",'Prediction Log'!#REF!)</f>
        <v>#REF!</v>
      </c>
      <c r="F134" s="65" t="e">
        <f>IF('Prediction Log'!#REF!=0, "",'Prediction Log'!#REF!)</f>
        <v>#REF!</v>
      </c>
      <c r="G134" s="64" t="e">
        <f>IF(ISBLANK(Games!#REF!), "",'Prediction Log'!#REF!)</f>
        <v>#REF!</v>
      </c>
      <c r="H134" s="66" t="e">
        <f>'Prediction Log'!#REF!</f>
        <v>#REF!</v>
      </c>
      <c r="I134" s="65" t="e">
        <f>IF(ISBLANK(Games!#REF!), "",IF(AND(Games!#REF!="",Games!#REF!=""),"",IF(ISTEXT(Games!#REF!), "Side",Games!#REF!)))</f>
        <v>#REF!</v>
      </c>
      <c r="J134" s="65" t="e">
        <f>IF(ISBLANK(Games!#REF!), "",IF(Games!#REF!="Y", Games!#REF!, Games!#REF!))</f>
        <v>#REF!</v>
      </c>
      <c r="K134" s="65" t="e">
        <f>Games!#REF!</f>
        <v>#REF!</v>
      </c>
      <c r="L134" s="65" t="e">
        <f>IF(ISBLANK(Games!#REF!), "",Games!#REF!)</f>
        <v>#REF!</v>
      </c>
      <c r="M134" s="65"/>
      <c r="N134" s="167" t="str">
        <f>IF(ISBLANK(Table123[[#This Row],[Odds Side - Difference Model]]), "", 1)</f>
      </c>
      <c r="O134" s="167" t="str">
        <f>IF(ISBLANK(Table123[[#This Row],[Odds Spread]]), "", 1)</f>
      </c>
      <c r="P134" s="67"/>
      <c r="Q134" s="67"/>
      <c r="R1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4" s="67"/>
      <c r="T134" s="67"/>
      <c r="U134" s="168" t="str">
        <f>IF(ISBLANK(Table123[[#This Row],[Odds Side - Difference Model]]), "",N134+IF(Q134&lt;0, (N134/(Q134/-100)), N134*(Q134/100)))</f>
      </c>
      <c r="V134" s="169" t="str">
        <f>IFERROR(IF(ISBLANK(Table123[[#This Row],[Odds Side - Win Probability Model]]), "",N134+IF(R134&lt;0, (N134/(R134/-100)), N134*(R134/100))),"")</f>
      </c>
      <c r="W134" s="168" t="str">
        <f t="shared" si="14"/>
      </c>
      <c r="X134" s="169" t="str">
        <f t="shared" si="15"/>
      </c>
      <c r="Y134" s="168" t="str">
        <f>IF(ISBLANK(Table123[[#This Row],[Odds Spread]]), "",O134+IF(S134&lt;0, (O134/(S134/-100)), O134*(S134/100)))</f>
      </c>
      <c r="Z134" s="168" t="str">
        <f t="shared" si="16"/>
      </c>
      <c r="AA134" s="68" t="n">
        <f t="shared" si="17"/>
        <v>0</v>
      </c>
      <c r="AB134" s="68" t="n">
        <f t="shared" si="18"/>
        <v>0</v>
      </c>
      <c r="AC134" s="170" t="e">
        <f>IF('Prediction Log'!#REF!="Y", "W", IF('Prediction Log'!#REF!="N","L",""))</f>
        <v>#REF!</v>
      </c>
      <c r="AD134" s="171" t="e">
        <f>IF('Prediction Log'!#REF!="Y", "W", IF('Prediction Log'!#REF!="N","L",""))</f>
        <v>#REF!</v>
      </c>
      <c r="AE134" s="172" t="str">
        <f>IF(ISBLANK(Table123[[#This Row],[Odds Side - Difference Model]]), "",IF(AC134="W", W134, IF(AC134="L",-N134, "")))</f>
      </c>
      <c r="AF134" s="173" t="str">
        <f>IFERROR((IF(ISERR(Table123[[#This Row],[Potential Payout Side - Win Probability Model]]), "",IF(AD134="W", X134, IF(AD134="L",-N134, "")))), "")</f>
      </c>
      <c r="AG134" s="170" t="e">
        <f>IF('Prediction Log'!#REF!="Y", "W", IF('Prediction Log'!#REF!="N", "L", ""))</f>
        <v>#REF!</v>
      </c>
      <c r="AH134" s="172" t="str">
        <f>IF(ISBLANK(Table123[[#This Row],[Odds Spread]]), "",IF(AG134="W", Z134, IF(AG134="L",-O134, "")))</f>
      </c>
      <c r="AI134" s="184"/>
      <c r="AJ134" s="183" t="str">
        <f t="shared" si="19"/>
      </c>
      <c r="AK1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5">
      <c r="A135" s="65" t="e">
        <f>Games!#REF!</f>
        <v>#REF!</v>
      </c>
      <c r="B135" s="65" t="e">
        <f>IF('Prediction Log'!#REF!=0, "",'Prediction Log'!#REF!)</f>
        <v>#REF!</v>
      </c>
      <c r="C135" s="65" t="e">
        <f>IF('Prediction Log'!#REF!=0, "",'Prediction Log'!#REF!)</f>
        <v>#REF!</v>
      </c>
      <c r="D135" s="65" t="e">
        <f>IF('Prediction Log'!#REF!=0, "",'Prediction Log'!#REF!)</f>
        <v>#REF!</v>
      </c>
      <c r="E135" s="65" t="e">
        <f>IF('Prediction Log'!#REF!=0, "",'Prediction Log'!#REF!)</f>
        <v>#REF!</v>
      </c>
      <c r="F135" s="65" t="e">
        <f>IF('Prediction Log'!#REF!=0, "",'Prediction Log'!#REF!)</f>
        <v>#REF!</v>
      </c>
      <c r="G135" s="64" t="e">
        <f>IF(ISBLANK(Games!#REF!), "",'Prediction Log'!#REF!)</f>
        <v>#REF!</v>
      </c>
      <c r="H135" s="66" t="e">
        <f>'Prediction Log'!#REF!</f>
        <v>#REF!</v>
      </c>
      <c r="I135" s="65" t="e">
        <f>IF(ISBLANK(Games!#REF!), "",IF(AND(Games!#REF!="",Games!#REF!=""),"",IF(ISTEXT(Games!#REF!), "Side",Games!#REF!)))</f>
        <v>#REF!</v>
      </c>
      <c r="J135" s="65" t="e">
        <f>IF(ISBLANK(Games!#REF!), "",IF(Games!#REF!="Y", Games!#REF!, Games!#REF!))</f>
        <v>#REF!</v>
      </c>
      <c r="K135" s="65" t="e">
        <f>Games!#REF!</f>
        <v>#REF!</v>
      </c>
      <c r="L135" s="65" t="e">
        <f>IF(ISBLANK(Games!#REF!), "",Games!#REF!)</f>
        <v>#REF!</v>
      </c>
      <c r="M135" s="65"/>
      <c r="N135" s="167" t="str">
        <f>IF(ISBLANK(Table123[[#This Row],[Odds Side - Difference Model]]), "", 1)</f>
      </c>
      <c r="O135" s="167" t="str">
        <f>IF(ISBLANK(Table123[[#This Row],[Odds Spread]]), "", 1)</f>
      </c>
      <c r="P135" s="67"/>
      <c r="Q135" s="67"/>
      <c r="R1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5" s="67"/>
      <c r="T135" s="67"/>
      <c r="U135" s="168" t="str">
        <f>IF(ISBLANK(Table123[[#This Row],[Odds Side - Difference Model]]), "",N135+IF(Q135&lt;0, (N135/(Q135/-100)), N135*(Q135/100)))</f>
      </c>
      <c r="V135" s="169" t="str">
        <f>IFERROR(IF(ISBLANK(Table123[[#This Row],[Odds Side - Win Probability Model]]), "",N135+IF(R135&lt;0, (N135/(R135/-100)), N135*(R135/100))),"")</f>
      </c>
      <c r="W135" s="168" t="str">
        <f t="shared" si="14"/>
      </c>
      <c r="X135" s="169" t="str">
        <f t="shared" si="15"/>
      </c>
      <c r="Y135" s="168" t="str">
        <f>IF(ISBLANK(Table123[[#This Row],[Odds Spread]]), "",O135+IF(S135&lt;0, (O135/(S135/-100)), O135*(S135/100)))</f>
      </c>
      <c r="Z135" s="168" t="str">
        <f t="shared" si="16"/>
      </c>
      <c r="AA135" s="68" t="n">
        <f t="shared" si="17"/>
        <v>0</v>
      </c>
      <c r="AB135" s="68" t="n">
        <f t="shared" si="18"/>
        <v>0</v>
      </c>
      <c r="AC135" s="170" t="e">
        <f>IF('Prediction Log'!#REF!="Y", "W", IF('Prediction Log'!#REF!="N","L",""))</f>
        <v>#REF!</v>
      </c>
      <c r="AD135" s="171" t="e">
        <f>IF('Prediction Log'!#REF!="Y", "W", IF('Prediction Log'!#REF!="N","L",""))</f>
        <v>#REF!</v>
      </c>
      <c r="AE135" s="172" t="str">
        <f>IF(ISBLANK(Table123[[#This Row],[Odds Side - Difference Model]]), "",IF(AC135="W", W135, IF(AC135="L",-N135, "")))</f>
      </c>
      <c r="AF135" s="173" t="str">
        <f>IFERROR((IF(ISERR(Table123[[#This Row],[Potential Payout Side - Win Probability Model]]), "",IF(AD135="W", X135, IF(AD135="L",-N135, "")))), "")</f>
      </c>
      <c r="AG135" s="170" t="e">
        <f>IF('Prediction Log'!#REF!="Y", "W", IF('Prediction Log'!#REF!="N", "L", ""))</f>
        <v>#REF!</v>
      </c>
      <c r="AH135" s="172" t="str">
        <f>IF(ISBLANK(Table123[[#This Row],[Odds Spread]]), "",IF(AG135="W", Z135, IF(AG135="L",-O135, "")))</f>
      </c>
      <c r="AI135" s="184"/>
      <c r="AJ135" s="183" t="str">
        <f t="shared" si="19"/>
      </c>
      <c r="AK1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6">
      <c r="A136" s="65" t="e">
        <f>Games!#REF!</f>
        <v>#REF!</v>
      </c>
      <c r="B136" s="65" t="e">
        <f>IF('Prediction Log'!#REF!=0, "",'Prediction Log'!#REF!)</f>
        <v>#REF!</v>
      </c>
      <c r="C136" s="65" t="e">
        <f>IF('Prediction Log'!#REF!=0, "",'Prediction Log'!#REF!)</f>
        <v>#REF!</v>
      </c>
      <c r="D136" s="65" t="e">
        <f>IF('Prediction Log'!#REF!=0, "",'Prediction Log'!#REF!)</f>
        <v>#REF!</v>
      </c>
      <c r="E136" s="65" t="e">
        <f>IF('Prediction Log'!#REF!=0, "",'Prediction Log'!#REF!)</f>
        <v>#REF!</v>
      </c>
      <c r="F136" s="65" t="e">
        <f>IF('Prediction Log'!#REF!=0, "",'Prediction Log'!#REF!)</f>
        <v>#REF!</v>
      </c>
      <c r="G136" s="64" t="e">
        <f>IF(ISBLANK(Games!#REF!), "",'Prediction Log'!#REF!)</f>
        <v>#REF!</v>
      </c>
      <c r="H136" s="66" t="e">
        <f>'Prediction Log'!#REF!</f>
        <v>#REF!</v>
      </c>
      <c r="I136" s="65" t="e">
        <f>IF(ISBLANK(Games!#REF!), "",IF(AND(Games!#REF!="",Games!#REF!=""),"",IF(ISTEXT(Games!#REF!), "Side",Games!#REF!)))</f>
        <v>#REF!</v>
      </c>
      <c r="J136" s="65" t="e">
        <f>IF(ISBLANK(Games!#REF!), "",IF(Games!#REF!="Y", Games!#REF!, Games!#REF!))</f>
        <v>#REF!</v>
      </c>
      <c r="K136" s="65" t="e">
        <f>Games!#REF!</f>
        <v>#REF!</v>
      </c>
      <c r="L136" s="65" t="e">
        <f>IF(ISBLANK(Games!#REF!), "",Games!#REF!)</f>
        <v>#REF!</v>
      </c>
      <c r="M136" s="65"/>
      <c r="N136" s="167" t="str">
        <f>IF(ISBLANK(Table123[[#This Row],[Odds Side - Difference Model]]), "", 1)</f>
      </c>
      <c r="O136" s="167" t="str">
        <f>IF(ISBLANK(Table123[[#This Row],[Odds Spread]]), "", 1)</f>
      </c>
      <c r="P136" s="67"/>
      <c r="Q136" s="67"/>
      <c r="R1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6" s="67"/>
      <c r="T136" s="67"/>
      <c r="U136" s="168" t="str">
        <f>IF(ISBLANK(Table123[[#This Row],[Odds Side - Difference Model]]), "",N136+IF(Q136&lt;0, (N136/(Q136/-100)), N136*(Q136/100)))</f>
      </c>
      <c r="V136" s="169" t="str">
        <f>IFERROR(IF(ISBLANK(Table123[[#This Row],[Odds Side - Win Probability Model]]), "",N136+IF(R136&lt;0, (N136/(R136/-100)), N136*(R136/100))),"")</f>
      </c>
      <c r="W136" s="168" t="str">
        <f t="shared" si="14"/>
      </c>
      <c r="X136" s="169" t="str">
        <f t="shared" si="15"/>
      </c>
      <c r="Y136" s="168" t="str">
        <f>IF(ISBLANK(Table123[[#This Row],[Odds Spread]]), "",O136+IF(S136&lt;0, (O136/(S136/-100)), O136*(S136/100)))</f>
      </c>
      <c r="Z136" s="168" t="str">
        <f t="shared" si="16"/>
      </c>
      <c r="AA136" s="68" t="n">
        <f t="shared" si="17"/>
        <v>0</v>
      </c>
      <c r="AB136" s="68" t="n">
        <f t="shared" si="18"/>
        <v>0</v>
      </c>
      <c r="AC136" s="170" t="e">
        <f>IF('Prediction Log'!#REF!="Y", "W", IF('Prediction Log'!#REF!="N","L",""))</f>
        <v>#REF!</v>
      </c>
      <c r="AD136" s="171" t="e">
        <f>IF('Prediction Log'!#REF!="Y", "W", IF('Prediction Log'!#REF!="N","L",""))</f>
        <v>#REF!</v>
      </c>
      <c r="AE136" s="172" t="str">
        <f>IF(ISBLANK(Table123[[#This Row],[Odds Side - Difference Model]]), "",IF(AC136="W", W136, IF(AC136="L",-N136, "")))</f>
      </c>
      <c r="AF136" s="173" t="str">
        <f>IFERROR((IF(ISERR(Table123[[#This Row],[Potential Payout Side - Win Probability Model]]), "",IF(AD136="W", X136, IF(AD136="L",-N136, "")))), "")</f>
      </c>
      <c r="AG136" s="170" t="e">
        <f>IF('Prediction Log'!#REF!="Y", "W", IF('Prediction Log'!#REF!="N", "L", ""))</f>
        <v>#REF!</v>
      </c>
      <c r="AH136" s="172" t="str">
        <f>IF(ISBLANK(Table123[[#This Row],[Odds Spread]]), "",IF(AG136="W", Z136, IF(AG136="L",-O136, "")))</f>
      </c>
      <c r="AI136" s="184"/>
      <c r="AJ136" s="183" t="str">
        <f t="shared" si="19"/>
      </c>
      <c r="AK1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7">
      <c r="A137" s="65" t="e">
        <f>Games!#REF!</f>
        <v>#REF!</v>
      </c>
      <c r="B137" s="65" t="e">
        <f>IF('Prediction Log'!#REF!=0, "",'Prediction Log'!#REF!)</f>
        <v>#REF!</v>
      </c>
      <c r="C137" s="65" t="e">
        <f>IF('Prediction Log'!#REF!=0, "",'Prediction Log'!#REF!)</f>
        <v>#REF!</v>
      </c>
      <c r="D137" s="65" t="e">
        <f>IF('Prediction Log'!#REF!=0, "",'Prediction Log'!#REF!)</f>
        <v>#REF!</v>
      </c>
      <c r="E137" s="65" t="e">
        <f>IF('Prediction Log'!#REF!=0, "",'Prediction Log'!#REF!)</f>
        <v>#REF!</v>
      </c>
      <c r="F137" s="65" t="e">
        <f>IF('Prediction Log'!#REF!=0, "",'Prediction Log'!#REF!)</f>
        <v>#REF!</v>
      </c>
      <c r="G137" s="64" t="e">
        <f>IF(ISBLANK(Games!#REF!), "",'Prediction Log'!#REF!)</f>
        <v>#REF!</v>
      </c>
      <c r="H137" s="66" t="e">
        <f>'Prediction Log'!#REF!</f>
        <v>#REF!</v>
      </c>
      <c r="I137" s="65" t="e">
        <f>IF(ISBLANK(Games!#REF!), "",IF(AND(Games!#REF!="",Games!#REF!=""),"",IF(ISTEXT(Games!#REF!), "Side",Games!#REF!)))</f>
        <v>#REF!</v>
      </c>
      <c r="J137" s="65" t="e">
        <f>IF(ISBLANK(Games!#REF!), "",IF(Games!#REF!="Y", Games!#REF!, Games!#REF!))</f>
        <v>#REF!</v>
      </c>
      <c r="K137" s="65" t="e">
        <f>Games!#REF!</f>
        <v>#REF!</v>
      </c>
      <c r="L137" s="65" t="e">
        <f>IF(ISBLANK(Games!#REF!), "",Games!#REF!)</f>
        <v>#REF!</v>
      </c>
      <c r="M137" s="65"/>
      <c r="N137" s="167" t="str">
        <f>IF(ISBLANK(Table123[[#This Row],[Odds Side - Difference Model]]), "", 1)</f>
      </c>
      <c r="O137" s="167" t="str">
        <f>IF(ISBLANK(Table123[[#This Row],[Odds Spread]]), "", 1)</f>
      </c>
      <c r="P137" s="67"/>
      <c r="Q137" s="67"/>
      <c r="R1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7" s="67"/>
      <c r="T137" s="67"/>
      <c r="U137" s="168" t="str">
        <f>IF(ISBLANK(Table123[[#This Row],[Odds Side - Difference Model]]), "",N137+IF(Q137&lt;0, (N137/(Q137/-100)), N137*(Q137/100)))</f>
      </c>
      <c r="V137" s="169" t="str">
        <f>IFERROR(IF(ISBLANK(Table123[[#This Row],[Odds Side - Win Probability Model]]), "",N137+IF(R137&lt;0, (N137/(R137/-100)), N137*(R137/100))),"")</f>
      </c>
      <c r="W137" s="168" t="str">
        <f t="shared" si="14"/>
      </c>
      <c r="X137" s="169" t="str">
        <f t="shared" si="15"/>
      </c>
      <c r="Y137" s="168" t="str">
        <f>IF(ISBLANK(Table123[[#This Row],[Odds Spread]]), "",O137+IF(S137&lt;0, (O137/(S137/-100)), O137*(S137/100)))</f>
      </c>
      <c r="Z137" s="168" t="str">
        <f t="shared" si="16"/>
      </c>
      <c r="AA137" s="68" t="n">
        <f t="shared" si="17"/>
        <v>0</v>
      </c>
      <c r="AB137" s="68" t="n">
        <f t="shared" si="18"/>
        <v>0</v>
      </c>
      <c r="AC137" s="170" t="e">
        <f>IF('Prediction Log'!#REF!="Y", "W", IF('Prediction Log'!#REF!="N","L",""))</f>
        <v>#REF!</v>
      </c>
      <c r="AD137" s="171" t="e">
        <f>IF('Prediction Log'!#REF!="Y", "W", IF('Prediction Log'!#REF!="N","L",""))</f>
        <v>#REF!</v>
      </c>
      <c r="AE137" s="172" t="str">
        <f>IF(ISBLANK(Table123[[#This Row],[Odds Side - Difference Model]]), "",IF(AC137="W", W137, IF(AC137="L",-N137, "")))</f>
      </c>
      <c r="AF137" s="173" t="str">
        <f>IFERROR((IF(ISERR(Table123[[#This Row],[Potential Payout Side - Win Probability Model]]), "",IF(AD137="W", X137, IF(AD137="L",-N137, "")))), "")</f>
      </c>
      <c r="AG137" s="170" t="e">
        <f>IF('Prediction Log'!#REF!="Y", "W", IF('Prediction Log'!#REF!="N", "L", ""))</f>
        <v>#REF!</v>
      </c>
      <c r="AH137" s="172" t="str">
        <f>IF(ISBLANK(Table123[[#This Row],[Odds Spread]]), "",IF(AG137="W", Z137, IF(AG137="L",-O137, "")))</f>
      </c>
      <c r="AI137" s="184"/>
      <c r="AJ137" s="183" t="str">
        <f t="shared" si="19"/>
      </c>
      <c r="AK1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8">
      <c r="A138" s="65" t="e">
        <f>Games!#REF!</f>
        <v>#REF!</v>
      </c>
      <c r="B138" s="65" t="e">
        <f>IF('Prediction Log'!#REF!=0, "",'Prediction Log'!#REF!)</f>
        <v>#REF!</v>
      </c>
      <c r="C138" s="65" t="e">
        <f>IF('Prediction Log'!#REF!=0, "",'Prediction Log'!#REF!)</f>
        <v>#REF!</v>
      </c>
      <c r="D138" s="65" t="e">
        <f>IF('Prediction Log'!#REF!=0, "",'Prediction Log'!#REF!)</f>
        <v>#REF!</v>
      </c>
      <c r="E138" s="65" t="e">
        <f>IF('Prediction Log'!#REF!=0, "",'Prediction Log'!#REF!)</f>
        <v>#REF!</v>
      </c>
      <c r="F138" s="65" t="e">
        <f>IF('Prediction Log'!#REF!=0, "",'Prediction Log'!#REF!)</f>
        <v>#REF!</v>
      </c>
      <c r="G138" s="64" t="e">
        <f>IF(ISBLANK(Games!#REF!), "",'Prediction Log'!#REF!)</f>
        <v>#REF!</v>
      </c>
      <c r="H138" s="66" t="e">
        <f>'Prediction Log'!#REF!</f>
        <v>#REF!</v>
      </c>
      <c r="I138" s="65" t="e">
        <f>IF(ISBLANK(Games!#REF!), "",IF(AND(Games!#REF!="",Games!#REF!=""),"",IF(ISTEXT(Games!#REF!), "Side",Games!#REF!)))</f>
        <v>#REF!</v>
      </c>
      <c r="J138" s="65" t="e">
        <f>IF(ISBLANK(Games!#REF!), "",IF(Games!#REF!="Y", Games!#REF!, Games!#REF!))</f>
        <v>#REF!</v>
      </c>
      <c r="K138" s="65" t="e">
        <f>Games!#REF!</f>
        <v>#REF!</v>
      </c>
      <c r="L138" s="65" t="e">
        <f>IF(ISBLANK(Games!#REF!), "",Games!#REF!)</f>
        <v>#REF!</v>
      </c>
      <c r="M138" s="65"/>
      <c r="N138" s="167" t="str">
        <f>IF(ISBLANK(Table123[[#This Row],[Odds Side - Difference Model]]), "", 1)</f>
      </c>
      <c r="O138" s="167" t="str">
        <f>IF(ISBLANK(Table123[[#This Row],[Odds Spread]]), "", 1)</f>
      </c>
      <c r="P138" s="67"/>
      <c r="Q138" s="67"/>
      <c r="R1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8" s="67"/>
      <c r="T138" s="67"/>
      <c r="U138" s="168" t="str">
        <f>IF(ISBLANK(Table123[[#This Row],[Odds Side - Difference Model]]), "",N138+IF(Q138&lt;0, (N138/(Q138/-100)), N138*(Q138/100)))</f>
      </c>
      <c r="V138" s="169" t="str">
        <f>IFERROR(IF(ISBLANK(Table123[[#This Row],[Odds Side - Win Probability Model]]), "",N138+IF(R138&lt;0, (N138/(R138/-100)), N138*(R138/100))),"")</f>
      </c>
      <c r="W138" s="168" t="str">
        <f t="shared" si="14"/>
      </c>
      <c r="X138" s="169" t="str">
        <f t="shared" si="15"/>
      </c>
      <c r="Y138" s="168" t="str">
        <f>IF(ISBLANK(Table123[[#This Row],[Odds Spread]]), "",O138+IF(S138&lt;0, (O138/(S138/-100)), O138*(S138/100)))</f>
      </c>
      <c r="Z138" s="168" t="str">
        <f t="shared" si="16"/>
      </c>
      <c r="AA138" s="68" t="n">
        <f t="shared" si="17"/>
        <v>0</v>
      </c>
      <c r="AB138" s="68" t="n">
        <f t="shared" si="18"/>
        <v>0</v>
      </c>
      <c r="AC138" s="170" t="e">
        <f>IF('Prediction Log'!#REF!="Y", "W", IF('Prediction Log'!#REF!="N","L",""))</f>
        <v>#REF!</v>
      </c>
      <c r="AD138" s="171" t="e">
        <f>IF('Prediction Log'!#REF!="Y", "W", IF('Prediction Log'!#REF!="N","L",""))</f>
        <v>#REF!</v>
      </c>
      <c r="AE138" s="172" t="str">
        <f>IF(ISBLANK(Table123[[#This Row],[Odds Side - Difference Model]]), "",IF(AC138="W", W138, IF(AC138="L",-N138, "")))</f>
      </c>
      <c r="AF138" s="173" t="str">
        <f>IFERROR((IF(ISERR(Table123[[#This Row],[Potential Payout Side - Win Probability Model]]), "",IF(AD138="W", X138, IF(AD138="L",-N138, "")))), "")</f>
      </c>
      <c r="AG138" s="170" t="e">
        <f>IF('Prediction Log'!#REF!="Y", "W", IF('Prediction Log'!#REF!="N", "L", ""))</f>
        <v>#REF!</v>
      </c>
      <c r="AH138" s="172" t="str">
        <f>IF(ISBLANK(Table123[[#This Row],[Odds Spread]]), "",IF(AG138="W", Z138, IF(AG138="L",-O138, "")))</f>
      </c>
      <c r="AI138" s="184"/>
      <c r="AJ138" s="183" t="str">
        <f t="shared" si="19"/>
      </c>
      <c r="AK1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9">
      <c r="A139" s="65" t="e">
        <f>Games!#REF!</f>
        <v>#REF!</v>
      </c>
      <c r="B139" s="65" t="e">
        <f>IF('Prediction Log'!#REF!=0, "",'Prediction Log'!#REF!)</f>
        <v>#REF!</v>
      </c>
      <c r="C139" s="65" t="e">
        <f>IF('Prediction Log'!#REF!=0, "",'Prediction Log'!#REF!)</f>
        <v>#REF!</v>
      </c>
      <c r="D139" s="65" t="e">
        <f>IF('Prediction Log'!#REF!=0, "",'Prediction Log'!#REF!)</f>
        <v>#REF!</v>
      </c>
      <c r="E139" s="65" t="e">
        <f>IF('Prediction Log'!#REF!=0, "",'Prediction Log'!#REF!)</f>
        <v>#REF!</v>
      </c>
      <c r="F139" s="65" t="e">
        <f>IF('Prediction Log'!#REF!=0, "",'Prediction Log'!#REF!)</f>
        <v>#REF!</v>
      </c>
      <c r="G139" s="64" t="e">
        <f>IF(ISBLANK(Games!#REF!), "",'Prediction Log'!#REF!)</f>
        <v>#REF!</v>
      </c>
      <c r="H139" s="66" t="e">
        <f>'Prediction Log'!#REF!</f>
        <v>#REF!</v>
      </c>
      <c r="I139" s="65" t="e">
        <f>IF(ISBLANK(Games!#REF!), "",IF(AND(Games!#REF!="",Games!#REF!=""),"",IF(ISTEXT(Games!#REF!), "Side",Games!#REF!)))</f>
        <v>#REF!</v>
      </c>
      <c r="J139" s="65" t="e">
        <f>IF(ISBLANK(Games!#REF!), "",IF(Games!#REF!="Y", Games!#REF!, Games!#REF!))</f>
        <v>#REF!</v>
      </c>
      <c r="K139" s="65" t="e">
        <f>Games!#REF!</f>
        <v>#REF!</v>
      </c>
      <c r="L139" s="65" t="e">
        <f>IF(ISBLANK(Games!#REF!), "",Games!#REF!)</f>
        <v>#REF!</v>
      </c>
      <c r="M139" s="65"/>
      <c r="N139" s="167" t="str">
        <f>IF(ISBLANK(Table123[[#This Row],[Odds Side - Difference Model]]), "", 1)</f>
      </c>
      <c r="O139" s="167" t="str">
        <f>IF(ISBLANK(Table123[[#This Row],[Odds Spread]]), "", 1)</f>
      </c>
      <c r="P139" s="67"/>
      <c r="Q139" s="67"/>
      <c r="R1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9" s="67"/>
      <c r="T139" s="67"/>
      <c r="U139" s="168" t="str">
        <f>IF(ISBLANK(Table123[[#This Row],[Odds Side - Difference Model]]), "",N139+IF(Q139&lt;0, (N139/(Q139/-100)), N139*(Q139/100)))</f>
      </c>
      <c r="V139" s="169" t="str">
        <f>IFERROR(IF(ISBLANK(Table123[[#This Row],[Odds Side - Win Probability Model]]), "",N139+IF(R139&lt;0, (N139/(R139/-100)), N139*(R139/100))),"")</f>
      </c>
      <c r="W139" s="168" t="str">
        <f t="shared" si="14"/>
      </c>
      <c r="X139" s="169" t="str">
        <f t="shared" si="15"/>
      </c>
      <c r="Y139" s="168" t="str">
        <f>IF(ISBLANK(Table123[[#This Row],[Odds Spread]]), "",O139+IF(S139&lt;0, (O139/(S139/-100)), O139*(S139/100)))</f>
      </c>
      <c r="Z139" s="168" t="str">
        <f t="shared" si="16"/>
      </c>
      <c r="AA139" s="68" t="n">
        <f t="shared" si="17"/>
        <v>0</v>
      </c>
      <c r="AB139" s="68" t="n">
        <f t="shared" si="18"/>
        <v>0</v>
      </c>
      <c r="AC139" s="170" t="e">
        <f>IF('Prediction Log'!#REF!="Y", "W", IF('Prediction Log'!#REF!="N","L",""))</f>
        <v>#REF!</v>
      </c>
      <c r="AD139" s="171" t="e">
        <f>IF('Prediction Log'!#REF!="Y", "W", IF('Prediction Log'!#REF!="N","L",""))</f>
        <v>#REF!</v>
      </c>
      <c r="AE139" s="172" t="str">
        <f>IF(ISBLANK(Table123[[#This Row],[Odds Side - Difference Model]]), "",IF(AC139="W", W139, IF(AC139="L",-N139, "")))</f>
      </c>
      <c r="AF139" s="173" t="str">
        <f>IFERROR((IF(ISERR(Table123[[#This Row],[Potential Payout Side - Win Probability Model]]), "",IF(AD139="W", X139, IF(AD139="L",-N139, "")))), "")</f>
      </c>
      <c r="AG139" s="170" t="e">
        <f>IF('Prediction Log'!#REF!="Y", "W", IF('Prediction Log'!#REF!="N", "L", ""))</f>
        <v>#REF!</v>
      </c>
      <c r="AH139" s="172" t="str">
        <f>IF(ISBLANK(Table123[[#This Row],[Odds Spread]]), "",IF(AG139="W", Z139, IF(AG139="L",-O139, "")))</f>
      </c>
      <c r="AI139" s="184"/>
      <c r="AJ139" s="183" t="str">
        <f t="shared" si="19"/>
      </c>
      <c r="AK1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0">
      <c r="A140" s="65" t="e">
        <f>Games!#REF!</f>
        <v>#REF!</v>
      </c>
      <c r="B140" s="65" t="e">
        <f>IF('Prediction Log'!#REF!=0, "",'Prediction Log'!#REF!)</f>
        <v>#REF!</v>
      </c>
      <c r="C140" s="65" t="e">
        <f>IF('Prediction Log'!#REF!=0, "",'Prediction Log'!#REF!)</f>
        <v>#REF!</v>
      </c>
      <c r="D140" s="65" t="e">
        <f>IF('Prediction Log'!#REF!=0, "",'Prediction Log'!#REF!)</f>
        <v>#REF!</v>
      </c>
      <c r="E140" s="65" t="e">
        <f>IF('Prediction Log'!#REF!=0, "",'Prediction Log'!#REF!)</f>
        <v>#REF!</v>
      </c>
      <c r="F140" s="65" t="e">
        <f>IF('Prediction Log'!#REF!=0, "",'Prediction Log'!#REF!)</f>
        <v>#REF!</v>
      </c>
      <c r="G140" s="64" t="e">
        <f>IF(ISBLANK(Games!#REF!), "",'Prediction Log'!#REF!)</f>
        <v>#REF!</v>
      </c>
      <c r="H140" s="66" t="e">
        <f>'Prediction Log'!#REF!</f>
        <v>#REF!</v>
      </c>
      <c r="I140" s="65" t="e">
        <f>IF(ISBLANK(Games!#REF!), "",IF(AND(Games!#REF!="",Games!#REF!=""),"",IF(ISTEXT(Games!#REF!), "Side",Games!#REF!)))</f>
        <v>#REF!</v>
      </c>
      <c r="J140" s="65" t="e">
        <f>IF(ISBLANK(Games!#REF!), "",IF(Games!#REF!="Y", Games!#REF!, Games!#REF!))</f>
        <v>#REF!</v>
      </c>
      <c r="K140" s="65" t="e">
        <f>Games!#REF!</f>
        <v>#REF!</v>
      </c>
      <c r="L140" s="65" t="e">
        <f>IF(ISBLANK(Games!#REF!), "",Games!#REF!)</f>
        <v>#REF!</v>
      </c>
      <c r="M140" s="65"/>
      <c r="N140" s="167" t="str">
        <f>IF(ISBLANK(Table123[[#This Row],[Odds Side - Difference Model]]), "", 1)</f>
      </c>
      <c r="O140" s="167" t="str">
        <f>IF(ISBLANK(Table123[[#This Row],[Odds Spread]]), "", 1)</f>
      </c>
      <c r="P140" s="67"/>
      <c r="Q140" s="67"/>
      <c r="R1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0" s="67"/>
      <c r="T140" s="67"/>
      <c r="U140" s="168" t="str">
        <f>IF(ISBLANK(Table123[[#This Row],[Odds Side - Difference Model]]), "",N140+IF(Q140&lt;0, (N140/(Q140/-100)), N140*(Q140/100)))</f>
      </c>
      <c r="V140" s="169" t="str">
        <f>IFERROR(IF(ISBLANK(Table123[[#This Row],[Odds Side - Win Probability Model]]), "",N140+IF(R140&lt;0, (N140/(R140/-100)), N140*(R140/100))),"")</f>
      </c>
      <c r="W140" s="168" t="str">
        <f t="shared" si="14"/>
      </c>
      <c r="X140" s="169" t="str">
        <f t="shared" si="15"/>
      </c>
      <c r="Y140" s="168" t="str">
        <f>IF(ISBLANK(Table123[[#This Row],[Odds Spread]]), "",O140+IF(S140&lt;0, (O140/(S140/-100)), O140*(S140/100)))</f>
      </c>
      <c r="Z140" s="168" t="str">
        <f t="shared" si="16"/>
      </c>
      <c r="AA140" s="68" t="n">
        <f t="shared" si="17"/>
        <v>0</v>
      </c>
      <c r="AB140" s="68" t="n">
        <f t="shared" si="18"/>
        <v>0</v>
      </c>
      <c r="AC140" s="170" t="e">
        <f>IF('Prediction Log'!#REF!="Y", "W", IF('Prediction Log'!#REF!="N","L",""))</f>
        <v>#REF!</v>
      </c>
      <c r="AD140" s="171" t="e">
        <f>IF('Prediction Log'!#REF!="Y", "W", IF('Prediction Log'!#REF!="N","L",""))</f>
        <v>#REF!</v>
      </c>
      <c r="AE140" s="172" t="str">
        <f>IF(ISBLANK(Table123[[#This Row],[Odds Side - Difference Model]]), "",IF(AC140="W", W140, IF(AC140="L",-N140, "")))</f>
      </c>
      <c r="AF140" s="173" t="str">
        <f>IFERROR((IF(ISERR(Table123[[#This Row],[Potential Payout Side - Win Probability Model]]), "",IF(AD140="W", X140, IF(AD140="L",-N140, "")))), "")</f>
      </c>
      <c r="AG140" s="170" t="e">
        <f>IF('Prediction Log'!#REF!="Y", "W", IF('Prediction Log'!#REF!="N", "L", ""))</f>
        <v>#REF!</v>
      </c>
      <c r="AH140" s="172" t="str">
        <f>IF(ISBLANK(Table123[[#This Row],[Odds Spread]]), "",IF(AG140="W", Z140, IF(AG140="L",-O140, "")))</f>
      </c>
      <c r="AI140" s="184"/>
      <c r="AJ140" s="183" t="str">
        <f t="shared" si="19"/>
      </c>
      <c r="AK1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1">
      <c r="A141" s="65" t="e">
        <f>Games!#REF!</f>
        <v>#REF!</v>
      </c>
      <c r="B141" s="65" t="e">
        <f>IF('Prediction Log'!#REF!=0, "",'Prediction Log'!#REF!)</f>
        <v>#REF!</v>
      </c>
      <c r="C141" s="65" t="e">
        <f>IF('Prediction Log'!#REF!=0, "",'Prediction Log'!#REF!)</f>
        <v>#REF!</v>
      </c>
      <c r="D141" s="65" t="e">
        <f>IF('Prediction Log'!#REF!=0, "",'Prediction Log'!#REF!)</f>
        <v>#REF!</v>
      </c>
      <c r="E141" s="65" t="e">
        <f>IF('Prediction Log'!#REF!=0, "",'Prediction Log'!#REF!)</f>
        <v>#REF!</v>
      </c>
      <c r="F141" s="65" t="e">
        <f>IF('Prediction Log'!#REF!=0, "",'Prediction Log'!#REF!)</f>
        <v>#REF!</v>
      </c>
      <c r="G141" s="64" t="e">
        <f>IF(ISBLANK(Games!#REF!), "",'Prediction Log'!#REF!)</f>
        <v>#REF!</v>
      </c>
      <c r="H141" s="66" t="e">
        <f>'Prediction Log'!#REF!</f>
        <v>#REF!</v>
      </c>
      <c r="I141" s="65" t="e">
        <f>IF(ISBLANK(Games!#REF!), "",IF(AND(Games!#REF!="",Games!#REF!=""),"",IF(ISTEXT(Games!#REF!), "Side",Games!#REF!)))</f>
        <v>#REF!</v>
      </c>
      <c r="J141" s="65" t="e">
        <f>IF(ISBLANK(Games!#REF!), "",IF(Games!#REF!="Y", Games!#REF!, Games!#REF!))</f>
        <v>#REF!</v>
      </c>
      <c r="K141" s="65" t="e">
        <f>Games!#REF!</f>
        <v>#REF!</v>
      </c>
      <c r="L141" s="65" t="e">
        <f>IF(ISBLANK(Games!#REF!), "",Games!#REF!)</f>
        <v>#REF!</v>
      </c>
      <c r="M141" s="65"/>
      <c r="N141" s="167" t="str">
        <f>IF(ISBLANK(Table123[[#This Row],[Odds Side - Difference Model]]), "", 1)</f>
      </c>
      <c r="O141" s="167" t="str">
        <f>IF(ISBLANK(Table123[[#This Row],[Odds Spread]]), "", 1)</f>
      </c>
      <c r="P141" s="67"/>
      <c r="Q141" s="67"/>
      <c r="R1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1" s="67"/>
      <c r="T141" s="67"/>
      <c r="U141" s="168" t="str">
        <f>IF(ISBLANK(Table123[[#This Row],[Odds Side - Difference Model]]), "",N141+IF(Q141&lt;0, (N141/(Q141/-100)), N141*(Q141/100)))</f>
      </c>
      <c r="V141" s="169" t="str">
        <f>IFERROR(IF(ISBLANK(Table123[[#This Row],[Odds Side - Win Probability Model]]), "",N141+IF(R141&lt;0, (N141/(R141/-100)), N141*(R141/100))),"")</f>
      </c>
      <c r="W141" s="168" t="str">
        <f t="shared" si="14"/>
      </c>
      <c r="X141" s="169" t="str">
        <f t="shared" si="15"/>
      </c>
      <c r="Y141" s="168" t="str">
        <f>IF(ISBLANK(Table123[[#This Row],[Odds Spread]]), "",O141+IF(S141&lt;0, (O141/(S141/-100)), O141*(S141/100)))</f>
      </c>
      <c r="Z141" s="168" t="str">
        <f t="shared" si="16"/>
      </c>
      <c r="AA141" s="68" t="n">
        <f t="shared" si="17"/>
        <v>0</v>
      </c>
      <c r="AB141" s="68" t="n">
        <f t="shared" si="18"/>
        <v>0</v>
      </c>
      <c r="AC141" s="170" t="e">
        <f>IF('Prediction Log'!#REF!="Y", "W", IF('Prediction Log'!#REF!="N","L",""))</f>
        <v>#REF!</v>
      </c>
      <c r="AD141" s="171" t="e">
        <f>IF('Prediction Log'!#REF!="Y", "W", IF('Prediction Log'!#REF!="N","L",""))</f>
        <v>#REF!</v>
      </c>
      <c r="AE141" s="172" t="str">
        <f>IF(ISBLANK(Table123[[#This Row],[Odds Side - Difference Model]]), "",IF(AC141="W", W141, IF(AC141="L",-N141, "")))</f>
      </c>
      <c r="AF141" s="173" t="str">
        <f>IFERROR((IF(ISERR(Table123[[#This Row],[Potential Payout Side - Win Probability Model]]), "",IF(AD141="W", X141, IF(AD141="L",-N141, "")))), "")</f>
      </c>
      <c r="AG141" s="170" t="e">
        <f>IF('Prediction Log'!#REF!="Y", "W", IF('Prediction Log'!#REF!="N", "L", ""))</f>
        <v>#REF!</v>
      </c>
      <c r="AH141" s="172" t="str">
        <f>IF(ISBLANK(Table123[[#This Row],[Odds Spread]]), "",IF(AG141="W", Z141, IF(AG141="L",-O141, "")))</f>
      </c>
      <c r="AI141" s="184"/>
      <c r="AJ141" s="183" t="str">
        <f t="shared" si="19"/>
      </c>
      <c r="AK1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2">
      <c r="A142" s="65" t="e">
        <f>Games!#REF!</f>
        <v>#REF!</v>
      </c>
      <c r="B142" s="65" t="e">
        <f>IF('Prediction Log'!#REF!=0, "",'Prediction Log'!#REF!)</f>
        <v>#REF!</v>
      </c>
      <c r="C142" s="65" t="e">
        <f>IF('Prediction Log'!#REF!=0, "",'Prediction Log'!#REF!)</f>
        <v>#REF!</v>
      </c>
      <c r="D142" s="65" t="e">
        <f>IF('Prediction Log'!#REF!=0, "",'Prediction Log'!#REF!)</f>
        <v>#REF!</v>
      </c>
      <c r="E142" s="65" t="e">
        <f>IF('Prediction Log'!#REF!=0, "",'Prediction Log'!#REF!)</f>
        <v>#REF!</v>
      </c>
      <c r="F142" s="65" t="e">
        <f>IF('Prediction Log'!#REF!=0, "",'Prediction Log'!#REF!)</f>
        <v>#REF!</v>
      </c>
      <c r="G142" s="64" t="e">
        <f>IF(ISBLANK(Games!#REF!), "",'Prediction Log'!#REF!)</f>
        <v>#REF!</v>
      </c>
      <c r="H142" s="66" t="e">
        <f>'Prediction Log'!#REF!</f>
        <v>#REF!</v>
      </c>
      <c r="I142" s="65" t="e">
        <f>IF(ISBLANK(Games!#REF!), "",IF(AND(Games!#REF!="",Games!#REF!=""),"",IF(ISTEXT(Games!#REF!), "Side",Games!#REF!)))</f>
        <v>#REF!</v>
      </c>
      <c r="J142" s="65" t="e">
        <f>IF(ISBLANK(Games!#REF!), "",IF(Games!#REF!="Y", Games!#REF!, Games!#REF!))</f>
        <v>#REF!</v>
      </c>
      <c r="K142" s="65" t="e">
        <f>Games!#REF!</f>
        <v>#REF!</v>
      </c>
      <c r="L142" s="65" t="e">
        <f>IF(ISBLANK(Games!#REF!), "",Games!#REF!)</f>
        <v>#REF!</v>
      </c>
      <c r="M142" s="65"/>
      <c r="N142" s="167" t="str">
        <f>IF(ISBLANK(Table123[[#This Row],[Odds Side - Difference Model]]), "", 1)</f>
      </c>
      <c r="O142" s="167" t="str">
        <f>IF(ISBLANK(Table123[[#This Row],[Odds Spread]]), "", 1)</f>
      </c>
      <c r="P142" s="67"/>
      <c r="Q142" s="67"/>
      <c r="R1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2" s="67"/>
      <c r="T142" s="67"/>
      <c r="U142" s="168" t="str">
        <f>IF(ISBLANK(Table123[[#This Row],[Odds Side - Difference Model]]), "",N142+IF(Q142&lt;0, (N142/(Q142/-100)), N142*(Q142/100)))</f>
      </c>
      <c r="V142" s="169" t="str">
        <f>IFERROR(IF(ISBLANK(Table123[[#This Row],[Odds Side - Win Probability Model]]), "",N142+IF(R142&lt;0, (N142/(R142/-100)), N142*(R142/100))),"")</f>
      </c>
      <c r="W142" s="168" t="str">
        <f t="shared" si="14"/>
      </c>
      <c r="X142" s="169" t="str">
        <f t="shared" si="15"/>
      </c>
      <c r="Y142" s="168" t="str">
        <f>IF(ISBLANK(Table123[[#This Row],[Odds Spread]]), "",O142+IF(S142&lt;0, (O142/(S142/-100)), O142*(S142/100)))</f>
      </c>
      <c r="Z142" s="168" t="str">
        <f t="shared" si="16"/>
      </c>
      <c r="AA142" s="68" t="n">
        <f t="shared" si="17"/>
        <v>0</v>
      </c>
      <c r="AB142" s="68" t="n">
        <f t="shared" si="18"/>
        <v>0</v>
      </c>
      <c r="AC142" s="170" t="e">
        <f>IF('Prediction Log'!#REF!="Y", "W", IF('Prediction Log'!#REF!="N","L",""))</f>
        <v>#REF!</v>
      </c>
      <c r="AD142" s="171" t="e">
        <f>IF('Prediction Log'!#REF!="Y", "W", IF('Prediction Log'!#REF!="N","L",""))</f>
        <v>#REF!</v>
      </c>
      <c r="AE142" s="172" t="str">
        <f>IF(ISBLANK(Table123[[#This Row],[Odds Side - Difference Model]]), "",IF(AC142="W", W142, IF(AC142="L",-N142, "")))</f>
      </c>
      <c r="AF142" s="173" t="str">
        <f>IFERROR((IF(ISERR(Table123[[#This Row],[Potential Payout Side - Win Probability Model]]), "",IF(AD142="W", X142, IF(AD142="L",-N142, "")))), "")</f>
      </c>
      <c r="AG142" s="170" t="e">
        <f>IF('Prediction Log'!#REF!="Y", "W", IF('Prediction Log'!#REF!="N", "L", ""))</f>
        <v>#REF!</v>
      </c>
      <c r="AH142" s="172" t="str">
        <f>IF(ISBLANK(Table123[[#This Row],[Odds Spread]]), "",IF(AG142="W", Z142, IF(AG142="L",-O142, "")))</f>
      </c>
      <c r="AI142" s="184"/>
      <c r="AJ142" s="183" t="str">
        <f t="shared" si="19"/>
      </c>
      <c r="AK1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3">
      <c r="A143" s="65" t="e">
        <f>Games!#REF!</f>
        <v>#REF!</v>
      </c>
      <c r="B143" s="65" t="e">
        <f>IF('Prediction Log'!#REF!=0, "",'Prediction Log'!#REF!)</f>
        <v>#REF!</v>
      </c>
      <c r="C143" s="65" t="e">
        <f>IF('Prediction Log'!#REF!=0, "",'Prediction Log'!#REF!)</f>
        <v>#REF!</v>
      </c>
      <c r="D143" s="65" t="e">
        <f>IF('Prediction Log'!#REF!=0, "",'Prediction Log'!#REF!)</f>
        <v>#REF!</v>
      </c>
      <c r="E143" s="65" t="e">
        <f>IF('Prediction Log'!#REF!=0, "",'Prediction Log'!#REF!)</f>
        <v>#REF!</v>
      </c>
      <c r="F143" s="65" t="e">
        <f>IF('Prediction Log'!#REF!=0, "",'Prediction Log'!#REF!)</f>
        <v>#REF!</v>
      </c>
      <c r="G143" s="64" t="e">
        <f>IF(ISBLANK(Games!#REF!), "",'Prediction Log'!#REF!)</f>
        <v>#REF!</v>
      </c>
      <c r="H143" s="66" t="e">
        <f>'Prediction Log'!#REF!</f>
        <v>#REF!</v>
      </c>
      <c r="I143" s="65" t="e">
        <f>IF(ISBLANK(Games!#REF!), "",IF(AND(Games!#REF!="",Games!#REF!=""),"",IF(ISTEXT(Games!#REF!), "Side",Games!#REF!)))</f>
        <v>#REF!</v>
      </c>
      <c r="J143" s="65" t="e">
        <f>IF(ISBLANK(Games!#REF!), "",IF(Games!#REF!="Y", Games!#REF!, Games!#REF!))</f>
        <v>#REF!</v>
      </c>
      <c r="K143" s="65" t="e">
        <f>Games!#REF!</f>
        <v>#REF!</v>
      </c>
      <c r="L143" s="65" t="e">
        <f>IF(ISBLANK(Games!#REF!), "",Games!#REF!)</f>
        <v>#REF!</v>
      </c>
      <c r="M143" s="65"/>
      <c r="N143" s="167" t="str">
        <f>IF(ISBLANK(Table123[[#This Row],[Odds Side - Difference Model]]), "", 1)</f>
      </c>
      <c r="O143" s="167" t="str">
        <f>IF(ISBLANK(Table123[[#This Row],[Odds Spread]]), "", 1)</f>
      </c>
      <c r="P143" s="67"/>
      <c r="Q143" s="67"/>
      <c r="R1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3" s="67"/>
      <c r="T143" s="67"/>
      <c r="U143" s="168" t="str">
        <f>IF(ISBLANK(Table123[[#This Row],[Odds Side - Difference Model]]), "",N143+IF(Q143&lt;0, (N143/(Q143/-100)), N143*(Q143/100)))</f>
      </c>
      <c r="V143" s="169" t="str">
        <f>IFERROR(IF(ISBLANK(Table123[[#This Row],[Odds Side - Win Probability Model]]), "",N143+IF(R143&lt;0, (N143/(R143/-100)), N143*(R143/100))),"")</f>
      </c>
      <c r="W143" s="168" t="str">
        <f t="shared" si="14"/>
      </c>
      <c r="X143" s="169" t="str">
        <f t="shared" si="15"/>
      </c>
      <c r="Y143" s="168" t="str">
        <f>IF(ISBLANK(Table123[[#This Row],[Odds Spread]]), "",O143+IF(S143&lt;0, (O143/(S143/-100)), O143*(S143/100)))</f>
      </c>
      <c r="Z143" s="168" t="str">
        <f t="shared" si="16"/>
      </c>
      <c r="AA143" s="68" t="n">
        <f t="shared" si="17"/>
        <v>0</v>
      </c>
      <c r="AB143" s="68" t="n">
        <f t="shared" si="18"/>
        <v>0</v>
      </c>
      <c r="AC143" s="170" t="e">
        <f>IF('Prediction Log'!#REF!="Y", "W", IF('Prediction Log'!#REF!="N","L",""))</f>
        <v>#REF!</v>
      </c>
      <c r="AD143" s="171" t="e">
        <f>IF('Prediction Log'!#REF!="Y", "W", IF('Prediction Log'!#REF!="N","L",""))</f>
        <v>#REF!</v>
      </c>
      <c r="AE143" s="172" t="str">
        <f>IF(ISBLANK(Table123[[#This Row],[Odds Side - Difference Model]]), "",IF(AC143="W", W143, IF(AC143="L",-N143, "")))</f>
      </c>
      <c r="AF143" s="173" t="str">
        <f>IFERROR((IF(ISERR(Table123[[#This Row],[Potential Payout Side - Win Probability Model]]), "",IF(AD143="W", X143, IF(AD143="L",-N143, "")))), "")</f>
      </c>
      <c r="AG143" s="170" t="e">
        <f>IF('Prediction Log'!#REF!="Y", "W", IF('Prediction Log'!#REF!="N", "L", ""))</f>
        <v>#REF!</v>
      </c>
      <c r="AH143" s="172" t="str">
        <f>IF(ISBLANK(Table123[[#This Row],[Odds Spread]]), "",IF(AG143="W", Z143, IF(AG143="L",-O143, "")))</f>
      </c>
      <c r="AI143" s="184"/>
      <c r="AJ143" s="183" t="str">
        <f t="shared" si="19"/>
      </c>
      <c r="AK1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4">
      <c r="A144" s="65" t="e">
        <f>Games!#REF!</f>
        <v>#REF!</v>
      </c>
      <c r="B144" s="65" t="e">
        <f>IF('Prediction Log'!#REF!=0, "",'Prediction Log'!#REF!)</f>
        <v>#REF!</v>
      </c>
      <c r="C144" s="65" t="e">
        <f>IF('Prediction Log'!#REF!=0, "",'Prediction Log'!#REF!)</f>
        <v>#REF!</v>
      </c>
      <c r="D144" s="65" t="e">
        <f>IF('Prediction Log'!#REF!=0, "",'Prediction Log'!#REF!)</f>
        <v>#REF!</v>
      </c>
      <c r="E144" s="65" t="e">
        <f>IF('Prediction Log'!#REF!=0, "",'Prediction Log'!#REF!)</f>
        <v>#REF!</v>
      </c>
      <c r="F144" s="65" t="e">
        <f>IF('Prediction Log'!#REF!=0, "",'Prediction Log'!#REF!)</f>
        <v>#REF!</v>
      </c>
      <c r="G144" s="64" t="e">
        <f>IF(ISBLANK(Games!#REF!), "",'Prediction Log'!#REF!)</f>
        <v>#REF!</v>
      </c>
      <c r="H144" s="66" t="e">
        <f>'Prediction Log'!#REF!</f>
        <v>#REF!</v>
      </c>
      <c r="I144" s="65" t="e">
        <f>IF(ISBLANK(Games!#REF!), "",IF(AND(Games!#REF!="",Games!#REF!=""),"",IF(ISTEXT(Games!#REF!), "Side",Games!#REF!)))</f>
        <v>#REF!</v>
      </c>
      <c r="J144" s="65" t="e">
        <f>IF(ISBLANK(Games!#REF!), "",IF(Games!#REF!="Y", Games!#REF!, Games!#REF!))</f>
        <v>#REF!</v>
      </c>
      <c r="K144" s="65" t="e">
        <f>Games!#REF!</f>
        <v>#REF!</v>
      </c>
      <c r="L144" s="65" t="e">
        <f>IF(ISBLANK(Games!#REF!), "",Games!#REF!)</f>
        <v>#REF!</v>
      </c>
      <c r="M144" s="65"/>
      <c r="N144" s="167" t="str">
        <f>IF(ISBLANK(Table123[[#This Row],[Odds Side - Difference Model]]), "", 1)</f>
      </c>
      <c r="O144" s="167" t="str">
        <f>IF(ISBLANK(Table123[[#This Row],[Odds Spread]]), "", 1)</f>
      </c>
      <c r="P144" s="67"/>
      <c r="Q144" s="67"/>
      <c r="R1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4" s="67"/>
      <c r="T144" s="67"/>
      <c r="U144" s="168" t="str">
        <f>IF(ISBLANK(Table123[[#This Row],[Odds Side - Difference Model]]), "",N144+IF(Q144&lt;0, (N144/(Q144/-100)), N144*(Q144/100)))</f>
      </c>
      <c r="V144" s="169" t="str">
        <f>IFERROR(IF(ISBLANK(Table123[[#This Row],[Odds Side - Win Probability Model]]), "",N144+IF(R144&lt;0, (N144/(R144/-100)), N144*(R144/100))),"")</f>
      </c>
      <c r="W144" s="168" t="str">
        <f t="shared" si="14"/>
      </c>
      <c r="X144" s="169" t="str">
        <f t="shared" si="15"/>
      </c>
      <c r="Y144" s="168" t="str">
        <f>IF(ISBLANK(Table123[[#This Row],[Odds Spread]]), "",O144+IF(S144&lt;0, (O144/(S144/-100)), O144*(S144/100)))</f>
      </c>
      <c r="Z144" s="168" t="str">
        <f t="shared" si="16"/>
      </c>
      <c r="AA144" s="68" t="n">
        <f t="shared" si="17"/>
        <v>0</v>
      </c>
      <c r="AB144" s="68" t="n">
        <f t="shared" si="18"/>
        <v>0</v>
      </c>
      <c r="AC144" s="170" t="e">
        <f>IF('Prediction Log'!#REF!="Y", "W", IF('Prediction Log'!#REF!="N","L",""))</f>
        <v>#REF!</v>
      </c>
      <c r="AD144" s="171" t="e">
        <f>IF('Prediction Log'!#REF!="Y", "W", IF('Prediction Log'!#REF!="N","L",""))</f>
        <v>#REF!</v>
      </c>
      <c r="AE144" s="172" t="str">
        <f>IF(ISBLANK(Table123[[#This Row],[Odds Side - Difference Model]]), "",IF(AC144="W", W144, IF(AC144="L",-N144, "")))</f>
      </c>
      <c r="AF144" s="173" t="str">
        <f>IFERROR((IF(ISERR(Table123[[#This Row],[Potential Payout Side - Win Probability Model]]), "",IF(AD144="W", X144, IF(AD144="L",-N144, "")))), "")</f>
      </c>
      <c r="AG144" s="170" t="e">
        <f>IF('Prediction Log'!#REF!="Y", "W", IF('Prediction Log'!#REF!="N", "L", ""))</f>
        <v>#REF!</v>
      </c>
      <c r="AH144" s="172" t="str">
        <f>IF(ISBLANK(Table123[[#This Row],[Odds Spread]]), "",IF(AG144="W", Z144, IF(AG144="L",-O144, "")))</f>
      </c>
      <c r="AI144" s="184"/>
      <c r="AJ144" s="183" t="str">
        <f t="shared" si="19"/>
      </c>
      <c r="AK1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5">
      <c r="A145" s="65" t="e">
        <f>Games!#REF!</f>
        <v>#REF!</v>
      </c>
      <c r="B145" s="65" t="e">
        <f>IF('Prediction Log'!#REF!=0, "",'Prediction Log'!#REF!)</f>
        <v>#REF!</v>
      </c>
      <c r="C145" s="65" t="e">
        <f>IF('Prediction Log'!#REF!=0, "",'Prediction Log'!#REF!)</f>
        <v>#REF!</v>
      </c>
      <c r="D145" s="65" t="e">
        <f>IF('Prediction Log'!#REF!=0, "",'Prediction Log'!#REF!)</f>
        <v>#REF!</v>
      </c>
      <c r="E145" s="65" t="e">
        <f>IF('Prediction Log'!#REF!=0, "",'Prediction Log'!#REF!)</f>
        <v>#REF!</v>
      </c>
      <c r="F145" s="65" t="e">
        <f>IF('Prediction Log'!#REF!=0, "",'Prediction Log'!#REF!)</f>
        <v>#REF!</v>
      </c>
      <c r="G145" s="64" t="e">
        <f>IF(ISBLANK(Games!#REF!), "",'Prediction Log'!#REF!)</f>
        <v>#REF!</v>
      </c>
      <c r="H145" s="66" t="e">
        <f>'Prediction Log'!#REF!</f>
        <v>#REF!</v>
      </c>
      <c r="I145" s="65" t="e">
        <f>IF(ISBLANK(Games!#REF!), "",IF(AND(Games!#REF!="",Games!#REF!=""),"",IF(ISTEXT(Games!#REF!), "Side",Games!#REF!)))</f>
        <v>#REF!</v>
      </c>
      <c r="J145" s="65" t="e">
        <f>IF(ISBLANK(Games!#REF!), "",IF(Games!#REF!="Y", Games!#REF!, Games!#REF!))</f>
        <v>#REF!</v>
      </c>
      <c r="K145" s="65" t="e">
        <f>Games!#REF!</f>
        <v>#REF!</v>
      </c>
      <c r="L145" s="65" t="e">
        <f>IF(ISBLANK(Games!#REF!), "",Games!#REF!)</f>
        <v>#REF!</v>
      </c>
      <c r="M145" s="65"/>
      <c r="N145" s="167" t="str">
        <f>IF(ISBLANK(Table123[[#This Row],[Odds Side - Difference Model]]), "", 1)</f>
      </c>
      <c r="O145" s="167" t="str">
        <f>IF(ISBLANK(Table123[[#This Row],[Odds Spread]]), "", 1)</f>
      </c>
      <c r="P145" s="67"/>
      <c r="Q145" s="67"/>
      <c r="R1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5" s="67"/>
      <c r="T145" s="67"/>
      <c r="U145" s="168" t="str">
        <f>IF(ISBLANK(Table123[[#This Row],[Odds Side - Difference Model]]), "",N145+IF(Q145&lt;0, (N145/(Q145/-100)), N145*(Q145/100)))</f>
      </c>
      <c r="V145" s="169" t="str">
        <f>IFERROR(IF(ISBLANK(Table123[[#This Row],[Odds Side - Win Probability Model]]), "",N145+IF(R145&lt;0, (N145/(R145/-100)), N145*(R145/100))),"")</f>
      </c>
      <c r="W145" s="168" t="str">
        <f t="shared" si="14"/>
      </c>
      <c r="X145" s="169" t="str">
        <f t="shared" si="15"/>
      </c>
      <c r="Y145" s="168" t="str">
        <f>IF(ISBLANK(Table123[[#This Row],[Odds Spread]]), "",O145+IF(S145&lt;0, (O145/(S145/-100)), O145*(S145/100)))</f>
      </c>
      <c r="Z145" s="168" t="str">
        <f t="shared" si="16"/>
      </c>
      <c r="AA145" s="68" t="n">
        <f t="shared" si="17"/>
        <v>0</v>
      </c>
      <c r="AB145" s="68" t="n">
        <f t="shared" si="18"/>
        <v>0</v>
      </c>
      <c r="AC145" s="170" t="e">
        <f>IF('Prediction Log'!#REF!="Y", "W", IF('Prediction Log'!#REF!="N","L",""))</f>
        <v>#REF!</v>
      </c>
      <c r="AD145" s="171" t="e">
        <f>IF('Prediction Log'!#REF!="Y", "W", IF('Prediction Log'!#REF!="N","L",""))</f>
        <v>#REF!</v>
      </c>
      <c r="AE145" s="172" t="str">
        <f>IF(ISBLANK(Table123[[#This Row],[Odds Side - Difference Model]]), "",IF(AC145="W", W145, IF(AC145="L",-N145, "")))</f>
      </c>
      <c r="AF145" s="173" t="str">
        <f>IFERROR((IF(ISERR(Table123[[#This Row],[Potential Payout Side - Win Probability Model]]), "",IF(AD145="W", X145, IF(AD145="L",-N145, "")))), "")</f>
      </c>
      <c r="AG145" s="170" t="e">
        <f>IF('Prediction Log'!#REF!="Y", "W", IF('Prediction Log'!#REF!="N", "L", ""))</f>
        <v>#REF!</v>
      </c>
      <c r="AH145" s="172" t="str">
        <f>IF(ISBLANK(Table123[[#This Row],[Odds Spread]]), "",IF(AG145="W", Z145, IF(AG145="L",-O145, "")))</f>
      </c>
      <c r="AI145" s="184"/>
      <c r="AJ145" s="183" t="str">
        <f t="shared" si="19"/>
      </c>
      <c r="AK1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6">
      <c r="A146" s="65" t="e">
        <f>Games!#REF!</f>
        <v>#REF!</v>
      </c>
      <c r="B146" s="65" t="e">
        <f>IF('Prediction Log'!#REF!=0, "",'Prediction Log'!#REF!)</f>
        <v>#REF!</v>
      </c>
      <c r="C146" s="65" t="e">
        <f>IF('Prediction Log'!#REF!=0, "",'Prediction Log'!#REF!)</f>
        <v>#REF!</v>
      </c>
      <c r="D146" s="65" t="e">
        <f>IF('Prediction Log'!#REF!=0, "",'Prediction Log'!#REF!)</f>
        <v>#REF!</v>
      </c>
      <c r="E146" s="65" t="e">
        <f>IF('Prediction Log'!#REF!=0, "",'Prediction Log'!#REF!)</f>
        <v>#REF!</v>
      </c>
      <c r="F146" s="65" t="e">
        <f>IF('Prediction Log'!#REF!=0, "",'Prediction Log'!#REF!)</f>
        <v>#REF!</v>
      </c>
      <c r="G146" s="64" t="e">
        <f>IF(ISBLANK(Games!#REF!), "",'Prediction Log'!#REF!)</f>
        <v>#REF!</v>
      </c>
      <c r="H146" s="66" t="e">
        <f>'Prediction Log'!#REF!</f>
        <v>#REF!</v>
      </c>
      <c r="I146" s="65" t="e">
        <f>IF(ISBLANK(Games!#REF!), "",IF(AND(Games!#REF!="",Games!#REF!=""),"",IF(ISTEXT(Games!#REF!), "Side",Games!#REF!)))</f>
        <v>#REF!</v>
      </c>
      <c r="J146" s="65" t="e">
        <f>IF(ISBLANK(Games!#REF!), "",IF(Games!#REF!="Y", Games!#REF!, Games!#REF!))</f>
        <v>#REF!</v>
      </c>
      <c r="K146" s="65" t="e">
        <f>Games!#REF!</f>
        <v>#REF!</v>
      </c>
      <c r="L146" s="65" t="e">
        <f>IF(ISBLANK(Games!#REF!), "",Games!#REF!)</f>
        <v>#REF!</v>
      </c>
      <c r="M146" s="65"/>
      <c r="N146" s="167" t="str">
        <f>IF(ISBLANK(Table123[[#This Row],[Odds Side - Difference Model]]), "", 1)</f>
      </c>
      <c r="O146" s="167" t="str">
        <f>IF(ISBLANK(Table123[[#This Row],[Odds Spread]]), "", 1)</f>
      </c>
      <c r="P146" s="67"/>
      <c r="Q146" s="67"/>
      <c r="R1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6" s="67"/>
      <c r="T146" s="67"/>
      <c r="U146" s="168" t="str">
        <f>IF(ISBLANK(Table123[[#This Row],[Odds Side - Difference Model]]), "",N146+IF(Q146&lt;0, (N146/(Q146/-100)), N146*(Q146/100)))</f>
      </c>
      <c r="V146" s="169" t="str">
        <f>IFERROR(IF(ISBLANK(Table123[[#This Row],[Odds Side - Win Probability Model]]), "",N146+IF(R146&lt;0, (N146/(R146/-100)), N146*(R146/100))),"")</f>
      </c>
      <c r="W146" s="168" t="str">
        <f t="shared" si="14"/>
      </c>
      <c r="X146" s="169" t="str">
        <f t="shared" si="15"/>
      </c>
      <c r="Y146" s="168" t="str">
        <f>IF(ISBLANK(Table123[[#This Row],[Odds Spread]]), "",O146+IF(S146&lt;0, (O146/(S146/-100)), O146*(S146/100)))</f>
      </c>
      <c r="Z146" s="168" t="str">
        <f t="shared" si="16"/>
      </c>
      <c r="AA146" s="68" t="n">
        <f t="shared" si="17"/>
        <v>0</v>
      </c>
      <c r="AB146" s="68" t="n">
        <f t="shared" si="18"/>
        <v>0</v>
      </c>
      <c r="AC146" s="170" t="e">
        <f>IF('Prediction Log'!#REF!="Y", "W", IF('Prediction Log'!#REF!="N","L",""))</f>
        <v>#REF!</v>
      </c>
      <c r="AD146" s="171" t="e">
        <f>IF('Prediction Log'!#REF!="Y", "W", IF('Prediction Log'!#REF!="N","L",""))</f>
        <v>#REF!</v>
      </c>
      <c r="AE146" s="172" t="str">
        <f>IF(ISBLANK(Table123[[#This Row],[Odds Side - Difference Model]]), "",IF(AC146="W", W146, IF(AC146="L",-N146, "")))</f>
      </c>
      <c r="AF146" s="173" t="str">
        <f>IFERROR((IF(ISERR(Table123[[#This Row],[Potential Payout Side - Win Probability Model]]), "",IF(AD146="W", X146, IF(AD146="L",-N146, "")))), "")</f>
      </c>
      <c r="AG146" s="170" t="e">
        <f>IF('Prediction Log'!#REF!="Y", "W", IF('Prediction Log'!#REF!="N", "L", ""))</f>
        <v>#REF!</v>
      </c>
      <c r="AH146" s="172" t="str">
        <f>IF(ISBLANK(Table123[[#This Row],[Odds Spread]]), "",IF(AG146="W", Z146, IF(AG146="L",-O146, "")))</f>
      </c>
      <c r="AI146" s="184"/>
      <c r="AJ146" s="183" t="str">
        <f t="shared" si="19"/>
      </c>
      <c r="AK1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7">
      <c r="A147" s="65" t="e">
        <f>Games!#REF!</f>
        <v>#REF!</v>
      </c>
      <c r="B147" s="65" t="e">
        <f>IF('Prediction Log'!#REF!=0, "",'Prediction Log'!#REF!)</f>
        <v>#REF!</v>
      </c>
      <c r="C147" s="65" t="e">
        <f>IF('Prediction Log'!#REF!=0, "",'Prediction Log'!#REF!)</f>
        <v>#REF!</v>
      </c>
      <c r="D147" s="65" t="e">
        <f>IF('Prediction Log'!#REF!=0, "",'Prediction Log'!#REF!)</f>
        <v>#REF!</v>
      </c>
      <c r="E147" s="65" t="e">
        <f>IF('Prediction Log'!#REF!=0, "",'Prediction Log'!#REF!)</f>
        <v>#REF!</v>
      </c>
      <c r="F147" s="65" t="e">
        <f>IF('Prediction Log'!#REF!=0, "",'Prediction Log'!#REF!)</f>
        <v>#REF!</v>
      </c>
      <c r="G147" s="64" t="e">
        <f>IF(ISBLANK(Games!#REF!), "",'Prediction Log'!#REF!)</f>
        <v>#REF!</v>
      </c>
      <c r="H147" s="66" t="e">
        <f>'Prediction Log'!#REF!</f>
        <v>#REF!</v>
      </c>
      <c r="I147" s="65" t="e">
        <f>IF(ISBLANK(Games!#REF!), "",IF(AND(Games!#REF!="",Games!#REF!=""),"",IF(ISTEXT(Games!#REF!), "Side",Games!#REF!)))</f>
        <v>#REF!</v>
      </c>
      <c r="J147" s="65" t="e">
        <f>IF(ISBLANK(Games!#REF!), "",IF(Games!#REF!="Y", Games!#REF!, Games!#REF!))</f>
        <v>#REF!</v>
      </c>
      <c r="K147" s="65" t="e">
        <f>Games!#REF!</f>
        <v>#REF!</v>
      </c>
      <c r="L147" s="65" t="e">
        <f>IF(ISBLANK(Games!#REF!), "",Games!#REF!)</f>
        <v>#REF!</v>
      </c>
      <c r="M147" s="65"/>
      <c r="N147" s="167" t="str">
        <f>IF(ISBLANK(Table123[[#This Row],[Odds Side - Difference Model]]), "", 1)</f>
      </c>
      <c r="O147" s="167" t="str">
        <f>IF(ISBLANK(Table123[[#This Row],[Odds Spread]]), "", 1)</f>
      </c>
      <c r="P147" s="67"/>
      <c r="Q147" s="67"/>
      <c r="R1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7" s="67"/>
      <c r="T147" s="67"/>
      <c r="U147" s="168" t="str">
        <f>IF(ISBLANK(Table123[[#This Row],[Odds Side - Difference Model]]), "",N147+IF(Q147&lt;0, (N147/(Q147/-100)), N147*(Q147/100)))</f>
      </c>
      <c r="V147" s="169" t="str">
        <f>IFERROR(IF(ISBLANK(Table123[[#This Row],[Odds Side - Win Probability Model]]), "",N147+IF(R147&lt;0, (N147/(R147/-100)), N147*(R147/100))),"")</f>
      </c>
      <c r="W147" s="168" t="str">
        <f t="shared" si="14"/>
      </c>
      <c r="X147" s="169" t="str">
        <f t="shared" si="15"/>
      </c>
      <c r="Y147" s="168" t="str">
        <f>IF(ISBLANK(Table123[[#This Row],[Odds Spread]]), "",O147+IF(S147&lt;0, (O147/(S147/-100)), O147*(S147/100)))</f>
      </c>
      <c r="Z147" s="168" t="str">
        <f t="shared" si="16"/>
      </c>
      <c r="AA147" s="68" t="n">
        <f t="shared" si="17"/>
        <v>0</v>
      </c>
      <c r="AB147" s="68" t="n">
        <f t="shared" si="18"/>
        <v>0</v>
      </c>
      <c r="AC147" s="170" t="e">
        <f>IF('Prediction Log'!#REF!="Y", "W", IF('Prediction Log'!#REF!="N","L",""))</f>
        <v>#REF!</v>
      </c>
      <c r="AD147" s="171" t="e">
        <f>IF('Prediction Log'!#REF!="Y", "W", IF('Prediction Log'!#REF!="N","L",""))</f>
        <v>#REF!</v>
      </c>
      <c r="AE147" s="172" t="str">
        <f>IF(ISBLANK(Table123[[#This Row],[Odds Side - Difference Model]]), "",IF(AC147="W", W147, IF(AC147="L",-N147, "")))</f>
      </c>
      <c r="AF147" s="173" t="str">
        <f>IFERROR((IF(ISERR(Table123[[#This Row],[Potential Payout Side - Win Probability Model]]), "",IF(AD147="W", X147, IF(AD147="L",-N147, "")))), "")</f>
      </c>
      <c r="AG147" s="170" t="e">
        <f>IF('Prediction Log'!#REF!="Y", "W", IF('Prediction Log'!#REF!="N", "L", ""))</f>
        <v>#REF!</v>
      </c>
      <c r="AH147" s="172" t="str">
        <f>IF(ISBLANK(Table123[[#This Row],[Odds Spread]]), "",IF(AG147="W", Z147, IF(AG147="L",-O147, "")))</f>
      </c>
      <c r="AI147" s="184"/>
      <c r="AJ147" s="183" t="str">
        <f t="shared" si="19"/>
      </c>
      <c r="AK1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8">
      <c r="A148" s="65" t="e">
        <f>Games!#REF!</f>
        <v>#REF!</v>
      </c>
      <c r="B148" s="65" t="e">
        <f>IF('Prediction Log'!#REF!=0, "",'Prediction Log'!#REF!)</f>
        <v>#REF!</v>
      </c>
      <c r="C148" s="65" t="e">
        <f>IF('Prediction Log'!#REF!=0, "",'Prediction Log'!#REF!)</f>
        <v>#REF!</v>
      </c>
      <c r="D148" s="65" t="e">
        <f>IF('Prediction Log'!#REF!=0, "",'Prediction Log'!#REF!)</f>
        <v>#REF!</v>
      </c>
      <c r="E148" s="65" t="e">
        <f>IF('Prediction Log'!#REF!=0, "",'Prediction Log'!#REF!)</f>
        <v>#REF!</v>
      </c>
      <c r="F148" s="65" t="e">
        <f>IF('Prediction Log'!#REF!=0, "",'Prediction Log'!#REF!)</f>
        <v>#REF!</v>
      </c>
      <c r="G148" s="64" t="e">
        <f>IF(ISBLANK(Games!#REF!), "",'Prediction Log'!#REF!)</f>
        <v>#REF!</v>
      </c>
      <c r="H148" s="66" t="e">
        <f>'Prediction Log'!#REF!</f>
        <v>#REF!</v>
      </c>
      <c r="I148" s="65" t="e">
        <f>IF(ISBLANK(Games!#REF!), "",IF(AND(Games!#REF!="",Games!#REF!=""),"",IF(ISTEXT(Games!#REF!), "Side",Games!#REF!)))</f>
        <v>#REF!</v>
      </c>
      <c r="J148" s="65" t="e">
        <f>IF(ISBLANK(Games!#REF!), "",IF(Games!#REF!="Y", Games!#REF!, Games!#REF!))</f>
        <v>#REF!</v>
      </c>
      <c r="K148" s="65" t="e">
        <f>Games!#REF!</f>
        <v>#REF!</v>
      </c>
      <c r="L148" s="65" t="e">
        <f>IF(ISBLANK(Games!#REF!), "",Games!#REF!)</f>
        <v>#REF!</v>
      </c>
      <c r="M148" s="65"/>
      <c r="N148" s="167" t="str">
        <f>IF(ISBLANK(Table123[[#This Row],[Odds Side - Difference Model]]), "", 1)</f>
      </c>
      <c r="O148" s="167" t="str">
        <f>IF(ISBLANK(Table123[[#This Row],[Odds Spread]]), "", 1)</f>
      </c>
      <c r="P148" s="67"/>
      <c r="Q148" s="67"/>
      <c r="R1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8" s="67"/>
      <c r="T148" s="67"/>
      <c r="U148" s="168" t="str">
        <f>IF(ISBLANK(Table123[[#This Row],[Odds Side - Difference Model]]), "",N148+IF(Q148&lt;0, (N148/(Q148/-100)), N148*(Q148/100)))</f>
      </c>
      <c r="V148" s="169" t="str">
        <f>IFERROR(IF(ISBLANK(Table123[[#This Row],[Odds Side - Win Probability Model]]), "",N148+IF(R148&lt;0, (N148/(R148/-100)), N148*(R148/100))),"")</f>
      </c>
      <c r="W148" s="168" t="str">
        <f t="shared" si="14"/>
      </c>
      <c r="X148" s="169" t="str">
        <f t="shared" si="15"/>
      </c>
      <c r="Y148" s="168" t="str">
        <f>IF(ISBLANK(Table123[[#This Row],[Odds Spread]]), "",O148+IF(S148&lt;0, (O148/(S148/-100)), O148*(S148/100)))</f>
      </c>
      <c r="Z148" s="168" t="str">
        <f t="shared" si="16"/>
      </c>
      <c r="AA148" s="68" t="n">
        <f t="shared" si="17"/>
        <v>0</v>
      </c>
      <c r="AB148" s="68" t="n">
        <f t="shared" si="18"/>
        <v>0</v>
      </c>
      <c r="AC148" s="170" t="e">
        <f>IF('Prediction Log'!#REF!="Y", "W", IF('Prediction Log'!#REF!="N","L",""))</f>
        <v>#REF!</v>
      </c>
      <c r="AD148" s="171" t="e">
        <f>IF('Prediction Log'!#REF!="Y", "W", IF('Prediction Log'!#REF!="N","L",""))</f>
        <v>#REF!</v>
      </c>
      <c r="AE148" s="172" t="str">
        <f>IF(ISBLANK(Table123[[#This Row],[Odds Side - Difference Model]]), "",IF(AC148="W", W148, IF(AC148="L",-N148, "")))</f>
      </c>
      <c r="AF148" s="173" t="str">
        <f>IFERROR((IF(ISERR(Table123[[#This Row],[Potential Payout Side - Win Probability Model]]), "",IF(AD148="W", X148, IF(AD148="L",-N148, "")))), "")</f>
      </c>
      <c r="AG148" s="170" t="e">
        <f>IF('Prediction Log'!#REF!="Y", "W", IF('Prediction Log'!#REF!="N", "L", ""))</f>
        <v>#REF!</v>
      </c>
      <c r="AH148" s="172" t="str">
        <f>IF(ISBLANK(Table123[[#This Row],[Odds Spread]]), "",IF(AG148="W", Z148, IF(AG148="L",-O148, "")))</f>
      </c>
      <c r="AI148" s="184"/>
      <c r="AJ148" s="183" t="str">
        <f t="shared" si="19"/>
      </c>
      <c r="AK1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9">
      <c r="A149" s="65" t="e">
        <f>Games!#REF!</f>
        <v>#REF!</v>
      </c>
      <c r="B149" s="65" t="e">
        <f>IF('Prediction Log'!#REF!=0, "",'Prediction Log'!#REF!)</f>
        <v>#REF!</v>
      </c>
      <c r="C149" s="65" t="e">
        <f>IF('Prediction Log'!#REF!=0, "",'Prediction Log'!#REF!)</f>
        <v>#REF!</v>
      </c>
      <c r="D149" s="65" t="e">
        <f>IF('Prediction Log'!#REF!=0, "",'Prediction Log'!#REF!)</f>
        <v>#REF!</v>
      </c>
      <c r="E149" s="65" t="e">
        <f>IF('Prediction Log'!#REF!=0, "",'Prediction Log'!#REF!)</f>
        <v>#REF!</v>
      </c>
      <c r="F149" s="65" t="e">
        <f>IF('Prediction Log'!#REF!=0, "",'Prediction Log'!#REF!)</f>
        <v>#REF!</v>
      </c>
      <c r="G149" s="64" t="e">
        <f>IF(ISBLANK(Games!#REF!), "",'Prediction Log'!#REF!)</f>
        <v>#REF!</v>
      </c>
      <c r="H149" s="66" t="e">
        <f>'Prediction Log'!#REF!</f>
        <v>#REF!</v>
      </c>
      <c r="I149" s="65" t="e">
        <f>IF(ISBLANK(Games!#REF!), "",IF(AND(Games!#REF!="",Games!#REF!=""),"",IF(ISTEXT(Games!#REF!), "Side",Games!#REF!)))</f>
        <v>#REF!</v>
      </c>
      <c r="J149" s="65" t="e">
        <f>IF(ISBLANK(Games!#REF!), "",IF(Games!#REF!="Y", Games!#REF!, Games!#REF!))</f>
        <v>#REF!</v>
      </c>
      <c r="K149" s="65" t="e">
        <f>Games!#REF!</f>
        <v>#REF!</v>
      </c>
      <c r="L149" s="65" t="e">
        <f>IF(ISBLANK(Games!#REF!), "",Games!#REF!)</f>
        <v>#REF!</v>
      </c>
      <c r="M149" s="65"/>
      <c r="N149" s="167" t="str">
        <f>IF(ISBLANK(Table123[[#This Row],[Odds Side - Difference Model]]), "", 1)</f>
      </c>
      <c r="O149" s="167" t="str">
        <f>IF(ISBLANK(Table123[[#This Row],[Odds Spread]]), "", 1)</f>
      </c>
      <c r="P149" s="67"/>
      <c r="Q149" s="67"/>
      <c r="R1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9" s="67"/>
      <c r="T149" s="67"/>
      <c r="U149" s="168" t="str">
        <f>IF(ISBLANK(Table123[[#This Row],[Odds Side - Difference Model]]), "",N149+IF(Q149&lt;0, (N149/(Q149/-100)), N149*(Q149/100)))</f>
      </c>
      <c r="V149" s="169" t="str">
        <f>IFERROR(IF(ISBLANK(Table123[[#This Row],[Odds Side - Win Probability Model]]), "",N149+IF(R149&lt;0, (N149/(R149/-100)), N149*(R149/100))),"")</f>
      </c>
      <c r="W149" s="168" t="str">
        <f t="shared" si="14"/>
      </c>
      <c r="X149" s="169" t="str">
        <f t="shared" si="15"/>
      </c>
      <c r="Y149" s="168" t="str">
        <f>IF(ISBLANK(Table123[[#This Row],[Odds Spread]]), "",O149+IF(S149&lt;0, (O149/(S149/-100)), O149*(S149/100)))</f>
      </c>
      <c r="Z149" s="168" t="str">
        <f t="shared" si="16"/>
      </c>
      <c r="AA149" s="68" t="n">
        <f t="shared" si="17"/>
        <v>0</v>
      </c>
      <c r="AB149" s="68" t="n">
        <f t="shared" si="18"/>
        <v>0</v>
      </c>
      <c r="AC149" s="170" t="e">
        <f>IF('Prediction Log'!#REF!="Y", "W", IF('Prediction Log'!#REF!="N","L",""))</f>
        <v>#REF!</v>
      </c>
      <c r="AD149" s="171" t="e">
        <f>IF('Prediction Log'!#REF!="Y", "W", IF('Prediction Log'!#REF!="N","L",""))</f>
        <v>#REF!</v>
      </c>
      <c r="AE149" s="172" t="str">
        <f>IF(ISBLANK(Table123[[#This Row],[Odds Side - Difference Model]]), "",IF(AC149="W", W149, IF(AC149="L",-N149, "")))</f>
      </c>
      <c r="AF149" s="173" t="str">
        <f>IFERROR((IF(ISERR(Table123[[#This Row],[Potential Payout Side - Win Probability Model]]), "",IF(AD149="W", X149, IF(AD149="L",-N149, "")))), "")</f>
      </c>
      <c r="AG149" s="170" t="e">
        <f>IF('Prediction Log'!#REF!="Y", "W", IF('Prediction Log'!#REF!="N", "L", ""))</f>
        <v>#REF!</v>
      </c>
      <c r="AH149" s="172" t="str">
        <f>IF(ISBLANK(Table123[[#This Row],[Odds Spread]]), "",IF(AG149="W", Z149, IF(AG149="L",-O149, "")))</f>
      </c>
      <c r="AI149" s="184"/>
      <c r="AJ149" s="183" t="str">
        <f t="shared" si="19"/>
      </c>
      <c r="AK1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0">
      <c r="A150" s="65" t="e">
        <f>Games!#REF!</f>
        <v>#REF!</v>
      </c>
      <c r="B150" s="65" t="e">
        <f>IF('Prediction Log'!#REF!=0, "",'Prediction Log'!#REF!)</f>
        <v>#REF!</v>
      </c>
      <c r="C150" s="65" t="e">
        <f>IF('Prediction Log'!#REF!=0, "",'Prediction Log'!#REF!)</f>
        <v>#REF!</v>
      </c>
      <c r="D150" s="65" t="e">
        <f>IF('Prediction Log'!#REF!=0, "",'Prediction Log'!#REF!)</f>
        <v>#REF!</v>
      </c>
      <c r="E150" s="65" t="e">
        <f>IF('Prediction Log'!#REF!=0, "",'Prediction Log'!#REF!)</f>
        <v>#REF!</v>
      </c>
      <c r="F150" s="65" t="e">
        <f>IF('Prediction Log'!#REF!=0, "",'Prediction Log'!#REF!)</f>
        <v>#REF!</v>
      </c>
      <c r="G150" s="64" t="e">
        <f>IF(ISBLANK(Games!#REF!), "",'Prediction Log'!#REF!)</f>
        <v>#REF!</v>
      </c>
      <c r="H150" s="66" t="e">
        <f>'Prediction Log'!#REF!</f>
        <v>#REF!</v>
      </c>
      <c r="I150" s="65" t="e">
        <f>IF(ISBLANK(Games!#REF!), "",IF(AND(Games!#REF!="",Games!#REF!=""),"",IF(ISTEXT(Games!#REF!), "Side",Games!#REF!)))</f>
        <v>#REF!</v>
      </c>
      <c r="J150" s="65" t="e">
        <f>IF(ISBLANK(Games!#REF!), "",IF(Games!#REF!="Y", Games!#REF!, Games!#REF!))</f>
        <v>#REF!</v>
      </c>
      <c r="K150" s="65" t="e">
        <f>Games!#REF!</f>
        <v>#REF!</v>
      </c>
      <c r="L150" s="65" t="e">
        <f>IF(ISBLANK(Games!#REF!), "",Games!#REF!)</f>
        <v>#REF!</v>
      </c>
      <c r="M150" s="65"/>
      <c r="N150" s="167" t="str">
        <f>IF(ISBLANK(Table123[[#This Row],[Odds Side - Difference Model]]), "", 1)</f>
      </c>
      <c r="O150" s="167" t="str">
        <f>IF(ISBLANK(Table123[[#This Row],[Odds Spread]]), "", 1)</f>
      </c>
      <c r="P150" s="67"/>
      <c r="Q150" s="67"/>
      <c r="R1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0" s="67"/>
      <c r="T150" s="67"/>
      <c r="U150" s="168" t="str">
        <f>IF(ISBLANK(Table123[[#This Row],[Odds Side - Difference Model]]), "",N150+IF(Q150&lt;0, (N150/(Q150/-100)), N150*(Q150/100)))</f>
      </c>
      <c r="V150" s="169" t="str">
        <f>IFERROR(IF(ISBLANK(Table123[[#This Row],[Odds Side - Win Probability Model]]), "",N150+IF(R150&lt;0, (N150/(R150/-100)), N150*(R150/100))),"")</f>
      </c>
      <c r="W150" s="168" t="str">
        <f t="shared" si="14"/>
      </c>
      <c r="X150" s="169" t="str">
        <f t="shared" si="15"/>
      </c>
      <c r="Y150" s="168" t="str">
        <f>IF(ISBLANK(Table123[[#This Row],[Odds Spread]]), "",O150+IF(S150&lt;0, (O150/(S150/-100)), O150*(S150/100)))</f>
      </c>
      <c r="Z150" s="168" t="str">
        <f t="shared" si="16"/>
      </c>
      <c r="AA150" s="68" t="n">
        <f t="shared" si="17"/>
        <v>0</v>
      </c>
      <c r="AB150" s="68" t="n">
        <f t="shared" si="18"/>
        <v>0</v>
      </c>
      <c r="AC150" s="170" t="e">
        <f>IF('Prediction Log'!#REF!="Y", "W", IF('Prediction Log'!#REF!="N","L",""))</f>
        <v>#REF!</v>
      </c>
      <c r="AD150" s="171" t="e">
        <f>IF('Prediction Log'!#REF!="Y", "W", IF('Prediction Log'!#REF!="N","L",""))</f>
        <v>#REF!</v>
      </c>
      <c r="AE150" s="172" t="str">
        <f>IF(ISBLANK(Table123[[#This Row],[Odds Side - Difference Model]]), "",IF(AC150="W", W150, IF(AC150="L",-N150, "")))</f>
      </c>
      <c r="AF150" s="173" t="str">
        <f>IFERROR((IF(ISERR(Table123[[#This Row],[Potential Payout Side - Win Probability Model]]), "",IF(AD150="W", X150, IF(AD150="L",-N150, "")))), "")</f>
      </c>
      <c r="AG150" s="170" t="e">
        <f>IF('Prediction Log'!#REF!="Y", "W", IF('Prediction Log'!#REF!="N", "L", ""))</f>
        <v>#REF!</v>
      </c>
      <c r="AH150" s="172" t="str">
        <f>IF(ISBLANK(Table123[[#This Row],[Odds Spread]]), "",IF(AG150="W", Z150, IF(AG150="L",-O150, "")))</f>
      </c>
      <c r="AI150" s="184"/>
      <c r="AJ150" s="183" t="str">
        <f t="shared" si="19"/>
      </c>
      <c r="AK1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1">
      <c r="A151" s="65" t="e">
        <f>Games!#REF!</f>
        <v>#REF!</v>
      </c>
      <c r="B151" s="65" t="e">
        <f>IF('Prediction Log'!#REF!=0, "",'Prediction Log'!#REF!)</f>
        <v>#REF!</v>
      </c>
      <c r="C151" s="65" t="e">
        <f>IF('Prediction Log'!#REF!=0, "",'Prediction Log'!#REF!)</f>
        <v>#REF!</v>
      </c>
      <c r="D151" s="65" t="e">
        <f>IF('Prediction Log'!#REF!=0, "",'Prediction Log'!#REF!)</f>
        <v>#REF!</v>
      </c>
      <c r="E151" s="65" t="e">
        <f>IF('Prediction Log'!#REF!=0, "",'Prediction Log'!#REF!)</f>
        <v>#REF!</v>
      </c>
      <c r="F151" s="65" t="e">
        <f>IF('Prediction Log'!#REF!=0, "",'Prediction Log'!#REF!)</f>
        <v>#REF!</v>
      </c>
      <c r="G151" s="64" t="e">
        <f>IF(ISBLANK(Games!#REF!), "",'Prediction Log'!#REF!)</f>
        <v>#REF!</v>
      </c>
      <c r="H151" s="66" t="e">
        <f>'Prediction Log'!#REF!</f>
        <v>#REF!</v>
      </c>
      <c r="I151" s="65" t="e">
        <f>IF(ISBLANK(Games!#REF!), "",IF(AND(Games!#REF!="",Games!#REF!=""),"",IF(ISTEXT(Games!#REF!), "Side",Games!#REF!)))</f>
        <v>#REF!</v>
      </c>
      <c r="J151" s="65" t="e">
        <f>IF(ISBLANK(Games!#REF!), "",IF(Games!#REF!="Y", Games!#REF!, Games!#REF!))</f>
        <v>#REF!</v>
      </c>
      <c r="K151" s="65" t="e">
        <f>Games!#REF!</f>
        <v>#REF!</v>
      </c>
      <c r="L151" s="65" t="e">
        <f>IF(ISBLANK(Games!#REF!), "",Games!#REF!)</f>
        <v>#REF!</v>
      </c>
      <c r="M151" s="65"/>
      <c r="N151" s="167" t="str">
        <f>IF(ISBLANK(Table123[[#This Row],[Odds Side - Difference Model]]), "", 1)</f>
      </c>
      <c r="O151" s="167" t="str">
        <f>IF(ISBLANK(Table123[[#This Row],[Odds Spread]]), "", 1)</f>
      </c>
      <c r="P151" s="67"/>
      <c r="Q151" s="67"/>
      <c r="R1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1" s="67"/>
      <c r="T151" s="67"/>
      <c r="U151" s="168" t="str">
        <f>IF(ISBLANK(Table123[[#This Row],[Odds Side - Difference Model]]), "",N151+IF(Q151&lt;0, (N151/(Q151/-100)), N151*(Q151/100)))</f>
      </c>
      <c r="V151" s="169" t="str">
        <f>IFERROR(IF(ISBLANK(Table123[[#This Row],[Odds Side - Win Probability Model]]), "",N151+IF(R151&lt;0, (N151/(R151/-100)), N151*(R151/100))),"")</f>
      </c>
      <c r="W151" s="168" t="str">
        <f t="shared" si="14"/>
      </c>
      <c r="X151" s="169" t="str">
        <f t="shared" si="15"/>
      </c>
      <c r="Y151" s="168" t="str">
        <f>IF(ISBLANK(Table123[[#This Row],[Odds Spread]]), "",O151+IF(S151&lt;0, (O151/(S151/-100)), O151*(S151/100)))</f>
      </c>
      <c r="Z151" s="168" t="str">
        <f t="shared" si="16"/>
      </c>
      <c r="AA151" s="68" t="n">
        <f t="shared" si="17"/>
        <v>0</v>
      </c>
      <c r="AB151" s="68" t="n">
        <f t="shared" si="18"/>
        <v>0</v>
      </c>
      <c r="AC151" s="170" t="e">
        <f>IF('Prediction Log'!#REF!="Y", "W", IF('Prediction Log'!#REF!="N","L",""))</f>
        <v>#REF!</v>
      </c>
      <c r="AD151" s="171" t="e">
        <f>IF('Prediction Log'!#REF!="Y", "W", IF('Prediction Log'!#REF!="N","L",""))</f>
        <v>#REF!</v>
      </c>
      <c r="AE151" s="172" t="str">
        <f>IF(ISBLANK(Table123[[#This Row],[Odds Side - Difference Model]]), "",IF(AC151="W", W151, IF(AC151="L",-N151, "")))</f>
      </c>
      <c r="AF151" s="173" t="str">
        <f>IFERROR((IF(ISERR(Table123[[#This Row],[Potential Payout Side - Win Probability Model]]), "",IF(AD151="W", X151, IF(AD151="L",-N151, "")))), "")</f>
      </c>
      <c r="AG151" s="170" t="e">
        <f>IF('Prediction Log'!#REF!="Y", "W", IF('Prediction Log'!#REF!="N", "L", ""))</f>
        <v>#REF!</v>
      </c>
      <c r="AH151" s="172" t="str">
        <f>IF(ISBLANK(Table123[[#This Row],[Odds Spread]]), "",IF(AG151="W", Z151, IF(AG151="L",-O151, "")))</f>
      </c>
      <c r="AI151" s="184"/>
      <c r="AJ151" s="183" t="str">
        <f t="shared" si="19"/>
      </c>
      <c r="AK1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2">
      <c r="A152" s="65" t="e">
        <f>Games!#REF!</f>
        <v>#REF!</v>
      </c>
      <c r="B152" s="65" t="e">
        <f>IF('Prediction Log'!#REF!=0, "",'Prediction Log'!#REF!)</f>
        <v>#REF!</v>
      </c>
      <c r="C152" s="65" t="e">
        <f>IF('Prediction Log'!#REF!=0, "",'Prediction Log'!#REF!)</f>
        <v>#REF!</v>
      </c>
      <c r="D152" s="65" t="e">
        <f>IF('Prediction Log'!#REF!=0, "",'Prediction Log'!#REF!)</f>
        <v>#REF!</v>
      </c>
      <c r="E152" s="65" t="e">
        <f>IF('Prediction Log'!#REF!=0, "",'Prediction Log'!#REF!)</f>
        <v>#REF!</v>
      </c>
      <c r="F152" s="65" t="e">
        <f>IF('Prediction Log'!#REF!=0, "",'Prediction Log'!#REF!)</f>
        <v>#REF!</v>
      </c>
      <c r="G152" s="64" t="e">
        <f>IF(ISBLANK(Games!#REF!), "",'Prediction Log'!#REF!)</f>
        <v>#REF!</v>
      </c>
      <c r="H152" s="66" t="e">
        <f>'Prediction Log'!#REF!</f>
        <v>#REF!</v>
      </c>
      <c r="I152" s="65" t="e">
        <f>IF(ISBLANK(Games!#REF!), "",IF(AND(Games!#REF!="",Games!#REF!=""),"",IF(ISTEXT(Games!#REF!), "Side",Games!#REF!)))</f>
        <v>#REF!</v>
      </c>
      <c r="J152" s="65" t="e">
        <f>IF(ISBLANK(Games!#REF!), "",IF(Games!#REF!="Y", Games!#REF!, Games!#REF!))</f>
        <v>#REF!</v>
      </c>
      <c r="K152" s="65" t="e">
        <f>Games!#REF!</f>
        <v>#REF!</v>
      </c>
      <c r="L152" s="65" t="e">
        <f>IF(ISBLANK(Games!#REF!), "",Games!#REF!)</f>
        <v>#REF!</v>
      </c>
      <c r="M152" s="65"/>
      <c r="N152" s="167" t="str">
        <f>IF(ISBLANK(Table123[[#This Row],[Odds Side - Difference Model]]), "", 1)</f>
      </c>
      <c r="O152" s="167" t="str">
        <f>IF(ISBLANK(Table123[[#This Row],[Odds Spread]]), "", 1)</f>
      </c>
      <c r="P152" s="67"/>
      <c r="Q152" s="67"/>
      <c r="R1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2" s="67"/>
      <c r="T152" s="67"/>
      <c r="U152" s="168" t="str">
        <f>IF(ISBLANK(Table123[[#This Row],[Odds Side - Difference Model]]), "",N152+IF(Q152&lt;0, (N152/(Q152/-100)), N152*(Q152/100)))</f>
      </c>
      <c r="V152" s="169" t="str">
        <f>IFERROR(IF(ISBLANK(Table123[[#This Row],[Odds Side - Win Probability Model]]), "",N152+IF(R152&lt;0, (N152/(R152/-100)), N152*(R152/100))),"")</f>
      </c>
      <c r="W152" s="168" t="str">
        <f t="shared" si="14"/>
      </c>
      <c r="X152" s="169" t="str">
        <f t="shared" si="15"/>
      </c>
      <c r="Y152" s="168" t="str">
        <f>IF(ISBLANK(Table123[[#This Row],[Odds Spread]]), "",O152+IF(S152&lt;0, (O152/(S152/-100)), O152*(S152/100)))</f>
      </c>
      <c r="Z152" s="168" t="str">
        <f t="shared" si="16"/>
      </c>
      <c r="AA152" s="68" t="n">
        <f t="shared" si="17"/>
        <v>0</v>
      </c>
      <c r="AB152" s="68" t="n">
        <f t="shared" si="18"/>
        <v>0</v>
      </c>
      <c r="AC152" s="170" t="e">
        <f>IF('Prediction Log'!#REF!="Y", "W", IF('Prediction Log'!#REF!="N","L",""))</f>
        <v>#REF!</v>
      </c>
      <c r="AD152" s="171" t="e">
        <f>IF('Prediction Log'!#REF!="Y", "W", IF('Prediction Log'!#REF!="N","L",""))</f>
        <v>#REF!</v>
      </c>
      <c r="AE152" s="172" t="str">
        <f>IF(ISBLANK(Table123[[#This Row],[Odds Side - Difference Model]]), "",IF(AC152="W", W152, IF(AC152="L",-N152, "")))</f>
      </c>
      <c r="AF152" s="173" t="str">
        <f>IFERROR((IF(ISERR(Table123[[#This Row],[Potential Payout Side - Win Probability Model]]), "",IF(AD152="W", X152, IF(AD152="L",-N152, "")))), "")</f>
      </c>
      <c r="AG152" s="170" t="e">
        <f>IF('Prediction Log'!#REF!="Y", "W", IF('Prediction Log'!#REF!="N", "L", ""))</f>
        <v>#REF!</v>
      </c>
      <c r="AH152" s="172" t="str">
        <f>IF(ISBLANK(Table123[[#This Row],[Odds Spread]]), "",IF(AG152="W", Z152, IF(AG152="L",-O152, "")))</f>
      </c>
      <c r="AI152" s="184"/>
      <c r="AJ152" s="183" t="str">
        <f t="shared" si="19"/>
      </c>
      <c r="AK1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3">
      <c r="A153" s="65" t="e">
        <f>Games!#REF!</f>
        <v>#REF!</v>
      </c>
      <c r="B153" s="65" t="e">
        <f>IF('Prediction Log'!#REF!=0, "",'Prediction Log'!#REF!)</f>
        <v>#REF!</v>
      </c>
      <c r="C153" s="65" t="e">
        <f>IF('Prediction Log'!#REF!=0, "",'Prediction Log'!#REF!)</f>
        <v>#REF!</v>
      </c>
      <c r="D153" s="65" t="e">
        <f>IF('Prediction Log'!#REF!=0, "",'Prediction Log'!#REF!)</f>
        <v>#REF!</v>
      </c>
      <c r="E153" s="65" t="e">
        <f>IF('Prediction Log'!#REF!=0, "",'Prediction Log'!#REF!)</f>
        <v>#REF!</v>
      </c>
      <c r="F153" s="65" t="e">
        <f>IF('Prediction Log'!#REF!=0, "",'Prediction Log'!#REF!)</f>
        <v>#REF!</v>
      </c>
      <c r="G153" s="64" t="e">
        <f>IF(ISBLANK(Games!#REF!), "",'Prediction Log'!#REF!)</f>
        <v>#REF!</v>
      </c>
      <c r="H153" s="66" t="e">
        <f>'Prediction Log'!#REF!</f>
        <v>#REF!</v>
      </c>
      <c r="I153" s="65" t="e">
        <f>IF(ISBLANK(Games!#REF!), "",IF(AND(Games!#REF!="",Games!#REF!=""),"",IF(ISTEXT(Games!#REF!), "Side",Games!#REF!)))</f>
        <v>#REF!</v>
      </c>
      <c r="J153" s="65" t="e">
        <f>IF(ISBLANK(Games!#REF!), "",IF(Games!#REF!="Y", Games!#REF!, Games!#REF!))</f>
        <v>#REF!</v>
      </c>
      <c r="K153" s="65" t="e">
        <f>Games!#REF!</f>
        <v>#REF!</v>
      </c>
      <c r="L153" s="65" t="e">
        <f>IF(ISBLANK(Games!#REF!), "",Games!#REF!)</f>
        <v>#REF!</v>
      </c>
      <c r="M153" s="65"/>
      <c r="N153" s="167" t="str">
        <f>IF(ISBLANK(Table123[[#This Row],[Odds Side - Difference Model]]), "", 1)</f>
      </c>
      <c r="O153" s="167" t="str">
        <f>IF(ISBLANK(Table123[[#This Row],[Odds Spread]]), "", 1)</f>
      </c>
      <c r="P153" s="67"/>
      <c r="Q153" s="67"/>
      <c r="R1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3" s="67"/>
      <c r="T153" s="67"/>
      <c r="U153" s="168" t="str">
        <f>IF(ISBLANK(Table123[[#This Row],[Odds Side - Difference Model]]), "",N153+IF(Q153&lt;0, (N153/(Q153/-100)), N153*(Q153/100)))</f>
      </c>
      <c r="V153" s="169" t="str">
        <f>IFERROR(IF(ISBLANK(Table123[[#This Row],[Odds Side - Win Probability Model]]), "",N153+IF(R153&lt;0, (N153/(R153/-100)), N153*(R153/100))),"")</f>
      </c>
      <c r="W153" s="168" t="str">
        <f t="shared" si="14"/>
      </c>
      <c r="X153" s="169" t="str">
        <f t="shared" si="15"/>
      </c>
      <c r="Y153" s="168" t="str">
        <f>IF(ISBLANK(Table123[[#This Row],[Odds Spread]]), "",O153+IF(S153&lt;0, (O153/(S153/-100)), O153*(S153/100)))</f>
      </c>
      <c r="Z153" s="168" t="str">
        <f t="shared" si="16"/>
      </c>
      <c r="AA153" s="68" t="n">
        <f t="shared" si="17"/>
        <v>0</v>
      </c>
      <c r="AB153" s="68" t="n">
        <f t="shared" si="18"/>
        <v>0</v>
      </c>
      <c r="AC153" s="170" t="e">
        <f>IF('Prediction Log'!#REF!="Y", "W", IF('Prediction Log'!#REF!="N","L",""))</f>
        <v>#REF!</v>
      </c>
      <c r="AD153" s="171" t="e">
        <f>IF('Prediction Log'!#REF!="Y", "W", IF('Prediction Log'!#REF!="N","L",""))</f>
        <v>#REF!</v>
      </c>
      <c r="AE153" s="172" t="str">
        <f>IF(ISBLANK(Table123[[#This Row],[Odds Side - Difference Model]]), "",IF(AC153="W", W153, IF(AC153="L",-N153, "")))</f>
      </c>
      <c r="AF153" s="173" t="str">
        <f>IFERROR((IF(ISERR(Table123[[#This Row],[Potential Payout Side - Win Probability Model]]), "",IF(AD153="W", X153, IF(AD153="L",-N153, "")))), "")</f>
      </c>
      <c r="AG153" s="170" t="e">
        <f>IF('Prediction Log'!#REF!="Y", "W", IF('Prediction Log'!#REF!="N", "L", ""))</f>
        <v>#REF!</v>
      </c>
      <c r="AH153" s="172" t="str">
        <f>IF(ISBLANK(Table123[[#This Row],[Odds Spread]]), "",IF(AG153="W", Z153, IF(AG153="L",-O153, "")))</f>
      </c>
      <c r="AI153" s="184"/>
      <c r="AJ153" s="183" t="str">
        <f t="shared" si="19"/>
      </c>
      <c r="AK1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4">
      <c r="A154" s="65" t="e">
        <f>Games!#REF!</f>
        <v>#REF!</v>
      </c>
      <c r="B154" s="65" t="e">
        <f>IF('Prediction Log'!#REF!=0, "",'Prediction Log'!#REF!)</f>
        <v>#REF!</v>
      </c>
      <c r="C154" s="65" t="e">
        <f>IF('Prediction Log'!#REF!=0, "",'Prediction Log'!#REF!)</f>
        <v>#REF!</v>
      </c>
      <c r="D154" s="65" t="e">
        <f>IF('Prediction Log'!#REF!=0, "",'Prediction Log'!#REF!)</f>
        <v>#REF!</v>
      </c>
      <c r="E154" s="65" t="e">
        <f>IF('Prediction Log'!#REF!=0, "",'Prediction Log'!#REF!)</f>
        <v>#REF!</v>
      </c>
      <c r="F154" s="65" t="e">
        <f>IF('Prediction Log'!#REF!=0, "",'Prediction Log'!#REF!)</f>
        <v>#REF!</v>
      </c>
      <c r="G154" s="64" t="e">
        <f>IF(ISBLANK(Games!#REF!), "",'Prediction Log'!#REF!)</f>
        <v>#REF!</v>
      </c>
      <c r="H154" s="66" t="e">
        <f>'Prediction Log'!#REF!</f>
        <v>#REF!</v>
      </c>
      <c r="I154" s="65" t="e">
        <f>IF(ISBLANK(Games!#REF!), "",IF(AND(Games!#REF!="",Games!#REF!=""),"",IF(ISTEXT(Games!#REF!), "Side",Games!#REF!)))</f>
        <v>#REF!</v>
      </c>
      <c r="J154" s="65" t="e">
        <f>IF(ISBLANK(Games!#REF!), "",IF(Games!#REF!="Y", Games!#REF!, Games!#REF!))</f>
        <v>#REF!</v>
      </c>
      <c r="K154" s="65" t="e">
        <f>Games!#REF!</f>
        <v>#REF!</v>
      </c>
      <c r="L154" s="65" t="e">
        <f>IF(ISBLANK(Games!#REF!), "",Games!#REF!)</f>
        <v>#REF!</v>
      </c>
      <c r="M154" s="65"/>
      <c r="N154" s="167" t="str">
        <f>IF(ISBLANK(Table123[[#This Row],[Odds Side - Difference Model]]), "", 1)</f>
      </c>
      <c r="O154" s="167" t="str">
        <f>IF(ISBLANK(Table123[[#This Row],[Odds Spread]]), "", 1)</f>
      </c>
      <c r="P154" s="67"/>
      <c r="Q154" s="67"/>
      <c r="R1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4" s="67"/>
      <c r="T154" s="67"/>
      <c r="U154" s="168" t="str">
        <f>IF(ISBLANK(Table123[[#This Row],[Odds Side - Difference Model]]), "",N154+IF(Q154&lt;0, (N154/(Q154/-100)), N154*(Q154/100)))</f>
      </c>
      <c r="V154" s="169" t="str">
        <f>IFERROR(IF(ISBLANK(Table123[[#This Row],[Odds Side - Win Probability Model]]), "",N154+IF(R154&lt;0, (N154/(R154/-100)), N154*(R154/100))),"")</f>
      </c>
      <c r="W154" s="168" t="str">
        <f t="shared" si="14"/>
      </c>
      <c r="X154" s="169" t="str">
        <f t="shared" si="15"/>
      </c>
      <c r="Y154" s="168" t="str">
        <f>IF(ISBLANK(Table123[[#This Row],[Odds Spread]]), "",O154+IF(S154&lt;0, (O154/(S154/-100)), O154*(S154/100)))</f>
      </c>
      <c r="Z154" s="168" t="str">
        <f t="shared" si="16"/>
      </c>
      <c r="AA154" s="68" t="n">
        <f t="shared" si="17"/>
        <v>0</v>
      </c>
      <c r="AB154" s="68" t="n">
        <f t="shared" si="18"/>
        <v>0</v>
      </c>
      <c r="AC154" s="170" t="e">
        <f>IF('Prediction Log'!#REF!="Y", "W", IF('Prediction Log'!#REF!="N","L",""))</f>
        <v>#REF!</v>
      </c>
      <c r="AD154" s="171" t="e">
        <f>IF('Prediction Log'!#REF!="Y", "W", IF('Prediction Log'!#REF!="N","L",""))</f>
        <v>#REF!</v>
      </c>
      <c r="AE154" s="172" t="str">
        <f>IF(ISBLANK(Table123[[#This Row],[Odds Side - Difference Model]]), "",IF(AC154="W", W154, IF(AC154="L",-N154, "")))</f>
      </c>
      <c r="AF154" s="173" t="str">
        <f>IFERROR((IF(ISERR(Table123[[#This Row],[Potential Payout Side - Win Probability Model]]), "",IF(AD154="W", X154, IF(AD154="L",-N154, "")))), "")</f>
      </c>
      <c r="AG154" s="170" t="e">
        <f>IF('Prediction Log'!#REF!="Y", "W", IF('Prediction Log'!#REF!="N", "L", ""))</f>
        <v>#REF!</v>
      </c>
      <c r="AH154" s="172" t="str">
        <f>IF(ISBLANK(Table123[[#This Row],[Odds Spread]]), "",IF(AG154="W", Z154, IF(AG154="L",-O154, "")))</f>
      </c>
      <c r="AI154" s="184"/>
      <c r="AJ154" s="183" t="str">
        <f t="shared" si="19"/>
      </c>
      <c r="AK1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5">
      <c r="A155" s="65" t="e">
        <f>Games!#REF!</f>
        <v>#REF!</v>
      </c>
      <c r="B155" s="65" t="e">
        <f>IF('Prediction Log'!#REF!=0, "",'Prediction Log'!#REF!)</f>
        <v>#REF!</v>
      </c>
      <c r="C155" s="65" t="e">
        <f>IF('Prediction Log'!#REF!=0, "",'Prediction Log'!#REF!)</f>
        <v>#REF!</v>
      </c>
      <c r="D155" s="65" t="e">
        <f>IF('Prediction Log'!#REF!=0, "",'Prediction Log'!#REF!)</f>
        <v>#REF!</v>
      </c>
      <c r="E155" s="65" t="e">
        <f>IF('Prediction Log'!#REF!=0, "",'Prediction Log'!#REF!)</f>
        <v>#REF!</v>
      </c>
      <c r="F155" s="65" t="e">
        <f>IF('Prediction Log'!#REF!=0, "",'Prediction Log'!#REF!)</f>
        <v>#REF!</v>
      </c>
      <c r="G155" s="64" t="e">
        <f>IF(ISBLANK(Games!#REF!), "",'Prediction Log'!#REF!)</f>
        <v>#REF!</v>
      </c>
      <c r="H155" s="66" t="e">
        <f>'Prediction Log'!#REF!</f>
        <v>#REF!</v>
      </c>
      <c r="I155" s="65" t="e">
        <f>IF(ISBLANK(Games!#REF!), "",IF(AND(Games!#REF!="",Games!#REF!=""),"",IF(ISTEXT(Games!#REF!), "Side",Games!#REF!)))</f>
        <v>#REF!</v>
      </c>
      <c r="J155" s="65" t="e">
        <f>IF(ISBLANK(Games!#REF!), "",IF(Games!#REF!="Y", Games!#REF!, Games!#REF!))</f>
        <v>#REF!</v>
      </c>
      <c r="K155" s="65" t="e">
        <f>Games!#REF!</f>
        <v>#REF!</v>
      </c>
      <c r="L155" s="65" t="e">
        <f>IF(ISBLANK(Games!#REF!), "",Games!#REF!)</f>
        <v>#REF!</v>
      </c>
      <c r="M155" s="65"/>
      <c r="N155" s="167" t="str">
        <f>IF(ISBLANK(Table123[[#This Row],[Odds Side - Difference Model]]), "", 1)</f>
      </c>
      <c r="O155" s="167" t="str">
        <f>IF(ISBLANK(Table123[[#This Row],[Odds Spread]]), "", 1)</f>
      </c>
      <c r="P155" s="67"/>
      <c r="Q155" s="67"/>
      <c r="R1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5" s="67"/>
      <c r="T155" s="67"/>
      <c r="U155" s="168" t="str">
        <f>IF(ISBLANK(Table123[[#This Row],[Odds Side - Difference Model]]), "",N155+IF(Q155&lt;0, (N155/(Q155/-100)), N155*(Q155/100)))</f>
      </c>
      <c r="V155" s="169" t="str">
        <f>IFERROR(IF(ISBLANK(Table123[[#This Row],[Odds Side - Win Probability Model]]), "",N155+IF(R155&lt;0, (N155/(R155/-100)), N155*(R155/100))),"")</f>
      </c>
      <c r="W155" s="168" t="str">
        <f t="shared" si="14"/>
      </c>
      <c r="X155" s="169" t="str">
        <f t="shared" si="15"/>
      </c>
      <c r="Y155" s="168" t="str">
        <f>IF(ISBLANK(Table123[[#This Row],[Odds Spread]]), "",O155+IF(S155&lt;0, (O155/(S155/-100)), O155*(S155/100)))</f>
      </c>
      <c r="Z155" s="168" t="str">
        <f t="shared" si="16"/>
      </c>
      <c r="AA155" s="68" t="n">
        <f t="shared" si="17"/>
        <v>0</v>
      </c>
      <c r="AB155" s="68" t="n">
        <f t="shared" si="18"/>
        <v>0</v>
      </c>
      <c r="AC155" s="170" t="e">
        <f>IF('Prediction Log'!#REF!="Y", "W", IF('Prediction Log'!#REF!="N","L",""))</f>
        <v>#REF!</v>
      </c>
      <c r="AD155" s="171" t="e">
        <f>IF('Prediction Log'!#REF!="Y", "W", IF('Prediction Log'!#REF!="N","L",""))</f>
        <v>#REF!</v>
      </c>
      <c r="AE155" s="172" t="str">
        <f>IF(ISBLANK(Table123[[#This Row],[Odds Side - Difference Model]]), "",IF(AC155="W", W155, IF(AC155="L",-N155, "")))</f>
      </c>
      <c r="AF155" s="173" t="str">
        <f>IFERROR((IF(ISERR(Table123[[#This Row],[Potential Payout Side - Win Probability Model]]), "",IF(AD155="W", X155, IF(AD155="L",-N155, "")))), "")</f>
      </c>
      <c r="AG155" s="170" t="e">
        <f>IF('Prediction Log'!#REF!="Y", "W", IF('Prediction Log'!#REF!="N", "L", ""))</f>
        <v>#REF!</v>
      </c>
      <c r="AH155" s="172" t="str">
        <f>IF(ISBLANK(Table123[[#This Row],[Odds Spread]]), "",IF(AG155="W", Z155, IF(AG155="L",-O155, "")))</f>
      </c>
      <c r="AI155" s="184"/>
      <c r="AJ155" s="183" t="str">
        <f t="shared" si="19"/>
      </c>
      <c r="AK1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6">
      <c r="A156" s="65" t="e">
        <f>Games!#REF!</f>
        <v>#REF!</v>
      </c>
      <c r="B156" s="65" t="e">
        <f>IF('Prediction Log'!#REF!=0, "",'Prediction Log'!#REF!)</f>
        <v>#REF!</v>
      </c>
      <c r="C156" s="65" t="e">
        <f>IF('Prediction Log'!#REF!=0, "",'Prediction Log'!#REF!)</f>
        <v>#REF!</v>
      </c>
      <c r="D156" s="65" t="e">
        <f>IF('Prediction Log'!#REF!=0, "",'Prediction Log'!#REF!)</f>
        <v>#REF!</v>
      </c>
      <c r="E156" s="65" t="e">
        <f>IF('Prediction Log'!#REF!=0, "",'Prediction Log'!#REF!)</f>
        <v>#REF!</v>
      </c>
      <c r="F156" s="65" t="e">
        <f>IF('Prediction Log'!#REF!=0, "",'Prediction Log'!#REF!)</f>
        <v>#REF!</v>
      </c>
      <c r="G156" s="64" t="e">
        <f>IF(ISBLANK(Games!#REF!), "",'Prediction Log'!#REF!)</f>
        <v>#REF!</v>
      </c>
      <c r="H156" s="66" t="e">
        <f>'Prediction Log'!#REF!</f>
        <v>#REF!</v>
      </c>
      <c r="I156" s="65" t="e">
        <f>IF(ISBLANK(Games!#REF!), "",IF(AND(Games!#REF!="",Games!#REF!=""),"",IF(ISTEXT(Games!#REF!), "Side",Games!#REF!)))</f>
        <v>#REF!</v>
      </c>
      <c r="J156" s="65" t="e">
        <f>IF(ISBLANK(Games!#REF!), "",IF(Games!#REF!="Y", Games!#REF!, Games!#REF!))</f>
        <v>#REF!</v>
      </c>
      <c r="K156" s="65" t="e">
        <f>Games!#REF!</f>
        <v>#REF!</v>
      </c>
      <c r="L156" s="65" t="e">
        <f>IF(ISBLANK(Games!#REF!), "",Games!#REF!)</f>
        <v>#REF!</v>
      </c>
      <c r="M156" s="65"/>
      <c r="N156" s="167" t="str">
        <f>IF(ISBLANK(Table123[[#This Row],[Odds Side - Difference Model]]), "", 1)</f>
      </c>
      <c r="O156" s="167" t="str">
        <f>IF(ISBLANK(Table123[[#This Row],[Odds Spread]]), "", 1)</f>
      </c>
      <c r="P156" s="67"/>
      <c r="Q156" s="67"/>
      <c r="R1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6" s="67"/>
      <c r="T156" s="67"/>
      <c r="U156" s="168" t="str">
        <f>IF(ISBLANK(Table123[[#This Row],[Odds Side - Difference Model]]), "",N156+IF(Q156&lt;0, (N156/(Q156/-100)), N156*(Q156/100)))</f>
      </c>
      <c r="V156" s="169" t="str">
        <f>IFERROR(IF(ISBLANK(Table123[[#This Row],[Odds Side - Win Probability Model]]), "",N156+IF(R156&lt;0, (N156/(R156/-100)), N156*(R156/100))),"")</f>
      </c>
      <c r="W156" s="168" t="str">
        <f t="shared" si="14"/>
      </c>
      <c r="X156" s="169" t="str">
        <f t="shared" si="15"/>
      </c>
      <c r="Y156" s="168" t="str">
        <f>IF(ISBLANK(Table123[[#This Row],[Odds Spread]]), "",O156+IF(S156&lt;0, (O156/(S156/-100)), O156*(S156/100)))</f>
      </c>
      <c r="Z156" s="168" t="str">
        <f t="shared" si="16"/>
      </c>
      <c r="AA156" s="68" t="n">
        <f t="shared" si="17"/>
        <v>0</v>
      </c>
      <c r="AB156" s="68" t="n">
        <f t="shared" si="18"/>
        <v>0</v>
      </c>
      <c r="AC156" s="170" t="e">
        <f>IF('Prediction Log'!#REF!="Y", "W", IF('Prediction Log'!#REF!="N","L",""))</f>
        <v>#REF!</v>
      </c>
      <c r="AD156" s="171" t="e">
        <f>IF('Prediction Log'!#REF!="Y", "W", IF('Prediction Log'!#REF!="N","L",""))</f>
        <v>#REF!</v>
      </c>
      <c r="AE156" s="172" t="str">
        <f>IF(ISBLANK(Table123[[#This Row],[Odds Side - Difference Model]]), "",IF(AC156="W", W156, IF(AC156="L",-N156, "")))</f>
      </c>
      <c r="AF156" s="173" t="str">
        <f>IFERROR((IF(ISERR(Table123[[#This Row],[Potential Payout Side - Win Probability Model]]), "",IF(AD156="W", X156, IF(AD156="L",-N156, "")))), "")</f>
      </c>
      <c r="AG156" s="170" t="e">
        <f>IF('Prediction Log'!#REF!="Y", "W", IF('Prediction Log'!#REF!="N", "L", ""))</f>
        <v>#REF!</v>
      </c>
      <c r="AH156" s="172" t="str">
        <f>IF(ISBLANK(Table123[[#This Row],[Odds Spread]]), "",IF(AG156="W", Z156, IF(AG156="L",-O156, "")))</f>
      </c>
      <c r="AI156" s="184"/>
      <c r="AJ156" s="183" t="str">
        <f t="shared" si="19"/>
      </c>
      <c r="AK1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7">
      <c r="A157" s="65" t="e">
        <f>Games!#REF!</f>
        <v>#REF!</v>
      </c>
      <c r="B157" s="65" t="e">
        <f>IF('Prediction Log'!#REF!=0, "",'Prediction Log'!#REF!)</f>
        <v>#REF!</v>
      </c>
      <c r="C157" s="65" t="e">
        <f>IF('Prediction Log'!#REF!=0, "",'Prediction Log'!#REF!)</f>
        <v>#REF!</v>
      </c>
      <c r="D157" s="65" t="e">
        <f>IF('Prediction Log'!#REF!=0, "",'Prediction Log'!#REF!)</f>
        <v>#REF!</v>
      </c>
      <c r="E157" s="65" t="e">
        <f>IF('Prediction Log'!#REF!=0, "",'Prediction Log'!#REF!)</f>
        <v>#REF!</v>
      </c>
      <c r="F157" s="65" t="e">
        <f>IF('Prediction Log'!#REF!=0, "",'Prediction Log'!#REF!)</f>
        <v>#REF!</v>
      </c>
      <c r="G157" s="64" t="e">
        <f>IF(ISBLANK(Games!#REF!), "",'Prediction Log'!#REF!)</f>
        <v>#REF!</v>
      </c>
      <c r="H157" s="66" t="e">
        <f>'Prediction Log'!#REF!</f>
        <v>#REF!</v>
      </c>
      <c r="I157" s="65" t="e">
        <f>IF(ISBLANK(Games!#REF!), "",IF(AND(Games!#REF!="",Games!#REF!=""),"",IF(ISTEXT(Games!#REF!), "Side",Games!#REF!)))</f>
        <v>#REF!</v>
      </c>
      <c r="J157" s="65" t="e">
        <f>IF(ISBLANK(Games!#REF!), "",IF(Games!#REF!="Y", Games!#REF!, Games!#REF!))</f>
        <v>#REF!</v>
      </c>
      <c r="K157" s="65" t="e">
        <f>Games!#REF!</f>
        <v>#REF!</v>
      </c>
      <c r="L157" s="65" t="e">
        <f>IF(ISBLANK(Games!#REF!), "",Games!#REF!)</f>
        <v>#REF!</v>
      </c>
      <c r="M157" s="65"/>
      <c r="N157" s="167" t="str">
        <f>IF(ISBLANK(Table123[[#This Row],[Odds Side - Difference Model]]), "", 1)</f>
      </c>
      <c r="O157" s="167" t="str">
        <f>IF(ISBLANK(Table123[[#This Row],[Odds Spread]]), "", 1)</f>
      </c>
      <c r="P157" s="67"/>
      <c r="Q157" s="67"/>
      <c r="R1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7" s="67"/>
      <c r="T157" s="67"/>
      <c r="U157" s="168" t="str">
        <f>IF(ISBLANK(Table123[[#This Row],[Odds Side - Difference Model]]), "",N157+IF(Q157&lt;0, (N157/(Q157/-100)), N157*(Q157/100)))</f>
      </c>
      <c r="V157" s="169" t="str">
        <f>IFERROR(IF(ISBLANK(Table123[[#This Row],[Odds Side - Win Probability Model]]), "",N157+IF(R157&lt;0, (N157/(R157/-100)), N157*(R157/100))),"")</f>
      </c>
      <c r="W157" s="168" t="str">
        <f t="shared" si="14"/>
      </c>
      <c r="X157" s="169" t="str">
        <f t="shared" si="15"/>
      </c>
      <c r="Y157" s="168" t="str">
        <f>IF(ISBLANK(Table123[[#This Row],[Odds Spread]]), "",O157+IF(S157&lt;0, (O157/(S157/-100)), O157*(S157/100)))</f>
      </c>
      <c r="Z157" s="168" t="str">
        <f t="shared" si="16"/>
      </c>
      <c r="AA157" s="68" t="n">
        <f t="shared" si="17"/>
        <v>0</v>
      </c>
      <c r="AB157" s="68" t="n">
        <f t="shared" si="18"/>
        <v>0</v>
      </c>
      <c r="AC157" s="170" t="e">
        <f>IF('Prediction Log'!#REF!="Y", "W", IF('Prediction Log'!#REF!="N","L",""))</f>
        <v>#REF!</v>
      </c>
      <c r="AD157" s="171" t="e">
        <f>IF('Prediction Log'!#REF!="Y", "W", IF('Prediction Log'!#REF!="N","L",""))</f>
        <v>#REF!</v>
      </c>
      <c r="AE157" s="172" t="str">
        <f>IF(ISBLANK(Table123[[#This Row],[Odds Side - Difference Model]]), "",IF(AC157="W", W157, IF(AC157="L",-N157, "")))</f>
      </c>
      <c r="AF157" s="173" t="str">
        <f>IFERROR((IF(ISERR(Table123[[#This Row],[Potential Payout Side - Win Probability Model]]), "",IF(AD157="W", X157, IF(AD157="L",-N157, "")))), "")</f>
      </c>
      <c r="AG157" s="170" t="e">
        <f>IF('Prediction Log'!#REF!="Y", "W", IF('Prediction Log'!#REF!="N", "L", ""))</f>
        <v>#REF!</v>
      </c>
      <c r="AH157" s="172" t="str">
        <f>IF(ISBLANK(Table123[[#This Row],[Odds Spread]]), "",IF(AG157="W", Z157, IF(AG157="L",-O157, "")))</f>
      </c>
      <c r="AI157" s="184"/>
      <c r="AJ157" s="183" t="str">
        <f t="shared" si="19"/>
      </c>
      <c r="AK1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8">
      <c r="A158" s="65" t="e">
        <f>Games!#REF!</f>
        <v>#REF!</v>
      </c>
      <c r="B158" s="65" t="e">
        <f>IF('Prediction Log'!#REF!=0, "",'Prediction Log'!#REF!)</f>
        <v>#REF!</v>
      </c>
      <c r="C158" s="65" t="e">
        <f>IF('Prediction Log'!#REF!=0, "",'Prediction Log'!#REF!)</f>
        <v>#REF!</v>
      </c>
      <c r="D158" s="65" t="e">
        <f>IF('Prediction Log'!#REF!=0, "",'Prediction Log'!#REF!)</f>
        <v>#REF!</v>
      </c>
      <c r="E158" s="65" t="e">
        <f>IF('Prediction Log'!#REF!=0, "",'Prediction Log'!#REF!)</f>
        <v>#REF!</v>
      </c>
      <c r="F158" s="65" t="e">
        <f>IF('Prediction Log'!#REF!=0, "",'Prediction Log'!#REF!)</f>
        <v>#REF!</v>
      </c>
      <c r="G158" s="64" t="e">
        <f>IF(ISBLANK(Games!#REF!), "",'Prediction Log'!#REF!)</f>
        <v>#REF!</v>
      </c>
      <c r="H158" s="66" t="e">
        <f>'Prediction Log'!#REF!</f>
        <v>#REF!</v>
      </c>
      <c r="I158" s="65" t="e">
        <f>IF(ISBLANK(Games!#REF!), "",IF(AND(Games!#REF!="",Games!#REF!=""),"",IF(ISTEXT(Games!#REF!), "Side",Games!#REF!)))</f>
        <v>#REF!</v>
      </c>
      <c r="J158" s="65" t="e">
        <f>IF(ISBLANK(Games!#REF!), "",IF(Games!#REF!="Y", Games!#REF!, Games!#REF!))</f>
        <v>#REF!</v>
      </c>
      <c r="K158" s="65" t="e">
        <f>Games!#REF!</f>
        <v>#REF!</v>
      </c>
      <c r="L158" s="65" t="e">
        <f>IF(ISBLANK(Games!#REF!), "",Games!#REF!)</f>
        <v>#REF!</v>
      </c>
      <c r="M158" s="65"/>
      <c r="N158" s="167" t="str">
        <f>IF(ISBLANK(Table123[[#This Row],[Odds Side - Difference Model]]), "", 1)</f>
      </c>
      <c r="O158" s="167" t="str">
        <f>IF(ISBLANK(Table123[[#This Row],[Odds Spread]]), "", 1)</f>
      </c>
      <c r="P158" s="67"/>
      <c r="Q158" s="67"/>
      <c r="R1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8" s="67"/>
      <c r="T158" s="67"/>
      <c r="U158" s="168" t="str">
        <f>IF(ISBLANK(Table123[[#This Row],[Odds Side - Difference Model]]), "",N158+IF(Q158&lt;0, (N158/(Q158/-100)), N158*(Q158/100)))</f>
      </c>
      <c r="V158" s="169" t="str">
        <f>IFERROR(IF(ISBLANK(Table123[[#This Row],[Odds Side - Win Probability Model]]), "",N158+IF(R158&lt;0, (N158/(R158/-100)), N158*(R158/100))),"")</f>
      </c>
      <c r="W158" s="168" t="str">
        <f t="shared" si="14"/>
      </c>
      <c r="X158" s="169" t="str">
        <f t="shared" si="15"/>
      </c>
      <c r="Y158" s="168" t="str">
        <f>IF(ISBLANK(Table123[[#This Row],[Odds Spread]]), "",O158+IF(S158&lt;0, (O158/(S158/-100)), O158*(S158/100)))</f>
      </c>
      <c r="Z158" s="168" t="str">
        <f t="shared" si="16"/>
      </c>
      <c r="AA158" s="68" t="n">
        <f t="shared" si="17"/>
        <v>0</v>
      </c>
      <c r="AB158" s="68" t="n">
        <f t="shared" si="18"/>
        <v>0</v>
      </c>
      <c r="AC158" s="170" t="e">
        <f>IF('Prediction Log'!#REF!="Y", "W", IF('Prediction Log'!#REF!="N","L",""))</f>
        <v>#REF!</v>
      </c>
      <c r="AD158" s="171" t="e">
        <f>IF('Prediction Log'!#REF!="Y", "W", IF('Prediction Log'!#REF!="N","L",""))</f>
        <v>#REF!</v>
      </c>
      <c r="AE158" s="172" t="str">
        <f>IF(ISBLANK(Table123[[#This Row],[Odds Side - Difference Model]]), "",IF(AC158="W", W158, IF(AC158="L",-N158, "")))</f>
      </c>
      <c r="AF158" s="173" t="str">
        <f>IFERROR((IF(ISERR(Table123[[#This Row],[Potential Payout Side - Win Probability Model]]), "",IF(AD158="W", X158, IF(AD158="L",-N158, "")))), "")</f>
      </c>
      <c r="AG158" s="170" t="e">
        <f>IF('Prediction Log'!#REF!="Y", "W", IF('Prediction Log'!#REF!="N", "L", ""))</f>
        <v>#REF!</v>
      </c>
      <c r="AH158" s="172" t="str">
        <f>IF(ISBLANK(Table123[[#This Row],[Odds Spread]]), "",IF(AG158="W", Z158, IF(AG158="L",-O158, "")))</f>
      </c>
      <c r="AI158" s="184"/>
      <c r="AJ158" s="183" t="str">
        <f t="shared" si="19"/>
      </c>
      <c r="AK1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9">
      <c r="A159" s="65" t="e">
        <f>Games!#REF!</f>
        <v>#REF!</v>
      </c>
      <c r="B159" s="65" t="e">
        <f>IF('Prediction Log'!#REF!=0, "",'Prediction Log'!#REF!)</f>
        <v>#REF!</v>
      </c>
      <c r="C159" s="65" t="e">
        <f>IF('Prediction Log'!#REF!=0, "",'Prediction Log'!#REF!)</f>
        <v>#REF!</v>
      </c>
      <c r="D159" s="65" t="e">
        <f>IF('Prediction Log'!#REF!=0, "",'Prediction Log'!#REF!)</f>
        <v>#REF!</v>
      </c>
      <c r="E159" s="65" t="e">
        <f>IF('Prediction Log'!#REF!=0, "",'Prediction Log'!#REF!)</f>
        <v>#REF!</v>
      </c>
      <c r="F159" s="65" t="e">
        <f>IF('Prediction Log'!#REF!=0, "",'Prediction Log'!#REF!)</f>
        <v>#REF!</v>
      </c>
      <c r="G159" s="64" t="e">
        <f>IF(ISBLANK(Games!#REF!), "",'Prediction Log'!#REF!)</f>
        <v>#REF!</v>
      </c>
      <c r="H159" s="66" t="e">
        <f>'Prediction Log'!#REF!</f>
        <v>#REF!</v>
      </c>
      <c r="I159" s="65" t="e">
        <f>IF(ISBLANK(Games!#REF!), "",IF(AND(Games!#REF!="",Games!#REF!=""),"",IF(ISTEXT(Games!#REF!), "Side",Games!#REF!)))</f>
        <v>#REF!</v>
      </c>
      <c r="J159" s="65" t="e">
        <f>IF(ISBLANK(Games!#REF!), "",IF(Games!#REF!="Y", Games!#REF!, Games!#REF!))</f>
        <v>#REF!</v>
      </c>
      <c r="K159" s="65" t="e">
        <f>Games!#REF!</f>
        <v>#REF!</v>
      </c>
      <c r="L159" s="65" t="e">
        <f>IF(ISBLANK(Games!#REF!), "",Games!#REF!)</f>
        <v>#REF!</v>
      </c>
      <c r="M159" s="65"/>
      <c r="N159" s="167" t="str">
        <f>IF(ISBLANK(Table123[[#This Row],[Odds Side - Difference Model]]), "", 1)</f>
      </c>
      <c r="O159" s="167" t="str">
        <f>IF(ISBLANK(Table123[[#This Row],[Odds Spread]]), "", 1)</f>
      </c>
      <c r="P159" s="67"/>
      <c r="Q159" s="67"/>
      <c r="R1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9" s="67"/>
      <c r="T159" s="67"/>
      <c r="U159" s="168" t="str">
        <f>IF(ISBLANK(Table123[[#This Row],[Odds Side - Difference Model]]), "",N159+IF(Q159&lt;0, (N159/(Q159/-100)), N159*(Q159/100)))</f>
      </c>
      <c r="V159" s="169" t="str">
        <f>IFERROR(IF(ISBLANK(Table123[[#This Row],[Odds Side - Win Probability Model]]), "",N159+IF(R159&lt;0, (N159/(R159/-100)), N159*(R159/100))),"")</f>
      </c>
      <c r="W159" s="168" t="str">
        <f t="shared" si="14"/>
      </c>
      <c r="X159" s="169" t="str">
        <f t="shared" si="15"/>
      </c>
      <c r="Y159" s="168" t="str">
        <f>IF(ISBLANK(Table123[[#This Row],[Odds Spread]]), "",O159+IF(S159&lt;0, (O159/(S159/-100)), O159*(S159/100)))</f>
      </c>
      <c r="Z159" s="168" t="str">
        <f t="shared" si="16"/>
      </c>
      <c r="AA159" s="68" t="n">
        <f t="shared" si="17"/>
        <v>0</v>
      </c>
      <c r="AB159" s="68" t="n">
        <f t="shared" si="18"/>
        <v>0</v>
      </c>
      <c r="AC159" s="170" t="e">
        <f>IF('Prediction Log'!#REF!="Y", "W", IF('Prediction Log'!#REF!="N","L",""))</f>
        <v>#REF!</v>
      </c>
      <c r="AD159" s="171" t="e">
        <f>IF('Prediction Log'!#REF!="Y", "W", IF('Prediction Log'!#REF!="N","L",""))</f>
        <v>#REF!</v>
      </c>
      <c r="AE159" s="172" t="str">
        <f>IF(ISBLANK(Table123[[#This Row],[Odds Side - Difference Model]]), "",IF(AC159="W", W159, IF(AC159="L",-N159, "")))</f>
      </c>
      <c r="AF159" s="173" t="str">
        <f>IFERROR((IF(ISERR(Table123[[#This Row],[Potential Payout Side - Win Probability Model]]), "",IF(AD159="W", X159, IF(AD159="L",-N159, "")))), "")</f>
      </c>
      <c r="AG159" s="170" t="e">
        <f>IF('Prediction Log'!#REF!="Y", "W", IF('Prediction Log'!#REF!="N", "L", ""))</f>
        <v>#REF!</v>
      </c>
      <c r="AH159" s="172" t="str">
        <f>IF(ISBLANK(Table123[[#This Row],[Odds Spread]]), "",IF(AG159="W", Z159, IF(AG159="L",-O159, "")))</f>
      </c>
      <c r="AI159" s="184"/>
      <c r="AJ159" s="183" t="str">
        <f t="shared" si="19"/>
      </c>
      <c r="AK1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0">
      <c r="A160" s="65" t="e">
        <f>Games!#REF!</f>
        <v>#REF!</v>
      </c>
      <c r="B160" s="65" t="e">
        <f>IF('Prediction Log'!#REF!=0, "",'Prediction Log'!#REF!)</f>
        <v>#REF!</v>
      </c>
      <c r="C160" s="65" t="e">
        <f>IF('Prediction Log'!#REF!=0, "",'Prediction Log'!#REF!)</f>
        <v>#REF!</v>
      </c>
      <c r="D160" s="65" t="e">
        <f>IF('Prediction Log'!#REF!=0, "",'Prediction Log'!#REF!)</f>
        <v>#REF!</v>
      </c>
      <c r="E160" s="65" t="e">
        <f>IF('Prediction Log'!#REF!=0, "",'Prediction Log'!#REF!)</f>
        <v>#REF!</v>
      </c>
      <c r="F160" s="65" t="e">
        <f>IF('Prediction Log'!#REF!=0, "",'Prediction Log'!#REF!)</f>
        <v>#REF!</v>
      </c>
      <c r="G160" s="64" t="e">
        <f>IF(ISBLANK(Games!#REF!), "",'Prediction Log'!#REF!)</f>
        <v>#REF!</v>
      </c>
      <c r="H160" s="66" t="e">
        <f>'Prediction Log'!#REF!</f>
        <v>#REF!</v>
      </c>
      <c r="I160" s="65" t="e">
        <f>IF(ISBLANK(Games!#REF!), "",IF(AND(Games!#REF!="",Games!#REF!=""),"",IF(ISTEXT(Games!#REF!), "Side",Games!#REF!)))</f>
        <v>#REF!</v>
      </c>
      <c r="J160" s="65" t="e">
        <f>IF(ISBLANK(Games!#REF!), "",IF(Games!#REF!="Y", Games!#REF!, Games!#REF!))</f>
        <v>#REF!</v>
      </c>
      <c r="K160" s="65" t="e">
        <f>Games!#REF!</f>
        <v>#REF!</v>
      </c>
      <c r="L160" s="65" t="e">
        <f>IF(ISBLANK(Games!#REF!), "",Games!#REF!)</f>
        <v>#REF!</v>
      </c>
      <c r="M160" s="65"/>
      <c r="N160" s="167" t="str">
        <f>IF(ISBLANK(Table123[[#This Row],[Odds Side - Difference Model]]), "", 1)</f>
      </c>
      <c r="O160" s="167" t="str">
        <f>IF(ISBLANK(Table123[[#This Row],[Odds Spread]]), "", 1)</f>
      </c>
      <c r="P160" s="67"/>
      <c r="Q160" s="67"/>
      <c r="R1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0" s="67"/>
      <c r="T160" s="67"/>
      <c r="U160" s="168" t="str">
        <f>IF(ISBLANK(Table123[[#This Row],[Odds Side - Difference Model]]), "",N160+IF(Q160&lt;0, (N160/(Q160/-100)), N160*(Q160/100)))</f>
      </c>
      <c r="V160" s="169" t="str">
        <f>IFERROR(IF(ISBLANK(Table123[[#This Row],[Odds Side - Win Probability Model]]), "",N160+IF(R160&lt;0, (N160/(R160/-100)), N160*(R160/100))),"")</f>
      </c>
      <c r="W160" s="168" t="str">
        <f t="shared" si="14"/>
      </c>
      <c r="X160" s="169" t="str">
        <f t="shared" si="15"/>
      </c>
      <c r="Y160" s="168" t="str">
        <f>IF(ISBLANK(Table123[[#This Row],[Odds Spread]]), "",O160+IF(S160&lt;0, (O160/(S160/-100)), O160*(S160/100)))</f>
      </c>
      <c r="Z160" s="168" t="str">
        <f t="shared" si="16"/>
      </c>
      <c r="AA160" s="68" t="n">
        <f t="shared" si="17"/>
        <v>0</v>
      </c>
      <c r="AB160" s="68" t="n">
        <f t="shared" si="18"/>
        <v>0</v>
      </c>
      <c r="AC160" s="170" t="e">
        <f>IF('Prediction Log'!#REF!="Y", "W", IF('Prediction Log'!#REF!="N","L",""))</f>
        <v>#REF!</v>
      </c>
      <c r="AD160" s="171" t="e">
        <f>IF('Prediction Log'!#REF!="Y", "W", IF('Prediction Log'!#REF!="N","L",""))</f>
        <v>#REF!</v>
      </c>
      <c r="AE160" s="172" t="str">
        <f>IF(ISBLANK(Table123[[#This Row],[Odds Side - Difference Model]]), "",IF(AC160="W", W160, IF(AC160="L",-N160, "")))</f>
      </c>
      <c r="AF160" s="173" t="str">
        <f>IFERROR((IF(ISERR(Table123[[#This Row],[Potential Payout Side - Win Probability Model]]), "",IF(AD160="W", X160, IF(AD160="L",-N160, "")))), "")</f>
      </c>
      <c r="AG160" s="170" t="e">
        <f>IF('Prediction Log'!#REF!="Y", "W", IF('Prediction Log'!#REF!="N", "L", ""))</f>
        <v>#REF!</v>
      </c>
      <c r="AH160" s="172" t="str">
        <f>IF(ISBLANK(Table123[[#This Row],[Odds Spread]]), "",IF(AG160="W", Z160, IF(AG160="L",-O160, "")))</f>
      </c>
      <c r="AI160" s="184"/>
      <c r="AJ160" s="183" t="str">
        <f t="shared" si="19"/>
      </c>
      <c r="AK1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1">
      <c r="A161" s="65" t="e">
        <f>Games!#REF!</f>
        <v>#REF!</v>
      </c>
      <c r="B161" s="65" t="e">
        <f>IF('Prediction Log'!#REF!=0, "",'Prediction Log'!#REF!)</f>
        <v>#REF!</v>
      </c>
      <c r="C161" s="65" t="e">
        <f>IF('Prediction Log'!#REF!=0, "",'Prediction Log'!#REF!)</f>
        <v>#REF!</v>
      </c>
      <c r="D161" s="65" t="e">
        <f>IF('Prediction Log'!#REF!=0, "",'Prediction Log'!#REF!)</f>
        <v>#REF!</v>
      </c>
      <c r="E161" s="65" t="e">
        <f>IF('Prediction Log'!#REF!=0, "",'Prediction Log'!#REF!)</f>
        <v>#REF!</v>
      </c>
      <c r="F161" s="65" t="e">
        <f>IF('Prediction Log'!#REF!=0, "",'Prediction Log'!#REF!)</f>
        <v>#REF!</v>
      </c>
      <c r="G161" s="64" t="e">
        <f>IF(ISBLANK(Games!#REF!), "",'Prediction Log'!#REF!)</f>
        <v>#REF!</v>
      </c>
      <c r="H161" s="66" t="e">
        <f>'Prediction Log'!#REF!</f>
        <v>#REF!</v>
      </c>
      <c r="I161" s="65" t="e">
        <f>IF(ISBLANK(Games!#REF!), "",IF(AND(Games!#REF!="",Games!#REF!=""),"",IF(ISTEXT(Games!#REF!), "Side",Games!#REF!)))</f>
        <v>#REF!</v>
      </c>
      <c r="J161" s="65" t="e">
        <f>IF(ISBLANK(Games!#REF!), "",IF(Games!#REF!="Y", Games!#REF!, Games!#REF!))</f>
        <v>#REF!</v>
      </c>
      <c r="K161" s="65" t="e">
        <f>Games!#REF!</f>
        <v>#REF!</v>
      </c>
      <c r="L161" s="65" t="e">
        <f>IF(ISBLANK(Games!#REF!), "",Games!#REF!)</f>
        <v>#REF!</v>
      </c>
      <c r="M161" s="65"/>
      <c r="N161" s="167" t="str">
        <f>IF(ISBLANK(Table123[[#This Row],[Odds Side - Difference Model]]), "", 1)</f>
      </c>
      <c r="O161" s="167" t="str">
        <f>IF(ISBLANK(Table123[[#This Row],[Odds Spread]]), "", 1)</f>
      </c>
      <c r="P161" s="67"/>
      <c r="Q161" s="67"/>
      <c r="R1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1" s="67"/>
      <c r="T161" s="67"/>
      <c r="U161" s="168" t="str">
        <f>IF(ISBLANK(Table123[[#This Row],[Odds Side - Difference Model]]), "",N161+IF(Q161&lt;0, (N161/(Q161/-100)), N161*(Q161/100)))</f>
      </c>
      <c r="V161" s="169" t="str">
        <f>IFERROR(IF(ISBLANK(Table123[[#This Row],[Odds Side - Win Probability Model]]), "",N161+IF(R161&lt;0, (N161/(R161/-100)), N161*(R161/100))),"")</f>
      </c>
      <c r="W161" s="168" t="str">
        <f t="shared" si="14"/>
      </c>
      <c r="X161" s="169" t="str">
        <f t="shared" si="15"/>
      </c>
      <c r="Y161" s="168" t="str">
        <f>IF(ISBLANK(Table123[[#This Row],[Odds Spread]]), "",O161+IF(S161&lt;0, (O161/(S161/-100)), O161*(S161/100)))</f>
      </c>
      <c r="Z161" s="168" t="str">
        <f t="shared" si="16"/>
      </c>
      <c r="AA161" s="68" t="n">
        <f t="shared" si="17"/>
        <v>0</v>
      </c>
      <c r="AB161" s="68" t="n">
        <f t="shared" si="18"/>
        <v>0</v>
      </c>
      <c r="AC161" s="170" t="e">
        <f>IF('Prediction Log'!#REF!="Y", "W", IF('Prediction Log'!#REF!="N","L",""))</f>
        <v>#REF!</v>
      </c>
      <c r="AD161" s="171" t="e">
        <f>IF('Prediction Log'!#REF!="Y", "W", IF('Prediction Log'!#REF!="N","L",""))</f>
        <v>#REF!</v>
      </c>
      <c r="AE161" s="172" t="str">
        <f>IF(ISBLANK(Table123[[#This Row],[Odds Side - Difference Model]]), "",IF(AC161="W", W161, IF(AC161="L",-N161, "")))</f>
      </c>
      <c r="AF161" s="173" t="str">
        <f>IFERROR((IF(ISERR(Table123[[#This Row],[Potential Payout Side - Win Probability Model]]), "",IF(AD161="W", X161, IF(AD161="L",-N161, "")))), "")</f>
      </c>
      <c r="AG161" s="170" t="e">
        <f>IF('Prediction Log'!#REF!="Y", "W", IF('Prediction Log'!#REF!="N", "L", ""))</f>
        <v>#REF!</v>
      </c>
      <c r="AH161" s="172" t="str">
        <f>IF(ISBLANK(Table123[[#This Row],[Odds Spread]]), "",IF(AG161="W", Z161, IF(AG161="L",-O161, "")))</f>
      </c>
      <c r="AI161" s="184"/>
      <c r="AJ161" s="183" t="str">
        <f t="shared" si="19"/>
      </c>
      <c r="AK1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2">
      <c r="A162" s="65" t="e">
        <f>Games!#REF!</f>
        <v>#REF!</v>
      </c>
      <c r="B162" s="65" t="e">
        <f>IF('Prediction Log'!#REF!=0, "",'Prediction Log'!#REF!)</f>
        <v>#REF!</v>
      </c>
      <c r="C162" s="65" t="e">
        <f>IF('Prediction Log'!#REF!=0, "",'Prediction Log'!#REF!)</f>
        <v>#REF!</v>
      </c>
      <c r="D162" s="65" t="e">
        <f>IF('Prediction Log'!#REF!=0, "",'Prediction Log'!#REF!)</f>
        <v>#REF!</v>
      </c>
      <c r="E162" s="65" t="e">
        <f>IF('Prediction Log'!#REF!=0, "",'Prediction Log'!#REF!)</f>
        <v>#REF!</v>
      </c>
      <c r="F162" s="65" t="e">
        <f>IF('Prediction Log'!#REF!=0, "",'Prediction Log'!#REF!)</f>
        <v>#REF!</v>
      </c>
      <c r="G162" s="64" t="e">
        <f>IF(ISBLANK(Games!#REF!), "",'Prediction Log'!#REF!)</f>
        <v>#REF!</v>
      </c>
      <c r="H162" s="66" t="e">
        <f>'Prediction Log'!#REF!</f>
        <v>#REF!</v>
      </c>
      <c r="I162" s="65" t="e">
        <f>IF(ISBLANK(Games!#REF!), "",IF(AND(Games!#REF!="",Games!#REF!=""),"",IF(ISTEXT(Games!#REF!), "Side",Games!#REF!)))</f>
        <v>#REF!</v>
      </c>
      <c r="J162" s="65" t="e">
        <f>IF(ISBLANK(Games!#REF!), "",IF(Games!#REF!="Y", Games!#REF!, Games!#REF!))</f>
        <v>#REF!</v>
      </c>
      <c r="K162" s="65" t="e">
        <f>Games!#REF!</f>
        <v>#REF!</v>
      </c>
      <c r="L162" s="65" t="e">
        <f>IF(ISBLANK(Games!#REF!), "",Games!#REF!)</f>
        <v>#REF!</v>
      </c>
      <c r="M162" s="65"/>
      <c r="N162" s="167" t="str">
        <f>IF(ISBLANK(Table123[[#This Row],[Odds Side - Difference Model]]), "", 1)</f>
      </c>
      <c r="O162" s="167" t="str">
        <f>IF(ISBLANK(Table123[[#This Row],[Odds Spread]]), "", 1)</f>
      </c>
      <c r="P162" s="67"/>
      <c r="Q162" s="67"/>
      <c r="R1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2" s="67"/>
      <c r="T162" s="67"/>
      <c r="U162" s="168" t="str">
        <f>IF(ISBLANK(Table123[[#This Row],[Odds Side - Difference Model]]), "",N162+IF(Q162&lt;0, (N162/(Q162/-100)), N162*(Q162/100)))</f>
      </c>
      <c r="V162" s="169" t="str">
        <f>IFERROR(IF(ISBLANK(Table123[[#This Row],[Odds Side - Win Probability Model]]), "",N162+IF(R162&lt;0, (N162/(R162/-100)), N162*(R162/100))),"")</f>
      </c>
      <c r="W162" s="168" t="str">
        <f t="shared" si="14"/>
      </c>
      <c r="X162" s="169" t="str">
        <f t="shared" si="15"/>
      </c>
      <c r="Y162" s="168" t="str">
        <f>IF(ISBLANK(Table123[[#This Row],[Odds Spread]]), "",O162+IF(S162&lt;0, (O162/(S162/-100)), O162*(S162/100)))</f>
      </c>
      <c r="Z162" s="168" t="str">
        <f t="shared" si="16"/>
      </c>
      <c r="AA162" s="68" t="n">
        <f t="shared" si="17"/>
        <v>0</v>
      </c>
      <c r="AB162" s="68" t="n">
        <f t="shared" si="18"/>
        <v>0</v>
      </c>
      <c r="AC162" s="170" t="e">
        <f>IF('Prediction Log'!#REF!="Y", "W", IF('Prediction Log'!#REF!="N","L",""))</f>
        <v>#REF!</v>
      </c>
      <c r="AD162" s="171" t="e">
        <f>IF('Prediction Log'!#REF!="Y", "W", IF('Prediction Log'!#REF!="N","L",""))</f>
        <v>#REF!</v>
      </c>
      <c r="AE162" s="172" t="str">
        <f>IF(ISBLANK(Table123[[#This Row],[Odds Side - Difference Model]]), "",IF(AC162="W", W162, IF(AC162="L",-N162, "")))</f>
      </c>
      <c r="AF162" s="173" t="str">
        <f>IFERROR((IF(ISERR(Table123[[#This Row],[Potential Payout Side - Win Probability Model]]), "",IF(AD162="W", X162, IF(AD162="L",-N162, "")))), "")</f>
      </c>
      <c r="AG162" s="170" t="e">
        <f>IF('Prediction Log'!#REF!="Y", "W", IF('Prediction Log'!#REF!="N", "L", ""))</f>
        <v>#REF!</v>
      </c>
      <c r="AH162" s="172" t="str">
        <f>IF(ISBLANK(Table123[[#This Row],[Odds Spread]]), "",IF(AG162="W", Z162, IF(AG162="L",-O162, "")))</f>
      </c>
      <c r="AI162" s="184"/>
      <c r="AJ162" s="183" t="str">
        <f t="shared" si="19"/>
      </c>
      <c r="AK1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3">
      <c r="A163" s="65" t="e">
        <f>Games!#REF!</f>
        <v>#REF!</v>
      </c>
      <c r="B163" s="65" t="e">
        <f>IF('Prediction Log'!#REF!=0, "",'Prediction Log'!#REF!)</f>
        <v>#REF!</v>
      </c>
      <c r="C163" s="65" t="e">
        <f>IF('Prediction Log'!#REF!=0, "",'Prediction Log'!#REF!)</f>
        <v>#REF!</v>
      </c>
      <c r="D163" s="65" t="e">
        <f>IF('Prediction Log'!#REF!=0, "",'Prediction Log'!#REF!)</f>
        <v>#REF!</v>
      </c>
      <c r="E163" s="65" t="e">
        <f>IF('Prediction Log'!#REF!=0, "",'Prediction Log'!#REF!)</f>
        <v>#REF!</v>
      </c>
      <c r="F163" s="65" t="e">
        <f>IF('Prediction Log'!#REF!=0, "",'Prediction Log'!#REF!)</f>
        <v>#REF!</v>
      </c>
      <c r="G163" s="64" t="e">
        <f>IF(ISBLANK(Games!#REF!), "",'Prediction Log'!#REF!)</f>
        <v>#REF!</v>
      </c>
      <c r="H163" s="66" t="e">
        <f>'Prediction Log'!#REF!</f>
        <v>#REF!</v>
      </c>
      <c r="I163" s="65" t="e">
        <f>IF(ISBLANK(Games!#REF!), "",IF(AND(Games!#REF!="",Games!#REF!=""),"",IF(ISTEXT(Games!#REF!), "Side",Games!#REF!)))</f>
        <v>#REF!</v>
      </c>
      <c r="J163" s="65" t="e">
        <f>IF(ISBLANK(Games!#REF!), "",IF(Games!#REF!="Y", Games!#REF!, Games!#REF!))</f>
        <v>#REF!</v>
      </c>
      <c r="K163" s="65" t="e">
        <f>Games!#REF!</f>
        <v>#REF!</v>
      </c>
      <c r="L163" s="65" t="e">
        <f>IF(ISBLANK(Games!#REF!), "",Games!#REF!)</f>
        <v>#REF!</v>
      </c>
      <c r="M163" s="65"/>
      <c r="N163" s="167" t="str">
        <f>IF(ISBLANK(Table123[[#This Row],[Odds Side - Difference Model]]), "", 1)</f>
      </c>
      <c r="O163" s="167" t="str">
        <f>IF(ISBLANK(Table123[[#This Row],[Odds Spread]]), "", 1)</f>
      </c>
      <c r="P163" s="67"/>
      <c r="Q163" s="67"/>
      <c r="R1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3" s="67"/>
      <c r="T163" s="67"/>
      <c r="U163" s="168" t="str">
        <f>IF(ISBLANK(Table123[[#This Row],[Odds Side - Difference Model]]), "",N163+IF(Q163&lt;0, (N163/(Q163/-100)), N163*(Q163/100)))</f>
      </c>
      <c r="V163" s="169" t="str">
        <f>IFERROR(IF(ISBLANK(Table123[[#This Row],[Odds Side - Win Probability Model]]), "",N163+IF(R163&lt;0, (N163/(R163/-100)), N163*(R163/100))),"")</f>
      </c>
      <c r="W163" s="168" t="str">
        <f t="shared" si="14"/>
      </c>
      <c r="X163" s="169" t="str">
        <f t="shared" si="15"/>
      </c>
      <c r="Y163" s="168" t="str">
        <f>IF(ISBLANK(Table123[[#This Row],[Odds Spread]]), "",O163+IF(S163&lt;0, (O163/(S163/-100)), O163*(S163/100)))</f>
      </c>
      <c r="Z163" s="168" t="str">
        <f t="shared" si="16"/>
      </c>
      <c r="AA163" s="68" t="n">
        <f t="shared" si="17"/>
        <v>0</v>
      </c>
      <c r="AB163" s="68" t="n">
        <f t="shared" si="18"/>
        <v>0</v>
      </c>
      <c r="AC163" s="170" t="e">
        <f>IF('Prediction Log'!#REF!="Y", "W", IF('Prediction Log'!#REF!="N","L",""))</f>
        <v>#REF!</v>
      </c>
      <c r="AD163" s="171" t="e">
        <f>IF('Prediction Log'!#REF!="Y", "W", IF('Prediction Log'!#REF!="N","L",""))</f>
        <v>#REF!</v>
      </c>
      <c r="AE163" s="172" t="str">
        <f>IF(ISBLANK(Table123[[#This Row],[Odds Side - Difference Model]]), "",IF(AC163="W", W163, IF(AC163="L",-N163, "")))</f>
      </c>
      <c r="AF163" s="173" t="str">
        <f>IFERROR((IF(ISERR(Table123[[#This Row],[Potential Payout Side - Win Probability Model]]), "",IF(AD163="W", X163, IF(AD163="L",-N163, "")))), "")</f>
      </c>
      <c r="AG163" s="170" t="e">
        <f>IF('Prediction Log'!#REF!="Y", "W", IF('Prediction Log'!#REF!="N", "L", ""))</f>
        <v>#REF!</v>
      </c>
      <c r="AH163" s="172" t="str">
        <f>IF(ISBLANK(Table123[[#This Row],[Odds Spread]]), "",IF(AG163="W", Z163, IF(AG163="L",-O163, "")))</f>
      </c>
      <c r="AI163" s="184"/>
      <c r="AJ163" s="183" t="str">
        <f t="shared" si="19"/>
      </c>
      <c r="AK1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4">
      <c r="A164" s="65" t="e">
        <f>Games!#REF!</f>
        <v>#REF!</v>
      </c>
      <c r="B164" s="65" t="e">
        <f>IF('Prediction Log'!#REF!=0, "",'Prediction Log'!#REF!)</f>
        <v>#REF!</v>
      </c>
      <c r="C164" s="65" t="e">
        <f>IF('Prediction Log'!#REF!=0, "",'Prediction Log'!#REF!)</f>
        <v>#REF!</v>
      </c>
      <c r="D164" s="65" t="e">
        <f>IF('Prediction Log'!#REF!=0, "",'Prediction Log'!#REF!)</f>
        <v>#REF!</v>
      </c>
      <c r="E164" s="65" t="e">
        <f>IF('Prediction Log'!#REF!=0, "",'Prediction Log'!#REF!)</f>
        <v>#REF!</v>
      </c>
      <c r="F164" s="65" t="e">
        <f>IF('Prediction Log'!#REF!=0, "",'Prediction Log'!#REF!)</f>
        <v>#REF!</v>
      </c>
      <c r="G164" s="64" t="e">
        <f>IF(ISBLANK(Games!#REF!), "",'Prediction Log'!#REF!)</f>
        <v>#REF!</v>
      </c>
      <c r="H164" s="66" t="e">
        <f>'Prediction Log'!#REF!</f>
        <v>#REF!</v>
      </c>
      <c r="I164" s="65" t="e">
        <f>IF(ISBLANK(Games!#REF!), "",IF(AND(Games!#REF!="",Games!#REF!=""),"",IF(ISTEXT(Games!#REF!), "Side",Games!#REF!)))</f>
        <v>#REF!</v>
      </c>
      <c r="J164" s="65" t="e">
        <f>IF(ISBLANK(Games!#REF!), "",IF(Games!#REF!="Y", Games!#REF!, Games!#REF!))</f>
        <v>#REF!</v>
      </c>
      <c r="K164" s="65" t="e">
        <f>Games!#REF!</f>
        <v>#REF!</v>
      </c>
      <c r="L164" s="65" t="e">
        <f>IF(ISBLANK(Games!#REF!), "",Games!#REF!)</f>
        <v>#REF!</v>
      </c>
      <c r="M164" s="65"/>
      <c r="N164" s="167" t="str">
        <f>IF(ISBLANK(Table123[[#This Row],[Odds Side - Difference Model]]), "", 1)</f>
      </c>
      <c r="O164" s="167" t="str">
        <f>IF(ISBLANK(Table123[[#This Row],[Odds Spread]]), "", 1)</f>
      </c>
      <c r="P164" s="67"/>
      <c r="Q164" s="67"/>
      <c r="R1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4" s="67"/>
      <c r="T164" s="67"/>
      <c r="U164" s="168" t="str">
        <f>IF(ISBLANK(Table123[[#This Row],[Odds Side - Difference Model]]), "",N164+IF(Q164&lt;0, (N164/(Q164/-100)), N164*(Q164/100)))</f>
      </c>
      <c r="V164" s="169" t="str">
        <f>IFERROR(IF(ISBLANK(Table123[[#This Row],[Odds Side - Win Probability Model]]), "",N164+IF(R164&lt;0, (N164/(R164/-100)), N164*(R164/100))),"")</f>
      </c>
      <c r="W164" s="168" t="str">
        <f t="shared" si="14"/>
      </c>
      <c r="X164" s="169" t="str">
        <f t="shared" si="15"/>
      </c>
      <c r="Y164" s="168" t="str">
        <f>IF(ISBLANK(Table123[[#This Row],[Odds Spread]]), "",O164+IF(S164&lt;0, (O164/(S164/-100)), O164*(S164/100)))</f>
      </c>
      <c r="Z164" s="168" t="str">
        <f t="shared" si="16"/>
      </c>
      <c r="AA164" s="68" t="n">
        <f t="shared" si="17"/>
        <v>0</v>
      </c>
      <c r="AB164" s="68" t="n">
        <f t="shared" si="18"/>
        <v>0</v>
      </c>
      <c r="AC164" s="170" t="e">
        <f>IF('Prediction Log'!#REF!="Y", "W", IF('Prediction Log'!#REF!="N","L",""))</f>
        <v>#REF!</v>
      </c>
      <c r="AD164" s="171" t="e">
        <f>IF('Prediction Log'!#REF!="Y", "W", IF('Prediction Log'!#REF!="N","L",""))</f>
        <v>#REF!</v>
      </c>
      <c r="AE164" s="172" t="str">
        <f>IF(ISBLANK(Table123[[#This Row],[Odds Side - Difference Model]]), "",IF(AC164="W", W164, IF(AC164="L",-N164, "")))</f>
      </c>
      <c r="AF164" s="173" t="str">
        <f>IFERROR((IF(ISERR(Table123[[#This Row],[Potential Payout Side - Win Probability Model]]), "",IF(AD164="W", X164, IF(AD164="L",-N164, "")))), "")</f>
      </c>
      <c r="AG164" s="170" t="e">
        <f>IF('Prediction Log'!#REF!="Y", "W", IF('Prediction Log'!#REF!="N", "L", ""))</f>
        <v>#REF!</v>
      </c>
      <c r="AH164" s="172" t="str">
        <f>IF(ISBLANK(Table123[[#This Row],[Odds Spread]]), "",IF(AG164="W", Z164, IF(AG164="L",-O164, "")))</f>
      </c>
      <c r="AI164" s="184"/>
      <c r="AJ164" s="183" t="str">
        <f t="shared" si="19"/>
      </c>
      <c r="AK1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5">
      <c r="A165" s="65" t="e">
        <f>Games!#REF!</f>
        <v>#REF!</v>
      </c>
      <c r="B165" s="65" t="e">
        <f>IF('Prediction Log'!#REF!=0, "",'Prediction Log'!#REF!)</f>
        <v>#REF!</v>
      </c>
      <c r="C165" s="65" t="e">
        <f>IF('Prediction Log'!#REF!=0, "",'Prediction Log'!#REF!)</f>
        <v>#REF!</v>
      </c>
      <c r="D165" s="65" t="e">
        <f>IF('Prediction Log'!#REF!=0, "",'Prediction Log'!#REF!)</f>
        <v>#REF!</v>
      </c>
      <c r="E165" s="65" t="e">
        <f>IF('Prediction Log'!#REF!=0, "",'Prediction Log'!#REF!)</f>
        <v>#REF!</v>
      </c>
      <c r="F165" s="65" t="e">
        <f>IF('Prediction Log'!#REF!=0, "",'Prediction Log'!#REF!)</f>
        <v>#REF!</v>
      </c>
      <c r="G165" s="64" t="e">
        <f>IF(ISBLANK(Games!#REF!), "",'Prediction Log'!#REF!)</f>
        <v>#REF!</v>
      </c>
      <c r="H165" s="66" t="e">
        <f>'Prediction Log'!#REF!</f>
        <v>#REF!</v>
      </c>
      <c r="I165" s="65" t="e">
        <f>IF(ISBLANK(Games!#REF!), "",IF(AND(Games!#REF!="",Games!#REF!=""),"",IF(ISTEXT(Games!#REF!), "Side",Games!#REF!)))</f>
        <v>#REF!</v>
      </c>
      <c r="J165" s="65" t="e">
        <f>IF(ISBLANK(Games!#REF!), "",IF(Games!#REF!="Y", Games!#REF!, Games!#REF!))</f>
        <v>#REF!</v>
      </c>
      <c r="K165" s="65" t="e">
        <f>Games!#REF!</f>
        <v>#REF!</v>
      </c>
      <c r="L165" s="65" t="e">
        <f>IF(ISBLANK(Games!#REF!), "",Games!#REF!)</f>
        <v>#REF!</v>
      </c>
      <c r="M165" s="65"/>
      <c r="N165" s="167" t="str">
        <f>IF(ISBLANK(Table123[[#This Row],[Odds Side - Difference Model]]), "", 1)</f>
      </c>
      <c r="O165" s="167" t="str">
        <f>IF(ISBLANK(Table123[[#This Row],[Odds Spread]]), "", 1)</f>
      </c>
      <c r="P165" s="67"/>
      <c r="Q165" s="67"/>
      <c r="R1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5" s="67"/>
      <c r="T165" s="67"/>
      <c r="U165" s="168" t="str">
        <f>IF(ISBLANK(Table123[[#This Row],[Odds Side - Difference Model]]), "",N165+IF(Q165&lt;0, (N165/(Q165/-100)), N165*(Q165/100)))</f>
      </c>
      <c r="V165" s="169" t="str">
        <f>IFERROR(IF(ISBLANK(Table123[[#This Row],[Odds Side - Win Probability Model]]), "",N165+IF(R165&lt;0, (N165/(R165/-100)), N165*(R165/100))),"")</f>
      </c>
      <c r="W165" s="168" t="str">
        <f t="shared" si="14"/>
      </c>
      <c r="X165" s="169" t="str">
        <f t="shared" si="15"/>
      </c>
      <c r="Y165" s="168" t="str">
        <f>IF(ISBLANK(Table123[[#This Row],[Odds Spread]]), "",O165+IF(S165&lt;0, (O165/(S165/-100)), O165*(S165/100)))</f>
      </c>
      <c r="Z165" s="168" t="str">
        <f t="shared" si="16"/>
      </c>
      <c r="AA165" s="68" t="n">
        <f t="shared" si="17"/>
        <v>0</v>
      </c>
      <c r="AB165" s="68" t="n">
        <f t="shared" si="18"/>
        <v>0</v>
      </c>
      <c r="AC165" s="170" t="e">
        <f>IF('Prediction Log'!#REF!="Y", "W", IF('Prediction Log'!#REF!="N","L",""))</f>
        <v>#REF!</v>
      </c>
      <c r="AD165" s="171" t="e">
        <f>IF('Prediction Log'!#REF!="Y", "W", IF('Prediction Log'!#REF!="N","L",""))</f>
        <v>#REF!</v>
      </c>
      <c r="AE165" s="172" t="str">
        <f>IF(ISBLANK(Table123[[#This Row],[Odds Side - Difference Model]]), "",IF(AC165="W", W165, IF(AC165="L",-N165, "")))</f>
      </c>
      <c r="AF165" s="173" t="str">
        <f>IFERROR((IF(ISERR(Table123[[#This Row],[Potential Payout Side - Win Probability Model]]), "",IF(AD165="W", X165, IF(AD165="L",-N165, "")))), "")</f>
      </c>
      <c r="AG165" s="170" t="e">
        <f>IF('Prediction Log'!#REF!="Y", "W", IF('Prediction Log'!#REF!="N", "L", ""))</f>
        <v>#REF!</v>
      </c>
      <c r="AH165" s="172" t="str">
        <f>IF(ISBLANK(Table123[[#This Row],[Odds Spread]]), "",IF(AG165="W", Z165, IF(AG165="L",-O165, "")))</f>
      </c>
      <c r="AI165" s="184"/>
      <c r="AJ165" s="183" t="str">
        <f t="shared" si="19"/>
      </c>
      <c r="AK1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6">
      <c r="A166" s="65" t="e">
        <f>Games!#REF!</f>
        <v>#REF!</v>
      </c>
      <c r="B166" s="65" t="e">
        <f>IF('Prediction Log'!#REF!=0, "",'Prediction Log'!#REF!)</f>
        <v>#REF!</v>
      </c>
      <c r="C166" s="65" t="e">
        <f>IF('Prediction Log'!#REF!=0, "",'Prediction Log'!#REF!)</f>
        <v>#REF!</v>
      </c>
      <c r="D166" s="65" t="e">
        <f>IF('Prediction Log'!#REF!=0, "",'Prediction Log'!#REF!)</f>
        <v>#REF!</v>
      </c>
      <c r="E166" s="65" t="e">
        <f>IF('Prediction Log'!#REF!=0, "",'Prediction Log'!#REF!)</f>
        <v>#REF!</v>
      </c>
      <c r="F166" s="65" t="e">
        <f>IF('Prediction Log'!#REF!=0, "",'Prediction Log'!#REF!)</f>
        <v>#REF!</v>
      </c>
      <c r="G166" s="64" t="e">
        <f>IF(ISBLANK(Games!#REF!), "",'Prediction Log'!#REF!)</f>
        <v>#REF!</v>
      </c>
      <c r="H166" s="66" t="e">
        <f>'Prediction Log'!#REF!</f>
        <v>#REF!</v>
      </c>
      <c r="I166" s="65" t="e">
        <f>IF(ISBLANK(Games!#REF!), "",IF(AND(Games!#REF!="",Games!#REF!=""),"",IF(ISTEXT(Games!#REF!), "Side",Games!#REF!)))</f>
        <v>#REF!</v>
      </c>
      <c r="J166" s="65" t="e">
        <f>IF(ISBLANK(Games!#REF!), "",IF(Games!#REF!="Y", Games!#REF!, Games!#REF!))</f>
        <v>#REF!</v>
      </c>
      <c r="K166" s="65" t="e">
        <f>Games!#REF!</f>
        <v>#REF!</v>
      </c>
      <c r="L166" s="65" t="e">
        <f>IF(ISBLANK(Games!#REF!), "",Games!#REF!)</f>
        <v>#REF!</v>
      </c>
      <c r="M166" s="65"/>
      <c r="N166" s="167" t="str">
        <f>IF(ISBLANK(Table123[[#This Row],[Odds Side - Difference Model]]), "", 1)</f>
      </c>
      <c r="O166" s="167" t="str">
        <f>IF(ISBLANK(Table123[[#This Row],[Odds Spread]]), "", 1)</f>
      </c>
      <c r="P166" s="67"/>
      <c r="Q166" s="67"/>
      <c r="R1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6" s="67"/>
      <c r="T166" s="67"/>
      <c r="U166" s="168" t="str">
        <f>IF(ISBLANK(Table123[[#This Row],[Odds Side - Difference Model]]), "",N166+IF(Q166&lt;0, (N166/(Q166/-100)), N166*(Q166/100)))</f>
      </c>
      <c r="V166" s="169" t="str">
        <f>IFERROR(IF(ISBLANK(Table123[[#This Row],[Odds Side - Win Probability Model]]), "",N166+IF(R166&lt;0, (N166/(R166/-100)), N166*(R166/100))),"")</f>
      </c>
      <c r="W166" s="168" t="str">
        <f t="shared" si="14"/>
      </c>
      <c r="X166" s="169" t="str">
        <f t="shared" si="15"/>
      </c>
      <c r="Y166" s="168" t="str">
        <f>IF(ISBLANK(Table123[[#This Row],[Odds Spread]]), "",O166+IF(S166&lt;0, (O166/(S166/-100)), O166*(S166/100)))</f>
      </c>
      <c r="Z166" s="168" t="str">
        <f t="shared" si="16"/>
      </c>
      <c r="AA166" s="68" t="n">
        <f t="shared" si="17"/>
        <v>0</v>
      </c>
      <c r="AB166" s="68" t="n">
        <f t="shared" si="18"/>
        <v>0</v>
      </c>
      <c r="AC166" s="170" t="e">
        <f>IF('Prediction Log'!#REF!="Y", "W", IF('Prediction Log'!#REF!="N","L",""))</f>
        <v>#REF!</v>
      </c>
      <c r="AD166" s="171" t="e">
        <f>IF('Prediction Log'!#REF!="Y", "W", IF('Prediction Log'!#REF!="N","L",""))</f>
        <v>#REF!</v>
      </c>
      <c r="AE166" s="172" t="str">
        <f>IF(ISBLANK(Table123[[#This Row],[Odds Side - Difference Model]]), "",IF(AC166="W", W166, IF(AC166="L",-N166, "")))</f>
      </c>
      <c r="AF166" s="173" t="str">
        <f>IFERROR((IF(ISERR(Table123[[#This Row],[Potential Payout Side - Win Probability Model]]), "",IF(AD166="W", X166, IF(AD166="L",-N166, "")))), "")</f>
      </c>
      <c r="AG166" s="170" t="e">
        <f>IF('Prediction Log'!#REF!="Y", "W", IF('Prediction Log'!#REF!="N", "L", ""))</f>
        <v>#REF!</v>
      </c>
      <c r="AH166" s="172" t="str">
        <f>IF(ISBLANK(Table123[[#This Row],[Odds Spread]]), "",IF(AG166="W", Z166, IF(AG166="L",-O166, "")))</f>
      </c>
      <c r="AI166" s="184"/>
      <c r="AJ166" s="183" t="str">
        <f t="shared" si="19"/>
      </c>
      <c r="AK1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7">
      <c r="A167" s="65" t="e">
        <f>Games!#REF!</f>
        <v>#REF!</v>
      </c>
      <c r="B167" s="65" t="e">
        <f>IF('Prediction Log'!#REF!=0, "",'Prediction Log'!#REF!)</f>
        <v>#REF!</v>
      </c>
      <c r="C167" s="65" t="e">
        <f>IF('Prediction Log'!#REF!=0, "",'Prediction Log'!#REF!)</f>
        <v>#REF!</v>
      </c>
      <c r="D167" s="65" t="e">
        <f>IF('Prediction Log'!#REF!=0, "",'Prediction Log'!#REF!)</f>
        <v>#REF!</v>
      </c>
      <c r="E167" s="65" t="e">
        <f>IF('Prediction Log'!#REF!=0, "",'Prediction Log'!#REF!)</f>
        <v>#REF!</v>
      </c>
      <c r="F167" s="65" t="e">
        <f>IF('Prediction Log'!#REF!=0, "",'Prediction Log'!#REF!)</f>
        <v>#REF!</v>
      </c>
      <c r="G167" s="64" t="e">
        <f>IF(ISBLANK(Games!#REF!), "",'Prediction Log'!#REF!)</f>
        <v>#REF!</v>
      </c>
      <c r="H167" s="66" t="e">
        <f>'Prediction Log'!#REF!</f>
        <v>#REF!</v>
      </c>
      <c r="I167" s="65" t="e">
        <f>IF(ISBLANK(Games!#REF!), "",IF(AND(Games!#REF!="",Games!#REF!=""),"",IF(ISTEXT(Games!#REF!), "Side",Games!#REF!)))</f>
        <v>#REF!</v>
      </c>
      <c r="J167" s="65" t="e">
        <f>IF(ISBLANK(Games!#REF!), "",IF(Games!#REF!="Y", Games!#REF!, Games!#REF!))</f>
        <v>#REF!</v>
      </c>
      <c r="K167" s="65" t="e">
        <f>Games!#REF!</f>
        <v>#REF!</v>
      </c>
      <c r="L167" s="65" t="e">
        <f>IF(ISBLANK(Games!#REF!), "",Games!#REF!)</f>
        <v>#REF!</v>
      </c>
      <c r="M167" s="65"/>
      <c r="N167" s="167" t="str">
        <f>IF(ISBLANK(Table123[[#This Row],[Odds Side - Difference Model]]), "", 1)</f>
      </c>
      <c r="O167" s="167" t="str">
        <f>IF(ISBLANK(Table123[[#This Row],[Odds Spread]]), "", 1)</f>
      </c>
      <c r="P167" s="67"/>
      <c r="Q167" s="67"/>
      <c r="R1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7" s="67"/>
      <c r="T167" s="67"/>
      <c r="U167" s="168" t="str">
        <f>IF(ISBLANK(Table123[[#This Row],[Odds Side - Difference Model]]), "",N167+IF(Q167&lt;0, (N167/(Q167/-100)), N167*(Q167/100)))</f>
      </c>
      <c r="V167" s="169" t="str">
        <f>IFERROR(IF(ISBLANK(Table123[[#This Row],[Odds Side - Win Probability Model]]), "",N167+IF(R167&lt;0, (N167/(R167/-100)), N167*(R167/100))),"")</f>
      </c>
      <c r="W167" s="168" t="str">
        <f t="shared" si="14"/>
      </c>
      <c r="X167" s="169" t="str">
        <f t="shared" si="15"/>
      </c>
      <c r="Y167" s="168" t="str">
        <f>IF(ISBLANK(Table123[[#This Row],[Odds Spread]]), "",O167+IF(S167&lt;0, (O167/(S167/-100)), O167*(S167/100)))</f>
      </c>
      <c r="Z167" s="168" t="str">
        <f t="shared" si="16"/>
      </c>
      <c r="AA167" s="68" t="n">
        <f t="shared" si="17"/>
        <v>0</v>
      </c>
      <c r="AB167" s="68" t="n">
        <f t="shared" si="18"/>
        <v>0</v>
      </c>
      <c r="AC167" s="170" t="e">
        <f>IF('Prediction Log'!#REF!="Y", "W", IF('Prediction Log'!#REF!="N","L",""))</f>
        <v>#REF!</v>
      </c>
      <c r="AD167" s="171" t="e">
        <f>IF('Prediction Log'!#REF!="Y", "W", IF('Prediction Log'!#REF!="N","L",""))</f>
        <v>#REF!</v>
      </c>
      <c r="AE167" s="172" t="str">
        <f>IF(ISBLANK(Table123[[#This Row],[Odds Side - Difference Model]]), "",IF(AC167="W", W167, IF(AC167="L",-N167, "")))</f>
      </c>
      <c r="AF167" s="173" t="str">
        <f>IFERROR((IF(ISERR(Table123[[#This Row],[Potential Payout Side - Win Probability Model]]), "",IF(AD167="W", X167, IF(AD167="L",-N167, "")))), "")</f>
      </c>
      <c r="AG167" s="170" t="e">
        <f>IF('Prediction Log'!#REF!="Y", "W", IF('Prediction Log'!#REF!="N", "L", ""))</f>
        <v>#REF!</v>
      </c>
      <c r="AH167" s="172" t="str">
        <f>IF(ISBLANK(Table123[[#This Row],[Odds Spread]]), "",IF(AG167="W", Z167, IF(AG167="L",-O167, "")))</f>
      </c>
      <c r="AI167" s="184"/>
      <c r="AJ167" s="183" t="str">
        <f t="shared" si="19"/>
      </c>
      <c r="AK1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8">
      <c r="A168" s="65" t="e">
        <f>Games!#REF!</f>
        <v>#REF!</v>
      </c>
      <c r="B168" s="65" t="e">
        <f>IF('Prediction Log'!#REF!=0, "",'Prediction Log'!#REF!)</f>
        <v>#REF!</v>
      </c>
      <c r="C168" s="65" t="e">
        <f>IF('Prediction Log'!#REF!=0, "",'Prediction Log'!#REF!)</f>
        <v>#REF!</v>
      </c>
      <c r="D168" s="65" t="e">
        <f>IF('Prediction Log'!#REF!=0, "",'Prediction Log'!#REF!)</f>
        <v>#REF!</v>
      </c>
      <c r="E168" s="65" t="e">
        <f>IF('Prediction Log'!#REF!=0, "",'Prediction Log'!#REF!)</f>
        <v>#REF!</v>
      </c>
      <c r="F168" s="65" t="e">
        <f>IF('Prediction Log'!#REF!=0, "",'Prediction Log'!#REF!)</f>
        <v>#REF!</v>
      </c>
      <c r="G168" s="64" t="e">
        <f>IF(ISBLANK(Games!#REF!), "",'Prediction Log'!#REF!)</f>
        <v>#REF!</v>
      </c>
      <c r="H168" s="66" t="e">
        <f>'Prediction Log'!#REF!</f>
        <v>#REF!</v>
      </c>
      <c r="I168" s="65" t="e">
        <f>IF(ISBLANK(Games!#REF!), "",IF(AND(Games!#REF!="",Games!#REF!=""),"",IF(ISTEXT(Games!#REF!), "Side",Games!#REF!)))</f>
        <v>#REF!</v>
      </c>
      <c r="J168" s="65" t="e">
        <f>IF(ISBLANK(Games!#REF!), "",IF(Games!#REF!="Y", Games!#REF!, Games!#REF!))</f>
        <v>#REF!</v>
      </c>
      <c r="K168" s="65" t="e">
        <f>Games!#REF!</f>
        <v>#REF!</v>
      </c>
      <c r="L168" s="65" t="e">
        <f>IF(ISBLANK(Games!#REF!), "",Games!#REF!)</f>
        <v>#REF!</v>
      </c>
      <c r="M168" s="65"/>
      <c r="N168" s="167" t="str">
        <f>IF(ISBLANK(Table123[[#This Row],[Odds Side - Difference Model]]), "", 1)</f>
      </c>
      <c r="O168" s="167" t="str">
        <f>IF(ISBLANK(Table123[[#This Row],[Odds Spread]]), "", 1)</f>
      </c>
      <c r="P168" s="67"/>
      <c r="Q168" s="67"/>
      <c r="R1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8" s="67"/>
      <c r="T168" s="67"/>
      <c r="U168" s="168" t="str">
        <f>IF(ISBLANK(Table123[[#This Row],[Odds Side - Difference Model]]), "",N168+IF(Q168&lt;0, (N168/(Q168/-100)), N168*(Q168/100)))</f>
      </c>
      <c r="V168" s="169" t="str">
        <f>IFERROR(IF(ISBLANK(Table123[[#This Row],[Odds Side - Win Probability Model]]), "",N168+IF(R168&lt;0, (N168/(R168/-100)), N168*(R168/100))),"")</f>
      </c>
      <c r="W168" s="168" t="str">
        <f t="shared" si="14"/>
      </c>
      <c r="X168" s="169" t="str">
        <f t="shared" si="15"/>
      </c>
      <c r="Y168" s="168" t="str">
        <f>IF(ISBLANK(Table123[[#This Row],[Odds Spread]]), "",O168+IF(S168&lt;0, (O168/(S168/-100)), O168*(S168/100)))</f>
      </c>
      <c r="Z168" s="168" t="str">
        <f t="shared" si="16"/>
      </c>
      <c r="AA168" s="68" t="n">
        <f t="shared" si="17"/>
        <v>0</v>
      </c>
      <c r="AB168" s="68" t="n">
        <f t="shared" si="18"/>
        <v>0</v>
      </c>
      <c r="AC168" s="170" t="e">
        <f>IF('Prediction Log'!#REF!="Y", "W", IF('Prediction Log'!#REF!="N","L",""))</f>
        <v>#REF!</v>
      </c>
      <c r="AD168" s="171" t="e">
        <f>IF('Prediction Log'!#REF!="Y", "W", IF('Prediction Log'!#REF!="N","L",""))</f>
        <v>#REF!</v>
      </c>
      <c r="AE168" s="172" t="str">
        <f>IF(ISBLANK(Table123[[#This Row],[Odds Side - Difference Model]]), "",IF(AC168="W", W168, IF(AC168="L",-N168, "")))</f>
      </c>
      <c r="AF168" s="173" t="str">
        <f>IFERROR((IF(ISERR(Table123[[#This Row],[Potential Payout Side - Win Probability Model]]), "",IF(AD168="W", X168, IF(AD168="L",-N168, "")))), "")</f>
      </c>
      <c r="AG168" s="170" t="e">
        <f>IF('Prediction Log'!#REF!="Y", "W", IF('Prediction Log'!#REF!="N", "L", ""))</f>
        <v>#REF!</v>
      </c>
      <c r="AH168" s="172" t="str">
        <f>IF(ISBLANK(Table123[[#This Row],[Odds Spread]]), "",IF(AG168="W", Z168, IF(AG168="L",-O168, "")))</f>
      </c>
      <c r="AI168" s="184"/>
      <c r="AJ168" s="183" t="str">
        <f t="shared" si="19"/>
      </c>
      <c r="AK1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9">
      <c r="A169" s="65" t="e">
        <f>Games!#REF!</f>
        <v>#REF!</v>
      </c>
      <c r="B169" s="65" t="e">
        <f>IF('Prediction Log'!#REF!=0, "",'Prediction Log'!#REF!)</f>
        <v>#REF!</v>
      </c>
      <c r="C169" s="65" t="e">
        <f>IF('Prediction Log'!#REF!=0, "",'Prediction Log'!#REF!)</f>
        <v>#REF!</v>
      </c>
      <c r="D169" s="65" t="e">
        <f>IF('Prediction Log'!#REF!=0, "",'Prediction Log'!#REF!)</f>
        <v>#REF!</v>
      </c>
      <c r="E169" s="65" t="e">
        <f>IF('Prediction Log'!#REF!=0, "",'Prediction Log'!#REF!)</f>
        <v>#REF!</v>
      </c>
      <c r="F169" s="65" t="e">
        <f>IF('Prediction Log'!#REF!=0, "",'Prediction Log'!#REF!)</f>
        <v>#REF!</v>
      </c>
      <c r="G169" s="64" t="e">
        <f>IF(ISBLANK(Games!#REF!), "",'Prediction Log'!#REF!)</f>
        <v>#REF!</v>
      </c>
      <c r="H169" s="66" t="e">
        <f>'Prediction Log'!#REF!</f>
        <v>#REF!</v>
      </c>
      <c r="I169" s="65" t="e">
        <f>IF(ISBLANK(Games!#REF!), "",IF(AND(Games!#REF!="",Games!#REF!=""),"",IF(ISTEXT(Games!#REF!), "Side",Games!#REF!)))</f>
        <v>#REF!</v>
      </c>
      <c r="J169" s="65" t="e">
        <f>IF(ISBLANK(Games!#REF!), "",IF(Games!#REF!="Y", Games!#REF!, Games!#REF!))</f>
        <v>#REF!</v>
      </c>
      <c r="K169" s="65" t="e">
        <f>Games!#REF!</f>
        <v>#REF!</v>
      </c>
      <c r="L169" s="65" t="e">
        <f>IF(ISBLANK(Games!#REF!), "",Games!#REF!)</f>
        <v>#REF!</v>
      </c>
      <c r="M169" s="65"/>
      <c r="N169" s="167" t="str">
        <f>IF(ISBLANK(Table123[[#This Row],[Odds Side - Difference Model]]), "", 1)</f>
      </c>
      <c r="O169" s="167" t="str">
        <f>IF(ISBLANK(Table123[[#This Row],[Odds Spread]]), "", 1)</f>
      </c>
      <c r="P169" s="67"/>
      <c r="Q169" s="67"/>
      <c r="R1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9" s="67"/>
      <c r="T169" s="67"/>
      <c r="U169" s="168" t="str">
        <f>IF(ISBLANK(Table123[[#This Row],[Odds Side - Difference Model]]), "",N169+IF(Q169&lt;0, (N169/(Q169/-100)), N169*(Q169/100)))</f>
      </c>
      <c r="V169" s="169" t="str">
        <f>IFERROR(IF(ISBLANK(Table123[[#This Row],[Odds Side - Win Probability Model]]), "",N169+IF(R169&lt;0, (N169/(R169/-100)), N169*(R169/100))),"")</f>
      </c>
      <c r="W169" s="168" t="str">
        <f t="shared" si="14"/>
      </c>
      <c r="X169" s="169" t="str">
        <f t="shared" si="15"/>
      </c>
      <c r="Y169" s="168" t="str">
        <f>IF(ISBLANK(Table123[[#This Row],[Odds Spread]]), "",O169+IF(S169&lt;0, (O169/(S169/-100)), O169*(S169/100)))</f>
      </c>
      <c r="Z169" s="168" t="str">
        <f t="shared" si="16"/>
      </c>
      <c r="AA169" s="68" t="n">
        <f t="shared" si="17"/>
        <v>0</v>
      </c>
      <c r="AB169" s="68" t="n">
        <f t="shared" si="18"/>
        <v>0</v>
      </c>
      <c r="AC169" s="170" t="e">
        <f>IF('Prediction Log'!#REF!="Y", "W", IF('Prediction Log'!#REF!="N","L",""))</f>
        <v>#REF!</v>
      </c>
      <c r="AD169" s="171" t="e">
        <f>IF('Prediction Log'!#REF!="Y", "W", IF('Prediction Log'!#REF!="N","L",""))</f>
        <v>#REF!</v>
      </c>
      <c r="AE169" s="172" t="str">
        <f>IF(ISBLANK(Table123[[#This Row],[Odds Side - Difference Model]]), "",IF(AC169="W", W169, IF(AC169="L",-N169, "")))</f>
      </c>
      <c r="AF169" s="173" t="str">
        <f>IFERROR((IF(ISERR(Table123[[#This Row],[Potential Payout Side - Win Probability Model]]), "",IF(AD169="W", X169, IF(AD169="L",-N169, "")))), "")</f>
      </c>
      <c r="AG169" s="170" t="e">
        <f>IF('Prediction Log'!#REF!="Y", "W", IF('Prediction Log'!#REF!="N", "L", ""))</f>
        <v>#REF!</v>
      </c>
      <c r="AH169" s="172" t="str">
        <f>IF(ISBLANK(Table123[[#This Row],[Odds Spread]]), "",IF(AG169="W", Z169, IF(AG169="L",-O169, "")))</f>
      </c>
      <c r="AI169" s="184"/>
      <c r="AJ169" s="183" t="str">
        <f t="shared" si="19"/>
      </c>
      <c r="AK1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0">
      <c r="A170" s="65" t="e">
        <f>Games!#REF!</f>
        <v>#REF!</v>
      </c>
      <c r="B170" s="65" t="e">
        <f>IF('Prediction Log'!#REF!=0, "",'Prediction Log'!#REF!)</f>
        <v>#REF!</v>
      </c>
      <c r="C170" s="65" t="e">
        <f>IF('Prediction Log'!#REF!=0, "",'Prediction Log'!#REF!)</f>
        <v>#REF!</v>
      </c>
      <c r="D170" s="65" t="e">
        <f>IF('Prediction Log'!#REF!=0, "",'Prediction Log'!#REF!)</f>
        <v>#REF!</v>
      </c>
      <c r="E170" s="65" t="e">
        <f>IF('Prediction Log'!#REF!=0, "",'Prediction Log'!#REF!)</f>
        <v>#REF!</v>
      </c>
      <c r="F170" s="65" t="e">
        <f>IF('Prediction Log'!#REF!=0, "",'Prediction Log'!#REF!)</f>
        <v>#REF!</v>
      </c>
      <c r="G170" s="64" t="e">
        <f>IF(ISBLANK(Games!#REF!), "",'Prediction Log'!#REF!)</f>
        <v>#REF!</v>
      </c>
      <c r="H170" s="66" t="e">
        <f>'Prediction Log'!#REF!</f>
        <v>#REF!</v>
      </c>
      <c r="I170" s="65" t="e">
        <f>IF(ISBLANK(Games!#REF!), "",IF(AND(Games!#REF!="",Games!#REF!=""),"",IF(ISTEXT(Games!#REF!), "Side",Games!#REF!)))</f>
        <v>#REF!</v>
      </c>
      <c r="J170" s="65" t="e">
        <f>IF(ISBLANK(Games!#REF!), "",IF(Games!#REF!="Y", Games!#REF!, Games!#REF!))</f>
        <v>#REF!</v>
      </c>
      <c r="K170" s="65" t="e">
        <f>Games!#REF!</f>
        <v>#REF!</v>
      </c>
      <c r="L170" s="65" t="e">
        <f>IF(ISBLANK(Games!#REF!), "",Games!#REF!)</f>
        <v>#REF!</v>
      </c>
      <c r="M170" s="65"/>
      <c r="N170" s="167" t="str">
        <f>IF(ISBLANK(Table123[[#This Row],[Odds Side - Difference Model]]), "", 1)</f>
      </c>
      <c r="O170" s="167" t="str">
        <f>IF(ISBLANK(Table123[[#This Row],[Odds Spread]]), "", 1)</f>
      </c>
      <c r="P170" s="67"/>
      <c r="Q170" s="67"/>
      <c r="R1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0" s="67"/>
      <c r="T170" s="67"/>
      <c r="U170" s="168" t="str">
        <f>IF(ISBLANK(Table123[[#This Row],[Odds Side - Difference Model]]), "",N170+IF(Q170&lt;0, (N170/(Q170/-100)), N170*(Q170/100)))</f>
      </c>
      <c r="V170" s="169" t="str">
        <f>IFERROR(IF(ISBLANK(Table123[[#This Row],[Odds Side - Win Probability Model]]), "",N170+IF(R170&lt;0, (N170/(R170/-100)), N170*(R170/100))),"")</f>
      </c>
      <c r="W170" s="168" t="str">
        <f t="shared" si="14"/>
      </c>
      <c r="X170" s="169" t="str">
        <f t="shared" si="15"/>
      </c>
      <c r="Y170" s="168" t="str">
        <f>IF(ISBLANK(Table123[[#This Row],[Odds Spread]]), "",O170+IF(S170&lt;0, (O170/(S170/-100)), O170*(S170/100)))</f>
      </c>
      <c r="Z170" s="168" t="str">
        <f t="shared" si="16"/>
      </c>
      <c r="AA170" s="68" t="n">
        <f t="shared" si="17"/>
        <v>0</v>
      </c>
      <c r="AB170" s="68" t="n">
        <f t="shared" si="18"/>
        <v>0</v>
      </c>
      <c r="AC170" s="170" t="e">
        <f>IF('Prediction Log'!#REF!="Y", "W", IF('Prediction Log'!#REF!="N","L",""))</f>
        <v>#REF!</v>
      </c>
      <c r="AD170" s="171" t="e">
        <f>IF('Prediction Log'!#REF!="Y", "W", IF('Prediction Log'!#REF!="N","L",""))</f>
        <v>#REF!</v>
      </c>
      <c r="AE170" s="172" t="str">
        <f>IF(ISBLANK(Table123[[#This Row],[Odds Side - Difference Model]]), "",IF(AC170="W", W170, IF(AC170="L",-N170, "")))</f>
      </c>
      <c r="AF170" s="173" t="str">
        <f>IFERROR((IF(ISERR(Table123[[#This Row],[Potential Payout Side - Win Probability Model]]), "",IF(AD170="W", X170, IF(AD170="L",-N170, "")))), "")</f>
      </c>
      <c r="AG170" s="170" t="e">
        <f>IF('Prediction Log'!#REF!="Y", "W", IF('Prediction Log'!#REF!="N", "L", ""))</f>
        <v>#REF!</v>
      </c>
      <c r="AH170" s="172" t="str">
        <f>IF(ISBLANK(Table123[[#This Row],[Odds Spread]]), "",IF(AG170="W", Z170, IF(AG170="L",-O170, "")))</f>
      </c>
      <c r="AI170" s="184"/>
      <c r="AJ170" s="183" t="str">
        <f t="shared" si="19"/>
      </c>
      <c r="AK1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1">
      <c r="A171" s="65" t="e">
        <f>Games!#REF!</f>
        <v>#REF!</v>
      </c>
      <c r="B171" s="65" t="e">
        <f>IF('Prediction Log'!#REF!=0, "",'Prediction Log'!#REF!)</f>
        <v>#REF!</v>
      </c>
      <c r="C171" s="65" t="e">
        <f>IF('Prediction Log'!#REF!=0, "",'Prediction Log'!#REF!)</f>
        <v>#REF!</v>
      </c>
      <c r="D171" s="65" t="e">
        <f>IF('Prediction Log'!#REF!=0, "",'Prediction Log'!#REF!)</f>
        <v>#REF!</v>
      </c>
      <c r="E171" s="65" t="e">
        <f>IF('Prediction Log'!#REF!=0, "",'Prediction Log'!#REF!)</f>
        <v>#REF!</v>
      </c>
      <c r="F171" s="65" t="e">
        <f>IF('Prediction Log'!#REF!=0, "",'Prediction Log'!#REF!)</f>
        <v>#REF!</v>
      </c>
      <c r="G171" s="64" t="e">
        <f>IF(ISBLANK(Games!#REF!), "",'Prediction Log'!#REF!)</f>
        <v>#REF!</v>
      </c>
      <c r="H171" s="66" t="e">
        <f>'Prediction Log'!#REF!</f>
        <v>#REF!</v>
      </c>
      <c r="I171" s="65" t="e">
        <f>IF(ISBLANK(Games!#REF!), "",IF(AND(Games!#REF!="",Games!#REF!=""),"",IF(ISTEXT(Games!#REF!), "Side",Games!#REF!)))</f>
        <v>#REF!</v>
      </c>
      <c r="J171" s="65" t="e">
        <f>IF(ISBLANK(Games!#REF!), "",IF(Games!#REF!="Y", Games!#REF!, Games!#REF!))</f>
        <v>#REF!</v>
      </c>
      <c r="K171" s="65" t="e">
        <f>Games!#REF!</f>
        <v>#REF!</v>
      </c>
      <c r="L171" s="65" t="e">
        <f>IF(ISBLANK(Games!#REF!), "",Games!#REF!)</f>
        <v>#REF!</v>
      </c>
      <c r="M171" s="65"/>
      <c r="N171" s="167" t="str">
        <f>IF(ISBLANK(Table123[[#This Row],[Odds Side - Difference Model]]), "", 1)</f>
      </c>
      <c r="O171" s="167" t="str">
        <f>IF(ISBLANK(Table123[[#This Row],[Odds Spread]]), "", 1)</f>
      </c>
      <c r="P171" s="67"/>
      <c r="Q171" s="67"/>
      <c r="R1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1" s="67"/>
      <c r="T171" s="67"/>
      <c r="U171" s="168" t="str">
        <f>IF(ISBLANK(Table123[[#This Row],[Odds Side - Difference Model]]), "",N171+IF(Q171&lt;0, (N171/(Q171/-100)), N171*(Q171/100)))</f>
      </c>
      <c r="V171" s="169" t="str">
        <f>IFERROR(IF(ISBLANK(Table123[[#This Row],[Odds Side - Win Probability Model]]), "",N171+IF(R171&lt;0, (N171/(R171/-100)), N171*(R171/100))),"")</f>
      </c>
      <c r="W171" s="168" t="str">
        <f t="shared" si="14"/>
      </c>
      <c r="X171" s="169" t="str">
        <f t="shared" si="15"/>
      </c>
      <c r="Y171" s="168" t="str">
        <f>IF(ISBLANK(Table123[[#This Row],[Odds Spread]]), "",O171+IF(S171&lt;0, (O171/(S171/-100)), O171*(S171/100)))</f>
      </c>
      <c r="Z171" s="168" t="str">
        <f t="shared" si="16"/>
      </c>
      <c r="AA171" s="68" t="n">
        <f t="shared" si="17"/>
        <v>0</v>
      </c>
      <c r="AB171" s="68" t="n">
        <f t="shared" si="18"/>
        <v>0</v>
      </c>
      <c r="AC171" s="170" t="e">
        <f>IF('Prediction Log'!#REF!="Y", "W", IF('Prediction Log'!#REF!="N","L",""))</f>
        <v>#REF!</v>
      </c>
      <c r="AD171" s="171" t="e">
        <f>IF('Prediction Log'!#REF!="Y", "W", IF('Prediction Log'!#REF!="N","L",""))</f>
        <v>#REF!</v>
      </c>
      <c r="AE171" s="172" t="str">
        <f>IF(ISBLANK(Table123[[#This Row],[Odds Side - Difference Model]]), "",IF(AC171="W", W171, IF(AC171="L",-N171, "")))</f>
      </c>
      <c r="AF171" s="173" t="str">
        <f>IFERROR((IF(ISERR(Table123[[#This Row],[Potential Payout Side - Win Probability Model]]), "",IF(AD171="W", X171, IF(AD171="L",-N171, "")))), "")</f>
      </c>
      <c r="AG171" s="170" t="e">
        <f>IF('Prediction Log'!#REF!="Y", "W", IF('Prediction Log'!#REF!="N", "L", ""))</f>
        <v>#REF!</v>
      </c>
      <c r="AH171" s="172" t="str">
        <f>IF(ISBLANK(Table123[[#This Row],[Odds Spread]]), "",IF(AG171="W", Z171, IF(AG171="L",-O171, "")))</f>
      </c>
      <c r="AI171" s="184"/>
      <c r="AJ171" s="183" t="str">
        <f t="shared" si="19"/>
      </c>
      <c r="AK1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2">
      <c r="A172" s="65" t="e">
        <f>Games!#REF!</f>
        <v>#REF!</v>
      </c>
      <c r="B172" s="65" t="e">
        <f>IF('Prediction Log'!#REF!=0, "",'Prediction Log'!#REF!)</f>
        <v>#REF!</v>
      </c>
      <c r="C172" s="65" t="e">
        <f>IF('Prediction Log'!#REF!=0, "",'Prediction Log'!#REF!)</f>
        <v>#REF!</v>
      </c>
      <c r="D172" s="65" t="e">
        <f>IF('Prediction Log'!#REF!=0, "",'Prediction Log'!#REF!)</f>
        <v>#REF!</v>
      </c>
      <c r="E172" s="65" t="e">
        <f>IF('Prediction Log'!#REF!=0, "",'Prediction Log'!#REF!)</f>
        <v>#REF!</v>
      </c>
      <c r="F172" s="65" t="e">
        <f>IF('Prediction Log'!#REF!=0, "",'Prediction Log'!#REF!)</f>
        <v>#REF!</v>
      </c>
      <c r="G172" s="64" t="e">
        <f>IF(ISBLANK(Games!#REF!), "",'Prediction Log'!#REF!)</f>
        <v>#REF!</v>
      </c>
      <c r="H172" s="66" t="e">
        <f>'Prediction Log'!#REF!</f>
        <v>#REF!</v>
      </c>
      <c r="I172" s="65" t="e">
        <f>IF(ISBLANK(Games!#REF!), "",IF(AND(Games!#REF!="",Games!#REF!=""),"",IF(ISTEXT(Games!#REF!), "Side",Games!#REF!)))</f>
        <v>#REF!</v>
      </c>
      <c r="J172" s="65" t="e">
        <f>IF(ISBLANK(Games!#REF!), "",IF(Games!#REF!="Y", Games!#REF!, Games!#REF!))</f>
        <v>#REF!</v>
      </c>
      <c r="K172" s="65" t="e">
        <f>Games!#REF!</f>
        <v>#REF!</v>
      </c>
      <c r="L172" s="65" t="e">
        <f>IF(ISBLANK(Games!#REF!), "",Games!#REF!)</f>
        <v>#REF!</v>
      </c>
      <c r="M172" s="65"/>
      <c r="N172" s="167" t="str">
        <f>IF(ISBLANK(Table123[[#This Row],[Odds Side - Difference Model]]), "", 1)</f>
      </c>
      <c r="O172" s="167" t="str">
        <f>IF(ISBLANK(Table123[[#This Row],[Odds Spread]]), "", 1)</f>
      </c>
      <c r="P172" s="67"/>
      <c r="Q172" s="67"/>
      <c r="R1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2" s="67"/>
      <c r="T172" s="67"/>
      <c r="U172" s="168" t="str">
        <f>IF(ISBLANK(Table123[[#This Row],[Odds Side - Difference Model]]), "",N172+IF(Q172&lt;0, (N172/(Q172/-100)), N172*(Q172/100)))</f>
      </c>
      <c r="V172" s="169" t="str">
        <f>IFERROR(IF(ISBLANK(Table123[[#This Row],[Odds Side - Win Probability Model]]), "",N172+IF(R172&lt;0, (N172/(R172/-100)), N172*(R172/100))),"")</f>
      </c>
      <c r="W172" s="168" t="str">
        <f t="shared" si="14"/>
      </c>
      <c r="X172" s="169" t="str">
        <f t="shared" si="15"/>
      </c>
      <c r="Y172" s="168" t="str">
        <f>IF(ISBLANK(Table123[[#This Row],[Odds Spread]]), "",O172+IF(S172&lt;0, (O172/(S172/-100)), O172*(S172/100)))</f>
      </c>
      <c r="Z172" s="168" t="str">
        <f t="shared" si="16"/>
      </c>
      <c r="AA172" s="68" t="n">
        <f t="shared" si="17"/>
        <v>0</v>
      </c>
      <c r="AB172" s="68" t="n">
        <f t="shared" si="18"/>
        <v>0</v>
      </c>
      <c r="AC172" s="170" t="e">
        <f>IF('Prediction Log'!#REF!="Y", "W", IF('Prediction Log'!#REF!="N","L",""))</f>
        <v>#REF!</v>
      </c>
      <c r="AD172" s="171" t="e">
        <f>IF('Prediction Log'!#REF!="Y", "W", IF('Prediction Log'!#REF!="N","L",""))</f>
        <v>#REF!</v>
      </c>
      <c r="AE172" s="172" t="str">
        <f>IF(ISBLANK(Table123[[#This Row],[Odds Side - Difference Model]]), "",IF(AC172="W", W172, IF(AC172="L",-N172, "")))</f>
      </c>
      <c r="AF172" s="173" t="str">
        <f>IFERROR((IF(ISERR(Table123[[#This Row],[Potential Payout Side - Win Probability Model]]), "",IF(AD172="W", X172, IF(AD172="L",-N172, "")))), "")</f>
      </c>
      <c r="AG172" s="170" t="e">
        <f>IF('Prediction Log'!#REF!="Y", "W", IF('Prediction Log'!#REF!="N", "L", ""))</f>
        <v>#REF!</v>
      </c>
      <c r="AH172" s="172" t="str">
        <f>IF(ISBLANK(Table123[[#This Row],[Odds Spread]]), "",IF(AG172="W", Z172, IF(AG172="L",-O172, "")))</f>
      </c>
      <c r="AI172" s="184"/>
      <c r="AJ172" s="183" t="str">
        <f t="shared" si="19"/>
      </c>
      <c r="AK1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3">
      <c r="A173" s="65" t="e">
        <f>Games!#REF!</f>
        <v>#REF!</v>
      </c>
      <c r="B173" s="65" t="e">
        <f>IF('Prediction Log'!#REF!=0, "",'Prediction Log'!#REF!)</f>
        <v>#REF!</v>
      </c>
      <c r="C173" s="65" t="e">
        <f>IF('Prediction Log'!#REF!=0, "",'Prediction Log'!#REF!)</f>
        <v>#REF!</v>
      </c>
      <c r="D173" s="65" t="e">
        <f>IF('Prediction Log'!#REF!=0, "",'Prediction Log'!#REF!)</f>
        <v>#REF!</v>
      </c>
      <c r="E173" s="65" t="e">
        <f>IF('Prediction Log'!#REF!=0, "",'Prediction Log'!#REF!)</f>
        <v>#REF!</v>
      </c>
      <c r="F173" s="65" t="e">
        <f>IF('Prediction Log'!#REF!=0, "",'Prediction Log'!#REF!)</f>
        <v>#REF!</v>
      </c>
      <c r="G173" s="64" t="e">
        <f>IF(ISBLANK(Games!#REF!), "",'Prediction Log'!#REF!)</f>
        <v>#REF!</v>
      </c>
      <c r="H173" s="66" t="e">
        <f>'Prediction Log'!#REF!</f>
        <v>#REF!</v>
      </c>
      <c r="I173" s="65" t="e">
        <f>IF(ISBLANK(Games!#REF!), "",IF(AND(Games!#REF!="",Games!#REF!=""),"",IF(ISTEXT(Games!#REF!), "Side",Games!#REF!)))</f>
        <v>#REF!</v>
      </c>
      <c r="J173" s="65" t="e">
        <f>IF(ISBLANK(Games!#REF!), "",IF(Games!#REF!="Y", Games!#REF!, Games!#REF!))</f>
        <v>#REF!</v>
      </c>
      <c r="K173" s="65" t="e">
        <f>Games!#REF!</f>
        <v>#REF!</v>
      </c>
      <c r="L173" s="65" t="e">
        <f>IF(ISBLANK(Games!#REF!), "",Games!#REF!)</f>
        <v>#REF!</v>
      </c>
      <c r="M173" s="65"/>
      <c r="N173" s="167" t="str">
        <f>IF(ISBLANK(Table123[[#This Row],[Odds Side - Difference Model]]), "", 1)</f>
      </c>
      <c r="O173" s="167" t="str">
        <f>IF(ISBLANK(Table123[[#This Row],[Odds Spread]]), "", 1)</f>
      </c>
      <c r="P173" s="67"/>
      <c r="Q173" s="67"/>
      <c r="R1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3" s="67"/>
      <c r="T173" s="67"/>
      <c r="U173" s="168" t="str">
        <f>IF(ISBLANK(Table123[[#This Row],[Odds Side - Difference Model]]), "",N173+IF(Q173&lt;0, (N173/(Q173/-100)), N173*(Q173/100)))</f>
      </c>
      <c r="V173" s="169" t="str">
        <f>IFERROR(IF(ISBLANK(Table123[[#This Row],[Odds Side - Win Probability Model]]), "",N173+IF(R173&lt;0, (N173/(R173/-100)), N173*(R173/100))),"")</f>
      </c>
      <c r="W173" s="168" t="str">
        <f t="shared" si="14"/>
      </c>
      <c r="X173" s="169" t="str">
        <f t="shared" si="15"/>
      </c>
      <c r="Y173" s="168" t="str">
        <f>IF(ISBLANK(Table123[[#This Row],[Odds Spread]]), "",O173+IF(S173&lt;0, (O173/(S173/-100)), O173*(S173/100)))</f>
      </c>
      <c r="Z173" s="168" t="str">
        <f t="shared" si="16"/>
      </c>
      <c r="AA173" s="68" t="n">
        <f t="shared" si="17"/>
        <v>0</v>
      </c>
      <c r="AB173" s="68" t="n">
        <f t="shared" si="18"/>
        <v>0</v>
      </c>
      <c r="AC173" s="170" t="e">
        <f>IF('Prediction Log'!#REF!="Y", "W", IF('Prediction Log'!#REF!="N","L",""))</f>
        <v>#REF!</v>
      </c>
      <c r="AD173" s="171" t="e">
        <f>IF('Prediction Log'!#REF!="Y", "W", IF('Prediction Log'!#REF!="N","L",""))</f>
        <v>#REF!</v>
      </c>
      <c r="AE173" s="172" t="str">
        <f>IF(ISBLANK(Table123[[#This Row],[Odds Side - Difference Model]]), "",IF(AC173="W", W173, IF(AC173="L",-N173, "")))</f>
      </c>
      <c r="AF173" s="173" t="str">
        <f>IFERROR((IF(ISERR(Table123[[#This Row],[Potential Payout Side - Win Probability Model]]), "",IF(AD173="W", X173, IF(AD173="L",-N173, "")))), "")</f>
      </c>
      <c r="AG173" s="170" t="e">
        <f>IF('Prediction Log'!#REF!="Y", "W", IF('Prediction Log'!#REF!="N", "L", ""))</f>
        <v>#REF!</v>
      </c>
      <c r="AH173" s="172" t="str">
        <f>IF(ISBLANK(Table123[[#This Row],[Odds Spread]]), "",IF(AG173="W", Z173, IF(AG173="L",-O173, "")))</f>
      </c>
      <c r="AI173" s="184"/>
      <c r="AJ173" s="183" t="str">
        <f t="shared" si="19"/>
      </c>
      <c r="AK1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4">
      <c r="A174" s="65" t="e">
        <f>Games!#REF!</f>
        <v>#REF!</v>
      </c>
      <c r="B174" s="65" t="e">
        <f>IF('Prediction Log'!#REF!=0, "",'Prediction Log'!#REF!)</f>
        <v>#REF!</v>
      </c>
      <c r="C174" s="65" t="e">
        <f>IF('Prediction Log'!#REF!=0, "",'Prediction Log'!#REF!)</f>
        <v>#REF!</v>
      </c>
      <c r="D174" s="65" t="e">
        <f>IF('Prediction Log'!#REF!=0, "",'Prediction Log'!#REF!)</f>
        <v>#REF!</v>
      </c>
      <c r="E174" s="65" t="e">
        <f>IF('Prediction Log'!#REF!=0, "",'Prediction Log'!#REF!)</f>
        <v>#REF!</v>
      </c>
      <c r="F174" s="65" t="e">
        <f>IF('Prediction Log'!#REF!=0, "",'Prediction Log'!#REF!)</f>
        <v>#REF!</v>
      </c>
      <c r="G174" s="64" t="e">
        <f>IF(ISBLANK(Games!#REF!), "",'Prediction Log'!#REF!)</f>
        <v>#REF!</v>
      </c>
      <c r="H174" s="66" t="e">
        <f>'Prediction Log'!#REF!</f>
        <v>#REF!</v>
      </c>
      <c r="I174" s="65" t="e">
        <f>IF(ISBLANK(Games!#REF!), "",IF(AND(Games!#REF!="",Games!#REF!=""),"",IF(ISTEXT(Games!#REF!), "Side",Games!#REF!)))</f>
        <v>#REF!</v>
      </c>
      <c r="J174" s="65" t="e">
        <f>IF(ISBLANK(Games!#REF!), "",IF(Games!#REF!="Y", Games!#REF!, Games!#REF!))</f>
        <v>#REF!</v>
      </c>
      <c r="K174" s="65" t="e">
        <f>Games!#REF!</f>
        <v>#REF!</v>
      </c>
      <c r="L174" s="65" t="e">
        <f>IF(ISBLANK(Games!#REF!), "",Games!#REF!)</f>
        <v>#REF!</v>
      </c>
      <c r="M174" s="65"/>
      <c r="N174" s="167" t="str">
        <f>IF(ISBLANK(Table123[[#This Row],[Odds Side - Difference Model]]), "", 1)</f>
      </c>
      <c r="O174" s="167" t="str">
        <f>IF(ISBLANK(Table123[[#This Row],[Odds Spread]]), "", 1)</f>
      </c>
      <c r="P174" s="67"/>
      <c r="Q174" s="67"/>
      <c r="R1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4" s="67"/>
      <c r="T174" s="67"/>
      <c r="U174" s="168" t="str">
        <f>IF(ISBLANK(Table123[[#This Row],[Odds Side - Difference Model]]), "",N174+IF(Q174&lt;0, (N174/(Q174/-100)), N174*(Q174/100)))</f>
      </c>
      <c r="V174" s="169" t="str">
        <f>IFERROR(IF(ISBLANK(Table123[[#This Row],[Odds Side - Win Probability Model]]), "",N174+IF(R174&lt;0, (N174/(R174/-100)), N174*(R174/100))),"")</f>
      </c>
      <c r="W174" s="168" t="str">
        <f t="shared" si="14"/>
      </c>
      <c r="X174" s="169" t="str">
        <f t="shared" si="15"/>
      </c>
      <c r="Y174" s="168" t="str">
        <f>IF(ISBLANK(Table123[[#This Row],[Odds Spread]]), "",O174+IF(S174&lt;0, (O174/(S174/-100)), O174*(S174/100)))</f>
      </c>
      <c r="Z174" s="168" t="str">
        <f t="shared" si="16"/>
      </c>
      <c r="AA174" s="68" t="n">
        <f t="shared" si="17"/>
        <v>0</v>
      </c>
      <c r="AB174" s="68" t="n">
        <f t="shared" si="18"/>
        <v>0</v>
      </c>
      <c r="AC174" s="170" t="e">
        <f>IF('Prediction Log'!#REF!="Y", "W", IF('Prediction Log'!#REF!="N","L",""))</f>
        <v>#REF!</v>
      </c>
      <c r="AD174" s="171" t="e">
        <f>IF('Prediction Log'!#REF!="Y", "W", IF('Prediction Log'!#REF!="N","L",""))</f>
        <v>#REF!</v>
      </c>
      <c r="AE174" s="172" t="str">
        <f>IF(ISBLANK(Table123[[#This Row],[Odds Side - Difference Model]]), "",IF(AC174="W", W174, IF(AC174="L",-N174, "")))</f>
      </c>
      <c r="AF174" s="173" t="str">
        <f>IFERROR((IF(ISERR(Table123[[#This Row],[Potential Payout Side - Win Probability Model]]), "",IF(AD174="W", X174, IF(AD174="L",-N174, "")))), "")</f>
      </c>
      <c r="AG174" s="170" t="e">
        <f>IF('Prediction Log'!#REF!="Y", "W", IF('Prediction Log'!#REF!="N", "L", ""))</f>
        <v>#REF!</v>
      </c>
      <c r="AH174" s="172" t="str">
        <f>IF(ISBLANK(Table123[[#This Row],[Odds Spread]]), "",IF(AG174="W", Z174, IF(AG174="L",-O174, "")))</f>
      </c>
      <c r="AI174" s="184"/>
      <c r="AJ174" s="183" t="str">
        <f t="shared" si="19"/>
      </c>
      <c r="AK1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5">
      <c r="A175" s="65" t="e">
        <f>Games!#REF!</f>
        <v>#REF!</v>
      </c>
      <c r="B175" s="65" t="e">
        <f>IF('Prediction Log'!#REF!=0, "",'Prediction Log'!#REF!)</f>
        <v>#REF!</v>
      </c>
      <c r="C175" s="65" t="e">
        <f>IF('Prediction Log'!#REF!=0, "",'Prediction Log'!#REF!)</f>
        <v>#REF!</v>
      </c>
      <c r="D175" s="65" t="e">
        <f>IF('Prediction Log'!#REF!=0, "",'Prediction Log'!#REF!)</f>
        <v>#REF!</v>
      </c>
      <c r="E175" s="65" t="e">
        <f>IF('Prediction Log'!#REF!=0, "",'Prediction Log'!#REF!)</f>
        <v>#REF!</v>
      </c>
      <c r="F175" s="65" t="e">
        <f>IF('Prediction Log'!#REF!=0, "",'Prediction Log'!#REF!)</f>
        <v>#REF!</v>
      </c>
      <c r="G175" s="64" t="e">
        <f>IF(ISBLANK(Games!#REF!), "",'Prediction Log'!#REF!)</f>
        <v>#REF!</v>
      </c>
      <c r="H175" s="66" t="e">
        <f>'Prediction Log'!#REF!</f>
        <v>#REF!</v>
      </c>
      <c r="I175" s="65" t="e">
        <f>IF(ISBLANK(Games!#REF!), "",IF(AND(Games!#REF!="",Games!#REF!=""),"",IF(ISTEXT(Games!#REF!), "Side",Games!#REF!)))</f>
        <v>#REF!</v>
      </c>
      <c r="J175" s="65" t="e">
        <f>IF(ISBLANK(Games!#REF!), "",IF(Games!#REF!="Y", Games!#REF!, Games!#REF!))</f>
        <v>#REF!</v>
      </c>
      <c r="K175" s="65" t="e">
        <f>Games!#REF!</f>
        <v>#REF!</v>
      </c>
      <c r="L175" s="65" t="e">
        <f>IF(ISBLANK(Games!#REF!), "",Games!#REF!)</f>
        <v>#REF!</v>
      </c>
      <c r="M175" s="65"/>
      <c r="N175" s="167" t="str">
        <f>IF(ISBLANK(Table123[[#This Row],[Odds Side - Difference Model]]), "", 1)</f>
      </c>
      <c r="O175" s="167" t="str">
        <f>IF(ISBLANK(Table123[[#This Row],[Odds Spread]]), "", 1)</f>
      </c>
      <c r="P175" s="67"/>
      <c r="Q175" s="67"/>
      <c r="R1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5" s="67"/>
      <c r="T175" s="67"/>
      <c r="U175" s="168" t="str">
        <f>IF(ISBLANK(Table123[[#This Row],[Odds Side - Difference Model]]), "",N175+IF(Q175&lt;0, (N175/(Q175/-100)), N175*(Q175/100)))</f>
      </c>
      <c r="V175" s="169" t="str">
        <f>IFERROR(IF(ISBLANK(Table123[[#This Row],[Odds Side - Win Probability Model]]), "",N175+IF(R175&lt;0, (N175/(R175/-100)), N175*(R175/100))),"")</f>
      </c>
      <c r="W175" s="168" t="str">
        <f t="shared" si="14"/>
      </c>
      <c r="X175" s="169" t="str">
        <f t="shared" si="15"/>
      </c>
      <c r="Y175" s="168" t="str">
        <f>IF(ISBLANK(Table123[[#This Row],[Odds Spread]]), "",O175+IF(S175&lt;0, (O175/(S175/-100)), O175*(S175/100)))</f>
      </c>
      <c r="Z175" s="168" t="str">
        <f t="shared" si="16"/>
      </c>
      <c r="AA175" s="68" t="n">
        <f t="shared" si="17"/>
        <v>0</v>
      </c>
      <c r="AB175" s="68" t="n">
        <f t="shared" si="18"/>
        <v>0</v>
      </c>
      <c r="AC175" s="170" t="e">
        <f>IF('Prediction Log'!#REF!="Y", "W", IF('Prediction Log'!#REF!="N","L",""))</f>
        <v>#REF!</v>
      </c>
      <c r="AD175" s="171" t="e">
        <f>IF('Prediction Log'!#REF!="Y", "W", IF('Prediction Log'!#REF!="N","L",""))</f>
        <v>#REF!</v>
      </c>
      <c r="AE175" s="172" t="str">
        <f>IF(ISBLANK(Table123[[#This Row],[Odds Side - Difference Model]]), "",IF(AC175="W", W175, IF(AC175="L",-N175, "")))</f>
      </c>
      <c r="AF175" s="173" t="str">
        <f>IFERROR((IF(ISERR(Table123[[#This Row],[Potential Payout Side - Win Probability Model]]), "",IF(AD175="W", X175, IF(AD175="L",-N175, "")))), "")</f>
      </c>
      <c r="AG175" s="170" t="e">
        <f>IF('Prediction Log'!#REF!="Y", "W", IF('Prediction Log'!#REF!="N", "L", ""))</f>
        <v>#REF!</v>
      </c>
      <c r="AH175" s="172" t="str">
        <f>IF(ISBLANK(Table123[[#This Row],[Odds Spread]]), "",IF(AG175="W", Z175, IF(AG175="L",-O175, "")))</f>
      </c>
      <c r="AI175" s="184"/>
      <c r="AJ175" s="183" t="str">
        <f t="shared" si="19"/>
      </c>
      <c r="AK1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6">
      <c r="A176" s="65" t="e">
        <f>Games!#REF!</f>
        <v>#REF!</v>
      </c>
      <c r="B176" s="65" t="e">
        <f>IF('Prediction Log'!#REF!=0, "",'Prediction Log'!#REF!)</f>
        <v>#REF!</v>
      </c>
      <c r="C176" s="65" t="e">
        <f>IF('Prediction Log'!#REF!=0, "",'Prediction Log'!#REF!)</f>
        <v>#REF!</v>
      </c>
      <c r="D176" s="65" t="e">
        <f>IF('Prediction Log'!#REF!=0, "",'Prediction Log'!#REF!)</f>
        <v>#REF!</v>
      </c>
      <c r="E176" s="65" t="e">
        <f>IF('Prediction Log'!#REF!=0, "",'Prediction Log'!#REF!)</f>
        <v>#REF!</v>
      </c>
      <c r="F176" s="65" t="e">
        <f>IF('Prediction Log'!#REF!=0, "",'Prediction Log'!#REF!)</f>
        <v>#REF!</v>
      </c>
      <c r="G176" s="64" t="e">
        <f>IF(ISBLANK(Games!#REF!), "",'Prediction Log'!#REF!)</f>
        <v>#REF!</v>
      </c>
      <c r="H176" s="66" t="e">
        <f>'Prediction Log'!#REF!</f>
        <v>#REF!</v>
      </c>
      <c r="I176" s="65" t="e">
        <f>IF(ISBLANK(Games!#REF!), "",IF(AND(Games!#REF!="",Games!#REF!=""),"",IF(ISTEXT(Games!#REF!), "Side",Games!#REF!)))</f>
        <v>#REF!</v>
      </c>
      <c r="J176" s="65" t="e">
        <f>IF(ISBLANK(Games!#REF!), "",IF(Games!#REF!="Y", Games!#REF!, Games!#REF!))</f>
        <v>#REF!</v>
      </c>
      <c r="K176" s="65" t="e">
        <f>Games!#REF!</f>
        <v>#REF!</v>
      </c>
      <c r="L176" s="65" t="e">
        <f>IF(ISBLANK(Games!#REF!), "",Games!#REF!)</f>
        <v>#REF!</v>
      </c>
      <c r="M176" s="65"/>
      <c r="N176" s="167" t="str">
        <f>IF(ISBLANK(Table123[[#This Row],[Odds Side - Difference Model]]), "", 1)</f>
      </c>
      <c r="O176" s="167" t="str">
        <f>IF(ISBLANK(Table123[[#This Row],[Odds Spread]]), "", 1)</f>
      </c>
      <c r="P176" s="67"/>
      <c r="Q176" s="67"/>
      <c r="R1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6" s="67"/>
      <c r="T176" s="67"/>
      <c r="U176" s="168" t="str">
        <f>IF(ISBLANK(Table123[[#This Row],[Odds Side - Difference Model]]), "",N176+IF(Q176&lt;0, (N176/(Q176/-100)), N176*(Q176/100)))</f>
      </c>
      <c r="V176" s="169" t="str">
        <f>IFERROR(IF(ISBLANK(Table123[[#This Row],[Odds Side - Win Probability Model]]), "",N176+IF(R176&lt;0, (N176/(R176/-100)), N176*(R176/100))),"")</f>
      </c>
      <c r="W176" s="168" t="str">
        <f t="shared" si="14"/>
      </c>
      <c r="X176" s="169" t="str">
        <f t="shared" si="15"/>
      </c>
      <c r="Y176" s="168" t="str">
        <f>IF(ISBLANK(Table123[[#This Row],[Odds Spread]]), "",O176+IF(S176&lt;0, (O176/(S176/-100)), O176*(S176/100)))</f>
      </c>
      <c r="Z176" s="168" t="str">
        <f t="shared" si="16"/>
      </c>
      <c r="AA176" s="68" t="n">
        <f t="shared" si="17"/>
        <v>0</v>
      </c>
      <c r="AB176" s="68" t="n">
        <f t="shared" si="18"/>
        <v>0</v>
      </c>
      <c r="AC176" s="170" t="e">
        <f>IF('Prediction Log'!#REF!="Y", "W", IF('Prediction Log'!#REF!="N","L",""))</f>
        <v>#REF!</v>
      </c>
      <c r="AD176" s="171" t="e">
        <f>IF('Prediction Log'!#REF!="Y", "W", IF('Prediction Log'!#REF!="N","L",""))</f>
        <v>#REF!</v>
      </c>
      <c r="AE176" s="172" t="str">
        <f>IF(ISBLANK(Table123[[#This Row],[Odds Side - Difference Model]]), "",IF(AC176="W", W176, IF(AC176="L",-N176, "")))</f>
      </c>
      <c r="AF176" s="173" t="str">
        <f>IFERROR((IF(ISERR(Table123[[#This Row],[Potential Payout Side - Win Probability Model]]), "",IF(AD176="W", X176, IF(AD176="L",-N176, "")))), "")</f>
      </c>
      <c r="AG176" s="170" t="e">
        <f>IF('Prediction Log'!#REF!="Y", "W", IF('Prediction Log'!#REF!="N", "L", ""))</f>
        <v>#REF!</v>
      </c>
      <c r="AH176" s="172" t="str">
        <f>IF(ISBLANK(Table123[[#This Row],[Odds Spread]]), "",IF(AG176="W", Z176, IF(AG176="L",-O176, "")))</f>
      </c>
      <c r="AI176" s="184"/>
      <c r="AJ176" s="183" t="str">
        <f t="shared" si="19"/>
      </c>
      <c r="AK1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7">
      <c r="A177" s="65" t="e">
        <f>Games!#REF!</f>
        <v>#REF!</v>
      </c>
      <c r="B177" s="65" t="e">
        <f>IF('Prediction Log'!#REF!=0, "",'Prediction Log'!#REF!)</f>
        <v>#REF!</v>
      </c>
      <c r="C177" s="65" t="e">
        <f>IF('Prediction Log'!#REF!=0, "",'Prediction Log'!#REF!)</f>
        <v>#REF!</v>
      </c>
      <c r="D177" s="65" t="e">
        <f>IF('Prediction Log'!#REF!=0, "",'Prediction Log'!#REF!)</f>
        <v>#REF!</v>
      </c>
      <c r="E177" s="65" t="e">
        <f>IF('Prediction Log'!#REF!=0, "",'Prediction Log'!#REF!)</f>
        <v>#REF!</v>
      </c>
      <c r="F177" s="65" t="e">
        <f>IF('Prediction Log'!#REF!=0, "",'Prediction Log'!#REF!)</f>
        <v>#REF!</v>
      </c>
      <c r="G177" s="64" t="e">
        <f>IF(ISBLANK(Games!#REF!), "",'Prediction Log'!#REF!)</f>
        <v>#REF!</v>
      </c>
      <c r="H177" s="66" t="e">
        <f>'Prediction Log'!#REF!</f>
        <v>#REF!</v>
      </c>
      <c r="I177" s="65" t="e">
        <f>IF(ISBLANK(Games!#REF!), "",IF(AND(Games!#REF!="",Games!#REF!=""),"",IF(ISTEXT(Games!#REF!), "Side",Games!#REF!)))</f>
        <v>#REF!</v>
      </c>
      <c r="J177" s="65" t="e">
        <f>IF(ISBLANK(Games!#REF!), "",IF(Games!#REF!="Y", Games!#REF!, Games!#REF!))</f>
        <v>#REF!</v>
      </c>
      <c r="K177" s="65" t="e">
        <f>Games!#REF!</f>
        <v>#REF!</v>
      </c>
      <c r="L177" s="65" t="e">
        <f>IF(ISBLANK(Games!#REF!), "",Games!#REF!)</f>
        <v>#REF!</v>
      </c>
      <c r="M177" s="65"/>
      <c r="N177" s="167" t="str">
        <f>IF(ISBLANK(Table123[[#This Row],[Odds Side - Difference Model]]), "", 1)</f>
      </c>
      <c r="O177" s="167" t="str">
        <f>IF(ISBLANK(Table123[[#This Row],[Odds Spread]]), "", 1)</f>
      </c>
      <c r="P177" s="67"/>
      <c r="Q177" s="67"/>
      <c r="R1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7" s="67"/>
      <c r="T177" s="67"/>
      <c r="U177" s="168" t="str">
        <f>IF(ISBLANK(Table123[[#This Row],[Odds Side - Difference Model]]), "",N177+IF(Q177&lt;0, (N177/(Q177/-100)), N177*(Q177/100)))</f>
      </c>
      <c r="V177" s="169" t="str">
        <f>IFERROR(IF(ISBLANK(Table123[[#This Row],[Odds Side - Win Probability Model]]), "",N177+IF(R177&lt;0, (N177/(R177/-100)), N177*(R177/100))),"")</f>
      </c>
      <c r="W177" s="168" t="str">
        <f t="shared" si="14"/>
      </c>
      <c r="X177" s="169" t="str">
        <f t="shared" si="15"/>
      </c>
      <c r="Y177" s="168" t="str">
        <f>IF(ISBLANK(Table123[[#This Row],[Odds Spread]]), "",O177+IF(S177&lt;0, (O177/(S177/-100)), O177*(S177/100)))</f>
      </c>
      <c r="Z177" s="168" t="str">
        <f t="shared" si="16"/>
      </c>
      <c r="AA177" s="68" t="n">
        <f t="shared" si="17"/>
        <v>0</v>
      </c>
      <c r="AB177" s="68" t="n">
        <f t="shared" si="18"/>
        <v>0</v>
      </c>
      <c r="AC177" s="170" t="e">
        <f>IF('Prediction Log'!#REF!="Y", "W", IF('Prediction Log'!#REF!="N","L",""))</f>
        <v>#REF!</v>
      </c>
      <c r="AD177" s="171" t="e">
        <f>IF('Prediction Log'!#REF!="Y", "W", IF('Prediction Log'!#REF!="N","L",""))</f>
        <v>#REF!</v>
      </c>
      <c r="AE177" s="172" t="str">
        <f>IF(ISBLANK(Table123[[#This Row],[Odds Side - Difference Model]]), "",IF(AC177="W", W177, IF(AC177="L",-N177, "")))</f>
      </c>
      <c r="AF177" s="173" t="str">
        <f>IFERROR((IF(ISERR(Table123[[#This Row],[Potential Payout Side - Win Probability Model]]), "",IF(AD177="W", X177, IF(AD177="L",-N177, "")))), "")</f>
      </c>
      <c r="AG177" s="170" t="e">
        <f>IF('Prediction Log'!#REF!="Y", "W", IF('Prediction Log'!#REF!="N", "L", ""))</f>
        <v>#REF!</v>
      </c>
      <c r="AH177" s="172" t="str">
        <f>IF(ISBLANK(Table123[[#This Row],[Odds Spread]]), "",IF(AG177="W", Z177, IF(AG177="L",-O177, "")))</f>
      </c>
      <c r="AI177" s="184"/>
      <c r="AJ177" s="183" t="str">
        <f t="shared" si="19"/>
      </c>
      <c r="AK1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8">
      <c r="A178" s="65" t="e">
        <f>Games!#REF!</f>
        <v>#REF!</v>
      </c>
      <c r="B178" s="65" t="e">
        <f>IF('Prediction Log'!#REF!=0, "",'Prediction Log'!#REF!)</f>
        <v>#REF!</v>
      </c>
      <c r="C178" s="65" t="e">
        <f>IF('Prediction Log'!#REF!=0, "",'Prediction Log'!#REF!)</f>
        <v>#REF!</v>
      </c>
      <c r="D178" s="65" t="e">
        <f>IF('Prediction Log'!#REF!=0, "",'Prediction Log'!#REF!)</f>
        <v>#REF!</v>
      </c>
      <c r="E178" s="65" t="e">
        <f>IF('Prediction Log'!#REF!=0, "",'Prediction Log'!#REF!)</f>
        <v>#REF!</v>
      </c>
      <c r="F178" s="65" t="e">
        <f>IF('Prediction Log'!#REF!=0, "",'Prediction Log'!#REF!)</f>
        <v>#REF!</v>
      </c>
      <c r="G178" s="64" t="e">
        <f>IF(ISBLANK(Games!#REF!), "",'Prediction Log'!#REF!)</f>
        <v>#REF!</v>
      </c>
      <c r="H178" s="66" t="e">
        <f>'Prediction Log'!#REF!</f>
        <v>#REF!</v>
      </c>
      <c r="I178" s="65" t="e">
        <f>IF(ISBLANK(Games!#REF!), "",IF(AND(Games!#REF!="",Games!#REF!=""),"",IF(ISTEXT(Games!#REF!), "Side",Games!#REF!)))</f>
        <v>#REF!</v>
      </c>
      <c r="J178" s="65" t="e">
        <f>IF(ISBLANK(Games!#REF!), "",IF(Games!#REF!="Y", Games!#REF!, Games!#REF!))</f>
        <v>#REF!</v>
      </c>
      <c r="K178" s="65" t="e">
        <f>Games!#REF!</f>
        <v>#REF!</v>
      </c>
      <c r="L178" s="65" t="e">
        <f>IF(ISBLANK(Games!#REF!), "",Games!#REF!)</f>
        <v>#REF!</v>
      </c>
      <c r="M178" s="65"/>
      <c r="N178" s="167" t="str">
        <f>IF(ISBLANK(Table123[[#This Row],[Odds Side - Difference Model]]), "", 1)</f>
      </c>
      <c r="O178" s="167" t="str">
        <f>IF(ISBLANK(Table123[[#This Row],[Odds Spread]]), "", 1)</f>
      </c>
      <c r="P178" s="67"/>
      <c r="Q178" s="67"/>
      <c r="R1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8" s="67"/>
      <c r="T178" s="67"/>
      <c r="U178" s="168" t="str">
        <f>IF(ISBLANK(Table123[[#This Row],[Odds Side - Difference Model]]), "",N178+IF(Q178&lt;0, (N178/(Q178/-100)), N178*(Q178/100)))</f>
      </c>
      <c r="V178" s="169" t="str">
        <f>IFERROR(IF(ISBLANK(Table123[[#This Row],[Odds Side - Win Probability Model]]), "",N178+IF(R178&lt;0, (N178/(R178/-100)), N178*(R178/100))),"")</f>
      </c>
      <c r="W178" s="168" t="str">
        <f t="shared" si="14"/>
      </c>
      <c r="X178" s="169" t="str">
        <f t="shared" si="15"/>
      </c>
      <c r="Y178" s="168" t="str">
        <f>IF(ISBLANK(Table123[[#This Row],[Odds Spread]]), "",O178+IF(S178&lt;0, (O178/(S178/-100)), O178*(S178/100)))</f>
      </c>
      <c r="Z178" s="168" t="str">
        <f t="shared" si="16"/>
      </c>
      <c r="AA178" s="68" t="n">
        <f t="shared" si="17"/>
        <v>0</v>
      </c>
      <c r="AB178" s="68" t="n">
        <f t="shared" si="18"/>
        <v>0</v>
      </c>
      <c r="AC178" s="170" t="e">
        <f>IF('Prediction Log'!#REF!="Y", "W", IF('Prediction Log'!#REF!="N","L",""))</f>
        <v>#REF!</v>
      </c>
      <c r="AD178" s="171" t="e">
        <f>IF('Prediction Log'!#REF!="Y", "W", IF('Prediction Log'!#REF!="N","L",""))</f>
        <v>#REF!</v>
      </c>
      <c r="AE178" s="172" t="str">
        <f>IF(ISBLANK(Table123[[#This Row],[Odds Side - Difference Model]]), "",IF(AC178="W", W178, IF(AC178="L",-N178, "")))</f>
      </c>
      <c r="AF178" s="173" t="str">
        <f>IFERROR((IF(ISERR(Table123[[#This Row],[Potential Payout Side - Win Probability Model]]), "",IF(AD178="W", X178, IF(AD178="L",-N178, "")))), "")</f>
      </c>
      <c r="AG178" s="170" t="e">
        <f>IF('Prediction Log'!#REF!="Y", "W", IF('Prediction Log'!#REF!="N", "L", ""))</f>
        <v>#REF!</v>
      </c>
      <c r="AH178" s="172" t="str">
        <f>IF(ISBLANK(Table123[[#This Row],[Odds Spread]]), "",IF(AG178="W", Z178, IF(AG178="L",-O178, "")))</f>
      </c>
      <c r="AI178" s="184"/>
      <c r="AJ178" s="183" t="str">
        <f t="shared" si="19"/>
      </c>
      <c r="AK1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9">
      <c r="A179" s="65" t="e">
        <f>Games!#REF!</f>
        <v>#REF!</v>
      </c>
      <c r="B179" s="65" t="e">
        <f>IF('Prediction Log'!#REF!=0, "",'Prediction Log'!#REF!)</f>
        <v>#REF!</v>
      </c>
      <c r="C179" s="65" t="e">
        <f>IF('Prediction Log'!#REF!=0, "",'Prediction Log'!#REF!)</f>
        <v>#REF!</v>
      </c>
      <c r="D179" s="65" t="e">
        <f>IF('Prediction Log'!#REF!=0, "",'Prediction Log'!#REF!)</f>
        <v>#REF!</v>
      </c>
      <c r="E179" s="65" t="e">
        <f>IF('Prediction Log'!#REF!=0, "",'Prediction Log'!#REF!)</f>
        <v>#REF!</v>
      </c>
      <c r="F179" s="65" t="e">
        <f>IF('Prediction Log'!#REF!=0, "",'Prediction Log'!#REF!)</f>
        <v>#REF!</v>
      </c>
      <c r="G179" s="64" t="e">
        <f>IF(ISBLANK(Games!#REF!), "",'Prediction Log'!#REF!)</f>
        <v>#REF!</v>
      </c>
      <c r="H179" s="66" t="e">
        <f>'Prediction Log'!#REF!</f>
        <v>#REF!</v>
      </c>
      <c r="I179" s="65" t="e">
        <f>IF(ISBLANK(Games!#REF!), "",IF(AND(Games!#REF!="",Games!#REF!=""),"",IF(ISTEXT(Games!#REF!), "Side",Games!#REF!)))</f>
        <v>#REF!</v>
      </c>
      <c r="J179" s="65" t="e">
        <f>IF(ISBLANK(Games!#REF!), "",IF(Games!#REF!="Y", Games!#REF!, Games!#REF!))</f>
        <v>#REF!</v>
      </c>
      <c r="K179" s="65" t="e">
        <f>Games!#REF!</f>
        <v>#REF!</v>
      </c>
      <c r="L179" s="65" t="e">
        <f>IF(ISBLANK(Games!#REF!), "",Games!#REF!)</f>
        <v>#REF!</v>
      </c>
      <c r="M179" s="65"/>
      <c r="N179" s="167" t="str">
        <f>IF(ISBLANK(Table123[[#This Row],[Odds Side - Difference Model]]), "", 1)</f>
      </c>
      <c r="O179" s="167" t="str">
        <f>IF(ISBLANK(Table123[[#This Row],[Odds Spread]]), "", 1)</f>
      </c>
      <c r="P179" s="67"/>
      <c r="Q179" s="67"/>
      <c r="R1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9" s="67"/>
      <c r="T179" s="67"/>
      <c r="U179" s="168" t="str">
        <f>IF(ISBLANK(Table123[[#This Row],[Odds Side - Difference Model]]), "",N179+IF(Q179&lt;0, (N179/(Q179/-100)), N179*(Q179/100)))</f>
      </c>
      <c r="V179" s="169" t="str">
        <f>IFERROR(IF(ISBLANK(Table123[[#This Row],[Odds Side - Win Probability Model]]), "",N179+IF(R179&lt;0, (N179/(R179/-100)), N179*(R179/100))),"")</f>
      </c>
      <c r="W179" s="168" t="str">
        <f t="shared" si="14"/>
      </c>
      <c r="X179" s="169" t="str">
        <f t="shared" si="15"/>
      </c>
      <c r="Y179" s="168" t="str">
        <f>IF(ISBLANK(Table123[[#This Row],[Odds Spread]]), "",O179+IF(S179&lt;0, (O179/(S179/-100)), O179*(S179/100)))</f>
      </c>
      <c r="Z179" s="168" t="str">
        <f t="shared" si="16"/>
      </c>
      <c r="AA179" s="68" t="n">
        <f t="shared" si="17"/>
        <v>0</v>
      </c>
      <c r="AB179" s="68" t="n">
        <f t="shared" si="18"/>
        <v>0</v>
      </c>
      <c r="AC179" s="170" t="e">
        <f>IF('Prediction Log'!#REF!="Y", "W", IF('Prediction Log'!#REF!="N","L",""))</f>
        <v>#REF!</v>
      </c>
      <c r="AD179" s="171" t="e">
        <f>IF('Prediction Log'!#REF!="Y", "W", IF('Prediction Log'!#REF!="N","L",""))</f>
        <v>#REF!</v>
      </c>
      <c r="AE179" s="172" t="str">
        <f>IF(ISBLANK(Table123[[#This Row],[Odds Side - Difference Model]]), "",IF(AC179="W", W179, IF(AC179="L",-N179, "")))</f>
      </c>
      <c r="AF179" s="173" t="str">
        <f>IFERROR((IF(ISERR(Table123[[#This Row],[Potential Payout Side - Win Probability Model]]), "",IF(AD179="W", X179, IF(AD179="L",-N179, "")))), "")</f>
      </c>
      <c r="AG179" s="170" t="e">
        <f>IF('Prediction Log'!#REF!="Y", "W", IF('Prediction Log'!#REF!="N", "L", ""))</f>
        <v>#REF!</v>
      </c>
      <c r="AH179" s="172" t="str">
        <f>IF(ISBLANK(Table123[[#This Row],[Odds Spread]]), "",IF(AG179="W", Z179, IF(AG179="L",-O179, "")))</f>
      </c>
      <c r="AI179" s="184"/>
      <c r="AJ179" s="183" t="str">
        <f t="shared" si="19"/>
      </c>
      <c r="AK1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0">
      <c r="A180" s="65" t="e">
        <f>Games!#REF!</f>
        <v>#REF!</v>
      </c>
      <c r="B180" s="65" t="e">
        <f>IF('Prediction Log'!#REF!=0, "",'Prediction Log'!#REF!)</f>
        <v>#REF!</v>
      </c>
      <c r="C180" s="65" t="e">
        <f>IF('Prediction Log'!#REF!=0, "",'Prediction Log'!#REF!)</f>
        <v>#REF!</v>
      </c>
      <c r="D180" s="65" t="e">
        <f>IF('Prediction Log'!#REF!=0, "",'Prediction Log'!#REF!)</f>
        <v>#REF!</v>
      </c>
      <c r="E180" s="65" t="e">
        <f>IF('Prediction Log'!#REF!=0, "",'Prediction Log'!#REF!)</f>
        <v>#REF!</v>
      </c>
      <c r="F180" s="65" t="e">
        <f>IF('Prediction Log'!#REF!=0, "",'Prediction Log'!#REF!)</f>
        <v>#REF!</v>
      </c>
      <c r="G180" s="64" t="e">
        <f>IF(ISBLANK(Games!#REF!), "",'Prediction Log'!#REF!)</f>
        <v>#REF!</v>
      </c>
      <c r="H180" s="66" t="e">
        <f>'Prediction Log'!#REF!</f>
        <v>#REF!</v>
      </c>
      <c r="I180" s="65" t="e">
        <f>IF(ISBLANK(Games!#REF!), "",IF(AND(Games!#REF!="",Games!#REF!=""),"",IF(ISTEXT(Games!#REF!), "Side",Games!#REF!)))</f>
        <v>#REF!</v>
      </c>
      <c r="J180" s="65" t="e">
        <f>IF(ISBLANK(Games!#REF!), "",IF(Games!#REF!="Y", Games!#REF!, Games!#REF!))</f>
        <v>#REF!</v>
      </c>
      <c r="K180" s="65" t="e">
        <f>Games!#REF!</f>
        <v>#REF!</v>
      </c>
      <c r="L180" s="65" t="e">
        <f>IF(ISBLANK(Games!#REF!), "",Games!#REF!)</f>
        <v>#REF!</v>
      </c>
      <c r="M180" s="65"/>
      <c r="N180" s="167" t="str">
        <f>IF(ISBLANK(Table123[[#This Row],[Odds Side - Difference Model]]), "", 1)</f>
      </c>
      <c r="O180" s="167" t="str">
        <f>IF(ISBLANK(Table123[[#This Row],[Odds Spread]]), "", 1)</f>
      </c>
      <c r="P180" s="67"/>
      <c r="Q180" s="67"/>
      <c r="R1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0" s="67"/>
      <c r="T180" s="67"/>
      <c r="U180" s="168" t="str">
        <f>IF(ISBLANK(Table123[[#This Row],[Odds Side - Difference Model]]), "",N180+IF(Q180&lt;0, (N180/(Q180/-100)), N180*(Q180/100)))</f>
      </c>
      <c r="V180" s="169" t="str">
        <f>IFERROR(IF(ISBLANK(Table123[[#This Row],[Odds Side - Win Probability Model]]), "",N180+IF(R180&lt;0, (N180/(R180/-100)), N180*(R180/100))),"")</f>
      </c>
      <c r="W180" s="168" t="str">
        <f t="shared" si="14"/>
      </c>
      <c r="X180" s="169" t="str">
        <f t="shared" si="15"/>
      </c>
      <c r="Y180" s="168" t="str">
        <f>IF(ISBLANK(Table123[[#This Row],[Odds Spread]]), "",O180+IF(S180&lt;0, (O180/(S180/-100)), O180*(S180/100)))</f>
      </c>
      <c r="Z180" s="168" t="str">
        <f t="shared" si="16"/>
      </c>
      <c r="AA180" s="68" t="n">
        <f t="shared" si="17"/>
        <v>0</v>
      </c>
      <c r="AB180" s="68" t="n">
        <f t="shared" si="18"/>
        <v>0</v>
      </c>
      <c r="AC180" s="170" t="e">
        <f>IF('Prediction Log'!#REF!="Y", "W", IF('Prediction Log'!#REF!="N","L",""))</f>
        <v>#REF!</v>
      </c>
      <c r="AD180" s="171" t="e">
        <f>IF('Prediction Log'!#REF!="Y", "W", IF('Prediction Log'!#REF!="N","L",""))</f>
        <v>#REF!</v>
      </c>
      <c r="AE180" s="172" t="str">
        <f>IF(ISBLANK(Table123[[#This Row],[Odds Side - Difference Model]]), "",IF(AC180="W", W180, IF(AC180="L",-N180, "")))</f>
      </c>
      <c r="AF180" s="173" t="str">
        <f>IFERROR((IF(ISERR(Table123[[#This Row],[Potential Payout Side - Win Probability Model]]), "",IF(AD180="W", X180, IF(AD180="L",-N180, "")))), "")</f>
      </c>
      <c r="AG180" s="170" t="e">
        <f>IF('Prediction Log'!#REF!="Y", "W", IF('Prediction Log'!#REF!="N", "L", ""))</f>
        <v>#REF!</v>
      </c>
      <c r="AH180" s="172" t="str">
        <f>IF(ISBLANK(Table123[[#This Row],[Odds Spread]]), "",IF(AG180="W", Z180, IF(AG180="L",-O180, "")))</f>
      </c>
      <c r="AI180" s="184"/>
      <c r="AJ180" s="183" t="str">
        <f t="shared" si="19"/>
      </c>
      <c r="AK1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1">
      <c r="A181" s="65" t="e">
        <f>Games!#REF!</f>
        <v>#REF!</v>
      </c>
      <c r="B181" s="65" t="e">
        <f>IF('Prediction Log'!#REF!=0, "",'Prediction Log'!#REF!)</f>
        <v>#REF!</v>
      </c>
      <c r="C181" s="65" t="e">
        <f>IF('Prediction Log'!#REF!=0, "",'Prediction Log'!#REF!)</f>
        <v>#REF!</v>
      </c>
      <c r="D181" s="65" t="e">
        <f>IF('Prediction Log'!#REF!=0, "",'Prediction Log'!#REF!)</f>
        <v>#REF!</v>
      </c>
      <c r="E181" s="65" t="e">
        <f>IF('Prediction Log'!#REF!=0, "",'Prediction Log'!#REF!)</f>
        <v>#REF!</v>
      </c>
      <c r="F181" s="65" t="e">
        <f>IF('Prediction Log'!#REF!=0, "",'Prediction Log'!#REF!)</f>
        <v>#REF!</v>
      </c>
      <c r="G181" s="64" t="e">
        <f>IF(ISBLANK(Games!#REF!), "",'Prediction Log'!#REF!)</f>
        <v>#REF!</v>
      </c>
      <c r="H181" s="66" t="e">
        <f>'Prediction Log'!#REF!</f>
        <v>#REF!</v>
      </c>
      <c r="I181" s="65" t="e">
        <f>IF(ISBLANK(Games!#REF!), "",IF(AND(Games!#REF!="",Games!#REF!=""),"",IF(ISTEXT(Games!#REF!), "Side",Games!#REF!)))</f>
        <v>#REF!</v>
      </c>
      <c r="J181" s="65" t="e">
        <f>IF(ISBLANK(Games!#REF!), "",IF(Games!#REF!="Y", Games!#REF!, Games!#REF!))</f>
        <v>#REF!</v>
      </c>
      <c r="K181" s="65" t="e">
        <f>Games!#REF!</f>
        <v>#REF!</v>
      </c>
      <c r="L181" s="65" t="e">
        <f>IF(ISBLANK(Games!#REF!), "",Games!#REF!)</f>
        <v>#REF!</v>
      </c>
      <c r="M181" s="65"/>
      <c r="N181" s="167" t="str">
        <f>IF(ISBLANK(Table123[[#This Row],[Odds Side - Difference Model]]), "", 1)</f>
      </c>
      <c r="O181" s="167" t="str">
        <f>IF(ISBLANK(Table123[[#This Row],[Odds Spread]]), "", 1)</f>
      </c>
      <c r="P181" s="67"/>
      <c r="Q181" s="67"/>
      <c r="R1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1" s="67"/>
      <c r="T181" s="67"/>
      <c r="U181" s="168" t="str">
        <f>IF(ISBLANK(Table123[[#This Row],[Odds Side - Difference Model]]), "",N181+IF(Q181&lt;0, (N181/(Q181/-100)), N181*(Q181/100)))</f>
      </c>
      <c r="V181" s="169" t="str">
        <f>IFERROR(IF(ISBLANK(Table123[[#This Row],[Odds Side - Win Probability Model]]), "",N181+IF(R181&lt;0, (N181/(R181/-100)), N181*(R181/100))),"")</f>
      </c>
      <c r="W181" s="168" t="str">
        <f t="shared" si="14"/>
      </c>
      <c r="X181" s="169" t="str">
        <f t="shared" si="15"/>
      </c>
      <c r="Y181" s="168" t="str">
        <f>IF(ISBLANK(Table123[[#This Row],[Odds Spread]]), "",O181+IF(S181&lt;0, (O181/(S181/-100)), O181*(S181/100)))</f>
      </c>
      <c r="Z181" s="168" t="str">
        <f t="shared" si="16"/>
      </c>
      <c r="AA181" s="68" t="n">
        <f t="shared" si="17"/>
        <v>0</v>
      </c>
      <c r="AB181" s="68" t="n">
        <f t="shared" si="18"/>
        <v>0</v>
      </c>
      <c r="AC181" s="170" t="e">
        <f>IF('Prediction Log'!#REF!="Y", "W", IF('Prediction Log'!#REF!="N","L",""))</f>
        <v>#REF!</v>
      </c>
      <c r="AD181" s="171" t="e">
        <f>IF('Prediction Log'!#REF!="Y", "W", IF('Prediction Log'!#REF!="N","L",""))</f>
        <v>#REF!</v>
      </c>
      <c r="AE181" s="172" t="str">
        <f>IF(ISBLANK(Table123[[#This Row],[Odds Side - Difference Model]]), "",IF(AC181="W", W181, IF(AC181="L",-N181, "")))</f>
      </c>
      <c r="AF181" s="173" t="str">
        <f>IFERROR((IF(ISERR(Table123[[#This Row],[Potential Payout Side - Win Probability Model]]), "",IF(AD181="W", X181, IF(AD181="L",-N181, "")))), "")</f>
      </c>
      <c r="AG181" s="170" t="e">
        <f>IF('Prediction Log'!#REF!="Y", "W", IF('Prediction Log'!#REF!="N", "L", ""))</f>
        <v>#REF!</v>
      </c>
      <c r="AH181" s="172" t="str">
        <f>IF(ISBLANK(Table123[[#This Row],[Odds Spread]]), "",IF(AG181="W", Z181, IF(AG181="L",-O181, "")))</f>
      </c>
      <c r="AI181" s="184"/>
      <c r="AJ181" s="183" t="str">
        <f t="shared" si="19"/>
      </c>
      <c r="AK1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2">
      <c r="A182" s="65" t="e">
        <f>Games!#REF!</f>
        <v>#REF!</v>
      </c>
      <c r="B182" s="65" t="e">
        <f>IF('Prediction Log'!#REF!=0, "",'Prediction Log'!#REF!)</f>
        <v>#REF!</v>
      </c>
      <c r="C182" s="65" t="e">
        <f>IF('Prediction Log'!#REF!=0, "",'Prediction Log'!#REF!)</f>
        <v>#REF!</v>
      </c>
      <c r="D182" s="65" t="e">
        <f>IF('Prediction Log'!#REF!=0, "",'Prediction Log'!#REF!)</f>
        <v>#REF!</v>
      </c>
      <c r="E182" s="65" t="e">
        <f>IF('Prediction Log'!#REF!=0, "",'Prediction Log'!#REF!)</f>
        <v>#REF!</v>
      </c>
      <c r="F182" s="65" t="e">
        <f>IF('Prediction Log'!#REF!=0, "",'Prediction Log'!#REF!)</f>
        <v>#REF!</v>
      </c>
      <c r="G182" s="64" t="e">
        <f>IF(ISBLANK(Games!#REF!), "",'Prediction Log'!#REF!)</f>
        <v>#REF!</v>
      </c>
      <c r="H182" s="66" t="e">
        <f>'Prediction Log'!#REF!</f>
        <v>#REF!</v>
      </c>
      <c r="I182" s="65" t="e">
        <f>IF(ISBLANK(Games!#REF!), "",IF(AND(Games!#REF!="",Games!#REF!=""),"",IF(ISTEXT(Games!#REF!), "Side",Games!#REF!)))</f>
        <v>#REF!</v>
      </c>
      <c r="J182" s="65" t="e">
        <f>IF(ISBLANK(Games!#REF!), "",IF(Games!#REF!="Y", Games!#REF!, Games!#REF!))</f>
        <v>#REF!</v>
      </c>
      <c r="K182" s="65" t="e">
        <f>Games!#REF!</f>
        <v>#REF!</v>
      </c>
      <c r="L182" s="65" t="e">
        <f>IF(ISBLANK(Games!#REF!), "",Games!#REF!)</f>
        <v>#REF!</v>
      </c>
      <c r="M182" s="65"/>
      <c r="N182" s="167" t="str">
        <f>IF(ISBLANK(Table123[[#This Row],[Odds Side - Difference Model]]), "", 1)</f>
      </c>
      <c r="O182" s="167" t="str">
        <f>IF(ISBLANK(Table123[[#This Row],[Odds Spread]]), "", 1)</f>
      </c>
      <c r="P182" s="67"/>
      <c r="Q182" s="67"/>
      <c r="R1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2" s="67"/>
      <c r="T182" s="67"/>
      <c r="U182" s="168" t="str">
        <f>IF(ISBLANK(Table123[[#This Row],[Odds Side - Difference Model]]), "",N182+IF(Q182&lt;0, (N182/(Q182/-100)), N182*(Q182/100)))</f>
      </c>
      <c r="V182" s="169" t="str">
        <f>IFERROR(IF(ISBLANK(Table123[[#This Row],[Odds Side - Win Probability Model]]), "",N182+IF(R182&lt;0, (N182/(R182/-100)), N182*(R182/100))),"")</f>
      </c>
      <c r="W182" s="168" t="str">
        <f t="shared" si="14"/>
      </c>
      <c r="X182" s="169" t="str">
        <f t="shared" si="15"/>
      </c>
      <c r="Y182" s="168" t="str">
        <f>IF(ISBLANK(Table123[[#This Row],[Odds Spread]]), "",O182+IF(S182&lt;0, (O182/(S182/-100)), O182*(S182/100)))</f>
      </c>
      <c r="Z182" s="168" t="str">
        <f t="shared" si="16"/>
      </c>
      <c r="AA182" s="68" t="n">
        <f t="shared" si="17"/>
        <v>0</v>
      </c>
      <c r="AB182" s="68" t="n">
        <f t="shared" si="18"/>
        <v>0</v>
      </c>
      <c r="AC182" s="170" t="e">
        <f>IF('Prediction Log'!#REF!="Y", "W", IF('Prediction Log'!#REF!="N","L",""))</f>
        <v>#REF!</v>
      </c>
      <c r="AD182" s="171" t="e">
        <f>IF('Prediction Log'!#REF!="Y", "W", IF('Prediction Log'!#REF!="N","L",""))</f>
        <v>#REF!</v>
      </c>
      <c r="AE182" s="172" t="str">
        <f>IF(ISBLANK(Table123[[#This Row],[Odds Side - Difference Model]]), "",IF(AC182="W", W182, IF(AC182="L",-N182, "")))</f>
      </c>
      <c r="AF182" s="173" t="str">
        <f>IFERROR((IF(ISERR(Table123[[#This Row],[Potential Payout Side - Win Probability Model]]), "",IF(AD182="W", X182, IF(AD182="L",-N182, "")))), "")</f>
      </c>
      <c r="AG182" s="170" t="e">
        <f>IF('Prediction Log'!#REF!="Y", "W", IF('Prediction Log'!#REF!="N", "L", ""))</f>
        <v>#REF!</v>
      </c>
      <c r="AH182" s="172" t="str">
        <f>IF(ISBLANK(Table123[[#This Row],[Odds Spread]]), "",IF(AG182="W", Z182, IF(AG182="L",-O182, "")))</f>
      </c>
      <c r="AI182" s="184"/>
      <c r="AJ182" s="183" t="str">
        <f t="shared" si="19"/>
      </c>
      <c r="AK1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3">
      <c r="A183" s="65" t="e">
        <f>Games!#REF!</f>
        <v>#REF!</v>
      </c>
      <c r="B183" s="65" t="e">
        <f>IF('Prediction Log'!#REF!=0, "",'Prediction Log'!#REF!)</f>
        <v>#REF!</v>
      </c>
      <c r="C183" s="65" t="e">
        <f>IF('Prediction Log'!#REF!=0, "",'Prediction Log'!#REF!)</f>
        <v>#REF!</v>
      </c>
      <c r="D183" s="65" t="e">
        <f>IF('Prediction Log'!#REF!=0, "",'Prediction Log'!#REF!)</f>
        <v>#REF!</v>
      </c>
      <c r="E183" s="65" t="e">
        <f>IF('Prediction Log'!#REF!=0, "",'Prediction Log'!#REF!)</f>
        <v>#REF!</v>
      </c>
      <c r="F183" s="65" t="e">
        <f>IF('Prediction Log'!#REF!=0, "",'Prediction Log'!#REF!)</f>
        <v>#REF!</v>
      </c>
      <c r="G183" s="64" t="e">
        <f>IF(ISBLANK(Games!#REF!), "",'Prediction Log'!#REF!)</f>
        <v>#REF!</v>
      </c>
      <c r="H183" s="66" t="e">
        <f>'Prediction Log'!#REF!</f>
        <v>#REF!</v>
      </c>
      <c r="I183" s="65" t="e">
        <f>IF(ISBLANK(Games!#REF!), "",IF(AND(Games!#REF!="",Games!#REF!=""),"",IF(ISTEXT(Games!#REF!), "Side",Games!#REF!)))</f>
        <v>#REF!</v>
      </c>
      <c r="J183" s="65" t="e">
        <f>IF(ISBLANK(Games!#REF!), "",IF(Games!#REF!="Y", Games!#REF!, Games!#REF!))</f>
        <v>#REF!</v>
      </c>
      <c r="K183" s="65" t="e">
        <f>Games!#REF!</f>
        <v>#REF!</v>
      </c>
      <c r="L183" s="65" t="e">
        <f>IF(ISBLANK(Games!#REF!), "",Games!#REF!)</f>
        <v>#REF!</v>
      </c>
      <c r="M183" s="65"/>
      <c r="N183" s="167" t="str">
        <f>IF(ISBLANK(Table123[[#This Row],[Odds Side - Difference Model]]), "", 1)</f>
      </c>
      <c r="O183" s="167" t="str">
        <f>IF(ISBLANK(Table123[[#This Row],[Odds Spread]]), "", 1)</f>
      </c>
      <c r="P183" s="67"/>
      <c r="Q183" s="67"/>
      <c r="R1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3" s="67"/>
      <c r="T183" s="67"/>
      <c r="U183" s="168" t="str">
        <f>IF(ISBLANK(Table123[[#This Row],[Odds Side - Difference Model]]), "",N183+IF(Q183&lt;0, (N183/(Q183/-100)), N183*(Q183/100)))</f>
      </c>
      <c r="V183" s="169" t="str">
        <f>IFERROR(IF(ISBLANK(Table123[[#This Row],[Odds Side - Win Probability Model]]), "",N183+IF(R183&lt;0, (N183/(R183/-100)), N183*(R183/100))),"")</f>
      </c>
      <c r="W183" s="168" t="str">
        <f t="shared" si="14"/>
      </c>
      <c r="X183" s="169" t="str">
        <f t="shared" si="15"/>
      </c>
      <c r="Y183" s="168" t="str">
        <f>IF(ISBLANK(Table123[[#This Row],[Odds Spread]]), "",O183+IF(S183&lt;0, (O183/(S183/-100)), O183*(S183/100)))</f>
      </c>
      <c r="Z183" s="168" t="str">
        <f t="shared" si="16"/>
      </c>
      <c r="AA183" s="68" t="n">
        <f t="shared" si="17"/>
        <v>0</v>
      </c>
      <c r="AB183" s="68" t="n">
        <f t="shared" si="18"/>
        <v>0</v>
      </c>
      <c r="AC183" s="170" t="e">
        <f>IF('Prediction Log'!#REF!="Y", "W", IF('Prediction Log'!#REF!="N","L",""))</f>
        <v>#REF!</v>
      </c>
      <c r="AD183" s="171" t="e">
        <f>IF('Prediction Log'!#REF!="Y", "W", IF('Prediction Log'!#REF!="N","L",""))</f>
        <v>#REF!</v>
      </c>
      <c r="AE183" s="172" t="str">
        <f>IF(ISBLANK(Table123[[#This Row],[Odds Side - Difference Model]]), "",IF(AC183="W", W183, IF(AC183="L",-N183, "")))</f>
      </c>
      <c r="AF183" s="173" t="str">
        <f>IFERROR((IF(ISERR(Table123[[#This Row],[Potential Payout Side - Win Probability Model]]), "",IF(AD183="W", X183, IF(AD183="L",-N183, "")))), "")</f>
      </c>
      <c r="AG183" s="170" t="e">
        <f>IF('Prediction Log'!#REF!="Y", "W", IF('Prediction Log'!#REF!="N", "L", ""))</f>
        <v>#REF!</v>
      </c>
      <c r="AH183" s="172" t="str">
        <f>IF(ISBLANK(Table123[[#This Row],[Odds Spread]]), "",IF(AG183="W", Z183, IF(AG183="L",-O183, "")))</f>
      </c>
      <c r="AI183" s="184"/>
      <c r="AJ183" s="183" t="str">
        <f t="shared" si="19"/>
      </c>
      <c r="AK1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4">
      <c r="A184" s="65" t="e">
        <f>Games!#REF!</f>
        <v>#REF!</v>
      </c>
      <c r="B184" s="65" t="e">
        <f>IF('Prediction Log'!#REF!=0, "",'Prediction Log'!#REF!)</f>
        <v>#REF!</v>
      </c>
      <c r="C184" s="65" t="e">
        <f>IF('Prediction Log'!#REF!=0, "",'Prediction Log'!#REF!)</f>
        <v>#REF!</v>
      </c>
      <c r="D184" s="65" t="e">
        <f>IF('Prediction Log'!#REF!=0, "",'Prediction Log'!#REF!)</f>
        <v>#REF!</v>
      </c>
      <c r="E184" s="65" t="e">
        <f>IF('Prediction Log'!#REF!=0, "",'Prediction Log'!#REF!)</f>
        <v>#REF!</v>
      </c>
      <c r="F184" s="65" t="e">
        <f>IF('Prediction Log'!#REF!=0, "",'Prediction Log'!#REF!)</f>
        <v>#REF!</v>
      </c>
      <c r="G184" s="64" t="e">
        <f>IF(ISBLANK(Games!#REF!), "",'Prediction Log'!#REF!)</f>
        <v>#REF!</v>
      </c>
      <c r="H184" s="66" t="e">
        <f>'Prediction Log'!#REF!</f>
        <v>#REF!</v>
      </c>
      <c r="I184" s="65" t="e">
        <f>IF(ISBLANK(Games!#REF!), "",IF(AND(Games!#REF!="",Games!#REF!=""),"",IF(ISTEXT(Games!#REF!), "Side",Games!#REF!)))</f>
        <v>#REF!</v>
      </c>
      <c r="J184" s="65" t="e">
        <f>IF(ISBLANK(Games!#REF!), "",IF(Games!#REF!="Y", Games!#REF!, Games!#REF!))</f>
        <v>#REF!</v>
      </c>
      <c r="K184" s="65" t="e">
        <f>Games!#REF!</f>
        <v>#REF!</v>
      </c>
      <c r="L184" s="65" t="e">
        <f>IF(ISBLANK(Games!#REF!), "",Games!#REF!)</f>
        <v>#REF!</v>
      </c>
      <c r="M184" s="65"/>
      <c r="N184" s="167" t="str">
        <f>IF(ISBLANK(Table123[[#This Row],[Odds Side - Difference Model]]), "", 1)</f>
      </c>
      <c r="O184" s="167" t="str">
        <f>IF(ISBLANK(Table123[[#This Row],[Odds Spread]]), "", 1)</f>
      </c>
      <c r="P184" s="67"/>
      <c r="Q184" s="67"/>
      <c r="R1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4" s="67"/>
      <c r="T184" s="67"/>
      <c r="U184" s="168" t="str">
        <f>IF(ISBLANK(Table123[[#This Row],[Odds Side - Difference Model]]), "",N184+IF(Q184&lt;0, (N184/(Q184/-100)), N184*(Q184/100)))</f>
      </c>
      <c r="V184" s="169" t="str">
        <f>IFERROR(IF(ISBLANK(Table123[[#This Row],[Odds Side - Win Probability Model]]), "",N184+IF(R184&lt;0, (N184/(R184/-100)), N184*(R184/100))),"")</f>
      </c>
      <c r="W184" s="168" t="str">
        <f t="shared" si="14"/>
      </c>
      <c r="X184" s="169" t="str">
        <f t="shared" si="15"/>
      </c>
      <c r="Y184" s="168" t="str">
        <f>IF(ISBLANK(Table123[[#This Row],[Odds Spread]]), "",O184+IF(S184&lt;0, (O184/(S184/-100)), O184*(S184/100)))</f>
      </c>
      <c r="Z184" s="168" t="str">
        <f t="shared" si="16"/>
      </c>
      <c r="AA184" s="68" t="n">
        <f t="shared" si="17"/>
        <v>0</v>
      </c>
      <c r="AB184" s="68" t="n">
        <f t="shared" si="18"/>
        <v>0</v>
      </c>
      <c r="AC184" s="170" t="e">
        <f>IF('Prediction Log'!#REF!="Y", "W", IF('Prediction Log'!#REF!="N","L",""))</f>
        <v>#REF!</v>
      </c>
      <c r="AD184" s="171" t="e">
        <f>IF('Prediction Log'!#REF!="Y", "W", IF('Prediction Log'!#REF!="N","L",""))</f>
        <v>#REF!</v>
      </c>
      <c r="AE184" s="172" t="str">
        <f>IF(ISBLANK(Table123[[#This Row],[Odds Side - Difference Model]]), "",IF(AC184="W", W184, IF(AC184="L",-N184, "")))</f>
      </c>
      <c r="AF184" s="173" t="str">
        <f>IFERROR((IF(ISERR(Table123[[#This Row],[Potential Payout Side - Win Probability Model]]), "",IF(AD184="W", X184, IF(AD184="L",-N184, "")))), "")</f>
      </c>
      <c r="AG184" s="170" t="e">
        <f>IF('Prediction Log'!#REF!="Y", "W", IF('Prediction Log'!#REF!="N", "L", ""))</f>
        <v>#REF!</v>
      </c>
      <c r="AH184" s="172" t="str">
        <f>IF(ISBLANK(Table123[[#This Row],[Odds Spread]]), "",IF(AG184="W", Z184, IF(AG184="L",-O184, "")))</f>
      </c>
      <c r="AI184" s="184"/>
      <c r="AJ184" s="183" t="str">
        <f t="shared" si="19"/>
      </c>
      <c r="AK1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5">
      <c r="A185" s="65" t="e">
        <f>Games!#REF!</f>
        <v>#REF!</v>
      </c>
      <c r="B185" s="65" t="e">
        <f>IF('Prediction Log'!#REF!=0, "",'Prediction Log'!#REF!)</f>
        <v>#REF!</v>
      </c>
      <c r="C185" s="65" t="e">
        <f>IF('Prediction Log'!#REF!=0, "",'Prediction Log'!#REF!)</f>
        <v>#REF!</v>
      </c>
      <c r="D185" s="65" t="e">
        <f>IF('Prediction Log'!#REF!=0, "",'Prediction Log'!#REF!)</f>
        <v>#REF!</v>
      </c>
      <c r="E185" s="65" t="e">
        <f>IF('Prediction Log'!#REF!=0, "",'Prediction Log'!#REF!)</f>
        <v>#REF!</v>
      </c>
      <c r="F185" s="65" t="e">
        <f>IF('Prediction Log'!#REF!=0, "",'Prediction Log'!#REF!)</f>
        <v>#REF!</v>
      </c>
      <c r="G185" s="64" t="e">
        <f>IF(ISBLANK(Games!#REF!), "",'Prediction Log'!#REF!)</f>
        <v>#REF!</v>
      </c>
      <c r="H185" s="66" t="e">
        <f>'Prediction Log'!#REF!</f>
        <v>#REF!</v>
      </c>
      <c r="I185" s="65" t="e">
        <f>IF(ISBLANK(Games!#REF!), "",IF(AND(Games!#REF!="",Games!#REF!=""),"",IF(ISTEXT(Games!#REF!), "Side",Games!#REF!)))</f>
        <v>#REF!</v>
      </c>
      <c r="J185" s="65" t="e">
        <f>IF(ISBLANK(Games!#REF!), "",IF(Games!#REF!="Y", Games!#REF!, Games!#REF!))</f>
        <v>#REF!</v>
      </c>
      <c r="K185" s="65" t="e">
        <f>Games!#REF!</f>
        <v>#REF!</v>
      </c>
      <c r="L185" s="65" t="e">
        <f>IF(ISBLANK(Games!#REF!), "",Games!#REF!)</f>
        <v>#REF!</v>
      </c>
      <c r="M185" s="65"/>
      <c r="N185" s="167" t="str">
        <f>IF(ISBLANK(Table123[[#This Row],[Odds Side - Difference Model]]), "", 1)</f>
      </c>
      <c r="O185" s="167" t="str">
        <f>IF(ISBLANK(Table123[[#This Row],[Odds Spread]]), "", 1)</f>
      </c>
      <c r="P185" s="67"/>
      <c r="Q185" s="67"/>
      <c r="R1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5" s="67"/>
      <c r="T185" s="67"/>
      <c r="U185" s="168" t="str">
        <f>IF(ISBLANK(Table123[[#This Row],[Odds Side - Difference Model]]), "",N185+IF(Q185&lt;0, (N185/(Q185/-100)), N185*(Q185/100)))</f>
      </c>
      <c r="V185" s="169" t="str">
        <f>IFERROR(IF(ISBLANK(Table123[[#This Row],[Odds Side - Win Probability Model]]), "",N185+IF(R185&lt;0, (N185/(R185/-100)), N185*(R185/100))),"")</f>
      </c>
      <c r="W185" s="168" t="str">
        <f t="shared" si="14"/>
      </c>
      <c r="X185" s="169" t="str">
        <f t="shared" si="15"/>
      </c>
      <c r="Y185" s="168" t="str">
        <f>IF(ISBLANK(Table123[[#This Row],[Odds Spread]]), "",O185+IF(S185&lt;0, (O185/(S185/-100)), O185*(S185/100)))</f>
      </c>
      <c r="Z185" s="168" t="str">
        <f t="shared" si="16"/>
      </c>
      <c r="AA185" s="68" t="n">
        <f t="shared" si="17"/>
        <v>0</v>
      </c>
      <c r="AB185" s="68" t="n">
        <f t="shared" si="18"/>
        <v>0</v>
      </c>
      <c r="AC185" s="170" t="e">
        <f>IF('Prediction Log'!#REF!="Y", "W", IF('Prediction Log'!#REF!="N","L",""))</f>
        <v>#REF!</v>
      </c>
      <c r="AD185" s="171" t="e">
        <f>IF('Prediction Log'!#REF!="Y", "W", IF('Prediction Log'!#REF!="N","L",""))</f>
        <v>#REF!</v>
      </c>
      <c r="AE185" s="172" t="str">
        <f>IF(ISBLANK(Table123[[#This Row],[Odds Side - Difference Model]]), "",IF(AC185="W", W185, IF(AC185="L",-N185, "")))</f>
      </c>
      <c r="AF185" s="173" t="str">
        <f>IFERROR((IF(ISERR(Table123[[#This Row],[Potential Payout Side - Win Probability Model]]), "",IF(AD185="W", X185, IF(AD185="L",-N185, "")))), "")</f>
      </c>
      <c r="AG185" s="170" t="e">
        <f>IF('Prediction Log'!#REF!="Y", "W", IF('Prediction Log'!#REF!="N", "L", ""))</f>
        <v>#REF!</v>
      </c>
      <c r="AH185" s="172" t="str">
        <f>IF(ISBLANK(Table123[[#This Row],[Odds Spread]]), "",IF(AG185="W", Z185, IF(AG185="L",-O185, "")))</f>
      </c>
      <c r="AI185" s="184"/>
      <c r="AJ185" s="183" t="str">
        <f t="shared" si="19"/>
      </c>
      <c r="AK1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6">
      <c r="A186" s="65" t="e">
        <f>Games!#REF!</f>
        <v>#REF!</v>
      </c>
      <c r="B186" s="65" t="e">
        <f>IF('Prediction Log'!#REF!=0, "",'Prediction Log'!#REF!)</f>
        <v>#REF!</v>
      </c>
      <c r="C186" s="65" t="e">
        <f>IF('Prediction Log'!#REF!=0, "",'Prediction Log'!#REF!)</f>
        <v>#REF!</v>
      </c>
      <c r="D186" s="65" t="e">
        <f>IF('Prediction Log'!#REF!=0, "",'Prediction Log'!#REF!)</f>
        <v>#REF!</v>
      </c>
      <c r="E186" s="65" t="e">
        <f>IF('Prediction Log'!#REF!=0, "",'Prediction Log'!#REF!)</f>
        <v>#REF!</v>
      </c>
      <c r="F186" s="65" t="e">
        <f>IF('Prediction Log'!#REF!=0, "",'Prediction Log'!#REF!)</f>
        <v>#REF!</v>
      </c>
      <c r="G186" s="64" t="e">
        <f>IF(ISBLANK(Games!#REF!), "",'Prediction Log'!#REF!)</f>
        <v>#REF!</v>
      </c>
      <c r="H186" s="66" t="e">
        <f>'Prediction Log'!#REF!</f>
        <v>#REF!</v>
      </c>
      <c r="I186" s="65" t="e">
        <f>IF(ISBLANK(Games!#REF!), "",IF(AND(Games!#REF!="",Games!#REF!=""),"",IF(ISTEXT(Games!#REF!), "Side",Games!#REF!)))</f>
        <v>#REF!</v>
      </c>
      <c r="J186" s="65" t="e">
        <f>IF(ISBLANK(Games!#REF!), "",IF(Games!#REF!="Y", Games!#REF!, Games!#REF!))</f>
        <v>#REF!</v>
      </c>
      <c r="K186" s="65" t="e">
        <f>Games!#REF!</f>
        <v>#REF!</v>
      </c>
      <c r="L186" s="65" t="e">
        <f>IF(ISBLANK(Games!#REF!), "",Games!#REF!)</f>
        <v>#REF!</v>
      </c>
      <c r="M186" s="65"/>
      <c r="N186" s="167" t="str">
        <f>IF(ISBLANK(Table123[[#This Row],[Odds Side - Difference Model]]), "", 1)</f>
      </c>
      <c r="O186" s="167" t="str">
        <f>IF(ISBLANK(Table123[[#This Row],[Odds Spread]]), "", 1)</f>
      </c>
      <c r="P186" s="67"/>
      <c r="Q186" s="67"/>
      <c r="R1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6" s="67"/>
      <c r="T186" s="67"/>
      <c r="U186" s="168" t="str">
        <f>IF(ISBLANK(Table123[[#This Row],[Odds Side - Difference Model]]), "",N186+IF(Q186&lt;0, (N186/(Q186/-100)), N186*(Q186/100)))</f>
      </c>
      <c r="V186" s="169" t="str">
        <f>IFERROR(IF(ISBLANK(Table123[[#This Row],[Odds Side - Win Probability Model]]), "",N186+IF(R186&lt;0, (N186/(R186/-100)), N186*(R186/100))),"")</f>
      </c>
      <c r="W186" s="168" t="str">
        <f t="shared" si="14"/>
      </c>
      <c r="X186" s="169" t="str">
        <f t="shared" si="15"/>
      </c>
      <c r="Y186" s="168" t="str">
        <f>IF(ISBLANK(Table123[[#This Row],[Odds Spread]]), "",O186+IF(S186&lt;0, (O186/(S186/-100)), O186*(S186/100)))</f>
      </c>
      <c r="Z186" s="168" t="str">
        <f t="shared" si="16"/>
      </c>
      <c r="AA186" s="68" t="n">
        <f t="shared" si="17"/>
        <v>0</v>
      </c>
      <c r="AB186" s="68" t="n">
        <f t="shared" si="18"/>
        <v>0</v>
      </c>
      <c r="AC186" s="170" t="e">
        <f>IF('Prediction Log'!#REF!="Y", "W", IF('Prediction Log'!#REF!="N","L",""))</f>
        <v>#REF!</v>
      </c>
      <c r="AD186" s="171" t="e">
        <f>IF('Prediction Log'!#REF!="Y", "W", IF('Prediction Log'!#REF!="N","L",""))</f>
        <v>#REF!</v>
      </c>
      <c r="AE186" s="172" t="str">
        <f>IF(ISBLANK(Table123[[#This Row],[Odds Side - Difference Model]]), "",IF(AC186="W", W186, IF(AC186="L",-N186, "")))</f>
      </c>
      <c r="AF186" s="173" t="str">
        <f>IFERROR((IF(ISERR(Table123[[#This Row],[Potential Payout Side - Win Probability Model]]), "",IF(AD186="W", X186, IF(AD186="L",-N186, "")))), "")</f>
      </c>
      <c r="AG186" s="170" t="e">
        <f>IF('Prediction Log'!#REF!="Y", "W", IF('Prediction Log'!#REF!="N", "L", ""))</f>
        <v>#REF!</v>
      </c>
      <c r="AH186" s="172" t="str">
        <f>IF(ISBLANK(Table123[[#This Row],[Odds Spread]]), "",IF(AG186="W", Z186, IF(AG186="L",-O186, "")))</f>
      </c>
      <c r="AI186" s="184"/>
      <c r="AJ186" s="183" t="str">
        <f t="shared" si="19"/>
      </c>
      <c r="AK1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7">
      <c r="A187" s="65" t="e">
        <f>Games!#REF!</f>
        <v>#REF!</v>
      </c>
      <c r="B187" s="65" t="e">
        <f>IF('Prediction Log'!#REF!=0, "",'Prediction Log'!#REF!)</f>
        <v>#REF!</v>
      </c>
      <c r="C187" s="65" t="e">
        <f>IF('Prediction Log'!#REF!=0, "",'Prediction Log'!#REF!)</f>
        <v>#REF!</v>
      </c>
      <c r="D187" s="65" t="e">
        <f>IF('Prediction Log'!#REF!=0, "",'Prediction Log'!#REF!)</f>
        <v>#REF!</v>
      </c>
      <c r="E187" s="65" t="e">
        <f>IF('Prediction Log'!#REF!=0, "",'Prediction Log'!#REF!)</f>
        <v>#REF!</v>
      </c>
      <c r="F187" s="65" t="e">
        <f>IF('Prediction Log'!#REF!=0, "",'Prediction Log'!#REF!)</f>
        <v>#REF!</v>
      </c>
      <c r="G187" s="64" t="e">
        <f>IF(ISBLANK(Games!#REF!), "",'Prediction Log'!#REF!)</f>
        <v>#REF!</v>
      </c>
      <c r="H187" s="66" t="e">
        <f>'Prediction Log'!#REF!</f>
        <v>#REF!</v>
      </c>
      <c r="I187" s="65" t="e">
        <f>IF(ISBLANK(Games!#REF!), "",IF(AND(Games!#REF!="",Games!#REF!=""),"",IF(ISTEXT(Games!#REF!), "Side",Games!#REF!)))</f>
        <v>#REF!</v>
      </c>
      <c r="J187" s="65" t="e">
        <f>IF(ISBLANK(Games!#REF!), "",IF(Games!#REF!="Y", Games!#REF!, Games!#REF!))</f>
        <v>#REF!</v>
      </c>
      <c r="K187" s="65" t="e">
        <f>Games!#REF!</f>
        <v>#REF!</v>
      </c>
      <c r="L187" s="65" t="e">
        <f>IF(ISBLANK(Games!#REF!), "",Games!#REF!)</f>
        <v>#REF!</v>
      </c>
      <c r="M187" s="65"/>
      <c r="N187" s="167" t="str">
        <f>IF(ISBLANK(Table123[[#This Row],[Odds Side - Difference Model]]), "", 1)</f>
      </c>
      <c r="O187" s="167" t="str">
        <f>IF(ISBLANK(Table123[[#This Row],[Odds Spread]]), "", 1)</f>
      </c>
      <c r="P187" s="67"/>
      <c r="Q187" s="67"/>
      <c r="R1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7" s="67"/>
      <c r="T187" s="67"/>
      <c r="U187" s="168" t="str">
        <f>IF(ISBLANK(Table123[[#This Row],[Odds Side - Difference Model]]), "",N187+IF(Q187&lt;0, (N187/(Q187/-100)), N187*(Q187/100)))</f>
      </c>
      <c r="V187" s="169" t="str">
        <f>IFERROR(IF(ISBLANK(Table123[[#This Row],[Odds Side - Win Probability Model]]), "",N187+IF(R187&lt;0, (N187/(R187/-100)), N187*(R187/100))),"")</f>
      </c>
      <c r="W187" s="168" t="str">
        <f t="shared" si="14"/>
      </c>
      <c r="X187" s="169" t="str">
        <f t="shared" si="15"/>
      </c>
      <c r="Y187" s="168" t="str">
        <f>IF(ISBLANK(Table123[[#This Row],[Odds Spread]]), "",O187+IF(S187&lt;0, (O187/(S187/-100)), O187*(S187/100)))</f>
      </c>
      <c r="Z187" s="168" t="str">
        <f t="shared" si="16"/>
      </c>
      <c r="AA187" s="68" t="n">
        <f t="shared" si="17"/>
        <v>0</v>
      </c>
      <c r="AB187" s="68" t="n">
        <f t="shared" si="18"/>
        <v>0</v>
      </c>
      <c r="AC187" s="170" t="e">
        <f>IF('Prediction Log'!#REF!="Y", "W", IF('Prediction Log'!#REF!="N","L",""))</f>
        <v>#REF!</v>
      </c>
      <c r="AD187" s="171" t="e">
        <f>IF('Prediction Log'!#REF!="Y", "W", IF('Prediction Log'!#REF!="N","L",""))</f>
        <v>#REF!</v>
      </c>
      <c r="AE187" s="172" t="str">
        <f>IF(ISBLANK(Table123[[#This Row],[Odds Side - Difference Model]]), "",IF(AC187="W", W187, IF(AC187="L",-N187, "")))</f>
      </c>
      <c r="AF187" s="173" t="str">
        <f>IFERROR((IF(ISERR(Table123[[#This Row],[Potential Payout Side - Win Probability Model]]), "",IF(AD187="W", X187, IF(AD187="L",-N187, "")))), "")</f>
      </c>
      <c r="AG187" s="170" t="e">
        <f>IF('Prediction Log'!#REF!="Y", "W", IF('Prediction Log'!#REF!="N", "L", ""))</f>
        <v>#REF!</v>
      </c>
      <c r="AH187" s="172" t="str">
        <f>IF(ISBLANK(Table123[[#This Row],[Odds Spread]]), "",IF(AG187="W", Z187, IF(AG187="L",-O187, "")))</f>
      </c>
      <c r="AI187" s="184"/>
      <c r="AJ187" s="183" t="str">
        <f t="shared" si="19"/>
      </c>
      <c r="AK1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8">
      <c r="A188" s="65" t="e">
        <f>Games!#REF!</f>
        <v>#REF!</v>
      </c>
      <c r="B188" s="65" t="e">
        <f>IF('Prediction Log'!#REF!=0, "",'Prediction Log'!#REF!)</f>
        <v>#REF!</v>
      </c>
      <c r="C188" s="65" t="e">
        <f>IF('Prediction Log'!#REF!=0, "",'Prediction Log'!#REF!)</f>
        <v>#REF!</v>
      </c>
      <c r="D188" s="65" t="e">
        <f>IF('Prediction Log'!#REF!=0, "",'Prediction Log'!#REF!)</f>
        <v>#REF!</v>
      </c>
      <c r="E188" s="65" t="e">
        <f>IF('Prediction Log'!#REF!=0, "",'Prediction Log'!#REF!)</f>
        <v>#REF!</v>
      </c>
      <c r="F188" s="65" t="e">
        <f>IF('Prediction Log'!#REF!=0, "",'Prediction Log'!#REF!)</f>
        <v>#REF!</v>
      </c>
      <c r="G188" s="64" t="e">
        <f>IF(ISBLANK(Games!#REF!), "",'Prediction Log'!#REF!)</f>
        <v>#REF!</v>
      </c>
      <c r="H188" s="66" t="e">
        <f>'Prediction Log'!#REF!</f>
        <v>#REF!</v>
      </c>
      <c r="I188" s="65" t="e">
        <f>IF(ISBLANK(Games!#REF!), "",IF(AND(Games!#REF!="",Games!#REF!=""),"",IF(ISTEXT(Games!#REF!), "Side",Games!#REF!)))</f>
        <v>#REF!</v>
      </c>
      <c r="J188" s="65" t="e">
        <f>IF(ISBLANK(Games!#REF!), "",IF(Games!#REF!="Y", Games!#REF!, Games!#REF!))</f>
        <v>#REF!</v>
      </c>
      <c r="K188" s="65" t="e">
        <f>Games!#REF!</f>
        <v>#REF!</v>
      </c>
      <c r="L188" s="65" t="e">
        <f>IF(ISBLANK(Games!#REF!), "",Games!#REF!)</f>
        <v>#REF!</v>
      </c>
      <c r="M188" s="65"/>
      <c r="N188" s="167" t="str">
        <f>IF(ISBLANK(Table123[[#This Row],[Odds Side - Difference Model]]), "", 1)</f>
      </c>
      <c r="O188" s="167" t="str">
        <f>IF(ISBLANK(Table123[[#This Row],[Odds Spread]]), "", 1)</f>
      </c>
      <c r="P188" s="67"/>
      <c r="Q188" s="67"/>
      <c r="R1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8" s="67"/>
      <c r="T188" s="67"/>
      <c r="U188" s="168" t="str">
        <f>IF(ISBLANK(Table123[[#This Row],[Odds Side - Difference Model]]), "",N188+IF(Q188&lt;0, (N188/(Q188/-100)), N188*(Q188/100)))</f>
      </c>
      <c r="V188" s="169" t="str">
        <f>IFERROR(IF(ISBLANK(Table123[[#This Row],[Odds Side - Win Probability Model]]), "",N188+IF(R188&lt;0, (N188/(R188/-100)), N188*(R188/100))),"")</f>
      </c>
      <c r="W188" s="168" t="str">
        <f t="shared" si="14"/>
      </c>
      <c r="X188" s="169" t="str">
        <f t="shared" si="15"/>
      </c>
      <c r="Y188" s="168" t="str">
        <f>IF(ISBLANK(Table123[[#This Row],[Odds Spread]]), "",O188+IF(S188&lt;0, (O188/(S188/-100)), O188*(S188/100)))</f>
      </c>
      <c r="Z188" s="168" t="str">
        <f t="shared" si="16"/>
      </c>
      <c r="AA188" s="68" t="n">
        <f t="shared" si="17"/>
        <v>0</v>
      </c>
      <c r="AB188" s="68" t="n">
        <f t="shared" si="18"/>
        <v>0</v>
      </c>
      <c r="AC188" s="170" t="e">
        <f>IF('Prediction Log'!#REF!="Y", "W", IF('Prediction Log'!#REF!="N","L",""))</f>
        <v>#REF!</v>
      </c>
      <c r="AD188" s="171" t="e">
        <f>IF('Prediction Log'!#REF!="Y", "W", IF('Prediction Log'!#REF!="N","L",""))</f>
        <v>#REF!</v>
      </c>
      <c r="AE188" s="172" t="str">
        <f>IF(ISBLANK(Table123[[#This Row],[Odds Side - Difference Model]]), "",IF(AC188="W", W188, IF(AC188="L",-N188, "")))</f>
      </c>
      <c r="AF188" s="173" t="str">
        <f>IFERROR((IF(ISERR(Table123[[#This Row],[Potential Payout Side - Win Probability Model]]), "",IF(AD188="W", X188, IF(AD188="L",-N188, "")))), "")</f>
      </c>
      <c r="AG188" s="170" t="e">
        <f>IF('Prediction Log'!#REF!="Y", "W", IF('Prediction Log'!#REF!="N", "L", ""))</f>
        <v>#REF!</v>
      </c>
      <c r="AH188" s="172" t="str">
        <f>IF(ISBLANK(Table123[[#This Row],[Odds Spread]]), "",IF(AG188="W", Z188, IF(AG188="L",-O188, "")))</f>
      </c>
      <c r="AI188" s="184"/>
      <c r="AJ188" s="183" t="str">
        <f t="shared" si="19"/>
      </c>
      <c r="AK1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9">
      <c r="A189" s="65" t="e">
        <f>Games!#REF!</f>
        <v>#REF!</v>
      </c>
      <c r="B189" s="65" t="e">
        <f>IF('Prediction Log'!#REF!=0, "",'Prediction Log'!#REF!)</f>
        <v>#REF!</v>
      </c>
      <c r="C189" s="65" t="e">
        <f>IF('Prediction Log'!#REF!=0, "",'Prediction Log'!#REF!)</f>
        <v>#REF!</v>
      </c>
      <c r="D189" s="65" t="e">
        <f>IF('Prediction Log'!#REF!=0, "",'Prediction Log'!#REF!)</f>
        <v>#REF!</v>
      </c>
      <c r="E189" s="65" t="e">
        <f>IF('Prediction Log'!#REF!=0, "",'Prediction Log'!#REF!)</f>
        <v>#REF!</v>
      </c>
      <c r="F189" s="65" t="e">
        <f>IF('Prediction Log'!#REF!=0, "",'Prediction Log'!#REF!)</f>
        <v>#REF!</v>
      </c>
      <c r="G189" s="64" t="e">
        <f>IF(ISBLANK(Games!#REF!), "",'Prediction Log'!#REF!)</f>
        <v>#REF!</v>
      </c>
      <c r="H189" s="66" t="e">
        <f>'Prediction Log'!#REF!</f>
        <v>#REF!</v>
      </c>
      <c r="I189" s="65" t="e">
        <f>IF(ISBLANK(Games!#REF!), "",IF(AND(Games!#REF!="",Games!#REF!=""),"",IF(ISTEXT(Games!#REF!), "Side",Games!#REF!)))</f>
        <v>#REF!</v>
      </c>
      <c r="J189" s="65" t="e">
        <f>IF(ISBLANK(Games!#REF!), "",IF(Games!#REF!="Y", Games!#REF!, Games!#REF!))</f>
        <v>#REF!</v>
      </c>
      <c r="K189" s="65" t="e">
        <f>Games!#REF!</f>
        <v>#REF!</v>
      </c>
      <c r="L189" s="65" t="e">
        <f>IF(ISBLANK(Games!#REF!), "",Games!#REF!)</f>
        <v>#REF!</v>
      </c>
      <c r="M189" s="65"/>
      <c r="N189" s="167" t="str">
        <f>IF(ISBLANK(Table123[[#This Row],[Odds Side - Difference Model]]), "", 1)</f>
      </c>
      <c r="O189" s="167" t="str">
        <f>IF(ISBLANK(Table123[[#This Row],[Odds Spread]]), "", 1)</f>
      </c>
      <c r="P189" s="67"/>
      <c r="Q189" s="67"/>
      <c r="R1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9" s="67"/>
      <c r="T189" s="67"/>
      <c r="U189" s="168" t="str">
        <f>IF(ISBLANK(Table123[[#This Row],[Odds Side - Difference Model]]), "",N189+IF(Q189&lt;0, (N189/(Q189/-100)), N189*(Q189/100)))</f>
      </c>
      <c r="V189" s="169" t="str">
        <f>IFERROR(IF(ISBLANK(Table123[[#This Row],[Odds Side - Win Probability Model]]), "",N189+IF(R189&lt;0, (N189/(R189/-100)), N189*(R189/100))),"")</f>
      </c>
      <c r="W189" s="168" t="str">
        <f t="shared" si="14"/>
      </c>
      <c r="X189" s="169" t="str">
        <f t="shared" si="15"/>
      </c>
      <c r="Y189" s="168" t="str">
        <f>IF(ISBLANK(Table123[[#This Row],[Odds Spread]]), "",O189+IF(S189&lt;0, (O189/(S189/-100)), O189*(S189/100)))</f>
      </c>
      <c r="Z189" s="168" t="str">
        <f t="shared" si="16"/>
      </c>
      <c r="AA189" s="68" t="n">
        <f t="shared" si="17"/>
        <v>0</v>
      </c>
      <c r="AB189" s="68" t="n">
        <f t="shared" si="18"/>
        <v>0</v>
      </c>
      <c r="AC189" s="170" t="e">
        <f>IF('Prediction Log'!#REF!="Y", "W", IF('Prediction Log'!#REF!="N","L",""))</f>
        <v>#REF!</v>
      </c>
      <c r="AD189" s="171" t="e">
        <f>IF('Prediction Log'!#REF!="Y", "W", IF('Prediction Log'!#REF!="N","L",""))</f>
        <v>#REF!</v>
      </c>
      <c r="AE189" s="172" t="str">
        <f>IF(ISBLANK(Table123[[#This Row],[Odds Side - Difference Model]]), "",IF(AC189="W", W189, IF(AC189="L",-N189, "")))</f>
      </c>
      <c r="AF189" s="173" t="str">
        <f>IFERROR((IF(ISERR(Table123[[#This Row],[Potential Payout Side - Win Probability Model]]), "",IF(AD189="W", X189, IF(AD189="L",-N189, "")))), "")</f>
      </c>
      <c r="AG189" s="170" t="e">
        <f>IF('Prediction Log'!#REF!="Y", "W", IF('Prediction Log'!#REF!="N", "L", ""))</f>
        <v>#REF!</v>
      </c>
      <c r="AH189" s="172" t="str">
        <f>IF(ISBLANK(Table123[[#This Row],[Odds Spread]]), "",IF(AG189="W", Z189, IF(AG189="L",-O189, "")))</f>
      </c>
      <c r="AI189" s="184"/>
      <c r="AJ189" s="183" t="str">
        <f t="shared" si="19"/>
      </c>
      <c r="AK1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0">
      <c r="A190" s="65" t="e">
        <f>Games!#REF!</f>
        <v>#REF!</v>
      </c>
      <c r="B190" s="65" t="e">
        <f>IF('Prediction Log'!#REF!=0, "",'Prediction Log'!#REF!)</f>
        <v>#REF!</v>
      </c>
      <c r="C190" s="65" t="e">
        <f>IF('Prediction Log'!#REF!=0, "",'Prediction Log'!#REF!)</f>
        <v>#REF!</v>
      </c>
      <c r="D190" s="65" t="e">
        <f>IF('Prediction Log'!#REF!=0, "",'Prediction Log'!#REF!)</f>
        <v>#REF!</v>
      </c>
      <c r="E190" s="65" t="e">
        <f>IF('Prediction Log'!#REF!=0, "",'Prediction Log'!#REF!)</f>
        <v>#REF!</v>
      </c>
      <c r="F190" s="65" t="e">
        <f>IF('Prediction Log'!#REF!=0, "",'Prediction Log'!#REF!)</f>
        <v>#REF!</v>
      </c>
      <c r="G190" s="64" t="e">
        <f>IF(ISBLANK(Games!#REF!), "",'Prediction Log'!#REF!)</f>
        <v>#REF!</v>
      </c>
      <c r="H190" s="66" t="e">
        <f>'Prediction Log'!#REF!</f>
        <v>#REF!</v>
      </c>
      <c r="I190" s="65" t="e">
        <f>IF(ISBLANK(Games!#REF!), "",IF(AND(Games!#REF!="",Games!#REF!=""),"",IF(ISTEXT(Games!#REF!), "Side",Games!#REF!)))</f>
        <v>#REF!</v>
      </c>
      <c r="J190" s="65" t="e">
        <f>IF(ISBLANK(Games!#REF!), "",IF(Games!#REF!="Y", Games!#REF!, Games!#REF!))</f>
        <v>#REF!</v>
      </c>
      <c r="K190" s="65" t="e">
        <f>Games!#REF!</f>
        <v>#REF!</v>
      </c>
      <c r="L190" s="65" t="e">
        <f>IF(ISBLANK(Games!#REF!), "",Games!#REF!)</f>
        <v>#REF!</v>
      </c>
      <c r="M190" s="65"/>
      <c r="N190" s="167" t="str">
        <f>IF(ISBLANK(Table123[[#This Row],[Odds Side - Difference Model]]), "", 1)</f>
      </c>
      <c r="O190" s="167" t="str">
        <f>IF(ISBLANK(Table123[[#This Row],[Odds Spread]]), "", 1)</f>
      </c>
      <c r="P190" s="67"/>
      <c r="Q190" s="67"/>
      <c r="R1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0" s="67"/>
      <c r="T190" s="67"/>
      <c r="U190" s="168" t="str">
        <f>IF(ISBLANK(Table123[[#This Row],[Odds Side - Difference Model]]), "",N190+IF(Q190&lt;0, (N190/(Q190/-100)), N190*(Q190/100)))</f>
      </c>
      <c r="V190" s="169" t="str">
        <f>IFERROR(IF(ISBLANK(Table123[[#This Row],[Odds Side - Win Probability Model]]), "",N190+IF(R190&lt;0, (N190/(R190/-100)), N190*(R190/100))),"")</f>
      </c>
      <c r="W190" s="168" t="str">
        <f t="shared" si="14"/>
      </c>
      <c r="X190" s="169" t="str">
        <f t="shared" si="15"/>
      </c>
      <c r="Y190" s="168" t="str">
        <f>IF(ISBLANK(Table123[[#This Row],[Odds Spread]]), "",O190+IF(S190&lt;0, (O190/(S190/-100)), O190*(S190/100)))</f>
      </c>
      <c r="Z190" s="168" t="str">
        <f t="shared" si="16"/>
      </c>
      <c r="AA190" s="68" t="n">
        <f t="shared" si="17"/>
        <v>0</v>
      </c>
      <c r="AB190" s="68" t="n">
        <f t="shared" si="18"/>
        <v>0</v>
      </c>
      <c r="AC190" s="170" t="e">
        <f>IF('Prediction Log'!#REF!="Y", "W", IF('Prediction Log'!#REF!="N","L",""))</f>
        <v>#REF!</v>
      </c>
      <c r="AD190" s="171" t="e">
        <f>IF('Prediction Log'!#REF!="Y", "W", IF('Prediction Log'!#REF!="N","L",""))</f>
        <v>#REF!</v>
      </c>
      <c r="AE190" s="172" t="str">
        <f>IF(ISBLANK(Table123[[#This Row],[Odds Side - Difference Model]]), "",IF(AC190="W", W190, IF(AC190="L",-N190, "")))</f>
      </c>
      <c r="AF190" s="173" t="str">
        <f>IFERROR((IF(ISERR(Table123[[#This Row],[Potential Payout Side - Win Probability Model]]), "",IF(AD190="W", X190, IF(AD190="L",-N190, "")))), "")</f>
      </c>
      <c r="AG190" s="170" t="e">
        <f>IF('Prediction Log'!#REF!="Y", "W", IF('Prediction Log'!#REF!="N", "L", ""))</f>
        <v>#REF!</v>
      </c>
      <c r="AH190" s="172" t="str">
        <f>IF(ISBLANK(Table123[[#This Row],[Odds Spread]]), "",IF(AG190="W", Z190, IF(AG190="L",-O190, "")))</f>
      </c>
      <c r="AI190" s="184"/>
      <c r="AJ190" s="183" t="str">
        <f t="shared" si="19"/>
      </c>
      <c r="AK1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1">
      <c r="A191" s="65" t="e">
        <f>Games!#REF!</f>
        <v>#REF!</v>
      </c>
      <c r="B191" s="65" t="e">
        <f>IF('Prediction Log'!#REF!=0, "",'Prediction Log'!#REF!)</f>
        <v>#REF!</v>
      </c>
      <c r="C191" s="65" t="e">
        <f>IF('Prediction Log'!#REF!=0, "",'Prediction Log'!#REF!)</f>
        <v>#REF!</v>
      </c>
      <c r="D191" s="65" t="e">
        <f>IF('Prediction Log'!#REF!=0, "",'Prediction Log'!#REF!)</f>
        <v>#REF!</v>
      </c>
      <c r="E191" s="65" t="e">
        <f>IF('Prediction Log'!#REF!=0, "",'Prediction Log'!#REF!)</f>
        <v>#REF!</v>
      </c>
      <c r="F191" s="65" t="e">
        <f>IF('Prediction Log'!#REF!=0, "",'Prediction Log'!#REF!)</f>
        <v>#REF!</v>
      </c>
      <c r="G191" s="64" t="e">
        <f>IF(ISBLANK(Games!#REF!), "",'Prediction Log'!#REF!)</f>
        <v>#REF!</v>
      </c>
      <c r="H191" s="66" t="e">
        <f>'Prediction Log'!#REF!</f>
        <v>#REF!</v>
      </c>
      <c r="I191" s="65" t="e">
        <f>IF(ISBLANK(Games!#REF!), "",IF(AND(Games!#REF!="",Games!#REF!=""),"",IF(ISTEXT(Games!#REF!), "Side",Games!#REF!)))</f>
        <v>#REF!</v>
      </c>
      <c r="J191" s="65" t="e">
        <f>IF(ISBLANK(Games!#REF!), "",IF(Games!#REF!="Y", Games!#REF!, Games!#REF!))</f>
        <v>#REF!</v>
      </c>
      <c r="K191" s="65" t="e">
        <f>Games!#REF!</f>
        <v>#REF!</v>
      </c>
      <c r="L191" s="65" t="e">
        <f>IF(ISBLANK(Games!#REF!), "",Games!#REF!)</f>
        <v>#REF!</v>
      </c>
      <c r="M191" s="65"/>
      <c r="N191" s="167" t="str">
        <f>IF(ISBLANK(Table123[[#This Row],[Odds Side - Difference Model]]), "", 1)</f>
      </c>
      <c r="O191" s="167" t="str">
        <f>IF(ISBLANK(Table123[[#This Row],[Odds Spread]]), "", 1)</f>
      </c>
      <c r="P191" s="67"/>
      <c r="Q191" s="67"/>
      <c r="R1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1" s="67"/>
      <c r="T191" s="67"/>
      <c r="U191" s="168" t="str">
        <f>IF(ISBLANK(Table123[[#This Row],[Odds Side - Difference Model]]), "",N191+IF(Q191&lt;0, (N191/(Q191/-100)), N191*(Q191/100)))</f>
      </c>
      <c r="V191" s="169" t="str">
        <f>IFERROR(IF(ISBLANK(Table123[[#This Row],[Odds Side - Win Probability Model]]), "",N191+IF(R191&lt;0, (N191/(R191/-100)), N191*(R191/100))),"")</f>
      </c>
      <c r="W191" s="168" t="str">
        <f t="shared" si="14"/>
      </c>
      <c r="X191" s="169" t="str">
        <f t="shared" si="15"/>
      </c>
      <c r="Y191" s="168" t="str">
        <f>IF(ISBLANK(Table123[[#This Row],[Odds Spread]]), "",O191+IF(S191&lt;0, (O191/(S191/-100)), O191*(S191/100)))</f>
      </c>
      <c r="Z191" s="168" t="str">
        <f t="shared" si="16"/>
      </c>
      <c r="AA191" s="68" t="n">
        <f t="shared" si="17"/>
        <v>0</v>
      </c>
      <c r="AB191" s="68" t="n">
        <f t="shared" si="18"/>
        <v>0</v>
      </c>
      <c r="AC191" s="170" t="e">
        <f>IF('Prediction Log'!#REF!="Y", "W", IF('Prediction Log'!#REF!="N","L",""))</f>
        <v>#REF!</v>
      </c>
      <c r="AD191" s="171" t="e">
        <f>IF('Prediction Log'!#REF!="Y", "W", IF('Prediction Log'!#REF!="N","L",""))</f>
        <v>#REF!</v>
      </c>
      <c r="AE191" s="172" t="str">
        <f>IF(ISBLANK(Table123[[#This Row],[Odds Side - Difference Model]]), "",IF(AC191="W", W191, IF(AC191="L",-N191, "")))</f>
      </c>
      <c r="AF191" s="173" t="str">
        <f>IFERROR((IF(ISERR(Table123[[#This Row],[Potential Payout Side - Win Probability Model]]), "",IF(AD191="W", X191, IF(AD191="L",-N191, "")))), "")</f>
      </c>
      <c r="AG191" s="170" t="e">
        <f>IF('Prediction Log'!#REF!="Y", "W", IF('Prediction Log'!#REF!="N", "L", ""))</f>
        <v>#REF!</v>
      </c>
      <c r="AH191" s="172" t="str">
        <f>IF(ISBLANK(Table123[[#This Row],[Odds Spread]]), "",IF(AG191="W", Z191, IF(AG191="L",-O191, "")))</f>
      </c>
      <c r="AI191" s="184"/>
      <c r="AJ191" s="183" t="str">
        <f t="shared" si="19"/>
      </c>
      <c r="AK1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2">
      <c r="A192" s="65" t="e">
        <f>Games!#REF!</f>
        <v>#REF!</v>
      </c>
      <c r="B192" s="65" t="e">
        <f>IF('Prediction Log'!#REF!=0, "",'Prediction Log'!#REF!)</f>
        <v>#REF!</v>
      </c>
      <c r="C192" s="65" t="e">
        <f>IF('Prediction Log'!#REF!=0, "",'Prediction Log'!#REF!)</f>
        <v>#REF!</v>
      </c>
      <c r="D192" s="65" t="e">
        <f>IF('Prediction Log'!#REF!=0, "",'Prediction Log'!#REF!)</f>
        <v>#REF!</v>
      </c>
      <c r="E192" s="65" t="e">
        <f>IF('Prediction Log'!#REF!=0, "",'Prediction Log'!#REF!)</f>
        <v>#REF!</v>
      </c>
      <c r="F192" s="65" t="e">
        <f>IF('Prediction Log'!#REF!=0, "",'Prediction Log'!#REF!)</f>
        <v>#REF!</v>
      </c>
      <c r="G192" s="64" t="e">
        <f>IF(ISBLANK(Games!#REF!), "",'Prediction Log'!#REF!)</f>
        <v>#REF!</v>
      </c>
      <c r="H192" s="66" t="e">
        <f>'Prediction Log'!#REF!</f>
        <v>#REF!</v>
      </c>
      <c r="I192" s="65" t="e">
        <f>IF(ISBLANK(Games!#REF!), "",IF(AND(Games!#REF!="",Games!#REF!=""),"",IF(ISTEXT(Games!#REF!), "Side",Games!#REF!)))</f>
        <v>#REF!</v>
      </c>
      <c r="J192" s="65" t="e">
        <f>IF(ISBLANK(Games!#REF!), "",IF(Games!#REF!="Y", Games!#REF!, Games!#REF!))</f>
        <v>#REF!</v>
      </c>
      <c r="K192" s="65" t="e">
        <f>Games!#REF!</f>
        <v>#REF!</v>
      </c>
      <c r="L192" s="65" t="e">
        <f>IF(ISBLANK(Games!#REF!), "",Games!#REF!)</f>
        <v>#REF!</v>
      </c>
      <c r="M192" s="65"/>
      <c r="N192" s="167" t="str">
        <f>IF(ISBLANK(Table123[[#This Row],[Odds Side - Difference Model]]), "", 1)</f>
      </c>
      <c r="O192" s="167" t="str">
        <f>IF(ISBLANK(Table123[[#This Row],[Odds Spread]]), "", 1)</f>
      </c>
      <c r="P192" s="67"/>
      <c r="Q192" s="67"/>
      <c r="R1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2" s="67"/>
      <c r="T192" s="67"/>
      <c r="U192" s="168" t="str">
        <f>IF(ISBLANK(Table123[[#This Row],[Odds Side - Difference Model]]), "",N192+IF(Q192&lt;0, (N192/(Q192/-100)), N192*(Q192/100)))</f>
      </c>
      <c r="V192" s="169" t="str">
        <f>IFERROR(IF(ISBLANK(Table123[[#This Row],[Odds Side - Win Probability Model]]), "",N192+IF(R192&lt;0, (N192/(R192/-100)), N192*(R192/100))),"")</f>
      </c>
      <c r="W192" s="168" t="str">
        <f t="shared" si="14"/>
      </c>
      <c r="X192" s="169" t="str">
        <f t="shared" si="15"/>
      </c>
      <c r="Y192" s="168" t="str">
        <f>IF(ISBLANK(Table123[[#This Row],[Odds Spread]]), "",O192+IF(S192&lt;0, (O192/(S192/-100)), O192*(S192/100)))</f>
      </c>
      <c r="Z192" s="168" t="str">
        <f t="shared" si="16"/>
      </c>
      <c r="AA192" s="68" t="n">
        <f t="shared" si="17"/>
        <v>0</v>
      </c>
      <c r="AB192" s="68" t="n">
        <f t="shared" si="18"/>
        <v>0</v>
      </c>
      <c r="AC192" s="170" t="e">
        <f>IF('Prediction Log'!#REF!="Y", "W", IF('Prediction Log'!#REF!="N","L",""))</f>
        <v>#REF!</v>
      </c>
      <c r="AD192" s="171" t="e">
        <f>IF('Prediction Log'!#REF!="Y", "W", IF('Prediction Log'!#REF!="N","L",""))</f>
        <v>#REF!</v>
      </c>
      <c r="AE192" s="172" t="str">
        <f>IF(ISBLANK(Table123[[#This Row],[Odds Side - Difference Model]]), "",IF(AC192="W", W192, IF(AC192="L",-N192, "")))</f>
      </c>
      <c r="AF192" s="173" t="str">
        <f>IFERROR((IF(ISERR(Table123[[#This Row],[Potential Payout Side - Win Probability Model]]), "",IF(AD192="W", X192, IF(AD192="L",-N192, "")))), "")</f>
      </c>
      <c r="AG192" s="170" t="e">
        <f>IF('Prediction Log'!#REF!="Y", "W", IF('Prediction Log'!#REF!="N", "L", ""))</f>
        <v>#REF!</v>
      </c>
      <c r="AH192" s="172" t="str">
        <f>IF(ISBLANK(Table123[[#This Row],[Odds Spread]]), "",IF(AG192="W", Z192, IF(AG192="L",-O192, "")))</f>
      </c>
      <c r="AI192" s="184"/>
      <c r="AJ192" s="183" t="str">
        <f t="shared" si="19"/>
      </c>
      <c r="AK1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3">
      <c r="A193" s="65" t="e">
        <f>Games!#REF!</f>
        <v>#REF!</v>
      </c>
      <c r="B193" s="65" t="e">
        <f>IF('Prediction Log'!#REF!=0, "",'Prediction Log'!#REF!)</f>
        <v>#REF!</v>
      </c>
      <c r="C193" s="65" t="e">
        <f>IF('Prediction Log'!#REF!=0, "",'Prediction Log'!#REF!)</f>
        <v>#REF!</v>
      </c>
      <c r="D193" s="65" t="e">
        <f>IF('Prediction Log'!#REF!=0, "",'Prediction Log'!#REF!)</f>
        <v>#REF!</v>
      </c>
      <c r="E193" s="65" t="e">
        <f>IF('Prediction Log'!#REF!=0, "",'Prediction Log'!#REF!)</f>
        <v>#REF!</v>
      </c>
      <c r="F193" s="65" t="e">
        <f>IF('Prediction Log'!#REF!=0, "",'Prediction Log'!#REF!)</f>
        <v>#REF!</v>
      </c>
      <c r="G193" s="64" t="e">
        <f>IF(ISBLANK(Games!#REF!), "",'Prediction Log'!#REF!)</f>
        <v>#REF!</v>
      </c>
      <c r="H193" s="66" t="e">
        <f>'Prediction Log'!#REF!</f>
        <v>#REF!</v>
      </c>
      <c r="I193" s="65" t="e">
        <f>IF(ISBLANK(Games!#REF!), "",IF(AND(Games!#REF!="",Games!#REF!=""),"",IF(ISTEXT(Games!#REF!), "Side",Games!#REF!)))</f>
        <v>#REF!</v>
      </c>
      <c r="J193" s="65" t="e">
        <f>IF(ISBLANK(Games!#REF!), "",IF(Games!#REF!="Y", Games!#REF!, Games!#REF!))</f>
        <v>#REF!</v>
      </c>
      <c r="K193" s="65" t="e">
        <f>Games!#REF!</f>
        <v>#REF!</v>
      </c>
      <c r="L193" s="65" t="e">
        <f>IF(ISBLANK(Games!#REF!), "",Games!#REF!)</f>
        <v>#REF!</v>
      </c>
      <c r="M193" s="65"/>
      <c r="N193" s="167" t="str">
        <f>IF(ISBLANK(Table123[[#This Row],[Odds Side - Difference Model]]), "", 1)</f>
      </c>
      <c r="O193" s="167" t="str">
        <f>IF(ISBLANK(Table123[[#This Row],[Odds Spread]]), "", 1)</f>
      </c>
      <c r="P193" s="67"/>
      <c r="Q193" s="67"/>
      <c r="R1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3" s="67"/>
      <c r="T193" s="67"/>
      <c r="U193" s="168" t="str">
        <f>IF(ISBLANK(Table123[[#This Row],[Odds Side - Difference Model]]), "",N193+IF(Q193&lt;0, (N193/(Q193/-100)), N193*(Q193/100)))</f>
      </c>
      <c r="V193" s="169" t="str">
        <f>IFERROR(IF(ISBLANK(Table123[[#This Row],[Odds Side - Win Probability Model]]), "",N193+IF(R193&lt;0, (N193/(R193/-100)), N193*(R193/100))),"")</f>
      </c>
      <c r="W193" s="168" t="str">
        <f t="shared" si="14"/>
      </c>
      <c r="X193" s="169" t="str">
        <f t="shared" si="15"/>
      </c>
      <c r="Y193" s="168" t="str">
        <f>IF(ISBLANK(Table123[[#This Row],[Odds Spread]]), "",O193+IF(S193&lt;0, (O193/(S193/-100)), O193*(S193/100)))</f>
      </c>
      <c r="Z193" s="168" t="str">
        <f t="shared" si="16"/>
      </c>
      <c r="AA193" s="68" t="n">
        <f t="shared" si="17"/>
        <v>0</v>
      </c>
      <c r="AB193" s="68" t="n">
        <f t="shared" si="18"/>
        <v>0</v>
      </c>
      <c r="AC193" s="170" t="e">
        <f>IF('Prediction Log'!#REF!="Y", "W", IF('Prediction Log'!#REF!="N","L",""))</f>
        <v>#REF!</v>
      </c>
      <c r="AD193" s="171" t="e">
        <f>IF('Prediction Log'!#REF!="Y", "W", IF('Prediction Log'!#REF!="N","L",""))</f>
        <v>#REF!</v>
      </c>
      <c r="AE193" s="172" t="str">
        <f>IF(ISBLANK(Table123[[#This Row],[Odds Side - Difference Model]]), "",IF(AC193="W", W193, IF(AC193="L",-N193, "")))</f>
      </c>
      <c r="AF193" s="173" t="str">
        <f>IFERROR((IF(ISERR(Table123[[#This Row],[Potential Payout Side - Win Probability Model]]), "",IF(AD193="W", X193, IF(AD193="L",-N193, "")))), "")</f>
      </c>
      <c r="AG193" s="170" t="e">
        <f>IF('Prediction Log'!#REF!="Y", "W", IF('Prediction Log'!#REF!="N", "L", ""))</f>
        <v>#REF!</v>
      </c>
      <c r="AH193" s="172" t="str">
        <f>IF(ISBLANK(Table123[[#This Row],[Odds Spread]]), "",IF(AG193="W", Z193, IF(AG193="L",-O193, "")))</f>
      </c>
      <c r="AI193" s="184"/>
      <c r="AJ193" s="183" t="str">
        <f t="shared" si="19"/>
      </c>
      <c r="AK1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4">
      <c r="A194" s="65" t="e">
        <f>Games!#REF!</f>
        <v>#REF!</v>
      </c>
      <c r="B194" s="65" t="e">
        <f>IF('Prediction Log'!#REF!=0, "",'Prediction Log'!#REF!)</f>
        <v>#REF!</v>
      </c>
      <c r="C194" s="65" t="e">
        <f>IF('Prediction Log'!#REF!=0, "",'Prediction Log'!#REF!)</f>
        <v>#REF!</v>
      </c>
      <c r="D194" s="65" t="e">
        <f>IF('Prediction Log'!#REF!=0, "",'Prediction Log'!#REF!)</f>
        <v>#REF!</v>
      </c>
      <c r="E194" s="65" t="e">
        <f>IF('Prediction Log'!#REF!=0, "",'Prediction Log'!#REF!)</f>
        <v>#REF!</v>
      </c>
      <c r="F194" s="65" t="e">
        <f>IF('Prediction Log'!#REF!=0, "",'Prediction Log'!#REF!)</f>
        <v>#REF!</v>
      </c>
      <c r="G194" s="64" t="e">
        <f>IF(ISBLANK(Games!#REF!), "",'Prediction Log'!#REF!)</f>
        <v>#REF!</v>
      </c>
      <c r="H194" s="66" t="e">
        <f>'Prediction Log'!#REF!</f>
        <v>#REF!</v>
      </c>
      <c r="I194" s="65" t="e">
        <f>IF(ISBLANK(Games!#REF!), "",IF(AND(Games!#REF!="",Games!#REF!=""),"",IF(ISTEXT(Games!#REF!), "Side",Games!#REF!)))</f>
        <v>#REF!</v>
      </c>
      <c r="J194" s="65" t="e">
        <f>IF(ISBLANK(Games!#REF!), "",IF(Games!#REF!="Y", Games!#REF!, Games!#REF!))</f>
        <v>#REF!</v>
      </c>
      <c r="K194" s="65" t="e">
        <f>Games!#REF!</f>
        <v>#REF!</v>
      </c>
      <c r="L194" s="65" t="e">
        <f>IF(ISBLANK(Games!#REF!), "",Games!#REF!)</f>
        <v>#REF!</v>
      </c>
      <c r="M194" s="65"/>
      <c r="N194" s="167" t="str">
        <f>IF(ISBLANK(Table123[[#This Row],[Odds Side - Difference Model]]), "", 1)</f>
      </c>
      <c r="O194" s="167" t="str">
        <f>IF(ISBLANK(Table123[[#This Row],[Odds Spread]]), "", 1)</f>
      </c>
      <c r="P194" s="67"/>
      <c r="Q194" s="67"/>
      <c r="R1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4" s="67"/>
      <c r="T194" s="67"/>
      <c r="U194" s="168" t="str">
        <f>IF(ISBLANK(Table123[[#This Row],[Odds Side - Difference Model]]), "",N194+IF(Q194&lt;0, (N194/(Q194/-100)), N194*(Q194/100)))</f>
      </c>
      <c r="V194" s="169" t="str">
        <f>IFERROR(IF(ISBLANK(Table123[[#This Row],[Odds Side - Win Probability Model]]), "",N194+IF(R194&lt;0, (N194/(R194/-100)), N194*(R194/100))),"")</f>
      </c>
      <c r="W194" s="168" t="str">
        <f t="shared" si="14"/>
      </c>
      <c r="X194" s="169" t="str">
        <f t="shared" si="15"/>
      </c>
      <c r="Y194" s="168" t="str">
        <f>IF(ISBLANK(Table123[[#This Row],[Odds Spread]]), "",O194+IF(S194&lt;0, (O194/(S194/-100)), O194*(S194/100)))</f>
      </c>
      <c r="Z194" s="168" t="str">
        <f t="shared" si="16"/>
      </c>
      <c r="AA194" s="68" t="n">
        <f t="shared" si="17"/>
        <v>0</v>
      </c>
      <c r="AB194" s="68" t="n">
        <f t="shared" si="18"/>
        <v>0</v>
      </c>
      <c r="AC194" s="170" t="e">
        <f>IF('Prediction Log'!#REF!="Y", "W", IF('Prediction Log'!#REF!="N","L",""))</f>
        <v>#REF!</v>
      </c>
      <c r="AD194" s="171" t="e">
        <f>IF('Prediction Log'!#REF!="Y", "W", IF('Prediction Log'!#REF!="N","L",""))</f>
        <v>#REF!</v>
      </c>
      <c r="AE194" s="172" t="str">
        <f>IF(ISBLANK(Table123[[#This Row],[Odds Side - Difference Model]]), "",IF(AC194="W", W194, IF(AC194="L",-N194, "")))</f>
      </c>
      <c r="AF194" s="173" t="str">
        <f>IFERROR((IF(ISERR(Table123[[#This Row],[Potential Payout Side - Win Probability Model]]), "",IF(AD194="W", X194, IF(AD194="L",-N194, "")))), "")</f>
      </c>
      <c r="AG194" s="170" t="e">
        <f>IF('Prediction Log'!#REF!="Y", "W", IF('Prediction Log'!#REF!="N", "L", ""))</f>
        <v>#REF!</v>
      </c>
      <c r="AH194" s="172" t="str">
        <f>IF(ISBLANK(Table123[[#This Row],[Odds Spread]]), "",IF(AG194="W", Z194, IF(AG194="L",-O194, "")))</f>
      </c>
      <c r="AI194" s="184"/>
      <c r="AJ194" s="183" t="str">
        <f t="shared" si="19"/>
      </c>
      <c r="AK1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5">
      <c r="A195" s="65" t="e">
        <f>Games!#REF!</f>
        <v>#REF!</v>
      </c>
      <c r="B195" s="65" t="e">
        <f>IF('Prediction Log'!#REF!=0, "",'Prediction Log'!#REF!)</f>
        <v>#REF!</v>
      </c>
      <c r="C195" s="65" t="e">
        <f>IF('Prediction Log'!#REF!=0, "",'Prediction Log'!#REF!)</f>
        <v>#REF!</v>
      </c>
      <c r="D195" s="65" t="e">
        <f>IF('Prediction Log'!#REF!=0, "",'Prediction Log'!#REF!)</f>
        <v>#REF!</v>
      </c>
      <c r="E195" s="65" t="e">
        <f>IF('Prediction Log'!#REF!=0, "",'Prediction Log'!#REF!)</f>
        <v>#REF!</v>
      </c>
      <c r="F195" s="65" t="e">
        <f>IF('Prediction Log'!#REF!=0, "",'Prediction Log'!#REF!)</f>
        <v>#REF!</v>
      </c>
      <c r="G195" s="64" t="e">
        <f>IF(ISBLANK(Games!#REF!), "",'Prediction Log'!#REF!)</f>
        <v>#REF!</v>
      </c>
      <c r="H195" s="66" t="e">
        <f>'Prediction Log'!#REF!</f>
        <v>#REF!</v>
      </c>
      <c r="I195" s="65" t="e">
        <f>IF(ISBLANK(Games!#REF!), "",IF(AND(Games!#REF!="",Games!#REF!=""),"",IF(ISTEXT(Games!#REF!), "Side",Games!#REF!)))</f>
        <v>#REF!</v>
      </c>
      <c r="J195" s="65" t="e">
        <f>IF(ISBLANK(Games!#REF!), "",IF(Games!#REF!="Y", Games!#REF!, Games!#REF!))</f>
        <v>#REF!</v>
      </c>
      <c r="K195" s="65" t="e">
        <f>Games!#REF!</f>
        <v>#REF!</v>
      </c>
      <c r="L195" s="65" t="e">
        <f>IF(ISBLANK(Games!#REF!), "",Games!#REF!)</f>
        <v>#REF!</v>
      </c>
      <c r="M195" s="65"/>
      <c r="N195" s="167" t="str">
        <f>IF(ISBLANK(Table123[[#This Row],[Odds Side - Difference Model]]), "", 1)</f>
      </c>
      <c r="O195" s="167" t="str">
        <f>IF(ISBLANK(Table123[[#This Row],[Odds Spread]]), "", 1)</f>
      </c>
      <c r="P195" s="67"/>
      <c r="Q195" s="67"/>
      <c r="R1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5" s="67"/>
      <c r="T195" s="67"/>
      <c r="U195" s="168" t="str">
        <f>IF(ISBLANK(Table123[[#This Row],[Odds Side - Difference Model]]), "",N195+IF(Q195&lt;0, (N195/(Q195/-100)), N195*(Q195/100)))</f>
      </c>
      <c r="V195" s="169" t="str">
        <f>IFERROR(IF(ISBLANK(Table123[[#This Row],[Odds Side - Win Probability Model]]), "",N195+IF(R195&lt;0, (N195/(R195/-100)), N195*(R195/100))),"")</f>
      </c>
      <c r="W195" s="168" t="str">
        <f t="shared" ref="W195:W258" si="20">IFERROR(U195-N195, "")</f>
      </c>
      <c r="X195" s="169" t="str">
        <f t="shared" ref="X195:X258" si="21">IFERROR(V195-N195, "")</f>
      </c>
      <c r="Y195" s="168" t="str">
        <f>IF(ISBLANK(Table123[[#This Row],[Odds Spread]]), "",O195+IF(S195&lt;0, (O195/(S195/-100)), O195*(S195/100)))</f>
      </c>
      <c r="Z195" s="168" t="str">
        <f t="shared" ref="Z195:Z258" si="22">IFERROR(Y195-O195, "")</f>
      </c>
      <c r="AA195" s="68" t="n">
        <f t="shared" ref="AA195:AA258" si="23">P195+IF(T195&lt;0, (P195/(T195/-100)), P195*(T195/100))</f>
        <v>0</v>
      </c>
      <c r="AB195" s="68" t="n">
        <f t="shared" ref="AB195:AB258" si="24">T195-P195</f>
        <v>0</v>
      </c>
      <c r="AC195" s="170" t="e">
        <f>IF('Prediction Log'!#REF!="Y", "W", IF('Prediction Log'!#REF!="N","L",""))</f>
        <v>#REF!</v>
      </c>
      <c r="AD195" s="171" t="e">
        <f>IF('Prediction Log'!#REF!="Y", "W", IF('Prediction Log'!#REF!="N","L",""))</f>
        <v>#REF!</v>
      </c>
      <c r="AE195" s="172" t="str">
        <f>IF(ISBLANK(Table123[[#This Row],[Odds Side - Difference Model]]), "",IF(AC195="W", W195, IF(AC195="L",-N195, "")))</f>
      </c>
      <c r="AF195" s="173" t="str">
        <f>IFERROR((IF(ISERR(Table123[[#This Row],[Potential Payout Side - Win Probability Model]]), "",IF(AD195="W", X195, IF(AD195="L",-N195, "")))), "")</f>
      </c>
      <c r="AG195" s="170" t="e">
        <f>IF('Prediction Log'!#REF!="Y", "W", IF('Prediction Log'!#REF!="N", "L", ""))</f>
        <v>#REF!</v>
      </c>
      <c r="AH195" s="172" t="str">
        <f>IF(ISBLANK(Table123[[#This Row],[Odds Spread]]), "",IF(AG195="W", Z195, IF(AG195="L",-O195, "")))</f>
      </c>
      <c r="AI195" s="184"/>
      <c r="AJ195" s="183" t="str">
        <f t="shared" ref="AJ195:AJ258" si="25">IF(AI195="W", AB195, IF(AI195="L",-S195, ""))</f>
      </c>
      <c r="AK1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6">
      <c r="A196" s="65" t="e">
        <f>Games!#REF!</f>
        <v>#REF!</v>
      </c>
      <c r="B196" s="65" t="e">
        <f>IF('Prediction Log'!#REF!=0, "",'Prediction Log'!#REF!)</f>
        <v>#REF!</v>
      </c>
      <c r="C196" s="65" t="e">
        <f>IF('Prediction Log'!#REF!=0, "",'Prediction Log'!#REF!)</f>
        <v>#REF!</v>
      </c>
      <c r="D196" s="65" t="e">
        <f>IF('Prediction Log'!#REF!=0, "",'Prediction Log'!#REF!)</f>
        <v>#REF!</v>
      </c>
      <c r="E196" s="65" t="e">
        <f>IF('Prediction Log'!#REF!=0, "",'Prediction Log'!#REF!)</f>
        <v>#REF!</v>
      </c>
      <c r="F196" s="65" t="e">
        <f>IF('Prediction Log'!#REF!=0, "",'Prediction Log'!#REF!)</f>
        <v>#REF!</v>
      </c>
      <c r="G196" s="64" t="e">
        <f>IF(ISBLANK(Games!#REF!), "",'Prediction Log'!#REF!)</f>
        <v>#REF!</v>
      </c>
      <c r="H196" s="66" t="e">
        <f>'Prediction Log'!#REF!</f>
        <v>#REF!</v>
      </c>
      <c r="I196" s="65" t="e">
        <f>IF(ISBLANK(Games!#REF!), "",IF(AND(Games!#REF!="",Games!#REF!=""),"",IF(ISTEXT(Games!#REF!), "Side",Games!#REF!)))</f>
        <v>#REF!</v>
      </c>
      <c r="J196" s="65" t="e">
        <f>IF(ISBLANK(Games!#REF!), "",IF(Games!#REF!="Y", Games!#REF!, Games!#REF!))</f>
        <v>#REF!</v>
      </c>
      <c r="K196" s="65" t="e">
        <f>Games!#REF!</f>
        <v>#REF!</v>
      </c>
      <c r="L196" s="65" t="e">
        <f>IF(ISBLANK(Games!#REF!), "",Games!#REF!)</f>
        <v>#REF!</v>
      </c>
      <c r="M196" s="65"/>
      <c r="N196" s="167" t="str">
        <f>IF(ISBLANK(Table123[[#This Row],[Odds Side - Difference Model]]), "", 1)</f>
      </c>
      <c r="O196" s="167" t="str">
        <f>IF(ISBLANK(Table123[[#This Row],[Odds Spread]]), "", 1)</f>
      </c>
      <c r="P196" s="67"/>
      <c r="Q196" s="67"/>
      <c r="R1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6" s="67"/>
      <c r="T196" s="67"/>
      <c r="U196" s="168" t="str">
        <f>IF(ISBLANK(Table123[[#This Row],[Odds Side - Difference Model]]), "",N196+IF(Q196&lt;0, (N196/(Q196/-100)), N196*(Q196/100)))</f>
      </c>
      <c r="V196" s="169" t="str">
        <f>IFERROR(IF(ISBLANK(Table123[[#This Row],[Odds Side - Win Probability Model]]), "",N196+IF(R196&lt;0, (N196/(R196/-100)), N196*(R196/100))),"")</f>
      </c>
      <c r="W196" s="168" t="str">
        <f t="shared" si="20"/>
      </c>
      <c r="X196" s="169" t="str">
        <f t="shared" si="21"/>
      </c>
      <c r="Y196" s="168" t="str">
        <f>IF(ISBLANK(Table123[[#This Row],[Odds Spread]]), "",O196+IF(S196&lt;0, (O196/(S196/-100)), O196*(S196/100)))</f>
      </c>
      <c r="Z196" s="168" t="str">
        <f t="shared" si="22"/>
      </c>
      <c r="AA196" s="68" t="n">
        <f t="shared" si="23"/>
        <v>0</v>
      </c>
      <c r="AB196" s="68" t="n">
        <f t="shared" si="24"/>
        <v>0</v>
      </c>
      <c r="AC196" s="170" t="e">
        <f>IF('Prediction Log'!#REF!="Y", "W", IF('Prediction Log'!#REF!="N","L",""))</f>
        <v>#REF!</v>
      </c>
      <c r="AD196" s="171" t="e">
        <f>IF('Prediction Log'!#REF!="Y", "W", IF('Prediction Log'!#REF!="N","L",""))</f>
        <v>#REF!</v>
      </c>
      <c r="AE196" s="172" t="str">
        <f>IF(ISBLANK(Table123[[#This Row],[Odds Side - Difference Model]]), "",IF(AC196="W", W196, IF(AC196="L",-N196, "")))</f>
      </c>
      <c r="AF196" s="173" t="str">
        <f>IFERROR((IF(ISERR(Table123[[#This Row],[Potential Payout Side - Win Probability Model]]), "",IF(AD196="W", X196, IF(AD196="L",-N196, "")))), "")</f>
      </c>
      <c r="AG196" s="170" t="e">
        <f>IF('Prediction Log'!#REF!="Y", "W", IF('Prediction Log'!#REF!="N", "L", ""))</f>
        <v>#REF!</v>
      </c>
      <c r="AH196" s="172" t="str">
        <f>IF(ISBLANK(Table123[[#This Row],[Odds Spread]]), "",IF(AG196="W", Z196, IF(AG196="L",-O196, "")))</f>
      </c>
      <c r="AI196" s="184"/>
      <c r="AJ196" s="183" t="str">
        <f t="shared" si="25"/>
      </c>
      <c r="AK1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7">
      <c r="A197" s="65" t="e">
        <f>Games!#REF!</f>
        <v>#REF!</v>
      </c>
      <c r="B197" s="65" t="e">
        <f>IF('Prediction Log'!#REF!=0, "",'Prediction Log'!#REF!)</f>
        <v>#REF!</v>
      </c>
      <c r="C197" s="65" t="e">
        <f>IF('Prediction Log'!#REF!=0, "",'Prediction Log'!#REF!)</f>
        <v>#REF!</v>
      </c>
      <c r="D197" s="65" t="e">
        <f>IF('Prediction Log'!#REF!=0, "",'Prediction Log'!#REF!)</f>
        <v>#REF!</v>
      </c>
      <c r="E197" s="65" t="e">
        <f>IF('Prediction Log'!#REF!=0, "",'Prediction Log'!#REF!)</f>
        <v>#REF!</v>
      </c>
      <c r="F197" s="65" t="e">
        <f>IF('Prediction Log'!#REF!=0, "",'Prediction Log'!#REF!)</f>
        <v>#REF!</v>
      </c>
      <c r="G197" s="64" t="e">
        <f>IF(ISBLANK(Games!#REF!), "",'Prediction Log'!#REF!)</f>
        <v>#REF!</v>
      </c>
      <c r="H197" s="66" t="e">
        <f>'Prediction Log'!#REF!</f>
        <v>#REF!</v>
      </c>
      <c r="I197" s="65" t="e">
        <f>IF(ISBLANK(Games!#REF!), "",IF(AND(Games!#REF!="",Games!#REF!=""),"",IF(ISTEXT(Games!#REF!), "Side",Games!#REF!)))</f>
        <v>#REF!</v>
      </c>
      <c r="J197" s="65" t="e">
        <f>IF(ISBLANK(Games!#REF!), "",IF(Games!#REF!="Y", Games!#REF!, Games!#REF!))</f>
        <v>#REF!</v>
      </c>
      <c r="K197" s="65" t="e">
        <f>Games!#REF!</f>
        <v>#REF!</v>
      </c>
      <c r="L197" s="65" t="e">
        <f>IF(ISBLANK(Games!#REF!), "",Games!#REF!)</f>
        <v>#REF!</v>
      </c>
      <c r="M197" s="65"/>
      <c r="N197" s="167" t="str">
        <f>IF(ISBLANK(Table123[[#This Row],[Odds Side - Difference Model]]), "", 1)</f>
      </c>
      <c r="O197" s="167" t="str">
        <f>IF(ISBLANK(Table123[[#This Row],[Odds Spread]]), "", 1)</f>
      </c>
      <c r="P197" s="67"/>
      <c r="Q197" s="67"/>
      <c r="R1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7" s="67"/>
      <c r="T197" s="67"/>
      <c r="U197" s="168" t="str">
        <f>IF(ISBLANK(Table123[[#This Row],[Odds Side - Difference Model]]), "",N197+IF(Q197&lt;0, (N197/(Q197/-100)), N197*(Q197/100)))</f>
      </c>
      <c r="V197" s="169" t="str">
        <f>IFERROR(IF(ISBLANK(Table123[[#This Row],[Odds Side - Win Probability Model]]), "",N197+IF(R197&lt;0, (N197/(R197/-100)), N197*(R197/100))),"")</f>
      </c>
      <c r="W197" s="168" t="str">
        <f t="shared" si="20"/>
      </c>
      <c r="X197" s="169" t="str">
        <f t="shared" si="21"/>
      </c>
      <c r="Y197" s="168" t="str">
        <f>IF(ISBLANK(Table123[[#This Row],[Odds Spread]]), "",O197+IF(S197&lt;0, (O197/(S197/-100)), O197*(S197/100)))</f>
      </c>
      <c r="Z197" s="168" t="str">
        <f t="shared" si="22"/>
      </c>
      <c r="AA197" s="68" t="n">
        <f t="shared" si="23"/>
        <v>0</v>
      </c>
      <c r="AB197" s="68" t="n">
        <f t="shared" si="24"/>
        <v>0</v>
      </c>
      <c r="AC197" s="170" t="e">
        <f>IF('Prediction Log'!#REF!="Y", "W", IF('Prediction Log'!#REF!="N","L",""))</f>
        <v>#REF!</v>
      </c>
      <c r="AD197" s="171" t="e">
        <f>IF('Prediction Log'!#REF!="Y", "W", IF('Prediction Log'!#REF!="N","L",""))</f>
        <v>#REF!</v>
      </c>
      <c r="AE197" s="172" t="str">
        <f>IF(ISBLANK(Table123[[#This Row],[Odds Side - Difference Model]]), "",IF(AC197="W", W197, IF(AC197="L",-N197, "")))</f>
      </c>
      <c r="AF197" s="173" t="str">
        <f>IFERROR((IF(ISERR(Table123[[#This Row],[Potential Payout Side - Win Probability Model]]), "",IF(AD197="W", X197, IF(AD197="L",-N197, "")))), "")</f>
      </c>
      <c r="AG197" s="170" t="e">
        <f>IF('Prediction Log'!#REF!="Y", "W", IF('Prediction Log'!#REF!="N", "L", ""))</f>
        <v>#REF!</v>
      </c>
      <c r="AH197" s="172" t="str">
        <f>IF(ISBLANK(Table123[[#This Row],[Odds Spread]]), "",IF(AG197="W", Z197, IF(AG197="L",-O197, "")))</f>
      </c>
      <c r="AI197" s="184"/>
      <c r="AJ197" s="183" t="str">
        <f t="shared" si="25"/>
      </c>
      <c r="AK1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8">
      <c r="A198" s="65" t="e">
        <f>Games!#REF!</f>
        <v>#REF!</v>
      </c>
      <c r="B198" s="65" t="e">
        <f>IF('Prediction Log'!#REF!=0, "",'Prediction Log'!#REF!)</f>
        <v>#REF!</v>
      </c>
      <c r="C198" s="65" t="e">
        <f>IF('Prediction Log'!#REF!=0, "",'Prediction Log'!#REF!)</f>
        <v>#REF!</v>
      </c>
      <c r="D198" s="65" t="e">
        <f>IF('Prediction Log'!#REF!=0, "",'Prediction Log'!#REF!)</f>
        <v>#REF!</v>
      </c>
      <c r="E198" s="65" t="e">
        <f>IF('Prediction Log'!#REF!=0, "",'Prediction Log'!#REF!)</f>
        <v>#REF!</v>
      </c>
      <c r="F198" s="65" t="e">
        <f>IF('Prediction Log'!#REF!=0, "",'Prediction Log'!#REF!)</f>
        <v>#REF!</v>
      </c>
      <c r="G198" s="64" t="e">
        <f>IF(ISBLANK(Games!#REF!), "",'Prediction Log'!#REF!)</f>
        <v>#REF!</v>
      </c>
      <c r="H198" s="66" t="e">
        <f>'Prediction Log'!#REF!</f>
        <v>#REF!</v>
      </c>
      <c r="I198" s="65" t="e">
        <f>IF(ISBLANK(Games!#REF!), "",IF(AND(Games!#REF!="",Games!#REF!=""),"",IF(ISTEXT(Games!#REF!), "Side",Games!#REF!)))</f>
        <v>#REF!</v>
      </c>
      <c r="J198" s="65" t="e">
        <f>IF(ISBLANK(Games!#REF!), "",IF(Games!#REF!="Y", Games!#REF!, Games!#REF!))</f>
        <v>#REF!</v>
      </c>
      <c r="K198" s="65" t="e">
        <f>Games!#REF!</f>
        <v>#REF!</v>
      </c>
      <c r="L198" s="65" t="e">
        <f>IF(ISBLANK(Games!#REF!), "",Games!#REF!)</f>
        <v>#REF!</v>
      </c>
      <c r="M198" s="65"/>
      <c r="N198" s="167" t="str">
        <f>IF(ISBLANK(Table123[[#This Row],[Odds Side - Difference Model]]), "", 1)</f>
      </c>
      <c r="O198" s="167" t="str">
        <f>IF(ISBLANK(Table123[[#This Row],[Odds Spread]]), "", 1)</f>
      </c>
      <c r="P198" s="67"/>
      <c r="Q198" s="67"/>
      <c r="R1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8" s="67"/>
      <c r="T198" s="67"/>
      <c r="U198" s="168" t="str">
        <f>IF(ISBLANK(Table123[[#This Row],[Odds Side - Difference Model]]), "",N198+IF(Q198&lt;0, (N198/(Q198/-100)), N198*(Q198/100)))</f>
      </c>
      <c r="V198" s="169" t="str">
        <f>IFERROR(IF(ISBLANK(Table123[[#This Row],[Odds Side - Win Probability Model]]), "",N198+IF(R198&lt;0, (N198/(R198/-100)), N198*(R198/100))),"")</f>
      </c>
      <c r="W198" s="168" t="str">
        <f t="shared" si="20"/>
      </c>
      <c r="X198" s="169" t="str">
        <f t="shared" si="21"/>
      </c>
      <c r="Y198" s="168" t="str">
        <f>IF(ISBLANK(Table123[[#This Row],[Odds Spread]]), "",O198+IF(S198&lt;0, (O198/(S198/-100)), O198*(S198/100)))</f>
      </c>
      <c r="Z198" s="168" t="str">
        <f t="shared" si="22"/>
      </c>
      <c r="AA198" s="68" t="n">
        <f t="shared" si="23"/>
        <v>0</v>
      </c>
      <c r="AB198" s="68" t="n">
        <f t="shared" si="24"/>
        <v>0</v>
      </c>
      <c r="AC198" s="170" t="e">
        <f>IF('Prediction Log'!#REF!="Y", "W", IF('Prediction Log'!#REF!="N","L",""))</f>
        <v>#REF!</v>
      </c>
      <c r="AD198" s="171" t="e">
        <f>IF('Prediction Log'!#REF!="Y", "W", IF('Prediction Log'!#REF!="N","L",""))</f>
        <v>#REF!</v>
      </c>
      <c r="AE198" s="172" t="str">
        <f>IF(ISBLANK(Table123[[#This Row],[Odds Side - Difference Model]]), "",IF(AC198="W", W198, IF(AC198="L",-N198, "")))</f>
      </c>
      <c r="AF198" s="173" t="str">
        <f>IFERROR((IF(ISERR(Table123[[#This Row],[Potential Payout Side - Win Probability Model]]), "",IF(AD198="W", X198, IF(AD198="L",-N198, "")))), "")</f>
      </c>
      <c r="AG198" s="170" t="e">
        <f>IF('Prediction Log'!#REF!="Y", "W", IF('Prediction Log'!#REF!="N", "L", ""))</f>
        <v>#REF!</v>
      </c>
      <c r="AH198" s="172" t="str">
        <f>IF(ISBLANK(Table123[[#This Row],[Odds Spread]]), "",IF(AG198="W", Z198, IF(AG198="L",-O198, "")))</f>
      </c>
      <c r="AI198" s="184"/>
      <c r="AJ198" s="183" t="str">
        <f t="shared" si="25"/>
      </c>
      <c r="AK1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9">
      <c r="A199" s="65" t="e">
        <f>Games!#REF!</f>
        <v>#REF!</v>
      </c>
      <c r="B199" s="65" t="e">
        <f>IF('Prediction Log'!#REF!=0, "",'Prediction Log'!#REF!)</f>
        <v>#REF!</v>
      </c>
      <c r="C199" s="65" t="e">
        <f>IF('Prediction Log'!#REF!=0, "",'Prediction Log'!#REF!)</f>
        <v>#REF!</v>
      </c>
      <c r="D199" s="65" t="e">
        <f>IF('Prediction Log'!#REF!=0, "",'Prediction Log'!#REF!)</f>
        <v>#REF!</v>
      </c>
      <c r="E199" s="65" t="e">
        <f>IF('Prediction Log'!#REF!=0, "",'Prediction Log'!#REF!)</f>
        <v>#REF!</v>
      </c>
      <c r="F199" s="65" t="e">
        <f>IF('Prediction Log'!#REF!=0, "",'Prediction Log'!#REF!)</f>
        <v>#REF!</v>
      </c>
      <c r="G199" s="64" t="e">
        <f>IF(ISBLANK(Games!#REF!), "",'Prediction Log'!#REF!)</f>
        <v>#REF!</v>
      </c>
      <c r="H199" s="66" t="e">
        <f>'Prediction Log'!#REF!</f>
        <v>#REF!</v>
      </c>
      <c r="I199" s="65" t="e">
        <f>IF(ISBLANK(Games!#REF!), "",IF(AND(Games!#REF!="",Games!#REF!=""),"",IF(ISTEXT(Games!#REF!), "Side",Games!#REF!)))</f>
        <v>#REF!</v>
      </c>
      <c r="J199" s="65" t="e">
        <f>IF(ISBLANK(Games!#REF!), "",IF(Games!#REF!="Y", Games!#REF!, Games!#REF!))</f>
        <v>#REF!</v>
      </c>
      <c r="K199" s="65" t="e">
        <f>Games!#REF!</f>
        <v>#REF!</v>
      </c>
      <c r="L199" s="65" t="e">
        <f>IF(ISBLANK(Games!#REF!), "",Games!#REF!)</f>
        <v>#REF!</v>
      </c>
      <c r="M199" s="65"/>
      <c r="N199" s="167" t="str">
        <f>IF(ISBLANK(Table123[[#This Row],[Odds Side - Difference Model]]), "", 1)</f>
      </c>
      <c r="O199" s="167" t="str">
        <f>IF(ISBLANK(Table123[[#This Row],[Odds Spread]]), "", 1)</f>
      </c>
      <c r="P199" s="67"/>
      <c r="Q199" s="67"/>
      <c r="R1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9" s="67"/>
      <c r="T199" s="67"/>
      <c r="U199" s="168" t="str">
        <f>IF(ISBLANK(Table123[[#This Row],[Odds Side - Difference Model]]), "",N199+IF(Q199&lt;0, (N199/(Q199/-100)), N199*(Q199/100)))</f>
      </c>
      <c r="V199" s="169" t="str">
        <f>IFERROR(IF(ISBLANK(Table123[[#This Row],[Odds Side - Win Probability Model]]), "",N199+IF(R199&lt;0, (N199/(R199/-100)), N199*(R199/100))),"")</f>
      </c>
      <c r="W199" s="168" t="str">
        <f t="shared" si="20"/>
      </c>
      <c r="X199" s="169" t="str">
        <f t="shared" si="21"/>
      </c>
      <c r="Y199" s="168" t="str">
        <f>IF(ISBLANK(Table123[[#This Row],[Odds Spread]]), "",O199+IF(S199&lt;0, (O199/(S199/-100)), O199*(S199/100)))</f>
      </c>
      <c r="Z199" s="168" t="str">
        <f t="shared" si="22"/>
      </c>
      <c r="AA199" s="68" t="n">
        <f t="shared" si="23"/>
        <v>0</v>
      </c>
      <c r="AB199" s="68" t="n">
        <f t="shared" si="24"/>
        <v>0</v>
      </c>
      <c r="AC199" s="170" t="e">
        <f>IF('Prediction Log'!#REF!="Y", "W", IF('Prediction Log'!#REF!="N","L",""))</f>
        <v>#REF!</v>
      </c>
      <c r="AD199" s="171" t="e">
        <f>IF('Prediction Log'!#REF!="Y", "W", IF('Prediction Log'!#REF!="N","L",""))</f>
        <v>#REF!</v>
      </c>
      <c r="AE199" s="172" t="str">
        <f>IF(ISBLANK(Table123[[#This Row],[Odds Side - Difference Model]]), "",IF(AC199="W", W199, IF(AC199="L",-N199, "")))</f>
      </c>
      <c r="AF199" s="173" t="str">
        <f>IFERROR((IF(ISERR(Table123[[#This Row],[Potential Payout Side - Win Probability Model]]), "",IF(AD199="W", X199, IF(AD199="L",-N199, "")))), "")</f>
      </c>
      <c r="AG199" s="170" t="e">
        <f>IF('Prediction Log'!#REF!="Y", "W", IF('Prediction Log'!#REF!="N", "L", ""))</f>
        <v>#REF!</v>
      </c>
      <c r="AH199" s="172" t="str">
        <f>IF(ISBLANK(Table123[[#This Row],[Odds Spread]]), "",IF(AG199="W", Z199, IF(AG199="L",-O199, "")))</f>
      </c>
      <c r="AI199" s="184"/>
      <c r="AJ199" s="183" t="str">
        <f t="shared" si="25"/>
      </c>
      <c r="AK1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0">
      <c r="A200" s="65" t="e">
        <f>Games!#REF!</f>
        <v>#REF!</v>
      </c>
      <c r="B200" s="65" t="e">
        <f>IF('Prediction Log'!#REF!=0, "",'Prediction Log'!#REF!)</f>
        <v>#REF!</v>
      </c>
      <c r="C200" s="65" t="e">
        <f>IF('Prediction Log'!#REF!=0, "",'Prediction Log'!#REF!)</f>
        <v>#REF!</v>
      </c>
      <c r="D200" s="65" t="e">
        <f>IF('Prediction Log'!#REF!=0, "",'Prediction Log'!#REF!)</f>
        <v>#REF!</v>
      </c>
      <c r="E200" s="65" t="e">
        <f>IF('Prediction Log'!#REF!=0, "",'Prediction Log'!#REF!)</f>
        <v>#REF!</v>
      </c>
      <c r="F200" s="65" t="e">
        <f>IF('Prediction Log'!#REF!=0, "",'Prediction Log'!#REF!)</f>
        <v>#REF!</v>
      </c>
      <c r="G200" s="64" t="e">
        <f>IF(ISBLANK(Games!#REF!), "",'Prediction Log'!#REF!)</f>
        <v>#REF!</v>
      </c>
      <c r="H200" s="66" t="e">
        <f>'Prediction Log'!#REF!</f>
        <v>#REF!</v>
      </c>
      <c r="I200" s="65" t="e">
        <f>IF(ISBLANK(Games!#REF!), "",IF(AND(Games!#REF!="",Games!#REF!=""),"",IF(ISTEXT(Games!#REF!), "Side",Games!#REF!)))</f>
        <v>#REF!</v>
      </c>
      <c r="J200" s="65" t="e">
        <f>IF(ISBLANK(Games!#REF!), "",IF(Games!#REF!="Y", Games!#REF!, Games!#REF!))</f>
        <v>#REF!</v>
      </c>
      <c r="K200" s="65" t="e">
        <f>Games!#REF!</f>
        <v>#REF!</v>
      </c>
      <c r="L200" s="65" t="e">
        <f>IF(ISBLANK(Games!#REF!), "",Games!#REF!)</f>
        <v>#REF!</v>
      </c>
      <c r="M200" s="65"/>
      <c r="N200" s="167" t="str">
        <f>IF(ISBLANK(Table123[[#This Row],[Odds Side - Difference Model]]), "", 1)</f>
      </c>
      <c r="O200" s="167" t="str">
        <f>IF(ISBLANK(Table123[[#This Row],[Odds Spread]]), "", 1)</f>
      </c>
      <c r="P200" s="67"/>
      <c r="Q200" s="67"/>
      <c r="R2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0" s="67"/>
      <c r="T200" s="67"/>
      <c r="U200" s="168" t="str">
        <f>IF(ISBLANK(Table123[[#This Row],[Odds Side - Difference Model]]), "",N200+IF(Q200&lt;0, (N200/(Q200/-100)), N200*(Q200/100)))</f>
      </c>
      <c r="V200" s="169" t="str">
        <f>IFERROR(IF(ISBLANK(Table123[[#This Row],[Odds Side - Win Probability Model]]), "",N200+IF(R200&lt;0, (N200/(R200/-100)), N200*(R200/100))),"")</f>
      </c>
      <c r="W200" s="168" t="str">
        <f t="shared" si="20"/>
      </c>
      <c r="X200" s="169" t="str">
        <f t="shared" si="21"/>
      </c>
      <c r="Y200" s="168" t="str">
        <f>IF(ISBLANK(Table123[[#This Row],[Odds Spread]]), "",O200+IF(S200&lt;0, (O200/(S200/-100)), O200*(S200/100)))</f>
      </c>
      <c r="Z200" s="168" t="str">
        <f t="shared" si="22"/>
      </c>
      <c r="AA200" s="68" t="n">
        <f t="shared" si="23"/>
        <v>0</v>
      </c>
      <c r="AB200" s="68" t="n">
        <f t="shared" si="24"/>
        <v>0</v>
      </c>
      <c r="AC200" s="170" t="e">
        <f>IF('Prediction Log'!#REF!="Y", "W", IF('Prediction Log'!#REF!="N","L",""))</f>
        <v>#REF!</v>
      </c>
      <c r="AD200" s="171" t="e">
        <f>IF('Prediction Log'!#REF!="Y", "W", IF('Prediction Log'!#REF!="N","L",""))</f>
        <v>#REF!</v>
      </c>
      <c r="AE200" s="172" t="str">
        <f>IF(ISBLANK(Table123[[#This Row],[Odds Side - Difference Model]]), "",IF(AC200="W", W200, IF(AC200="L",-N200, "")))</f>
      </c>
      <c r="AF200" s="173" t="str">
        <f>IFERROR((IF(ISERR(Table123[[#This Row],[Potential Payout Side - Win Probability Model]]), "",IF(AD200="W", X200, IF(AD200="L",-N200, "")))), "")</f>
      </c>
      <c r="AG200" s="170" t="e">
        <f>IF('Prediction Log'!#REF!="Y", "W", IF('Prediction Log'!#REF!="N", "L", ""))</f>
        <v>#REF!</v>
      </c>
      <c r="AH200" s="172" t="str">
        <f>IF(ISBLANK(Table123[[#This Row],[Odds Spread]]), "",IF(AG200="W", Z200, IF(AG200="L",-O200, "")))</f>
      </c>
      <c r="AI200" s="184"/>
      <c r="AJ200" s="183" t="str">
        <f t="shared" si="25"/>
      </c>
      <c r="AK2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1">
      <c r="A201" s="65" t="e">
        <f>Games!#REF!</f>
        <v>#REF!</v>
      </c>
      <c r="B201" s="65" t="e">
        <f>IF('Prediction Log'!#REF!=0, "",'Prediction Log'!#REF!)</f>
        <v>#REF!</v>
      </c>
      <c r="C201" s="65" t="e">
        <f>IF('Prediction Log'!#REF!=0, "",'Prediction Log'!#REF!)</f>
        <v>#REF!</v>
      </c>
      <c r="D201" s="65" t="e">
        <f>IF('Prediction Log'!#REF!=0, "",'Prediction Log'!#REF!)</f>
        <v>#REF!</v>
      </c>
      <c r="E201" s="65" t="e">
        <f>IF('Prediction Log'!#REF!=0, "",'Prediction Log'!#REF!)</f>
        <v>#REF!</v>
      </c>
      <c r="F201" s="65" t="e">
        <f>IF('Prediction Log'!#REF!=0, "",'Prediction Log'!#REF!)</f>
        <v>#REF!</v>
      </c>
      <c r="G201" s="64" t="e">
        <f>IF(ISBLANK(Games!#REF!), "",'Prediction Log'!#REF!)</f>
        <v>#REF!</v>
      </c>
      <c r="H201" s="66" t="e">
        <f>'Prediction Log'!#REF!</f>
        <v>#REF!</v>
      </c>
      <c r="I201" s="65" t="e">
        <f>IF(ISBLANK(Games!#REF!), "",IF(AND(Games!#REF!="",Games!#REF!=""),"",IF(ISTEXT(Games!#REF!), "Side",Games!#REF!)))</f>
        <v>#REF!</v>
      </c>
      <c r="J201" s="65" t="e">
        <f>IF(ISBLANK(Games!#REF!), "",IF(Games!#REF!="Y", Games!#REF!, Games!#REF!))</f>
        <v>#REF!</v>
      </c>
      <c r="K201" s="65" t="e">
        <f>Games!#REF!</f>
        <v>#REF!</v>
      </c>
      <c r="L201" s="65" t="e">
        <f>IF(ISBLANK(Games!#REF!), "",Games!#REF!)</f>
        <v>#REF!</v>
      </c>
      <c r="M201" s="65"/>
      <c r="N201" s="167" t="str">
        <f>IF(ISBLANK(Table123[[#This Row],[Odds Side - Difference Model]]), "", 1)</f>
      </c>
      <c r="O201" s="167" t="str">
        <f>IF(ISBLANK(Table123[[#This Row],[Odds Spread]]), "", 1)</f>
      </c>
      <c r="P201" s="67"/>
      <c r="Q201" s="67"/>
      <c r="R2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1" s="67"/>
      <c r="T201" s="67"/>
      <c r="U201" s="168" t="str">
        <f>IF(ISBLANK(Table123[[#This Row],[Odds Side - Difference Model]]), "",N201+IF(Q201&lt;0, (N201/(Q201/-100)), N201*(Q201/100)))</f>
      </c>
      <c r="V201" s="169" t="str">
        <f>IFERROR(IF(ISBLANK(Table123[[#This Row],[Odds Side - Win Probability Model]]), "",N201+IF(R201&lt;0, (N201/(R201/-100)), N201*(R201/100))),"")</f>
      </c>
      <c r="W201" s="168" t="str">
        <f t="shared" si="20"/>
      </c>
      <c r="X201" s="169" t="str">
        <f t="shared" si="21"/>
      </c>
      <c r="Y201" s="168" t="str">
        <f>IF(ISBLANK(Table123[[#This Row],[Odds Spread]]), "",O201+IF(S201&lt;0, (O201/(S201/-100)), O201*(S201/100)))</f>
      </c>
      <c r="Z201" s="168" t="str">
        <f t="shared" si="22"/>
      </c>
      <c r="AA201" s="68" t="n">
        <f t="shared" si="23"/>
        <v>0</v>
      </c>
      <c r="AB201" s="68" t="n">
        <f t="shared" si="24"/>
        <v>0</v>
      </c>
      <c r="AC201" s="170" t="e">
        <f>IF('Prediction Log'!#REF!="Y", "W", IF('Prediction Log'!#REF!="N","L",""))</f>
        <v>#REF!</v>
      </c>
      <c r="AD201" s="171" t="e">
        <f>IF('Prediction Log'!#REF!="Y", "W", IF('Prediction Log'!#REF!="N","L",""))</f>
        <v>#REF!</v>
      </c>
      <c r="AE201" s="172" t="str">
        <f>IF(ISBLANK(Table123[[#This Row],[Odds Side - Difference Model]]), "",IF(AC201="W", W201, IF(AC201="L",-N201, "")))</f>
      </c>
      <c r="AF201" s="173" t="str">
        <f>IFERROR((IF(ISERR(Table123[[#This Row],[Potential Payout Side - Win Probability Model]]), "",IF(AD201="W", X201, IF(AD201="L",-N201, "")))), "")</f>
      </c>
      <c r="AG201" s="170" t="e">
        <f>IF('Prediction Log'!#REF!="Y", "W", IF('Prediction Log'!#REF!="N", "L", ""))</f>
        <v>#REF!</v>
      </c>
      <c r="AH201" s="172" t="str">
        <f>IF(ISBLANK(Table123[[#This Row],[Odds Spread]]), "",IF(AG201="W", Z201, IF(AG201="L",-O201, "")))</f>
      </c>
      <c r="AI201" s="184"/>
      <c r="AJ201" s="183" t="str">
        <f t="shared" si="25"/>
      </c>
      <c r="AK2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2">
      <c r="A202" s="65" t="e">
        <f>Games!#REF!</f>
        <v>#REF!</v>
      </c>
      <c r="B202" s="65" t="e">
        <f>IF('Prediction Log'!#REF!=0, "",'Prediction Log'!#REF!)</f>
        <v>#REF!</v>
      </c>
      <c r="C202" s="65" t="e">
        <f>IF('Prediction Log'!#REF!=0, "",'Prediction Log'!#REF!)</f>
        <v>#REF!</v>
      </c>
      <c r="D202" s="65" t="e">
        <f>IF('Prediction Log'!#REF!=0, "",'Prediction Log'!#REF!)</f>
        <v>#REF!</v>
      </c>
      <c r="E202" s="65" t="e">
        <f>IF('Prediction Log'!#REF!=0, "",'Prediction Log'!#REF!)</f>
        <v>#REF!</v>
      </c>
      <c r="F202" s="65" t="e">
        <f>IF('Prediction Log'!#REF!=0, "",'Prediction Log'!#REF!)</f>
        <v>#REF!</v>
      </c>
      <c r="G202" s="64" t="e">
        <f>IF(ISBLANK(Games!#REF!), "",'Prediction Log'!#REF!)</f>
        <v>#REF!</v>
      </c>
      <c r="H202" s="66" t="e">
        <f>'Prediction Log'!#REF!</f>
        <v>#REF!</v>
      </c>
      <c r="I202" s="65" t="e">
        <f>IF(ISBLANK(Games!#REF!), "",IF(AND(Games!#REF!="",Games!#REF!=""),"",IF(ISTEXT(Games!#REF!), "Side",Games!#REF!)))</f>
        <v>#REF!</v>
      </c>
      <c r="J202" s="65" t="e">
        <f>IF(ISBLANK(Games!#REF!), "",IF(Games!#REF!="Y", Games!#REF!, Games!#REF!))</f>
        <v>#REF!</v>
      </c>
      <c r="K202" s="65" t="e">
        <f>Games!#REF!</f>
        <v>#REF!</v>
      </c>
      <c r="L202" s="65" t="e">
        <f>IF(ISBLANK(Games!#REF!), "",Games!#REF!)</f>
        <v>#REF!</v>
      </c>
      <c r="M202" s="65"/>
      <c r="N202" s="167" t="str">
        <f>IF(ISBLANK(Table123[[#This Row],[Odds Side - Difference Model]]), "", 1)</f>
      </c>
      <c r="O202" s="167" t="str">
        <f>IF(ISBLANK(Table123[[#This Row],[Odds Spread]]), "", 1)</f>
      </c>
      <c r="P202" s="67"/>
      <c r="Q202" s="67"/>
      <c r="R2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2" s="67"/>
      <c r="T202" s="67"/>
      <c r="U202" s="168" t="str">
        <f>IF(ISBLANK(Table123[[#This Row],[Odds Side - Difference Model]]), "",N202+IF(Q202&lt;0, (N202/(Q202/-100)), N202*(Q202/100)))</f>
      </c>
      <c r="V202" s="169" t="str">
        <f>IFERROR(IF(ISBLANK(Table123[[#This Row],[Odds Side - Win Probability Model]]), "",N202+IF(R202&lt;0, (N202/(R202/-100)), N202*(R202/100))),"")</f>
      </c>
      <c r="W202" s="168" t="str">
        <f t="shared" si="20"/>
      </c>
      <c r="X202" s="169" t="str">
        <f t="shared" si="21"/>
      </c>
      <c r="Y202" s="168" t="str">
        <f>IF(ISBLANK(Table123[[#This Row],[Odds Spread]]), "",O202+IF(S202&lt;0, (O202/(S202/-100)), O202*(S202/100)))</f>
      </c>
      <c r="Z202" s="168" t="str">
        <f t="shared" si="22"/>
      </c>
      <c r="AA202" s="68" t="n">
        <f t="shared" si="23"/>
        <v>0</v>
      </c>
      <c r="AB202" s="68" t="n">
        <f t="shared" si="24"/>
        <v>0</v>
      </c>
      <c r="AC202" s="170" t="e">
        <f>IF('Prediction Log'!#REF!="Y", "W", IF('Prediction Log'!#REF!="N","L",""))</f>
        <v>#REF!</v>
      </c>
      <c r="AD202" s="171" t="e">
        <f>IF('Prediction Log'!#REF!="Y", "W", IF('Prediction Log'!#REF!="N","L",""))</f>
        <v>#REF!</v>
      </c>
      <c r="AE202" s="172" t="str">
        <f>IF(ISBLANK(Table123[[#This Row],[Odds Side - Difference Model]]), "",IF(AC202="W", W202, IF(AC202="L",-N202, "")))</f>
      </c>
      <c r="AF202" s="173" t="str">
        <f>IFERROR((IF(ISERR(Table123[[#This Row],[Potential Payout Side - Win Probability Model]]), "",IF(AD202="W", X202, IF(AD202="L",-N202, "")))), "")</f>
      </c>
      <c r="AG202" s="170" t="e">
        <f>IF('Prediction Log'!#REF!="Y", "W", IF('Prediction Log'!#REF!="N", "L", ""))</f>
        <v>#REF!</v>
      </c>
      <c r="AH202" s="172" t="str">
        <f>IF(ISBLANK(Table123[[#This Row],[Odds Spread]]), "",IF(AG202="W", Z202, IF(AG202="L",-O202, "")))</f>
      </c>
      <c r="AI202" s="184"/>
      <c r="AJ202" s="183" t="str">
        <f t="shared" si="25"/>
      </c>
      <c r="AK2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3">
      <c r="A203" s="65" t="e">
        <f>Games!#REF!</f>
        <v>#REF!</v>
      </c>
      <c r="B203" s="65" t="e">
        <f>IF('Prediction Log'!#REF!=0, "",'Prediction Log'!#REF!)</f>
        <v>#REF!</v>
      </c>
      <c r="C203" s="65" t="e">
        <f>IF('Prediction Log'!#REF!=0, "",'Prediction Log'!#REF!)</f>
        <v>#REF!</v>
      </c>
      <c r="D203" s="65" t="e">
        <f>IF('Prediction Log'!#REF!=0, "",'Prediction Log'!#REF!)</f>
        <v>#REF!</v>
      </c>
      <c r="E203" s="65" t="e">
        <f>IF('Prediction Log'!#REF!=0, "",'Prediction Log'!#REF!)</f>
        <v>#REF!</v>
      </c>
      <c r="F203" s="65" t="e">
        <f>IF('Prediction Log'!#REF!=0, "",'Prediction Log'!#REF!)</f>
        <v>#REF!</v>
      </c>
      <c r="G203" s="64" t="e">
        <f>IF(ISBLANK(Games!#REF!), "",'Prediction Log'!#REF!)</f>
        <v>#REF!</v>
      </c>
      <c r="H203" s="66" t="e">
        <f>'Prediction Log'!#REF!</f>
        <v>#REF!</v>
      </c>
      <c r="I203" s="65" t="e">
        <f>IF(ISBLANK(Games!#REF!), "",IF(AND(Games!#REF!="",Games!#REF!=""),"",IF(ISTEXT(Games!#REF!), "Side",Games!#REF!)))</f>
        <v>#REF!</v>
      </c>
      <c r="J203" s="65" t="e">
        <f>IF(ISBLANK(Games!#REF!), "",IF(Games!#REF!="Y", Games!#REF!, Games!#REF!))</f>
        <v>#REF!</v>
      </c>
      <c r="K203" s="65" t="e">
        <f>Games!#REF!</f>
        <v>#REF!</v>
      </c>
      <c r="L203" s="65" t="e">
        <f>IF(ISBLANK(Games!#REF!), "",Games!#REF!)</f>
        <v>#REF!</v>
      </c>
      <c r="M203" s="65"/>
      <c r="N203" s="167" t="str">
        <f>IF(ISBLANK(Table123[[#This Row],[Odds Side - Difference Model]]), "", 1)</f>
      </c>
      <c r="O203" s="167" t="str">
        <f>IF(ISBLANK(Table123[[#This Row],[Odds Spread]]), "", 1)</f>
      </c>
      <c r="P203" s="67"/>
      <c r="Q203" s="67"/>
      <c r="R2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3" s="67"/>
      <c r="T203" s="67"/>
      <c r="U203" s="168" t="str">
        <f>IF(ISBLANK(Table123[[#This Row],[Odds Side - Difference Model]]), "",N203+IF(Q203&lt;0, (N203/(Q203/-100)), N203*(Q203/100)))</f>
      </c>
      <c r="V203" s="169" t="str">
        <f>IFERROR(IF(ISBLANK(Table123[[#This Row],[Odds Side - Win Probability Model]]), "",N203+IF(R203&lt;0, (N203/(R203/-100)), N203*(R203/100))),"")</f>
      </c>
      <c r="W203" s="168" t="str">
        <f t="shared" si="20"/>
      </c>
      <c r="X203" s="169" t="str">
        <f t="shared" si="21"/>
      </c>
      <c r="Y203" s="168" t="str">
        <f>IF(ISBLANK(Table123[[#This Row],[Odds Spread]]), "",O203+IF(S203&lt;0, (O203/(S203/-100)), O203*(S203/100)))</f>
      </c>
      <c r="Z203" s="168" t="str">
        <f t="shared" si="22"/>
      </c>
      <c r="AA203" s="68" t="n">
        <f t="shared" si="23"/>
        <v>0</v>
      </c>
      <c r="AB203" s="68" t="n">
        <f t="shared" si="24"/>
        <v>0</v>
      </c>
      <c r="AC203" s="170" t="e">
        <f>IF('Prediction Log'!#REF!="Y", "W", IF('Prediction Log'!#REF!="N","L",""))</f>
        <v>#REF!</v>
      </c>
      <c r="AD203" s="171" t="e">
        <f>IF('Prediction Log'!#REF!="Y", "W", IF('Prediction Log'!#REF!="N","L",""))</f>
        <v>#REF!</v>
      </c>
      <c r="AE203" s="172" t="str">
        <f>IF(ISBLANK(Table123[[#This Row],[Odds Side - Difference Model]]), "",IF(AC203="W", W203, IF(AC203="L",-N203, "")))</f>
      </c>
      <c r="AF203" s="173" t="str">
        <f>IFERROR((IF(ISERR(Table123[[#This Row],[Potential Payout Side - Win Probability Model]]), "",IF(AD203="W", X203, IF(AD203="L",-N203, "")))), "")</f>
      </c>
      <c r="AG203" s="170" t="e">
        <f>IF('Prediction Log'!#REF!="Y", "W", IF('Prediction Log'!#REF!="N", "L", ""))</f>
        <v>#REF!</v>
      </c>
      <c r="AH203" s="172" t="str">
        <f>IF(ISBLANK(Table123[[#This Row],[Odds Spread]]), "",IF(AG203="W", Z203, IF(AG203="L",-O203, "")))</f>
      </c>
      <c r="AI203" s="184"/>
      <c r="AJ203" s="183" t="str">
        <f t="shared" si="25"/>
      </c>
      <c r="AK2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4">
      <c r="A204" s="65" t="e">
        <f>Games!#REF!</f>
        <v>#REF!</v>
      </c>
      <c r="B204" s="65" t="e">
        <f>IF('Prediction Log'!#REF!=0, "",'Prediction Log'!#REF!)</f>
        <v>#REF!</v>
      </c>
      <c r="C204" s="65" t="e">
        <f>IF('Prediction Log'!#REF!=0, "",'Prediction Log'!#REF!)</f>
        <v>#REF!</v>
      </c>
      <c r="D204" s="65" t="e">
        <f>IF('Prediction Log'!#REF!=0, "",'Prediction Log'!#REF!)</f>
        <v>#REF!</v>
      </c>
      <c r="E204" s="65" t="e">
        <f>IF('Prediction Log'!#REF!=0, "",'Prediction Log'!#REF!)</f>
        <v>#REF!</v>
      </c>
      <c r="F204" s="65" t="e">
        <f>IF('Prediction Log'!#REF!=0, "",'Prediction Log'!#REF!)</f>
        <v>#REF!</v>
      </c>
      <c r="G204" s="64" t="e">
        <f>IF(ISBLANK(Games!#REF!), "",'Prediction Log'!#REF!)</f>
        <v>#REF!</v>
      </c>
      <c r="H204" s="66" t="e">
        <f>'Prediction Log'!#REF!</f>
        <v>#REF!</v>
      </c>
      <c r="I204" s="65" t="e">
        <f>IF(ISBLANK(Games!#REF!), "",IF(AND(Games!#REF!="",Games!#REF!=""),"",IF(ISTEXT(Games!#REF!), "Side",Games!#REF!)))</f>
        <v>#REF!</v>
      </c>
      <c r="J204" s="65" t="e">
        <f>IF(ISBLANK(Games!#REF!), "",IF(Games!#REF!="Y", Games!#REF!, Games!#REF!))</f>
        <v>#REF!</v>
      </c>
      <c r="K204" s="65" t="e">
        <f>Games!#REF!</f>
        <v>#REF!</v>
      </c>
      <c r="L204" s="65" t="e">
        <f>IF(ISBLANK(Games!#REF!), "",Games!#REF!)</f>
        <v>#REF!</v>
      </c>
      <c r="M204" s="65"/>
      <c r="N204" s="167" t="str">
        <f>IF(ISBLANK(Table123[[#This Row],[Odds Side - Difference Model]]), "", 1)</f>
      </c>
      <c r="O204" s="167" t="str">
        <f>IF(ISBLANK(Table123[[#This Row],[Odds Spread]]), "", 1)</f>
      </c>
      <c r="P204" s="67"/>
      <c r="Q204" s="67"/>
      <c r="R2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4" s="67"/>
      <c r="T204" s="67"/>
      <c r="U204" s="168" t="str">
        <f>IF(ISBLANK(Table123[[#This Row],[Odds Side - Difference Model]]), "",N204+IF(Q204&lt;0, (N204/(Q204/-100)), N204*(Q204/100)))</f>
      </c>
      <c r="V204" s="169" t="str">
        <f>IFERROR(IF(ISBLANK(Table123[[#This Row],[Odds Side - Win Probability Model]]), "",N204+IF(R204&lt;0, (N204/(R204/-100)), N204*(R204/100))),"")</f>
      </c>
      <c r="W204" s="168" t="str">
        <f t="shared" si="20"/>
      </c>
      <c r="X204" s="169" t="str">
        <f t="shared" si="21"/>
      </c>
      <c r="Y204" s="168" t="str">
        <f>IF(ISBLANK(Table123[[#This Row],[Odds Spread]]), "",O204+IF(S204&lt;0, (O204/(S204/-100)), O204*(S204/100)))</f>
      </c>
      <c r="Z204" s="168" t="str">
        <f t="shared" si="22"/>
      </c>
      <c r="AA204" s="68" t="n">
        <f t="shared" si="23"/>
        <v>0</v>
      </c>
      <c r="AB204" s="68" t="n">
        <f t="shared" si="24"/>
        <v>0</v>
      </c>
      <c r="AC204" s="170" t="e">
        <f>IF('Prediction Log'!#REF!="Y", "W", IF('Prediction Log'!#REF!="N","L",""))</f>
        <v>#REF!</v>
      </c>
      <c r="AD204" s="171" t="e">
        <f>IF('Prediction Log'!#REF!="Y", "W", IF('Prediction Log'!#REF!="N","L",""))</f>
        <v>#REF!</v>
      </c>
      <c r="AE204" s="172" t="str">
        <f>IF(ISBLANK(Table123[[#This Row],[Odds Side - Difference Model]]), "",IF(AC204="W", W204, IF(AC204="L",-N204, "")))</f>
      </c>
      <c r="AF204" s="173" t="str">
        <f>IFERROR((IF(ISERR(Table123[[#This Row],[Potential Payout Side - Win Probability Model]]), "",IF(AD204="W", X204, IF(AD204="L",-N204, "")))), "")</f>
      </c>
      <c r="AG204" s="170" t="e">
        <f>IF('Prediction Log'!#REF!="Y", "W", IF('Prediction Log'!#REF!="N", "L", ""))</f>
        <v>#REF!</v>
      </c>
      <c r="AH204" s="172" t="str">
        <f>IF(ISBLANK(Table123[[#This Row],[Odds Spread]]), "",IF(AG204="W", Z204, IF(AG204="L",-O204, "")))</f>
      </c>
      <c r="AI204" s="184"/>
      <c r="AJ204" s="183" t="str">
        <f t="shared" si="25"/>
      </c>
      <c r="AK2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5">
      <c r="A205" s="65" t="e">
        <f>Games!#REF!</f>
        <v>#REF!</v>
      </c>
      <c r="B205" s="65" t="e">
        <f>IF('Prediction Log'!#REF!=0, "",'Prediction Log'!#REF!)</f>
        <v>#REF!</v>
      </c>
      <c r="C205" s="65" t="e">
        <f>IF('Prediction Log'!#REF!=0, "",'Prediction Log'!#REF!)</f>
        <v>#REF!</v>
      </c>
      <c r="D205" s="65" t="e">
        <f>IF('Prediction Log'!#REF!=0, "",'Prediction Log'!#REF!)</f>
        <v>#REF!</v>
      </c>
      <c r="E205" s="65" t="e">
        <f>IF('Prediction Log'!#REF!=0, "",'Prediction Log'!#REF!)</f>
        <v>#REF!</v>
      </c>
      <c r="F205" s="65" t="e">
        <f>IF('Prediction Log'!#REF!=0, "",'Prediction Log'!#REF!)</f>
        <v>#REF!</v>
      </c>
      <c r="G205" s="64" t="e">
        <f>IF(ISBLANK(Games!#REF!), "",'Prediction Log'!#REF!)</f>
        <v>#REF!</v>
      </c>
      <c r="H205" s="66" t="e">
        <f>'Prediction Log'!#REF!</f>
        <v>#REF!</v>
      </c>
      <c r="I205" s="65" t="e">
        <f>IF(ISBLANK(Games!#REF!), "",IF(AND(Games!#REF!="",Games!#REF!=""),"",IF(ISTEXT(Games!#REF!), "Side",Games!#REF!)))</f>
        <v>#REF!</v>
      </c>
      <c r="J205" s="65" t="e">
        <f>IF(ISBLANK(Games!#REF!), "",IF(Games!#REF!="Y", Games!#REF!, Games!#REF!))</f>
        <v>#REF!</v>
      </c>
      <c r="K205" s="65" t="e">
        <f>Games!#REF!</f>
        <v>#REF!</v>
      </c>
      <c r="L205" s="65" t="e">
        <f>IF(ISBLANK(Games!#REF!), "",Games!#REF!)</f>
        <v>#REF!</v>
      </c>
      <c r="M205" s="65"/>
      <c r="N205" s="167" t="str">
        <f>IF(ISBLANK(Table123[[#This Row],[Odds Side - Difference Model]]), "", 1)</f>
      </c>
      <c r="O205" s="167" t="str">
        <f>IF(ISBLANK(Table123[[#This Row],[Odds Spread]]), "", 1)</f>
      </c>
      <c r="P205" s="67"/>
      <c r="Q205" s="67"/>
      <c r="R2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5" s="67"/>
      <c r="T205" s="67"/>
      <c r="U205" s="168" t="str">
        <f>IF(ISBLANK(Table123[[#This Row],[Odds Side - Difference Model]]), "",N205+IF(Q205&lt;0, (N205/(Q205/-100)), N205*(Q205/100)))</f>
      </c>
      <c r="V205" s="169" t="str">
        <f>IFERROR(IF(ISBLANK(Table123[[#This Row],[Odds Side - Win Probability Model]]), "",N205+IF(R205&lt;0, (N205/(R205/-100)), N205*(R205/100))),"")</f>
      </c>
      <c r="W205" s="168" t="str">
        <f t="shared" si="20"/>
      </c>
      <c r="X205" s="169" t="str">
        <f t="shared" si="21"/>
      </c>
      <c r="Y205" s="168" t="str">
        <f>IF(ISBLANK(Table123[[#This Row],[Odds Spread]]), "",O205+IF(S205&lt;0, (O205/(S205/-100)), O205*(S205/100)))</f>
      </c>
      <c r="Z205" s="168" t="str">
        <f t="shared" si="22"/>
      </c>
      <c r="AA205" s="68" t="n">
        <f t="shared" si="23"/>
        <v>0</v>
      </c>
      <c r="AB205" s="68" t="n">
        <f t="shared" si="24"/>
        <v>0</v>
      </c>
      <c r="AC205" s="170" t="e">
        <f>IF('Prediction Log'!#REF!="Y", "W", IF('Prediction Log'!#REF!="N","L",""))</f>
        <v>#REF!</v>
      </c>
      <c r="AD205" s="171" t="e">
        <f>IF('Prediction Log'!#REF!="Y", "W", IF('Prediction Log'!#REF!="N","L",""))</f>
        <v>#REF!</v>
      </c>
      <c r="AE205" s="172" t="str">
        <f>IF(ISBLANK(Table123[[#This Row],[Odds Side - Difference Model]]), "",IF(AC205="W", W205, IF(AC205="L",-N205, "")))</f>
      </c>
      <c r="AF205" s="173" t="str">
        <f>IFERROR((IF(ISERR(Table123[[#This Row],[Potential Payout Side - Win Probability Model]]), "",IF(AD205="W", X205, IF(AD205="L",-N205, "")))), "")</f>
      </c>
      <c r="AG205" s="170" t="e">
        <f>IF('Prediction Log'!#REF!="Y", "W", IF('Prediction Log'!#REF!="N", "L", ""))</f>
        <v>#REF!</v>
      </c>
      <c r="AH205" s="172" t="str">
        <f>IF(ISBLANK(Table123[[#This Row],[Odds Spread]]), "",IF(AG205="W", Z205, IF(AG205="L",-O205, "")))</f>
      </c>
      <c r="AI205" s="184"/>
      <c r="AJ205" s="183" t="str">
        <f t="shared" si="25"/>
      </c>
      <c r="AK2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6">
      <c r="A206" s="65" t="e">
        <f>Games!#REF!</f>
        <v>#REF!</v>
      </c>
      <c r="B206" s="65" t="e">
        <f>IF('Prediction Log'!#REF!=0, "",'Prediction Log'!#REF!)</f>
        <v>#REF!</v>
      </c>
      <c r="C206" s="65" t="e">
        <f>IF('Prediction Log'!#REF!=0, "",'Prediction Log'!#REF!)</f>
        <v>#REF!</v>
      </c>
      <c r="D206" s="65" t="e">
        <f>IF('Prediction Log'!#REF!=0, "",'Prediction Log'!#REF!)</f>
        <v>#REF!</v>
      </c>
      <c r="E206" s="65" t="e">
        <f>IF('Prediction Log'!#REF!=0, "",'Prediction Log'!#REF!)</f>
        <v>#REF!</v>
      </c>
      <c r="F206" s="65" t="e">
        <f>IF('Prediction Log'!#REF!=0, "",'Prediction Log'!#REF!)</f>
        <v>#REF!</v>
      </c>
      <c r="G206" s="64" t="e">
        <f>IF(ISBLANK(Games!#REF!), "",'Prediction Log'!#REF!)</f>
        <v>#REF!</v>
      </c>
      <c r="H206" s="66" t="e">
        <f>'Prediction Log'!#REF!</f>
        <v>#REF!</v>
      </c>
      <c r="I206" s="65" t="e">
        <f>IF(ISBLANK(Games!#REF!), "",IF(AND(Games!#REF!="",Games!#REF!=""),"",IF(ISTEXT(Games!#REF!), "Side",Games!#REF!)))</f>
        <v>#REF!</v>
      </c>
      <c r="J206" s="65" t="e">
        <f>IF(ISBLANK(Games!#REF!), "",IF(Games!#REF!="Y", Games!#REF!, Games!#REF!))</f>
        <v>#REF!</v>
      </c>
      <c r="K206" s="65" t="e">
        <f>Games!#REF!</f>
        <v>#REF!</v>
      </c>
      <c r="L206" s="65" t="e">
        <f>IF(ISBLANK(Games!#REF!), "",Games!#REF!)</f>
        <v>#REF!</v>
      </c>
      <c r="M206" s="65"/>
      <c r="N206" s="167" t="str">
        <f>IF(ISBLANK(Table123[[#This Row],[Odds Side - Difference Model]]), "", 1)</f>
      </c>
      <c r="O206" s="167" t="str">
        <f>IF(ISBLANK(Table123[[#This Row],[Odds Spread]]), "", 1)</f>
      </c>
      <c r="P206" s="67"/>
      <c r="Q206" s="67"/>
      <c r="R2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6" s="67"/>
      <c r="T206" s="67"/>
      <c r="U206" s="168" t="str">
        <f>IF(ISBLANK(Table123[[#This Row],[Odds Side - Difference Model]]), "",N206+IF(Q206&lt;0, (N206/(Q206/-100)), N206*(Q206/100)))</f>
      </c>
      <c r="V206" s="169" t="str">
        <f>IFERROR(IF(ISBLANK(Table123[[#This Row],[Odds Side - Win Probability Model]]), "",N206+IF(R206&lt;0, (N206/(R206/-100)), N206*(R206/100))),"")</f>
      </c>
      <c r="W206" s="168" t="str">
        <f t="shared" si="20"/>
      </c>
      <c r="X206" s="169" t="str">
        <f t="shared" si="21"/>
      </c>
      <c r="Y206" s="168" t="str">
        <f>IF(ISBLANK(Table123[[#This Row],[Odds Spread]]), "",O206+IF(S206&lt;0, (O206/(S206/-100)), O206*(S206/100)))</f>
      </c>
      <c r="Z206" s="168" t="str">
        <f t="shared" si="22"/>
      </c>
      <c r="AA206" s="68" t="n">
        <f t="shared" si="23"/>
        <v>0</v>
      </c>
      <c r="AB206" s="68" t="n">
        <f t="shared" si="24"/>
        <v>0</v>
      </c>
      <c r="AC206" s="170" t="e">
        <f>IF('Prediction Log'!#REF!="Y", "W", IF('Prediction Log'!#REF!="N","L",""))</f>
        <v>#REF!</v>
      </c>
      <c r="AD206" s="171" t="e">
        <f>IF('Prediction Log'!#REF!="Y", "W", IF('Prediction Log'!#REF!="N","L",""))</f>
        <v>#REF!</v>
      </c>
      <c r="AE206" s="172" t="str">
        <f>IF(ISBLANK(Table123[[#This Row],[Odds Side - Difference Model]]), "",IF(AC206="W", W206, IF(AC206="L",-N206, "")))</f>
      </c>
      <c r="AF206" s="173" t="str">
        <f>IFERROR((IF(ISERR(Table123[[#This Row],[Potential Payout Side - Win Probability Model]]), "",IF(AD206="W", X206, IF(AD206="L",-N206, "")))), "")</f>
      </c>
      <c r="AG206" s="170" t="e">
        <f>IF('Prediction Log'!#REF!="Y", "W", IF('Prediction Log'!#REF!="N", "L", ""))</f>
        <v>#REF!</v>
      </c>
      <c r="AH206" s="172" t="str">
        <f>IF(ISBLANK(Table123[[#This Row],[Odds Spread]]), "",IF(AG206="W", Z206, IF(AG206="L",-O206, "")))</f>
      </c>
      <c r="AI206" s="184"/>
      <c r="AJ206" s="183" t="str">
        <f t="shared" si="25"/>
      </c>
      <c r="AK2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7">
      <c r="A207" s="65" t="e">
        <f>Games!#REF!</f>
        <v>#REF!</v>
      </c>
      <c r="B207" s="65" t="e">
        <f>IF('Prediction Log'!#REF!=0, "",'Prediction Log'!#REF!)</f>
        <v>#REF!</v>
      </c>
      <c r="C207" s="65" t="e">
        <f>IF('Prediction Log'!#REF!=0, "",'Prediction Log'!#REF!)</f>
        <v>#REF!</v>
      </c>
      <c r="D207" s="65" t="e">
        <f>IF('Prediction Log'!#REF!=0, "",'Prediction Log'!#REF!)</f>
        <v>#REF!</v>
      </c>
      <c r="E207" s="65" t="e">
        <f>IF('Prediction Log'!#REF!=0, "",'Prediction Log'!#REF!)</f>
        <v>#REF!</v>
      </c>
      <c r="F207" s="65" t="e">
        <f>IF('Prediction Log'!#REF!=0, "",'Prediction Log'!#REF!)</f>
        <v>#REF!</v>
      </c>
      <c r="G207" s="64" t="e">
        <f>IF(ISBLANK(Games!#REF!), "",'Prediction Log'!#REF!)</f>
        <v>#REF!</v>
      </c>
      <c r="H207" s="66" t="e">
        <f>'Prediction Log'!#REF!</f>
        <v>#REF!</v>
      </c>
      <c r="I207" s="65" t="e">
        <f>IF(ISBLANK(Games!#REF!), "",IF(AND(Games!#REF!="",Games!#REF!=""),"",IF(ISTEXT(Games!#REF!), "Side",Games!#REF!)))</f>
        <v>#REF!</v>
      </c>
      <c r="J207" s="65" t="e">
        <f>IF(ISBLANK(Games!#REF!), "",IF(Games!#REF!="Y", Games!#REF!, Games!#REF!))</f>
        <v>#REF!</v>
      </c>
      <c r="K207" s="65" t="e">
        <f>Games!#REF!</f>
        <v>#REF!</v>
      </c>
      <c r="L207" s="65" t="e">
        <f>IF(ISBLANK(Games!#REF!), "",Games!#REF!)</f>
        <v>#REF!</v>
      </c>
      <c r="M207" s="65"/>
      <c r="N207" s="167" t="str">
        <f>IF(ISBLANK(Table123[[#This Row],[Odds Side - Difference Model]]), "", 1)</f>
      </c>
      <c r="O207" s="167" t="str">
        <f>IF(ISBLANK(Table123[[#This Row],[Odds Spread]]), "", 1)</f>
      </c>
      <c r="P207" s="67"/>
      <c r="Q207" s="67"/>
      <c r="R2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7" s="67"/>
      <c r="T207" s="67"/>
      <c r="U207" s="168" t="str">
        <f>IF(ISBLANK(Table123[[#This Row],[Odds Side - Difference Model]]), "",N207+IF(Q207&lt;0, (N207/(Q207/-100)), N207*(Q207/100)))</f>
      </c>
      <c r="V207" s="169" t="str">
        <f>IFERROR(IF(ISBLANK(Table123[[#This Row],[Odds Side - Win Probability Model]]), "",N207+IF(R207&lt;0, (N207/(R207/-100)), N207*(R207/100))),"")</f>
      </c>
      <c r="W207" s="168" t="str">
        <f t="shared" si="20"/>
      </c>
      <c r="X207" s="169" t="str">
        <f t="shared" si="21"/>
      </c>
      <c r="Y207" s="168" t="str">
        <f>IF(ISBLANK(Table123[[#This Row],[Odds Spread]]), "",O207+IF(S207&lt;0, (O207/(S207/-100)), O207*(S207/100)))</f>
      </c>
      <c r="Z207" s="168" t="str">
        <f t="shared" si="22"/>
      </c>
      <c r="AA207" s="68" t="n">
        <f t="shared" si="23"/>
        <v>0</v>
      </c>
      <c r="AB207" s="68" t="n">
        <f t="shared" si="24"/>
        <v>0</v>
      </c>
      <c r="AC207" s="170" t="e">
        <f>IF('Prediction Log'!#REF!="Y", "W", IF('Prediction Log'!#REF!="N","L",""))</f>
        <v>#REF!</v>
      </c>
      <c r="AD207" s="171" t="e">
        <f>IF('Prediction Log'!#REF!="Y", "W", IF('Prediction Log'!#REF!="N","L",""))</f>
        <v>#REF!</v>
      </c>
      <c r="AE207" s="172" t="str">
        <f>IF(ISBLANK(Table123[[#This Row],[Odds Side - Difference Model]]), "",IF(AC207="W", W207, IF(AC207="L",-N207, "")))</f>
      </c>
      <c r="AF207" s="173" t="str">
        <f>IFERROR((IF(ISERR(Table123[[#This Row],[Potential Payout Side - Win Probability Model]]), "",IF(AD207="W", X207, IF(AD207="L",-N207, "")))), "")</f>
      </c>
      <c r="AG207" s="170" t="e">
        <f>IF('Prediction Log'!#REF!="Y", "W", IF('Prediction Log'!#REF!="N", "L", ""))</f>
        <v>#REF!</v>
      </c>
      <c r="AH207" s="172" t="str">
        <f>IF(ISBLANK(Table123[[#This Row],[Odds Spread]]), "",IF(AG207="W", Z207, IF(AG207="L",-O207, "")))</f>
      </c>
      <c r="AI207" s="184"/>
      <c r="AJ207" s="183" t="str">
        <f t="shared" si="25"/>
      </c>
      <c r="AK2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8">
      <c r="A208" s="65" t="e">
        <f>Games!#REF!</f>
        <v>#REF!</v>
      </c>
      <c r="B208" s="65" t="e">
        <f>IF('Prediction Log'!#REF!=0, "",'Prediction Log'!#REF!)</f>
        <v>#REF!</v>
      </c>
      <c r="C208" s="65" t="e">
        <f>IF('Prediction Log'!#REF!=0, "",'Prediction Log'!#REF!)</f>
        <v>#REF!</v>
      </c>
      <c r="D208" s="65" t="e">
        <f>IF('Prediction Log'!#REF!=0, "",'Prediction Log'!#REF!)</f>
        <v>#REF!</v>
      </c>
      <c r="E208" s="65" t="e">
        <f>IF('Prediction Log'!#REF!=0, "",'Prediction Log'!#REF!)</f>
        <v>#REF!</v>
      </c>
      <c r="F208" s="65" t="e">
        <f>IF('Prediction Log'!#REF!=0, "",'Prediction Log'!#REF!)</f>
        <v>#REF!</v>
      </c>
      <c r="G208" s="64" t="e">
        <f>IF(ISBLANK(Games!#REF!), "",'Prediction Log'!#REF!)</f>
        <v>#REF!</v>
      </c>
      <c r="H208" s="66" t="e">
        <f>'Prediction Log'!#REF!</f>
        <v>#REF!</v>
      </c>
      <c r="I208" s="65" t="e">
        <f>IF(ISBLANK(Games!#REF!), "",IF(AND(Games!#REF!="",Games!#REF!=""),"",IF(ISTEXT(Games!#REF!), "Side",Games!#REF!)))</f>
        <v>#REF!</v>
      </c>
      <c r="J208" s="65" t="e">
        <f>IF(ISBLANK(Games!#REF!), "",IF(Games!#REF!="Y", Games!#REF!, Games!#REF!))</f>
        <v>#REF!</v>
      </c>
      <c r="K208" s="65" t="e">
        <f>Games!#REF!</f>
        <v>#REF!</v>
      </c>
      <c r="L208" s="65" t="e">
        <f>IF(ISBLANK(Games!#REF!), "",Games!#REF!)</f>
        <v>#REF!</v>
      </c>
      <c r="M208" s="65"/>
      <c r="N208" s="167" t="str">
        <f>IF(ISBLANK(Table123[[#This Row],[Odds Side - Difference Model]]), "", 1)</f>
      </c>
      <c r="O208" s="167" t="str">
        <f>IF(ISBLANK(Table123[[#This Row],[Odds Spread]]), "", 1)</f>
      </c>
      <c r="P208" s="67"/>
      <c r="Q208" s="67"/>
      <c r="R2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8" s="67"/>
      <c r="T208" s="67"/>
      <c r="U208" s="168" t="str">
        <f>IF(ISBLANK(Table123[[#This Row],[Odds Side - Difference Model]]), "",N208+IF(Q208&lt;0, (N208/(Q208/-100)), N208*(Q208/100)))</f>
      </c>
      <c r="V208" s="169" t="str">
        <f>IFERROR(IF(ISBLANK(Table123[[#This Row],[Odds Side - Win Probability Model]]), "",N208+IF(R208&lt;0, (N208/(R208/-100)), N208*(R208/100))),"")</f>
      </c>
      <c r="W208" s="168" t="str">
        <f t="shared" si="20"/>
      </c>
      <c r="X208" s="169" t="str">
        <f t="shared" si="21"/>
      </c>
      <c r="Y208" s="168" t="str">
        <f>IF(ISBLANK(Table123[[#This Row],[Odds Spread]]), "",O208+IF(S208&lt;0, (O208/(S208/-100)), O208*(S208/100)))</f>
      </c>
      <c r="Z208" s="168" t="str">
        <f t="shared" si="22"/>
      </c>
      <c r="AA208" s="68" t="n">
        <f t="shared" si="23"/>
        <v>0</v>
      </c>
      <c r="AB208" s="68" t="n">
        <f t="shared" si="24"/>
        <v>0</v>
      </c>
      <c r="AC208" s="170" t="e">
        <f>IF('Prediction Log'!#REF!="Y", "W", IF('Prediction Log'!#REF!="N","L",""))</f>
        <v>#REF!</v>
      </c>
      <c r="AD208" s="171" t="e">
        <f>IF('Prediction Log'!#REF!="Y", "W", IF('Prediction Log'!#REF!="N","L",""))</f>
        <v>#REF!</v>
      </c>
      <c r="AE208" s="172" t="str">
        <f>IF(ISBLANK(Table123[[#This Row],[Odds Side - Difference Model]]), "",IF(AC208="W", W208, IF(AC208="L",-N208, "")))</f>
      </c>
      <c r="AF208" s="173" t="str">
        <f>IFERROR((IF(ISERR(Table123[[#This Row],[Potential Payout Side - Win Probability Model]]), "",IF(AD208="W", X208, IF(AD208="L",-N208, "")))), "")</f>
      </c>
      <c r="AG208" s="170" t="e">
        <f>IF('Prediction Log'!#REF!="Y", "W", IF('Prediction Log'!#REF!="N", "L", ""))</f>
        <v>#REF!</v>
      </c>
      <c r="AH208" s="172" t="str">
        <f>IF(ISBLANK(Table123[[#This Row],[Odds Spread]]), "",IF(AG208="W", Z208, IF(AG208="L",-O208, "")))</f>
      </c>
      <c r="AI208" s="184"/>
      <c r="AJ208" s="183" t="str">
        <f t="shared" si="25"/>
      </c>
      <c r="AK2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9">
      <c r="A209" s="65" t="e">
        <f>Games!#REF!</f>
        <v>#REF!</v>
      </c>
      <c r="B209" s="65" t="e">
        <f>IF('Prediction Log'!#REF!=0, "",'Prediction Log'!#REF!)</f>
        <v>#REF!</v>
      </c>
      <c r="C209" s="65" t="e">
        <f>IF('Prediction Log'!#REF!=0, "",'Prediction Log'!#REF!)</f>
        <v>#REF!</v>
      </c>
      <c r="D209" s="65" t="e">
        <f>IF('Prediction Log'!#REF!=0, "",'Prediction Log'!#REF!)</f>
        <v>#REF!</v>
      </c>
      <c r="E209" s="65" t="e">
        <f>IF('Prediction Log'!#REF!=0, "",'Prediction Log'!#REF!)</f>
        <v>#REF!</v>
      </c>
      <c r="F209" s="65" t="e">
        <f>IF('Prediction Log'!#REF!=0, "",'Prediction Log'!#REF!)</f>
        <v>#REF!</v>
      </c>
      <c r="G209" s="64" t="e">
        <f>IF(ISBLANK(Games!#REF!), "",'Prediction Log'!#REF!)</f>
        <v>#REF!</v>
      </c>
      <c r="H209" s="66" t="e">
        <f>'Prediction Log'!#REF!</f>
        <v>#REF!</v>
      </c>
      <c r="I209" s="65" t="e">
        <f>IF(ISBLANK(Games!#REF!), "",IF(AND(Games!#REF!="",Games!#REF!=""),"",IF(ISTEXT(Games!#REF!), "Side",Games!#REF!)))</f>
        <v>#REF!</v>
      </c>
      <c r="J209" s="65" t="e">
        <f>IF(ISBLANK(Games!#REF!), "",IF(Games!#REF!="Y", Games!#REF!, Games!#REF!))</f>
        <v>#REF!</v>
      </c>
      <c r="K209" s="65" t="e">
        <f>Games!#REF!</f>
        <v>#REF!</v>
      </c>
      <c r="L209" s="65" t="e">
        <f>IF(ISBLANK(Games!#REF!), "",Games!#REF!)</f>
        <v>#REF!</v>
      </c>
      <c r="M209" s="65"/>
      <c r="N209" s="167" t="str">
        <f>IF(ISBLANK(Table123[[#This Row],[Odds Side - Difference Model]]), "", 1)</f>
      </c>
      <c r="O209" s="167" t="str">
        <f>IF(ISBLANK(Table123[[#This Row],[Odds Spread]]), "", 1)</f>
      </c>
      <c r="P209" s="67"/>
      <c r="Q209" s="67"/>
      <c r="R2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9" s="67"/>
      <c r="T209" s="67"/>
      <c r="U209" s="168" t="str">
        <f>IF(ISBLANK(Table123[[#This Row],[Odds Side - Difference Model]]), "",N209+IF(Q209&lt;0, (N209/(Q209/-100)), N209*(Q209/100)))</f>
      </c>
      <c r="V209" s="169" t="str">
        <f>IFERROR(IF(ISBLANK(Table123[[#This Row],[Odds Side - Win Probability Model]]), "",N209+IF(R209&lt;0, (N209/(R209/-100)), N209*(R209/100))),"")</f>
      </c>
      <c r="W209" s="168" t="str">
        <f t="shared" si="20"/>
      </c>
      <c r="X209" s="169" t="str">
        <f t="shared" si="21"/>
      </c>
      <c r="Y209" s="168" t="str">
        <f>IF(ISBLANK(Table123[[#This Row],[Odds Spread]]), "",O209+IF(S209&lt;0, (O209/(S209/-100)), O209*(S209/100)))</f>
      </c>
      <c r="Z209" s="168" t="str">
        <f t="shared" si="22"/>
      </c>
      <c r="AA209" s="68" t="n">
        <f t="shared" si="23"/>
        <v>0</v>
      </c>
      <c r="AB209" s="68" t="n">
        <f t="shared" si="24"/>
        <v>0</v>
      </c>
      <c r="AC209" s="170" t="e">
        <f>IF('Prediction Log'!#REF!="Y", "W", IF('Prediction Log'!#REF!="N","L",""))</f>
        <v>#REF!</v>
      </c>
      <c r="AD209" s="171" t="e">
        <f>IF('Prediction Log'!#REF!="Y", "W", IF('Prediction Log'!#REF!="N","L",""))</f>
        <v>#REF!</v>
      </c>
      <c r="AE209" s="172" t="str">
        <f>IF(ISBLANK(Table123[[#This Row],[Odds Side - Difference Model]]), "",IF(AC209="W", W209, IF(AC209="L",-N209, "")))</f>
      </c>
      <c r="AF209" s="173" t="str">
        <f>IFERROR((IF(ISERR(Table123[[#This Row],[Potential Payout Side - Win Probability Model]]), "",IF(AD209="W", X209, IF(AD209="L",-N209, "")))), "")</f>
      </c>
      <c r="AG209" s="170" t="e">
        <f>IF('Prediction Log'!#REF!="Y", "W", IF('Prediction Log'!#REF!="N", "L", ""))</f>
        <v>#REF!</v>
      </c>
      <c r="AH209" s="172" t="str">
        <f>IF(ISBLANK(Table123[[#This Row],[Odds Spread]]), "",IF(AG209="W", Z209, IF(AG209="L",-O209, "")))</f>
      </c>
      <c r="AI209" s="184"/>
      <c r="AJ209" s="183" t="str">
        <f t="shared" si="25"/>
      </c>
      <c r="AK2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0">
      <c r="A210" s="65" t="e">
        <f>Games!#REF!</f>
        <v>#REF!</v>
      </c>
      <c r="B210" s="65" t="e">
        <f>IF('Prediction Log'!#REF!=0, "",'Prediction Log'!#REF!)</f>
        <v>#REF!</v>
      </c>
      <c r="C210" s="65" t="e">
        <f>IF('Prediction Log'!#REF!=0, "",'Prediction Log'!#REF!)</f>
        <v>#REF!</v>
      </c>
      <c r="D210" s="65" t="e">
        <f>IF('Prediction Log'!#REF!=0, "",'Prediction Log'!#REF!)</f>
        <v>#REF!</v>
      </c>
      <c r="E210" s="65" t="e">
        <f>IF('Prediction Log'!#REF!=0, "",'Prediction Log'!#REF!)</f>
        <v>#REF!</v>
      </c>
      <c r="F210" s="65" t="e">
        <f>IF('Prediction Log'!#REF!=0, "",'Prediction Log'!#REF!)</f>
        <v>#REF!</v>
      </c>
      <c r="G210" s="64" t="e">
        <f>IF(ISBLANK(Games!#REF!), "",'Prediction Log'!#REF!)</f>
        <v>#REF!</v>
      </c>
      <c r="H210" s="66" t="e">
        <f>'Prediction Log'!#REF!</f>
        <v>#REF!</v>
      </c>
      <c r="I210" s="65" t="e">
        <f>IF(ISBLANK(Games!#REF!), "",IF(AND(Games!#REF!="",Games!#REF!=""),"",IF(ISTEXT(Games!#REF!), "Side",Games!#REF!)))</f>
        <v>#REF!</v>
      </c>
      <c r="J210" s="65" t="e">
        <f>IF(ISBLANK(Games!#REF!), "",IF(Games!#REF!="Y", Games!#REF!, Games!#REF!))</f>
        <v>#REF!</v>
      </c>
      <c r="K210" s="65" t="e">
        <f>Games!#REF!</f>
        <v>#REF!</v>
      </c>
      <c r="L210" s="65" t="e">
        <f>IF(ISBLANK(Games!#REF!), "",Games!#REF!)</f>
        <v>#REF!</v>
      </c>
      <c r="M210" s="65"/>
      <c r="N210" s="167" t="str">
        <f>IF(ISBLANK(Table123[[#This Row],[Odds Side - Difference Model]]), "", 1)</f>
      </c>
      <c r="O210" s="167" t="str">
        <f>IF(ISBLANK(Table123[[#This Row],[Odds Spread]]), "", 1)</f>
      </c>
      <c r="P210" s="67"/>
      <c r="Q210" s="67"/>
      <c r="R2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0" s="67"/>
      <c r="T210" s="67"/>
      <c r="U210" s="168" t="str">
        <f>IF(ISBLANK(Table123[[#This Row],[Odds Side - Difference Model]]), "",N210+IF(Q210&lt;0, (N210/(Q210/-100)), N210*(Q210/100)))</f>
      </c>
      <c r="V210" s="169" t="str">
        <f>IFERROR(IF(ISBLANK(Table123[[#This Row],[Odds Side - Win Probability Model]]), "",N210+IF(R210&lt;0, (N210/(R210/-100)), N210*(R210/100))),"")</f>
      </c>
      <c r="W210" s="168" t="str">
        <f t="shared" si="20"/>
      </c>
      <c r="X210" s="169" t="str">
        <f t="shared" si="21"/>
      </c>
      <c r="Y210" s="168" t="str">
        <f>IF(ISBLANK(Table123[[#This Row],[Odds Spread]]), "",O210+IF(S210&lt;0, (O210/(S210/-100)), O210*(S210/100)))</f>
      </c>
      <c r="Z210" s="168" t="str">
        <f t="shared" si="22"/>
      </c>
      <c r="AA210" s="68" t="n">
        <f t="shared" si="23"/>
        <v>0</v>
      </c>
      <c r="AB210" s="68" t="n">
        <f t="shared" si="24"/>
        <v>0</v>
      </c>
      <c r="AC210" s="170" t="e">
        <f>IF('Prediction Log'!#REF!="Y", "W", IF('Prediction Log'!#REF!="N","L",""))</f>
        <v>#REF!</v>
      </c>
      <c r="AD210" s="171" t="e">
        <f>IF('Prediction Log'!#REF!="Y", "W", IF('Prediction Log'!#REF!="N","L",""))</f>
        <v>#REF!</v>
      </c>
      <c r="AE210" s="172" t="str">
        <f>IF(ISBLANK(Table123[[#This Row],[Odds Side - Difference Model]]), "",IF(AC210="W", W210, IF(AC210="L",-N210, "")))</f>
      </c>
      <c r="AF210" s="173" t="str">
        <f>IFERROR((IF(ISERR(Table123[[#This Row],[Potential Payout Side - Win Probability Model]]), "",IF(AD210="W", X210, IF(AD210="L",-N210, "")))), "")</f>
      </c>
      <c r="AG210" s="170" t="e">
        <f>IF('Prediction Log'!#REF!="Y", "W", IF('Prediction Log'!#REF!="N", "L", ""))</f>
        <v>#REF!</v>
      </c>
      <c r="AH210" s="172" t="str">
        <f>IF(ISBLANK(Table123[[#This Row],[Odds Spread]]), "",IF(AG210="W", Z210, IF(AG210="L",-O210, "")))</f>
      </c>
      <c r="AI210" s="184"/>
      <c r="AJ210" s="183" t="str">
        <f t="shared" si="25"/>
      </c>
      <c r="AK2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1">
      <c r="A211" s="65" t="e">
        <f>Games!#REF!</f>
        <v>#REF!</v>
      </c>
      <c r="B211" s="65" t="e">
        <f>IF('Prediction Log'!#REF!=0, "",'Prediction Log'!#REF!)</f>
        <v>#REF!</v>
      </c>
      <c r="C211" s="65" t="e">
        <f>IF('Prediction Log'!#REF!=0, "",'Prediction Log'!#REF!)</f>
        <v>#REF!</v>
      </c>
      <c r="D211" s="65" t="e">
        <f>IF('Prediction Log'!#REF!=0, "",'Prediction Log'!#REF!)</f>
        <v>#REF!</v>
      </c>
      <c r="E211" s="65" t="e">
        <f>IF('Prediction Log'!#REF!=0, "",'Prediction Log'!#REF!)</f>
        <v>#REF!</v>
      </c>
      <c r="F211" s="65" t="e">
        <f>IF('Prediction Log'!#REF!=0, "",'Prediction Log'!#REF!)</f>
        <v>#REF!</v>
      </c>
      <c r="G211" s="64" t="e">
        <f>IF(ISBLANK(Games!#REF!), "",'Prediction Log'!#REF!)</f>
        <v>#REF!</v>
      </c>
      <c r="H211" s="66" t="e">
        <f>'Prediction Log'!#REF!</f>
        <v>#REF!</v>
      </c>
      <c r="I211" s="65" t="e">
        <f>IF(ISBLANK(Games!#REF!), "",IF(AND(Games!#REF!="",Games!#REF!=""),"",IF(ISTEXT(Games!#REF!), "Side",Games!#REF!)))</f>
        <v>#REF!</v>
      </c>
      <c r="J211" s="65" t="e">
        <f>IF(ISBLANK(Games!#REF!), "",IF(Games!#REF!="Y", Games!#REF!, Games!#REF!))</f>
        <v>#REF!</v>
      </c>
      <c r="K211" s="65" t="e">
        <f>Games!#REF!</f>
        <v>#REF!</v>
      </c>
      <c r="L211" s="65" t="e">
        <f>IF(ISBLANK(Games!#REF!), "",Games!#REF!)</f>
        <v>#REF!</v>
      </c>
      <c r="M211" s="65"/>
      <c r="N211" s="167" t="str">
        <f>IF(ISBLANK(Table123[[#This Row],[Odds Side - Difference Model]]), "", 1)</f>
      </c>
      <c r="O211" s="167" t="str">
        <f>IF(ISBLANK(Table123[[#This Row],[Odds Spread]]), "", 1)</f>
      </c>
      <c r="P211" s="67"/>
      <c r="Q211" s="67"/>
      <c r="R2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1" s="67"/>
      <c r="T211" s="67"/>
      <c r="U211" s="168" t="str">
        <f>IF(ISBLANK(Table123[[#This Row],[Odds Side - Difference Model]]), "",N211+IF(Q211&lt;0, (N211/(Q211/-100)), N211*(Q211/100)))</f>
      </c>
      <c r="V211" s="169" t="str">
        <f>IFERROR(IF(ISBLANK(Table123[[#This Row],[Odds Side - Win Probability Model]]), "",N211+IF(R211&lt;0, (N211/(R211/-100)), N211*(R211/100))),"")</f>
      </c>
      <c r="W211" s="168" t="str">
        <f t="shared" si="20"/>
      </c>
      <c r="X211" s="169" t="str">
        <f t="shared" si="21"/>
      </c>
      <c r="Y211" s="168" t="str">
        <f>IF(ISBLANK(Table123[[#This Row],[Odds Spread]]), "",O211+IF(S211&lt;0, (O211/(S211/-100)), O211*(S211/100)))</f>
      </c>
      <c r="Z211" s="168" t="str">
        <f t="shared" si="22"/>
      </c>
      <c r="AA211" s="68" t="n">
        <f t="shared" si="23"/>
        <v>0</v>
      </c>
      <c r="AB211" s="68" t="n">
        <f t="shared" si="24"/>
        <v>0</v>
      </c>
      <c r="AC211" s="170" t="e">
        <f>IF('Prediction Log'!#REF!="Y", "W", IF('Prediction Log'!#REF!="N","L",""))</f>
        <v>#REF!</v>
      </c>
      <c r="AD211" s="171" t="e">
        <f>IF('Prediction Log'!#REF!="Y", "W", IF('Prediction Log'!#REF!="N","L",""))</f>
        <v>#REF!</v>
      </c>
      <c r="AE211" s="172" t="str">
        <f>IF(ISBLANK(Table123[[#This Row],[Odds Side - Difference Model]]), "",IF(AC211="W", W211, IF(AC211="L",-N211, "")))</f>
      </c>
      <c r="AF211" s="173" t="str">
        <f>IFERROR((IF(ISERR(Table123[[#This Row],[Potential Payout Side - Win Probability Model]]), "",IF(AD211="W", X211, IF(AD211="L",-N211, "")))), "")</f>
      </c>
      <c r="AG211" s="170" t="e">
        <f>IF('Prediction Log'!#REF!="Y", "W", IF('Prediction Log'!#REF!="N", "L", ""))</f>
        <v>#REF!</v>
      </c>
      <c r="AH211" s="172" t="str">
        <f>IF(ISBLANK(Table123[[#This Row],[Odds Spread]]), "",IF(AG211="W", Z211, IF(AG211="L",-O211, "")))</f>
      </c>
      <c r="AI211" s="184"/>
      <c r="AJ211" s="183" t="str">
        <f t="shared" si="25"/>
      </c>
      <c r="AK2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2">
      <c r="A212" s="65" t="e">
        <f>Games!#REF!</f>
        <v>#REF!</v>
      </c>
      <c r="B212" s="65" t="e">
        <f>IF('Prediction Log'!#REF!=0, "",'Prediction Log'!#REF!)</f>
        <v>#REF!</v>
      </c>
      <c r="C212" s="65" t="e">
        <f>IF('Prediction Log'!#REF!=0, "",'Prediction Log'!#REF!)</f>
        <v>#REF!</v>
      </c>
      <c r="D212" s="65" t="e">
        <f>IF('Prediction Log'!#REF!=0, "",'Prediction Log'!#REF!)</f>
        <v>#REF!</v>
      </c>
      <c r="E212" s="65" t="e">
        <f>IF('Prediction Log'!#REF!=0, "",'Prediction Log'!#REF!)</f>
        <v>#REF!</v>
      </c>
      <c r="F212" s="65" t="e">
        <f>IF('Prediction Log'!#REF!=0, "",'Prediction Log'!#REF!)</f>
        <v>#REF!</v>
      </c>
      <c r="G212" s="64" t="e">
        <f>IF(ISBLANK(Games!#REF!), "",'Prediction Log'!#REF!)</f>
        <v>#REF!</v>
      </c>
      <c r="H212" s="66" t="e">
        <f>'Prediction Log'!#REF!</f>
        <v>#REF!</v>
      </c>
      <c r="I212" s="65" t="e">
        <f>IF(ISBLANK(Games!#REF!), "",IF(AND(Games!#REF!="",Games!#REF!=""),"",IF(ISTEXT(Games!#REF!), "Side",Games!#REF!)))</f>
        <v>#REF!</v>
      </c>
      <c r="J212" s="65" t="e">
        <f>IF(ISBLANK(Games!#REF!), "",IF(Games!#REF!="Y", Games!#REF!, Games!#REF!))</f>
        <v>#REF!</v>
      </c>
      <c r="K212" s="65" t="e">
        <f>Games!#REF!</f>
        <v>#REF!</v>
      </c>
      <c r="L212" s="65" t="e">
        <f>IF(ISBLANK(Games!#REF!), "",Games!#REF!)</f>
        <v>#REF!</v>
      </c>
      <c r="M212" s="65"/>
      <c r="N212" s="167" t="str">
        <f>IF(ISBLANK(Table123[[#This Row],[Odds Side - Difference Model]]), "", 1)</f>
      </c>
      <c r="O212" s="167" t="str">
        <f>IF(ISBLANK(Table123[[#This Row],[Odds Spread]]), "", 1)</f>
      </c>
      <c r="P212" s="67"/>
      <c r="Q212" s="67"/>
      <c r="R2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2" s="67"/>
      <c r="T212" s="67"/>
      <c r="U212" s="168" t="str">
        <f>IF(ISBLANK(Table123[[#This Row],[Odds Side - Difference Model]]), "",N212+IF(Q212&lt;0, (N212/(Q212/-100)), N212*(Q212/100)))</f>
      </c>
      <c r="V212" s="169" t="str">
        <f>IFERROR(IF(ISBLANK(Table123[[#This Row],[Odds Side - Win Probability Model]]), "",N212+IF(R212&lt;0, (N212/(R212/-100)), N212*(R212/100))),"")</f>
      </c>
      <c r="W212" s="168" t="str">
        <f t="shared" si="20"/>
      </c>
      <c r="X212" s="169" t="str">
        <f t="shared" si="21"/>
      </c>
      <c r="Y212" s="168" t="str">
        <f>IF(ISBLANK(Table123[[#This Row],[Odds Spread]]), "",O212+IF(S212&lt;0, (O212/(S212/-100)), O212*(S212/100)))</f>
      </c>
      <c r="Z212" s="168" t="str">
        <f t="shared" si="22"/>
      </c>
      <c r="AA212" s="68" t="n">
        <f t="shared" si="23"/>
        <v>0</v>
      </c>
      <c r="AB212" s="68" t="n">
        <f t="shared" si="24"/>
        <v>0</v>
      </c>
      <c r="AC212" s="170" t="e">
        <f>IF('Prediction Log'!#REF!="Y", "W", IF('Prediction Log'!#REF!="N","L",""))</f>
        <v>#REF!</v>
      </c>
      <c r="AD212" s="171" t="e">
        <f>IF('Prediction Log'!#REF!="Y", "W", IF('Prediction Log'!#REF!="N","L",""))</f>
        <v>#REF!</v>
      </c>
      <c r="AE212" s="172" t="str">
        <f>IF(ISBLANK(Table123[[#This Row],[Odds Side - Difference Model]]), "",IF(AC212="W", W212, IF(AC212="L",-N212, "")))</f>
      </c>
      <c r="AF212" s="173" t="str">
        <f>IFERROR((IF(ISERR(Table123[[#This Row],[Potential Payout Side - Win Probability Model]]), "",IF(AD212="W", X212, IF(AD212="L",-N212, "")))), "")</f>
      </c>
      <c r="AG212" s="170" t="e">
        <f>IF('Prediction Log'!#REF!="Y", "W", IF('Prediction Log'!#REF!="N", "L", ""))</f>
        <v>#REF!</v>
      </c>
      <c r="AH212" s="172" t="str">
        <f>IF(ISBLANK(Table123[[#This Row],[Odds Spread]]), "",IF(AG212="W", Z212, IF(AG212="L",-O212, "")))</f>
      </c>
      <c r="AI212" s="184"/>
      <c r="AJ212" s="183" t="str">
        <f t="shared" si="25"/>
      </c>
      <c r="AK2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3">
      <c r="A213" s="65" t="e">
        <f>Games!#REF!</f>
        <v>#REF!</v>
      </c>
      <c r="B213" s="65" t="e">
        <f>IF('Prediction Log'!#REF!=0, "",'Prediction Log'!#REF!)</f>
        <v>#REF!</v>
      </c>
      <c r="C213" s="65" t="e">
        <f>IF('Prediction Log'!#REF!=0, "",'Prediction Log'!#REF!)</f>
        <v>#REF!</v>
      </c>
      <c r="D213" s="65" t="e">
        <f>IF('Prediction Log'!#REF!=0, "",'Prediction Log'!#REF!)</f>
        <v>#REF!</v>
      </c>
      <c r="E213" s="65" t="e">
        <f>IF('Prediction Log'!#REF!=0, "",'Prediction Log'!#REF!)</f>
        <v>#REF!</v>
      </c>
      <c r="F213" s="65" t="e">
        <f>IF('Prediction Log'!#REF!=0, "",'Prediction Log'!#REF!)</f>
        <v>#REF!</v>
      </c>
      <c r="G213" s="64" t="e">
        <f>IF(ISBLANK(Games!#REF!), "",'Prediction Log'!#REF!)</f>
        <v>#REF!</v>
      </c>
      <c r="H213" s="66" t="e">
        <f>'Prediction Log'!#REF!</f>
        <v>#REF!</v>
      </c>
      <c r="I213" s="65" t="e">
        <f>IF(ISBLANK(Games!#REF!), "",IF(AND(Games!#REF!="",Games!#REF!=""),"",IF(ISTEXT(Games!#REF!), "Side",Games!#REF!)))</f>
        <v>#REF!</v>
      </c>
      <c r="J213" s="65" t="e">
        <f>IF(ISBLANK(Games!#REF!), "",IF(Games!#REF!="Y", Games!#REF!, Games!#REF!))</f>
        <v>#REF!</v>
      </c>
      <c r="K213" s="65" t="e">
        <f>Games!#REF!</f>
        <v>#REF!</v>
      </c>
      <c r="L213" s="65" t="e">
        <f>IF(ISBLANK(Games!#REF!), "",Games!#REF!)</f>
        <v>#REF!</v>
      </c>
      <c r="M213" s="65"/>
      <c r="N213" s="167" t="str">
        <f>IF(ISBLANK(Table123[[#This Row],[Odds Side - Difference Model]]), "", 1)</f>
      </c>
      <c r="O213" s="167" t="str">
        <f>IF(ISBLANK(Table123[[#This Row],[Odds Spread]]), "", 1)</f>
      </c>
      <c r="P213" s="67"/>
      <c r="Q213" s="67"/>
      <c r="R2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3" s="67"/>
      <c r="T213" s="67"/>
      <c r="U213" s="168" t="str">
        <f>IF(ISBLANK(Table123[[#This Row],[Odds Side - Difference Model]]), "",N213+IF(Q213&lt;0, (N213/(Q213/-100)), N213*(Q213/100)))</f>
      </c>
      <c r="V213" s="169" t="str">
        <f>IFERROR(IF(ISBLANK(Table123[[#This Row],[Odds Side - Win Probability Model]]), "",N213+IF(R213&lt;0, (N213/(R213/-100)), N213*(R213/100))),"")</f>
      </c>
      <c r="W213" s="168" t="str">
        <f t="shared" si="20"/>
      </c>
      <c r="X213" s="169" t="str">
        <f t="shared" si="21"/>
      </c>
      <c r="Y213" s="168" t="str">
        <f>IF(ISBLANK(Table123[[#This Row],[Odds Spread]]), "",O213+IF(S213&lt;0, (O213/(S213/-100)), O213*(S213/100)))</f>
      </c>
      <c r="Z213" s="168" t="str">
        <f t="shared" si="22"/>
      </c>
      <c r="AA213" s="68" t="n">
        <f t="shared" si="23"/>
        <v>0</v>
      </c>
      <c r="AB213" s="68" t="n">
        <f t="shared" si="24"/>
        <v>0</v>
      </c>
      <c r="AC213" s="170" t="e">
        <f>IF('Prediction Log'!#REF!="Y", "W", IF('Prediction Log'!#REF!="N","L",""))</f>
        <v>#REF!</v>
      </c>
      <c r="AD213" s="171" t="e">
        <f>IF('Prediction Log'!#REF!="Y", "W", IF('Prediction Log'!#REF!="N","L",""))</f>
        <v>#REF!</v>
      </c>
      <c r="AE213" s="172" t="str">
        <f>IF(ISBLANK(Table123[[#This Row],[Odds Side - Difference Model]]), "",IF(AC213="W", W213, IF(AC213="L",-N213, "")))</f>
      </c>
      <c r="AF213" s="173" t="str">
        <f>IFERROR((IF(ISERR(Table123[[#This Row],[Potential Payout Side - Win Probability Model]]), "",IF(AD213="W", X213, IF(AD213="L",-N213, "")))), "")</f>
      </c>
      <c r="AG213" s="170" t="e">
        <f>IF('Prediction Log'!#REF!="Y", "W", IF('Prediction Log'!#REF!="N", "L", ""))</f>
        <v>#REF!</v>
      </c>
      <c r="AH213" s="172" t="str">
        <f>IF(ISBLANK(Table123[[#This Row],[Odds Spread]]), "",IF(AG213="W", Z213, IF(AG213="L",-O213, "")))</f>
      </c>
      <c r="AI213" s="184"/>
      <c r="AJ213" s="183" t="str">
        <f t="shared" si="25"/>
      </c>
      <c r="AK2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4">
      <c r="A214" s="65" t="e">
        <f>Games!#REF!</f>
        <v>#REF!</v>
      </c>
      <c r="B214" s="65" t="e">
        <f>IF('Prediction Log'!#REF!=0, "",'Prediction Log'!#REF!)</f>
        <v>#REF!</v>
      </c>
      <c r="C214" s="65" t="e">
        <f>IF('Prediction Log'!#REF!=0, "",'Prediction Log'!#REF!)</f>
        <v>#REF!</v>
      </c>
      <c r="D214" s="65" t="e">
        <f>IF('Prediction Log'!#REF!=0, "",'Prediction Log'!#REF!)</f>
        <v>#REF!</v>
      </c>
      <c r="E214" s="65" t="e">
        <f>IF('Prediction Log'!#REF!=0, "",'Prediction Log'!#REF!)</f>
        <v>#REF!</v>
      </c>
      <c r="F214" s="65" t="e">
        <f>IF('Prediction Log'!#REF!=0, "",'Prediction Log'!#REF!)</f>
        <v>#REF!</v>
      </c>
      <c r="G214" s="64" t="e">
        <f>IF(ISBLANK(Games!#REF!), "",'Prediction Log'!#REF!)</f>
        <v>#REF!</v>
      </c>
      <c r="H214" s="66" t="e">
        <f>'Prediction Log'!#REF!</f>
        <v>#REF!</v>
      </c>
      <c r="I214" s="65" t="e">
        <f>IF(ISBLANK(Games!#REF!), "",IF(AND(Games!#REF!="",Games!#REF!=""),"",IF(ISTEXT(Games!#REF!), "Side",Games!#REF!)))</f>
        <v>#REF!</v>
      </c>
      <c r="J214" s="65" t="e">
        <f>IF(ISBLANK(Games!#REF!), "",IF(Games!#REF!="Y", Games!#REF!, Games!#REF!))</f>
        <v>#REF!</v>
      </c>
      <c r="K214" s="65" t="e">
        <f>Games!#REF!</f>
        <v>#REF!</v>
      </c>
      <c r="L214" s="65" t="e">
        <f>IF(ISBLANK(Games!#REF!), "",Games!#REF!)</f>
        <v>#REF!</v>
      </c>
      <c r="M214" s="65"/>
      <c r="N214" s="167" t="str">
        <f>IF(ISBLANK(Table123[[#This Row],[Odds Side - Difference Model]]), "", 1)</f>
      </c>
      <c r="O214" s="167" t="str">
        <f>IF(ISBLANK(Table123[[#This Row],[Odds Spread]]), "", 1)</f>
      </c>
      <c r="P214" s="67"/>
      <c r="Q214" s="67"/>
      <c r="R2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4" s="67"/>
      <c r="T214" s="67"/>
      <c r="U214" s="168" t="str">
        <f>IF(ISBLANK(Table123[[#This Row],[Odds Side - Difference Model]]), "",N214+IF(Q214&lt;0, (N214/(Q214/-100)), N214*(Q214/100)))</f>
      </c>
      <c r="V214" s="169" t="str">
        <f>IFERROR(IF(ISBLANK(Table123[[#This Row],[Odds Side - Win Probability Model]]), "",N214+IF(R214&lt;0, (N214/(R214/-100)), N214*(R214/100))),"")</f>
      </c>
      <c r="W214" s="168" t="str">
        <f t="shared" si="20"/>
      </c>
      <c r="X214" s="169" t="str">
        <f t="shared" si="21"/>
      </c>
      <c r="Y214" s="168" t="str">
        <f>IF(ISBLANK(Table123[[#This Row],[Odds Spread]]), "",O214+IF(S214&lt;0, (O214/(S214/-100)), O214*(S214/100)))</f>
      </c>
      <c r="Z214" s="168" t="str">
        <f t="shared" si="22"/>
      </c>
      <c r="AA214" s="68" t="n">
        <f t="shared" si="23"/>
        <v>0</v>
      </c>
      <c r="AB214" s="68" t="n">
        <f t="shared" si="24"/>
        <v>0</v>
      </c>
      <c r="AC214" s="170" t="e">
        <f>IF('Prediction Log'!#REF!="Y", "W", IF('Prediction Log'!#REF!="N","L",""))</f>
        <v>#REF!</v>
      </c>
      <c r="AD214" s="171" t="e">
        <f>IF('Prediction Log'!#REF!="Y", "W", IF('Prediction Log'!#REF!="N","L",""))</f>
        <v>#REF!</v>
      </c>
      <c r="AE214" s="172" t="str">
        <f>IF(ISBLANK(Table123[[#This Row],[Odds Side - Difference Model]]), "",IF(AC214="W", W214, IF(AC214="L",-N214, "")))</f>
      </c>
      <c r="AF214" s="173" t="str">
        <f>IFERROR((IF(ISERR(Table123[[#This Row],[Potential Payout Side - Win Probability Model]]), "",IF(AD214="W", X214, IF(AD214="L",-N214, "")))), "")</f>
      </c>
      <c r="AG214" s="170" t="e">
        <f>IF('Prediction Log'!#REF!="Y", "W", IF('Prediction Log'!#REF!="N", "L", ""))</f>
        <v>#REF!</v>
      </c>
      <c r="AH214" s="172" t="str">
        <f>IF(ISBLANK(Table123[[#This Row],[Odds Spread]]), "",IF(AG214="W", Z214, IF(AG214="L",-O214, "")))</f>
      </c>
      <c r="AI214" s="184"/>
      <c r="AJ214" s="183" t="str">
        <f t="shared" si="25"/>
      </c>
      <c r="AK2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5">
      <c r="A215" s="65" t="e">
        <f>Games!#REF!</f>
        <v>#REF!</v>
      </c>
      <c r="B215" s="65" t="e">
        <f>IF('Prediction Log'!#REF!=0, "",'Prediction Log'!#REF!)</f>
        <v>#REF!</v>
      </c>
      <c r="C215" s="65" t="e">
        <f>IF('Prediction Log'!#REF!=0, "",'Prediction Log'!#REF!)</f>
        <v>#REF!</v>
      </c>
      <c r="D215" s="65" t="e">
        <f>IF('Prediction Log'!#REF!=0, "",'Prediction Log'!#REF!)</f>
        <v>#REF!</v>
      </c>
      <c r="E215" s="65" t="e">
        <f>IF('Prediction Log'!#REF!=0, "",'Prediction Log'!#REF!)</f>
        <v>#REF!</v>
      </c>
      <c r="F215" s="65" t="e">
        <f>IF('Prediction Log'!#REF!=0, "",'Prediction Log'!#REF!)</f>
        <v>#REF!</v>
      </c>
      <c r="G215" s="64" t="e">
        <f>IF(ISBLANK(Games!#REF!), "",'Prediction Log'!#REF!)</f>
        <v>#REF!</v>
      </c>
      <c r="H215" s="66" t="e">
        <f>'Prediction Log'!#REF!</f>
        <v>#REF!</v>
      </c>
      <c r="I215" s="65" t="e">
        <f>IF(ISBLANK(Games!#REF!), "",IF(AND(Games!#REF!="",Games!#REF!=""),"",IF(ISTEXT(Games!#REF!), "Side",Games!#REF!)))</f>
        <v>#REF!</v>
      </c>
      <c r="J215" s="65" t="e">
        <f>IF(ISBLANK(Games!#REF!), "",IF(Games!#REF!="Y", Games!#REF!, Games!#REF!))</f>
        <v>#REF!</v>
      </c>
      <c r="K215" s="65" t="e">
        <f>Games!#REF!</f>
        <v>#REF!</v>
      </c>
      <c r="L215" s="65" t="e">
        <f>IF(ISBLANK(Games!#REF!), "",Games!#REF!)</f>
        <v>#REF!</v>
      </c>
      <c r="M215" s="65"/>
      <c r="N215" s="167" t="str">
        <f>IF(ISBLANK(Table123[[#This Row],[Odds Side - Difference Model]]), "", 1)</f>
      </c>
      <c r="O215" s="167" t="str">
        <f>IF(ISBLANK(Table123[[#This Row],[Odds Spread]]), "", 1)</f>
      </c>
      <c r="P215" s="67"/>
      <c r="Q215" s="67"/>
      <c r="R2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5" s="67"/>
      <c r="T215" s="67"/>
      <c r="U215" s="168" t="str">
        <f>IF(ISBLANK(Table123[[#This Row],[Odds Side - Difference Model]]), "",N215+IF(Q215&lt;0, (N215/(Q215/-100)), N215*(Q215/100)))</f>
      </c>
      <c r="V215" s="169" t="str">
        <f>IFERROR(IF(ISBLANK(Table123[[#This Row],[Odds Side - Win Probability Model]]), "",N215+IF(R215&lt;0, (N215/(R215/-100)), N215*(R215/100))),"")</f>
      </c>
      <c r="W215" s="168" t="str">
        <f t="shared" si="20"/>
      </c>
      <c r="X215" s="169" t="str">
        <f t="shared" si="21"/>
      </c>
      <c r="Y215" s="168" t="str">
        <f>IF(ISBLANK(Table123[[#This Row],[Odds Spread]]), "",O215+IF(S215&lt;0, (O215/(S215/-100)), O215*(S215/100)))</f>
      </c>
      <c r="Z215" s="168" t="str">
        <f t="shared" si="22"/>
      </c>
      <c r="AA215" s="68" t="n">
        <f t="shared" si="23"/>
        <v>0</v>
      </c>
      <c r="AB215" s="68" t="n">
        <f t="shared" si="24"/>
        <v>0</v>
      </c>
      <c r="AC215" s="170" t="e">
        <f>IF('Prediction Log'!#REF!="Y", "W", IF('Prediction Log'!#REF!="N","L",""))</f>
        <v>#REF!</v>
      </c>
      <c r="AD215" s="171" t="e">
        <f>IF('Prediction Log'!#REF!="Y", "W", IF('Prediction Log'!#REF!="N","L",""))</f>
        <v>#REF!</v>
      </c>
      <c r="AE215" s="172" t="str">
        <f>IF(ISBLANK(Table123[[#This Row],[Odds Side - Difference Model]]), "",IF(AC215="W", W215, IF(AC215="L",-N215, "")))</f>
      </c>
      <c r="AF215" s="173" t="str">
        <f>IFERROR((IF(ISERR(Table123[[#This Row],[Potential Payout Side - Win Probability Model]]), "",IF(AD215="W", X215, IF(AD215="L",-N215, "")))), "")</f>
      </c>
      <c r="AG215" s="170" t="e">
        <f>IF('Prediction Log'!#REF!="Y", "W", IF('Prediction Log'!#REF!="N", "L", ""))</f>
        <v>#REF!</v>
      </c>
      <c r="AH215" s="172" t="str">
        <f>IF(ISBLANK(Table123[[#This Row],[Odds Spread]]), "",IF(AG215="W", Z215, IF(AG215="L",-O215, "")))</f>
      </c>
      <c r="AI215" s="184"/>
      <c r="AJ215" s="183" t="str">
        <f t="shared" si="25"/>
      </c>
      <c r="AK2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6">
      <c r="A216" s="65" t="e">
        <f>Games!#REF!</f>
        <v>#REF!</v>
      </c>
      <c r="B216" s="65" t="e">
        <f>IF('Prediction Log'!#REF!=0, "",'Prediction Log'!#REF!)</f>
        <v>#REF!</v>
      </c>
      <c r="C216" s="65" t="e">
        <f>IF('Prediction Log'!#REF!=0, "",'Prediction Log'!#REF!)</f>
        <v>#REF!</v>
      </c>
      <c r="D216" s="65" t="e">
        <f>IF('Prediction Log'!#REF!=0, "",'Prediction Log'!#REF!)</f>
        <v>#REF!</v>
      </c>
      <c r="E216" s="65" t="e">
        <f>IF('Prediction Log'!#REF!=0, "",'Prediction Log'!#REF!)</f>
        <v>#REF!</v>
      </c>
      <c r="F216" s="65" t="e">
        <f>IF('Prediction Log'!#REF!=0, "",'Prediction Log'!#REF!)</f>
        <v>#REF!</v>
      </c>
      <c r="G216" s="64" t="e">
        <f>IF(ISBLANK(Games!#REF!), "",'Prediction Log'!#REF!)</f>
        <v>#REF!</v>
      </c>
      <c r="H216" s="66" t="e">
        <f>'Prediction Log'!#REF!</f>
        <v>#REF!</v>
      </c>
      <c r="I216" s="65" t="e">
        <f>IF(ISBLANK(Games!#REF!), "",IF(AND(Games!#REF!="",Games!#REF!=""),"",IF(ISTEXT(Games!#REF!), "Side",Games!#REF!)))</f>
        <v>#REF!</v>
      </c>
      <c r="J216" s="65" t="e">
        <f>IF(ISBLANK(Games!#REF!), "",IF(Games!#REF!="Y", Games!#REF!, Games!#REF!))</f>
        <v>#REF!</v>
      </c>
      <c r="K216" s="65" t="e">
        <f>Games!#REF!</f>
        <v>#REF!</v>
      </c>
      <c r="L216" s="65" t="e">
        <f>IF(ISBLANK(Games!#REF!), "",Games!#REF!)</f>
        <v>#REF!</v>
      </c>
      <c r="M216" s="65"/>
      <c r="N216" s="167" t="str">
        <f>IF(ISBLANK(Table123[[#This Row],[Odds Side - Difference Model]]), "", 1)</f>
      </c>
      <c r="O216" s="167" t="str">
        <f>IF(ISBLANK(Table123[[#This Row],[Odds Spread]]), "", 1)</f>
      </c>
      <c r="P216" s="67"/>
      <c r="Q216" s="67"/>
      <c r="R2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6" s="67"/>
      <c r="T216" s="67"/>
      <c r="U216" s="168" t="str">
        <f>IF(ISBLANK(Table123[[#This Row],[Odds Side - Difference Model]]), "",N216+IF(Q216&lt;0, (N216/(Q216/-100)), N216*(Q216/100)))</f>
      </c>
      <c r="V216" s="169" t="str">
        <f>IFERROR(IF(ISBLANK(Table123[[#This Row],[Odds Side - Win Probability Model]]), "",N216+IF(R216&lt;0, (N216/(R216/-100)), N216*(R216/100))),"")</f>
      </c>
      <c r="W216" s="168" t="str">
        <f t="shared" si="20"/>
      </c>
      <c r="X216" s="169" t="str">
        <f t="shared" si="21"/>
      </c>
      <c r="Y216" s="168" t="str">
        <f>IF(ISBLANK(Table123[[#This Row],[Odds Spread]]), "",O216+IF(S216&lt;0, (O216/(S216/-100)), O216*(S216/100)))</f>
      </c>
      <c r="Z216" s="168" t="str">
        <f t="shared" si="22"/>
      </c>
      <c r="AA216" s="68" t="n">
        <f t="shared" si="23"/>
        <v>0</v>
      </c>
      <c r="AB216" s="68" t="n">
        <f t="shared" si="24"/>
        <v>0</v>
      </c>
      <c r="AC216" s="170" t="e">
        <f>IF('Prediction Log'!#REF!="Y", "W", IF('Prediction Log'!#REF!="N","L",""))</f>
        <v>#REF!</v>
      </c>
      <c r="AD216" s="171" t="e">
        <f>IF('Prediction Log'!#REF!="Y", "W", IF('Prediction Log'!#REF!="N","L",""))</f>
        <v>#REF!</v>
      </c>
      <c r="AE216" s="172" t="str">
        <f>IF(ISBLANK(Table123[[#This Row],[Odds Side - Difference Model]]), "",IF(AC216="W", W216, IF(AC216="L",-N216, "")))</f>
      </c>
      <c r="AF216" s="173" t="str">
        <f>IFERROR((IF(ISERR(Table123[[#This Row],[Potential Payout Side - Win Probability Model]]), "",IF(AD216="W", X216, IF(AD216="L",-N216, "")))), "")</f>
      </c>
      <c r="AG216" s="170" t="e">
        <f>IF('Prediction Log'!#REF!="Y", "W", IF('Prediction Log'!#REF!="N", "L", ""))</f>
        <v>#REF!</v>
      </c>
      <c r="AH216" s="172" t="str">
        <f>IF(ISBLANK(Table123[[#This Row],[Odds Spread]]), "",IF(AG216="W", Z216, IF(AG216="L",-O216, "")))</f>
      </c>
      <c r="AI216" s="184"/>
      <c r="AJ216" s="183" t="str">
        <f t="shared" si="25"/>
      </c>
      <c r="AK2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7">
      <c r="A217" s="65" t="e">
        <f>Games!#REF!</f>
        <v>#REF!</v>
      </c>
      <c r="B217" s="65" t="e">
        <f>IF('Prediction Log'!#REF!=0, "",'Prediction Log'!#REF!)</f>
        <v>#REF!</v>
      </c>
      <c r="C217" s="65" t="e">
        <f>IF('Prediction Log'!#REF!=0, "",'Prediction Log'!#REF!)</f>
        <v>#REF!</v>
      </c>
      <c r="D217" s="65" t="e">
        <f>IF('Prediction Log'!#REF!=0, "",'Prediction Log'!#REF!)</f>
        <v>#REF!</v>
      </c>
      <c r="E217" s="65" t="e">
        <f>IF('Prediction Log'!#REF!=0, "",'Prediction Log'!#REF!)</f>
        <v>#REF!</v>
      </c>
      <c r="F217" s="65" t="e">
        <f>IF('Prediction Log'!#REF!=0, "",'Prediction Log'!#REF!)</f>
        <v>#REF!</v>
      </c>
      <c r="G217" s="64" t="e">
        <f>IF(ISBLANK(Games!#REF!), "",'Prediction Log'!#REF!)</f>
        <v>#REF!</v>
      </c>
      <c r="H217" s="66" t="e">
        <f>'Prediction Log'!#REF!</f>
        <v>#REF!</v>
      </c>
      <c r="I217" s="65" t="e">
        <f>IF(ISBLANK(Games!#REF!), "",IF(AND(Games!#REF!="",Games!#REF!=""),"",IF(ISTEXT(Games!#REF!), "Side",Games!#REF!)))</f>
        <v>#REF!</v>
      </c>
      <c r="J217" s="65" t="e">
        <f>IF(ISBLANK(Games!#REF!), "",IF(Games!#REF!="Y", Games!#REF!, Games!#REF!))</f>
        <v>#REF!</v>
      </c>
      <c r="K217" s="65" t="e">
        <f>Games!#REF!</f>
        <v>#REF!</v>
      </c>
      <c r="L217" s="65" t="e">
        <f>IF(ISBLANK(Games!#REF!), "",Games!#REF!)</f>
        <v>#REF!</v>
      </c>
      <c r="M217" s="65"/>
      <c r="N217" s="167" t="str">
        <f>IF(ISBLANK(Table123[[#This Row],[Odds Side - Difference Model]]), "", 1)</f>
      </c>
      <c r="O217" s="167" t="str">
        <f>IF(ISBLANK(Table123[[#This Row],[Odds Spread]]), "", 1)</f>
      </c>
      <c r="P217" s="67"/>
      <c r="Q217" s="67"/>
      <c r="R2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7" s="67"/>
      <c r="T217" s="67"/>
      <c r="U217" s="168" t="str">
        <f>IF(ISBLANK(Table123[[#This Row],[Odds Side - Difference Model]]), "",N217+IF(Q217&lt;0, (N217/(Q217/-100)), N217*(Q217/100)))</f>
      </c>
      <c r="V217" s="169" t="str">
        <f>IFERROR(IF(ISBLANK(Table123[[#This Row],[Odds Side - Win Probability Model]]), "",N217+IF(R217&lt;0, (N217/(R217/-100)), N217*(R217/100))),"")</f>
      </c>
      <c r="W217" s="168" t="str">
        <f t="shared" si="20"/>
      </c>
      <c r="X217" s="169" t="str">
        <f t="shared" si="21"/>
      </c>
      <c r="Y217" s="168" t="str">
        <f>IF(ISBLANK(Table123[[#This Row],[Odds Spread]]), "",O217+IF(S217&lt;0, (O217/(S217/-100)), O217*(S217/100)))</f>
      </c>
      <c r="Z217" s="168" t="str">
        <f t="shared" si="22"/>
      </c>
      <c r="AA217" s="68" t="n">
        <f t="shared" si="23"/>
        <v>0</v>
      </c>
      <c r="AB217" s="68" t="n">
        <f t="shared" si="24"/>
        <v>0</v>
      </c>
      <c r="AC217" s="170" t="e">
        <f>IF('Prediction Log'!#REF!="Y", "W", IF('Prediction Log'!#REF!="N","L",""))</f>
        <v>#REF!</v>
      </c>
      <c r="AD217" s="171" t="e">
        <f>IF('Prediction Log'!#REF!="Y", "W", IF('Prediction Log'!#REF!="N","L",""))</f>
        <v>#REF!</v>
      </c>
      <c r="AE217" s="172" t="str">
        <f>IF(ISBLANK(Table123[[#This Row],[Odds Side - Difference Model]]), "",IF(AC217="W", W217, IF(AC217="L",-N217, "")))</f>
      </c>
      <c r="AF217" s="173" t="str">
        <f>IFERROR((IF(ISERR(Table123[[#This Row],[Potential Payout Side - Win Probability Model]]), "",IF(AD217="W", X217, IF(AD217="L",-N217, "")))), "")</f>
      </c>
      <c r="AG217" s="170" t="e">
        <f>IF('Prediction Log'!#REF!="Y", "W", IF('Prediction Log'!#REF!="N", "L", ""))</f>
        <v>#REF!</v>
      </c>
      <c r="AH217" s="172" t="str">
        <f>IF(ISBLANK(Table123[[#This Row],[Odds Spread]]), "",IF(AG217="W", Z217, IF(AG217="L",-O217, "")))</f>
      </c>
      <c r="AI217" s="184"/>
      <c r="AJ217" s="183" t="str">
        <f t="shared" si="25"/>
      </c>
      <c r="AK2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8">
      <c r="A218" s="65" t="e">
        <f>Games!#REF!</f>
        <v>#REF!</v>
      </c>
      <c r="B218" s="65" t="e">
        <f>IF('Prediction Log'!#REF!=0, "",'Prediction Log'!#REF!)</f>
        <v>#REF!</v>
      </c>
      <c r="C218" s="65" t="e">
        <f>IF('Prediction Log'!#REF!=0, "",'Prediction Log'!#REF!)</f>
        <v>#REF!</v>
      </c>
      <c r="D218" s="65" t="e">
        <f>IF('Prediction Log'!#REF!=0, "",'Prediction Log'!#REF!)</f>
        <v>#REF!</v>
      </c>
      <c r="E218" s="65" t="e">
        <f>IF('Prediction Log'!#REF!=0, "",'Prediction Log'!#REF!)</f>
        <v>#REF!</v>
      </c>
      <c r="F218" s="65" t="e">
        <f>IF('Prediction Log'!#REF!=0, "",'Prediction Log'!#REF!)</f>
        <v>#REF!</v>
      </c>
      <c r="G218" s="64" t="e">
        <f>IF(ISBLANK(Games!#REF!), "",'Prediction Log'!#REF!)</f>
        <v>#REF!</v>
      </c>
      <c r="H218" s="66" t="e">
        <f>'Prediction Log'!#REF!</f>
        <v>#REF!</v>
      </c>
      <c r="I218" s="65" t="e">
        <f>IF(ISBLANK(Games!#REF!), "",IF(AND(Games!#REF!="",Games!#REF!=""),"",IF(ISTEXT(Games!#REF!), "Side",Games!#REF!)))</f>
        <v>#REF!</v>
      </c>
      <c r="J218" s="65" t="e">
        <f>IF(ISBLANK(Games!#REF!), "",IF(Games!#REF!="Y", Games!#REF!, Games!#REF!))</f>
        <v>#REF!</v>
      </c>
      <c r="K218" s="65" t="e">
        <f>Games!#REF!</f>
        <v>#REF!</v>
      </c>
      <c r="L218" s="65" t="e">
        <f>IF(ISBLANK(Games!#REF!), "",Games!#REF!)</f>
        <v>#REF!</v>
      </c>
      <c r="M218" s="65"/>
      <c r="N218" s="167" t="str">
        <f>IF(ISBLANK(Table123[[#This Row],[Odds Side - Difference Model]]), "", 1)</f>
      </c>
      <c r="O218" s="167" t="str">
        <f>IF(ISBLANK(Table123[[#This Row],[Odds Spread]]), "", 1)</f>
      </c>
      <c r="P218" s="67"/>
      <c r="Q218" s="67"/>
      <c r="R2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8" s="67"/>
      <c r="T218" s="67"/>
      <c r="U218" s="168" t="str">
        <f>IF(ISBLANK(Table123[[#This Row],[Odds Side - Difference Model]]), "",N218+IF(Q218&lt;0, (N218/(Q218/-100)), N218*(Q218/100)))</f>
      </c>
      <c r="V218" s="169" t="str">
        <f>IFERROR(IF(ISBLANK(Table123[[#This Row],[Odds Side - Win Probability Model]]), "",N218+IF(R218&lt;0, (N218/(R218/-100)), N218*(R218/100))),"")</f>
      </c>
      <c r="W218" s="168" t="str">
        <f t="shared" si="20"/>
      </c>
      <c r="X218" s="169" t="str">
        <f t="shared" si="21"/>
      </c>
      <c r="Y218" s="168" t="str">
        <f>IF(ISBLANK(Table123[[#This Row],[Odds Spread]]), "",O218+IF(S218&lt;0, (O218/(S218/-100)), O218*(S218/100)))</f>
      </c>
      <c r="Z218" s="168" t="str">
        <f t="shared" si="22"/>
      </c>
      <c r="AA218" s="68" t="n">
        <f t="shared" si="23"/>
        <v>0</v>
      </c>
      <c r="AB218" s="68" t="n">
        <f t="shared" si="24"/>
        <v>0</v>
      </c>
      <c r="AC218" s="170" t="e">
        <f>IF('Prediction Log'!#REF!="Y", "W", IF('Prediction Log'!#REF!="N","L",""))</f>
        <v>#REF!</v>
      </c>
      <c r="AD218" s="171" t="e">
        <f>IF('Prediction Log'!#REF!="Y", "W", IF('Prediction Log'!#REF!="N","L",""))</f>
        <v>#REF!</v>
      </c>
      <c r="AE218" s="172" t="str">
        <f>IF(ISBLANK(Table123[[#This Row],[Odds Side - Difference Model]]), "",IF(AC218="W", W218, IF(AC218="L",-N218, "")))</f>
      </c>
      <c r="AF218" s="173" t="str">
        <f>IFERROR((IF(ISERR(Table123[[#This Row],[Potential Payout Side - Win Probability Model]]), "",IF(AD218="W", X218, IF(AD218="L",-N218, "")))), "")</f>
      </c>
      <c r="AG218" s="170" t="e">
        <f>IF('Prediction Log'!#REF!="Y", "W", IF('Prediction Log'!#REF!="N", "L", ""))</f>
        <v>#REF!</v>
      </c>
      <c r="AH218" s="172" t="str">
        <f>IF(ISBLANK(Table123[[#This Row],[Odds Spread]]), "",IF(AG218="W", Z218, IF(AG218="L",-O218, "")))</f>
      </c>
      <c r="AI218" s="184"/>
      <c r="AJ218" s="183" t="str">
        <f t="shared" si="25"/>
      </c>
      <c r="AK2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9">
      <c r="A219" s="65" t="e">
        <f>Games!#REF!</f>
        <v>#REF!</v>
      </c>
      <c r="B219" s="65" t="e">
        <f>IF('Prediction Log'!#REF!=0, "",'Prediction Log'!#REF!)</f>
        <v>#REF!</v>
      </c>
      <c r="C219" s="65" t="e">
        <f>IF('Prediction Log'!#REF!=0, "",'Prediction Log'!#REF!)</f>
        <v>#REF!</v>
      </c>
      <c r="D219" s="65" t="e">
        <f>IF('Prediction Log'!#REF!=0, "",'Prediction Log'!#REF!)</f>
        <v>#REF!</v>
      </c>
      <c r="E219" s="65" t="e">
        <f>IF('Prediction Log'!#REF!=0, "",'Prediction Log'!#REF!)</f>
        <v>#REF!</v>
      </c>
      <c r="F219" s="65" t="e">
        <f>IF('Prediction Log'!#REF!=0, "",'Prediction Log'!#REF!)</f>
        <v>#REF!</v>
      </c>
      <c r="G219" s="64" t="e">
        <f>IF(ISBLANK(Games!#REF!), "",'Prediction Log'!#REF!)</f>
        <v>#REF!</v>
      </c>
      <c r="H219" s="66" t="e">
        <f>'Prediction Log'!#REF!</f>
        <v>#REF!</v>
      </c>
      <c r="I219" s="65" t="e">
        <f>IF(ISBLANK(Games!#REF!), "",IF(AND(Games!#REF!="",Games!#REF!=""),"",IF(ISTEXT(Games!#REF!), "Side",Games!#REF!)))</f>
        <v>#REF!</v>
      </c>
      <c r="J219" s="65" t="e">
        <f>IF(ISBLANK(Games!#REF!), "",IF(Games!#REF!="Y", Games!#REF!, Games!#REF!))</f>
        <v>#REF!</v>
      </c>
      <c r="K219" s="65" t="e">
        <f>Games!#REF!</f>
        <v>#REF!</v>
      </c>
      <c r="L219" s="65" t="e">
        <f>IF(ISBLANK(Games!#REF!), "",Games!#REF!)</f>
        <v>#REF!</v>
      </c>
      <c r="M219" s="65"/>
      <c r="N219" s="167" t="str">
        <f>IF(ISBLANK(Table123[[#This Row],[Odds Side - Difference Model]]), "", 1)</f>
      </c>
      <c r="O219" s="167" t="str">
        <f>IF(ISBLANK(Table123[[#This Row],[Odds Spread]]), "", 1)</f>
      </c>
      <c r="P219" s="67"/>
      <c r="Q219" s="67"/>
      <c r="R2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9" s="67"/>
      <c r="T219" s="67"/>
      <c r="U219" s="168" t="str">
        <f>IF(ISBLANK(Table123[[#This Row],[Odds Side - Difference Model]]), "",N219+IF(Q219&lt;0, (N219/(Q219/-100)), N219*(Q219/100)))</f>
      </c>
      <c r="V219" s="169" t="str">
        <f>IFERROR(IF(ISBLANK(Table123[[#This Row],[Odds Side - Win Probability Model]]), "",N219+IF(R219&lt;0, (N219/(R219/-100)), N219*(R219/100))),"")</f>
      </c>
      <c r="W219" s="168" t="str">
        <f t="shared" si="20"/>
      </c>
      <c r="X219" s="169" t="str">
        <f t="shared" si="21"/>
      </c>
      <c r="Y219" s="168" t="str">
        <f>IF(ISBLANK(Table123[[#This Row],[Odds Spread]]), "",O219+IF(S219&lt;0, (O219/(S219/-100)), O219*(S219/100)))</f>
      </c>
      <c r="Z219" s="168" t="str">
        <f t="shared" si="22"/>
      </c>
      <c r="AA219" s="68" t="n">
        <f t="shared" si="23"/>
        <v>0</v>
      </c>
      <c r="AB219" s="68" t="n">
        <f t="shared" si="24"/>
        <v>0</v>
      </c>
      <c r="AC219" s="170" t="e">
        <f>IF('Prediction Log'!#REF!="Y", "W", IF('Prediction Log'!#REF!="N","L",""))</f>
        <v>#REF!</v>
      </c>
      <c r="AD219" s="171" t="e">
        <f>IF('Prediction Log'!#REF!="Y", "W", IF('Prediction Log'!#REF!="N","L",""))</f>
        <v>#REF!</v>
      </c>
      <c r="AE219" s="172" t="str">
        <f>IF(ISBLANK(Table123[[#This Row],[Odds Side - Difference Model]]), "",IF(AC219="W", W219, IF(AC219="L",-N219, "")))</f>
      </c>
      <c r="AF219" s="173" t="str">
        <f>IFERROR((IF(ISERR(Table123[[#This Row],[Potential Payout Side - Win Probability Model]]), "",IF(AD219="W", X219, IF(AD219="L",-N219, "")))), "")</f>
      </c>
      <c r="AG219" s="170" t="e">
        <f>IF('Prediction Log'!#REF!="Y", "W", IF('Prediction Log'!#REF!="N", "L", ""))</f>
        <v>#REF!</v>
      </c>
      <c r="AH219" s="172" t="str">
        <f>IF(ISBLANK(Table123[[#This Row],[Odds Spread]]), "",IF(AG219="W", Z219, IF(AG219="L",-O219, "")))</f>
      </c>
      <c r="AI219" s="184"/>
      <c r="AJ219" s="183" t="str">
        <f t="shared" si="25"/>
      </c>
      <c r="AK2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0">
      <c r="A220" s="65" t="e">
        <f>Games!#REF!</f>
        <v>#REF!</v>
      </c>
      <c r="B220" s="65" t="e">
        <f>IF('Prediction Log'!#REF!=0, "",'Prediction Log'!#REF!)</f>
        <v>#REF!</v>
      </c>
      <c r="C220" s="65" t="e">
        <f>IF('Prediction Log'!#REF!=0, "",'Prediction Log'!#REF!)</f>
        <v>#REF!</v>
      </c>
      <c r="D220" s="65" t="e">
        <f>IF('Prediction Log'!#REF!=0, "",'Prediction Log'!#REF!)</f>
        <v>#REF!</v>
      </c>
      <c r="E220" s="65" t="e">
        <f>IF('Prediction Log'!#REF!=0, "",'Prediction Log'!#REF!)</f>
        <v>#REF!</v>
      </c>
      <c r="F220" s="65" t="e">
        <f>IF('Prediction Log'!#REF!=0, "",'Prediction Log'!#REF!)</f>
        <v>#REF!</v>
      </c>
      <c r="G220" s="64" t="e">
        <f>IF(ISBLANK(Games!#REF!), "",'Prediction Log'!#REF!)</f>
        <v>#REF!</v>
      </c>
      <c r="H220" s="66" t="e">
        <f>'Prediction Log'!#REF!</f>
        <v>#REF!</v>
      </c>
      <c r="I220" s="65" t="e">
        <f>IF(ISBLANK(Games!#REF!), "",IF(AND(Games!#REF!="",Games!#REF!=""),"",IF(ISTEXT(Games!#REF!), "Side",Games!#REF!)))</f>
        <v>#REF!</v>
      </c>
      <c r="J220" s="65" t="e">
        <f>IF(ISBLANK(Games!#REF!), "",IF(Games!#REF!="Y", Games!#REF!, Games!#REF!))</f>
        <v>#REF!</v>
      </c>
      <c r="K220" s="65" t="e">
        <f>Games!#REF!</f>
        <v>#REF!</v>
      </c>
      <c r="L220" s="65" t="e">
        <f>IF(ISBLANK(Games!#REF!), "",Games!#REF!)</f>
        <v>#REF!</v>
      </c>
      <c r="M220" s="65"/>
      <c r="N220" s="167" t="str">
        <f>IF(ISBLANK(Table123[[#This Row],[Odds Side - Difference Model]]), "", 1)</f>
      </c>
      <c r="O220" s="167" t="str">
        <f>IF(ISBLANK(Table123[[#This Row],[Odds Spread]]), "", 1)</f>
      </c>
      <c r="P220" s="67"/>
      <c r="Q220" s="67"/>
      <c r="R2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0" s="67"/>
      <c r="T220" s="67"/>
      <c r="U220" s="168" t="str">
        <f>IF(ISBLANK(Table123[[#This Row],[Odds Side - Difference Model]]), "",N220+IF(Q220&lt;0, (N220/(Q220/-100)), N220*(Q220/100)))</f>
      </c>
      <c r="V220" s="169" t="str">
        <f>IFERROR(IF(ISBLANK(Table123[[#This Row],[Odds Side - Win Probability Model]]), "",N220+IF(R220&lt;0, (N220/(R220/-100)), N220*(R220/100))),"")</f>
      </c>
      <c r="W220" s="168" t="str">
        <f t="shared" si="20"/>
      </c>
      <c r="X220" s="169" t="str">
        <f t="shared" si="21"/>
      </c>
      <c r="Y220" s="168" t="str">
        <f>IF(ISBLANK(Table123[[#This Row],[Odds Spread]]), "",O220+IF(S220&lt;0, (O220/(S220/-100)), O220*(S220/100)))</f>
      </c>
      <c r="Z220" s="168" t="str">
        <f t="shared" si="22"/>
      </c>
      <c r="AA220" s="68" t="n">
        <f t="shared" si="23"/>
        <v>0</v>
      </c>
      <c r="AB220" s="68" t="n">
        <f t="shared" si="24"/>
        <v>0</v>
      </c>
      <c r="AC220" s="170" t="e">
        <f>IF('Prediction Log'!#REF!="Y", "W", IF('Prediction Log'!#REF!="N","L",""))</f>
        <v>#REF!</v>
      </c>
      <c r="AD220" s="171" t="e">
        <f>IF('Prediction Log'!#REF!="Y", "W", IF('Prediction Log'!#REF!="N","L",""))</f>
        <v>#REF!</v>
      </c>
      <c r="AE220" s="172" t="str">
        <f>IF(ISBLANK(Table123[[#This Row],[Odds Side - Difference Model]]), "",IF(AC220="W", W220, IF(AC220="L",-N220, "")))</f>
      </c>
      <c r="AF220" s="173" t="str">
        <f>IFERROR((IF(ISERR(Table123[[#This Row],[Potential Payout Side - Win Probability Model]]), "",IF(AD220="W", X220, IF(AD220="L",-N220, "")))), "")</f>
      </c>
      <c r="AG220" s="170" t="e">
        <f>IF('Prediction Log'!#REF!="Y", "W", IF('Prediction Log'!#REF!="N", "L", ""))</f>
        <v>#REF!</v>
      </c>
      <c r="AH220" s="172" t="str">
        <f>IF(ISBLANK(Table123[[#This Row],[Odds Spread]]), "",IF(AG220="W", Z220, IF(AG220="L",-O220, "")))</f>
      </c>
      <c r="AI220" s="184"/>
      <c r="AJ220" s="183" t="str">
        <f t="shared" si="25"/>
      </c>
      <c r="AK2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1">
      <c r="A221" s="65" t="e">
        <f>Games!#REF!</f>
        <v>#REF!</v>
      </c>
      <c r="B221" s="65" t="e">
        <f>IF('Prediction Log'!#REF!=0, "",'Prediction Log'!#REF!)</f>
        <v>#REF!</v>
      </c>
      <c r="C221" s="65" t="e">
        <f>IF('Prediction Log'!#REF!=0, "",'Prediction Log'!#REF!)</f>
        <v>#REF!</v>
      </c>
      <c r="D221" s="65" t="e">
        <f>IF('Prediction Log'!#REF!=0, "",'Prediction Log'!#REF!)</f>
        <v>#REF!</v>
      </c>
      <c r="E221" s="65" t="e">
        <f>IF('Prediction Log'!#REF!=0, "",'Prediction Log'!#REF!)</f>
        <v>#REF!</v>
      </c>
      <c r="F221" s="65" t="e">
        <f>IF('Prediction Log'!#REF!=0, "",'Prediction Log'!#REF!)</f>
        <v>#REF!</v>
      </c>
      <c r="G221" s="64" t="e">
        <f>IF(ISBLANK(Games!#REF!), "",'Prediction Log'!#REF!)</f>
        <v>#REF!</v>
      </c>
      <c r="H221" s="66" t="e">
        <f>'Prediction Log'!#REF!</f>
        <v>#REF!</v>
      </c>
      <c r="I221" s="65" t="e">
        <f>IF(ISBLANK(Games!#REF!), "",IF(AND(Games!#REF!="",Games!#REF!=""),"",IF(ISTEXT(Games!#REF!), "Side",Games!#REF!)))</f>
        <v>#REF!</v>
      </c>
      <c r="J221" s="65" t="e">
        <f>IF(ISBLANK(Games!#REF!), "",IF(Games!#REF!="Y", Games!#REF!, Games!#REF!))</f>
        <v>#REF!</v>
      </c>
      <c r="K221" s="65" t="e">
        <f>Games!#REF!</f>
        <v>#REF!</v>
      </c>
      <c r="L221" s="65" t="e">
        <f>IF(ISBLANK(Games!#REF!), "",Games!#REF!)</f>
        <v>#REF!</v>
      </c>
      <c r="M221" s="65"/>
      <c r="N221" s="167" t="str">
        <f>IF(ISBLANK(Table123[[#This Row],[Odds Side - Difference Model]]), "", 1)</f>
      </c>
      <c r="O221" s="167" t="str">
        <f>IF(ISBLANK(Table123[[#This Row],[Odds Spread]]), "", 1)</f>
      </c>
      <c r="P221" s="67"/>
      <c r="Q221" s="67"/>
      <c r="R2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1" s="67"/>
      <c r="T221" s="67"/>
      <c r="U221" s="168" t="str">
        <f>IF(ISBLANK(Table123[[#This Row],[Odds Side - Difference Model]]), "",N221+IF(Q221&lt;0, (N221/(Q221/-100)), N221*(Q221/100)))</f>
      </c>
      <c r="V221" s="169" t="str">
        <f>IFERROR(IF(ISBLANK(Table123[[#This Row],[Odds Side - Win Probability Model]]), "",N221+IF(R221&lt;0, (N221/(R221/-100)), N221*(R221/100))),"")</f>
      </c>
      <c r="W221" s="168" t="str">
        <f t="shared" si="20"/>
      </c>
      <c r="X221" s="169" t="str">
        <f t="shared" si="21"/>
      </c>
      <c r="Y221" s="168" t="str">
        <f>IF(ISBLANK(Table123[[#This Row],[Odds Spread]]), "",O221+IF(S221&lt;0, (O221/(S221/-100)), O221*(S221/100)))</f>
      </c>
      <c r="Z221" s="168" t="str">
        <f t="shared" si="22"/>
      </c>
      <c r="AA221" s="68" t="n">
        <f t="shared" si="23"/>
        <v>0</v>
      </c>
      <c r="AB221" s="68" t="n">
        <f t="shared" si="24"/>
        <v>0</v>
      </c>
      <c r="AC221" s="170" t="e">
        <f>IF('Prediction Log'!#REF!="Y", "W", IF('Prediction Log'!#REF!="N","L",""))</f>
        <v>#REF!</v>
      </c>
      <c r="AD221" s="171" t="e">
        <f>IF('Prediction Log'!#REF!="Y", "W", IF('Prediction Log'!#REF!="N","L",""))</f>
        <v>#REF!</v>
      </c>
      <c r="AE221" s="172" t="str">
        <f>IF(ISBLANK(Table123[[#This Row],[Odds Side - Difference Model]]), "",IF(AC221="W", W221, IF(AC221="L",-N221, "")))</f>
      </c>
      <c r="AF221" s="173" t="str">
        <f>IFERROR((IF(ISERR(Table123[[#This Row],[Potential Payout Side - Win Probability Model]]), "",IF(AD221="W", X221, IF(AD221="L",-N221, "")))), "")</f>
      </c>
      <c r="AG221" s="170" t="e">
        <f>IF('Prediction Log'!#REF!="Y", "W", IF('Prediction Log'!#REF!="N", "L", ""))</f>
        <v>#REF!</v>
      </c>
      <c r="AH221" s="172" t="str">
        <f>IF(ISBLANK(Table123[[#This Row],[Odds Spread]]), "",IF(AG221="W", Z221, IF(AG221="L",-O221, "")))</f>
      </c>
      <c r="AI221" s="184"/>
      <c r="AJ221" s="183" t="str">
        <f t="shared" si="25"/>
      </c>
      <c r="AK2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2">
      <c r="A222" s="65" t="e">
        <f>Games!#REF!</f>
        <v>#REF!</v>
      </c>
      <c r="B222" s="65" t="e">
        <f>IF('Prediction Log'!#REF!=0, "",'Prediction Log'!#REF!)</f>
        <v>#REF!</v>
      </c>
      <c r="C222" s="65" t="e">
        <f>IF('Prediction Log'!#REF!=0, "",'Prediction Log'!#REF!)</f>
        <v>#REF!</v>
      </c>
      <c r="D222" s="65" t="e">
        <f>IF('Prediction Log'!#REF!=0, "",'Prediction Log'!#REF!)</f>
        <v>#REF!</v>
      </c>
      <c r="E222" s="65" t="e">
        <f>IF('Prediction Log'!#REF!=0, "",'Prediction Log'!#REF!)</f>
        <v>#REF!</v>
      </c>
      <c r="F222" s="65" t="e">
        <f>IF('Prediction Log'!#REF!=0, "",'Prediction Log'!#REF!)</f>
        <v>#REF!</v>
      </c>
      <c r="G222" s="64" t="e">
        <f>IF(ISBLANK(Games!#REF!), "",'Prediction Log'!#REF!)</f>
        <v>#REF!</v>
      </c>
      <c r="H222" s="66" t="e">
        <f>'Prediction Log'!#REF!</f>
        <v>#REF!</v>
      </c>
      <c r="I222" s="65" t="e">
        <f>IF(ISBLANK(Games!#REF!), "",IF(AND(Games!#REF!="",Games!#REF!=""),"",IF(ISTEXT(Games!#REF!), "Side",Games!#REF!)))</f>
        <v>#REF!</v>
      </c>
      <c r="J222" s="65" t="e">
        <f>IF(ISBLANK(Games!#REF!), "",IF(Games!#REF!="Y", Games!#REF!, Games!#REF!))</f>
        <v>#REF!</v>
      </c>
      <c r="K222" s="65" t="e">
        <f>Games!#REF!</f>
        <v>#REF!</v>
      </c>
      <c r="L222" s="65" t="e">
        <f>IF(ISBLANK(Games!#REF!), "",Games!#REF!)</f>
        <v>#REF!</v>
      </c>
      <c r="M222" s="65"/>
      <c r="N222" s="167" t="str">
        <f>IF(ISBLANK(Table123[[#This Row],[Odds Side - Difference Model]]), "", 1)</f>
      </c>
      <c r="O222" s="167" t="str">
        <f>IF(ISBLANK(Table123[[#This Row],[Odds Spread]]), "", 1)</f>
      </c>
      <c r="P222" s="67"/>
      <c r="Q222" s="67"/>
      <c r="R2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2" s="67"/>
      <c r="T222" s="67"/>
      <c r="U222" s="168" t="str">
        <f>IF(ISBLANK(Table123[[#This Row],[Odds Side - Difference Model]]), "",N222+IF(Q222&lt;0, (N222/(Q222/-100)), N222*(Q222/100)))</f>
      </c>
      <c r="V222" s="169" t="str">
        <f>IFERROR(IF(ISBLANK(Table123[[#This Row],[Odds Side - Win Probability Model]]), "",N222+IF(R222&lt;0, (N222/(R222/-100)), N222*(R222/100))),"")</f>
      </c>
      <c r="W222" s="168" t="str">
        <f t="shared" si="20"/>
      </c>
      <c r="X222" s="169" t="str">
        <f t="shared" si="21"/>
      </c>
      <c r="Y222" s="168" t="str">
        <f>IF(ISBLANK(Table123[[#This Row],[Odds Spread]]), "",O222+IF(S222&lt;0, (O222/(S222/-100)), O222*(S222/100)))</f>
      </c>
      <c r="Z222" s="168" t="str">
        <f t="shared" si="22"/>
      </c>
      <c r="AA222" s="68" t="n">
        <f t="shared" si="23"/>
        <v>0</v>
      </c>
      <c r="AB222" s="68" t="n">
        <f t="shared" si="24"/>
        <v>0</v>
      </c>
      <c r="AC222" s="170" t="e">
        <f>IF('Prediction Log'!#REF!="Y", "W", IF('Prediction Log'!#REF!="N","L",""))</f>
        <v>#REF!</v>
      </c>
      <c r="AD222" s="171" t="e">
        <f>IF('Prediction Log'!#REF!="Y", "W", IF('Prediction Log'!#REF!="N","L",""))</f>
        <v>#REF!</v>
      </c>
      <c r="AE222" s="172" t="str">
        <f>IF(ISBLANK(Table123[[#This Row],[Odds Side - Difference Model]]), "",IF(AC222="W", W222, IF(AC222="L",-N222, "")))</f>
      </c>
      <c r="AF222" s="173" t="str">
        <f>IFERROR((IF(ISERR(Table123[[#This Row],[Potential Payout Side - Win Probability Model]]), "",IF(AD222="W", X222, IF(AD222="L",-N222, "")))), "")</f>
      </c>
      <c r="AG222" s="170" t="e">
        <f>IF('Prediction Log'!#REF!="Y", "W", IF('Prediction Log'!#REF!="N", "L", ""))</f>
        <v>#REF!</v>
      </c>
      <c r="AH222" s="172" t="str">
        <f>IF(ISBLANK(Table123[[#This Row],[Odds Spread]]), "",IF(AG222="W", Z222, IF(AG222="L",-O222, "")))</f>
      </c>
      <c r="AI222" s="184"/>
      <c r="AJ222" s="183" t="str">
        <f t="shared" si="25"/>
      </c>
      <c r="AK2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3">
      <c r="A223" s="65" t="e">
        <f>Games!#REF!</f>
        <v>#REF!</v>
      </c>
      <c r="B223" s="65" t="e">
        <f>IF('Prediction Log'!#REF!=0, "",'Prediction Log'!#REF!)</f>
        <v>#REF!</v>
      </c>
      <c r="C223" s="65" t="e">
        <f>IF('Prediction Log'!#REF!=0, "",'Prediction Log'!#REF!)</f>
        <v>#REF!</v>
      </c>
      <c r="D223" s="65" t="e">
        <f>IF('Prediction Log'!#REF!=0, "",'Prediction Log'!#REF!)</f>
        <v>#REF!</v>
      </c>
      <c r="E223" s="65" t="e">
        <f>IF('Prediction Log'!#REF!=0, "",'Prediction Log'!#REF!)</f>
        <v>#REF!</v>
      </c>
      <c r="F223" s="65" t="e">
        <f>IF('Prediction Log'!#REF!=0, "",'Prediction Log'!#REF!)</f>
        <v>#REF!</v>
      </c>
      <c r="G223" s="64" t="e">
        <f>IF(ISBLANK(Games!#REF!), "",'Prediction Log'!#REF!)</f>
        <v>#REF!</v>
      </c>
      <c r="H223" s="66" t="e">
        <f>'Prediction Log'!#REF!</f>
        <v>#REF!</v>
      </c>
      <c r="I223" s="65" t="e">
        <f>IF(ISBLANK(Games!#REF!), "",IF(AND(Games!#REF!="",Games!#REF!=""),"",IF(ISTEXT(Games!#REF!), "Side",Games!#REF!)))</f>
        <v>#REF!</v>
      </c>
      <c r="J223" s="65" t="e">
        <f>IF(ISBLANK(Games!#REF!), "",IF(Games!#REF!="Y", Games!#REF!, Games!#REF!))</f>
        <v>#REF!</v>
      </c>
      <c r="K223" s="65" t="e">
        <f>Games!#REF!</f>
        <v>#REF!</v>
      </c>
      <c r="L223" s="65" t="e">
        <f>IF(ISBLANK(Games!#REF!), "",Games!#REF!)</f>
        <v>#REF!</v>
      </c>
      <c r="M223" s="65"/>
      <c r="N223" s="167" t="str">
        <f>IF(ISBLANK(Table123[[#This Row],[Odds Side - Difference Model]]), "", 1)</f>
      </c>
      <c r="O223" s="167" t="str">
        <f>IF(ISBLANK(Table123[[#This Row],[Odds Spread]]), "", 1)</f>
      </c>
      <c r="P223" s="67"/>
      <c r="Q223" s="67"/>
      <c r="R2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3" s="67"/>
      <c r="T223" s="67"/>
      <c r="U223" s="168" t="str">
        <f>IF(ISBLANK(Table123[[#This Row],[Odds Side - Difference Model]]), "",N223+IF(Q223&lt;0, (N223/(Q223/-100)), N223*(Q223/100)))</f>
      </c>
      <c r="V223" s="169" t="str">
        <f>IFERROR(IF(ISBLANK(Table123[[#This Row],[Odds Side - Win Probability Model]]), "",N223+IF(R223&lt;0, (N223/(R223/-100)), N223*(R223/100))),"")</f>
      </c>
      <c r="W223" s="168" t="str">
        <f t="shared" si="20"/>
      </c>
      <c r="X223" s="169" t="str">
        <f t="shared" si="21"/>
      </c>
      <c r="Y223" s="168" t="str">
        <f>IF(ISBLANK(Table123[[#This Row],[Odds Spread]]), "",O223+IF(S223&lt;0, (O223/(S223/-100)), O223*(S223/100)))</f>
      </c>
      <c r="Z223" s="168" t="str">
        <f t="shared" si="22"/>
      </c>
      <c r="AA223" s="68" t="n">
        <f t="shared" si="23"/>
        <v>0</v>
      </c>
      <c r="AB223" s="68" t="n">
        <f t="shared" si="24"/>
        <v>0</v>
      </c>
      <c r="AC223" s="170" t="e">
        <f>IF('Prediction Log'!#REF!="Y", "W", IF('Prediction Log'!#REF!="N","L",""))</f>
        <v>#REF!</v>
      </c>
      <c r="AD223" s="171" t="e">
        <f>IF('Prediction Log'!#REF!="Y", "W", IF('Prediction Log'!#REF!="N","L",""))</f>
        <v>#REF!</v>
      </c>
      <c r="AE223" s="172" t="str">
        <f>IF(ISBLANK(Table123[[#This Row],[Odds Side - Difference Model]]), "",IF(AC223="W", W223, IF(AC223="L",-N223, "")))</f>
      </c>
      <c r="AF223" s="173" t="str">
        <f>IFERROR((IF(ISERR(Table123[[#This Row],[Potential Payout Side - Win Probability Model]]), "",IF(AD223="W", X223, IF(AD223="L",-N223, "")))), "")</f>
      </c>
      <c r="AG223" s="170" t="e">
        <f>IF('Prediction Log'!#REF!="Y", "W", IF('Prediction Log'!#REF!="N", "L", ""))</f>
        <v>#REF!</v>
      </c>
      <c r="AH223" s="172" t="str">
        <f>IF(ISBLANK(Table123[[#This Row],[Odds Spread]]), "",IF(AG223="W", Z223, IF(AG223="L",-O223, "")))</f>
      </c>
      <c r="AI223" s="184"/>
      <c r="AJ223" s="183" t="str">
        <f t="shared" si="25"/>
      </c>
      <c r="AK2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4">
      <c r="A224" s="65" t="e">
        <f>Games!#REF!</f>
        <v>#REF!</v>
      </c>
      <c r="B224" s="65" t="e">
        <f>IF('Prediction Log'!#REF!=0, "",'Prediction Log'!#REF!)</f>
        <v>#REF!</v>
      </c>
      <c r="C224" s="65" t="e">
        <f>IF('Prediction Log'!#REF!=0, "",'Prediction Log'!#REF!)</f>
        <v>#REF!</v>
      </c>
      <c r="D224" s="65" t="e">
        <f>IF('Prediction Log'!#REF!=0, "",'Prediction Log'!#REF!)</f>
        <v>#REF!</v>
      </c>
      <c r="E224" s="65" t="e">
        <f>IF('Prediction Log'!#REF!=0, "",'Prediction Log'!#REF!)</f>
        <v>#REF!</v>
      </c>
      <c r="F224" s="65" t="e">
        <f>IF('Prediction Log'!#REF!=0, "",'Prediction Log'!#REF!)</f>
        <v>#REF!</v>
      </c>
      <c r="G224" s="64" t="e">
        <f>IF(ISBLANK(Games!#REF!), "",'Prediction Log'!#REF!)</f>
        <v>#REF!</v>
      </c>
      <c r="H224" s="66" t="e">
        <f>'Prediction Log'!#REF!</f>
        <v>#REF!</v>
      </c>
      <c r="I224" s="65" t="e">
        <f>IF(ISBLANK(Games!#REF!), "",IF(AND(Games!#REF!="",Games!#REF!=""),"",IF(ISTEXT(Games!#REF!), "Side",Games!#REF!)))</f>
        <v>#REF!</v>
      </c>
      <c r="J224" s="65" t="e">
        <f>IF(ISBLANK(Games!#REF!), "",IF(Games!#REF!="Y", Games!#REF!, Games!#REF!))</f>
        <v>#REF!</v>
      </c>
      <c r="K224" s="65" t="e">
        <f>Games!#REF!</f>
        <v>#REF!</v>
      </c>
      <c r="L224" s="65" t="e">
        <f>IF(ISBLANK(Games!#REF!), "",Games!#REF!)</f>
        <v>#REF!</v>
      </c>
      <c r="M224" s="65"/>
      <c r="N224" s="167" t="str">
        <f>IF(ISBLANK(Table123[[#This Row],[Odds Side - Difference Model]]), "", 1)</f>
      </c>
      <c r="O224" s="167" t="str">
        <f>IF(ISBLANK(Table123[[#This Row],[Odds Spread]]), "", 1)</f>
      </c>
      <c r="P224" s="67"/>
      <c r="Q224" s="67"/>
      <c r="R2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4" s="67"/>
      <c r="T224" s="67"/>
      <c r="U224" s="168" t="str">
        <f>IF(ISBLANK(Table123[[#This Row],[Odds Side - Difference Model]]), "",N224+IF(Q224&lt;0, (N224/(Q224/-100)), N224*(Q224/100)))</f>
      </c>
      <c r="V224" s="169" t="str">
        <f>IFERROR(IF(ISBLANK(Table123[[#This Row],[Odds Side - Win Probability Model]]), "",N224+IF(R224&lt;0, (N224/(R224/-100)), N224*(R224/100))),"")</f>
      </c>
      <c r="W224" s="168" t="str">
        <f t="shared" si="20"/>
      </c>
      <c r="X224" s="169" t="str">
        <f t="shared" si="21"/>
      </c>
      <c r="Y224" s="168" t="str">
        <f>IF(ISBLANK(Table123[[#This Row],[Odds Spread]]), "",O224+IF(S224&lt;0, (O224/(S224/-100)), O224*(S224/100)))</f>
      </c>
      <c r="Z224" s="168" t="str">
        <f t="shared" si="22"/>
      </c>
      <c r="AA224" s="68" t="n">
        <f t="shared" si="23"/>
        <v>0</v>
      </c>
      <c r="AB224" s="68" t="n">
        <f t="shared" si="24"/>
        <v>0</v>
      </c>
      <c r="AC224" s="170" t="e">
        <f>IF('Prediction Log'!#REF!="Y", "W", IF('Prediction Log'!#REF!="N","L",""))</f>
        <v>#REF!</v>
      </c>
      <c r="AD224" s="171" t="e">
        <f>IF('Prediction Log'!#REF!="Y", "W", IF('Prediction Log'!#REF!="N","L",""))</f>
        <v>#REF!</v>
      </c>
      <c r="AE224" s="172" t="str">
        <f>IF(ISBLANK(Table123[[#This Row],[Odds Side - Difference Model]]), "",IF(AC224="W", W224, IF(AC224="L",-N224, "")))</f>
      </c>
      <c r="AF224" s="173" t="str">
        <f>IFERROR((IF(ISERR(Table123[[#This Row],[Potential Payout Side - Win Probability Model]]), "",IF(AD224="W", X224, IF(AD224="L",-N224, "")))), "")</f>
      </c>
      <c r="AG224" s="170" t="e">
        <f>IF('Prediction Log'!#REF!="Y", "W", IF('Prediction Log'!#REF!="N", "L", ""))</f>
        <v>#REF!</v>
      </c>
      <c r="AH224" s="172" t="str">
        <f>IF(ISBLANK(Table123[[#This Row],[Odds Spread]]), "",IF(AG224="W", Z224, IF(AG224="L",-O224, "")))</f>
      </c>
      <c r="AI224" s="184"/>
      <c r="AJ224" s="183" t="str">
        <f t="shared" si="25"/>
      </c>
      <c r="AK2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5">
      <c r="A225" s="65" t="e">
        <f>Games!#REF!</f>
        <v>#REF!</v>
      </c>
      <c r="B225" s="65" t="e">
        <f>IF('Prediction Log'!#REF!=0, "",'Prediction Log'!#REF!)</f>
        <v>#REF!</v>
      </c>
      <c r="C225" s="65" t="e">
        <f>IF('Prediction Log'!#REF!=0, "",'Prediction Log'!#REF!)</f>
        <v>#REF!</v>
      </c>
      <c r="D225" s="65" t="e">
        <f>IF('Prediction Log'!#REF!=0, "",'Prediction Log'!#REF!)</f>
        <v>#REF!</v>
      </c>
      <c r="E225" s="65" t="e">
        <f>IF('Prediction Log'!#REF!=0, "",'Prediction Log'!#REF!)</f>
        <v>#REF!</v>
      </c>
      <c r="F225" s="65" t="e">
        <f>IF('Prediction Log'!#REF!=0, "",'Prediction Log'!#REF!)</f>
        <v>#REF!</v>
      </c>
      <c r="G225" s="64" t="e">
        <f>IF(ISBLANK(Games!#REF!), "",'Prediction Log'!#REF!)</f>
        <v>#REF!</v>
      </c>
      <c r="H225" s="66" t="e">
        <f>'Prediction Log'!#REF!</f>
        <v>#REF!</v>
      </c>
      <c r="I225" s="65" t="e">
        <f>IF(ISBLANK(Games!#REF!), "",IF(AND(Games!#REF!="",Games!#REF!=""),"",IF(ISTEXT(Games!#REF!), "Side",Games!#REF!)))</f>
        <v>#REF!</v>
      </c>
      <c r="J225" s="65" t="e">
        <f>IF(ISBLANK(Games!#REF!), "",IF(Games!#REF!="Y", Games!#REF!, Games!#REF!))</f>
        <v>#REF!</v>
      </c>
      <c r="K225" s="65" t="e">
        <f>Games!#REF!</f>
        <v>#REF!</v>
      </c>
      <c r="L225" s="65" t="e">
        <f>IF(ISBLANK(Games!#REF!), "",Games!#REF!)</f>
        <v>#REF!</v>
      </c>
      <c r="M225" s="65"/>
      <c r="N225" s="167" t="str">
        <f>IF(ISBLANK(Table123[[#This Row],[Odds Side - Difference Model]]), "", 1)</f>
      </c>
      <c r="O225" s="167" t="str">
        <f>IF(ISBLANK(Table123[[#This Row],[Odds Spread]]), "", 1)</f>
      </c>
      <c r="P225" s="67"/>
      <c r="Q225" s="67"/>
      <c r="R2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5" s="67"/>
      <c r="T225" s="67"/>
      <c r="U225" s="168" t="str">
        <f>IF(ISBLANK(Table123[[#This Row],[Odds Side - Difference Model]]), "",N225+IF(Q225&lt;0, (N225/(Q225/-100)), N225*(Q225/100)))</f>
      </c>
      <c r="V225" s="169" t="str">
        <f>IFERROR(IF(ISBLANK(Table123[[#This Row],[Odds Side - Win Probability Model]]), "",N225+IF(R225&lt;0, (N225/(R225/-100)), N225*(R225/100))),"")</f>
      </c>
      <c r="W225" s="168" t="str">
        <f t="shared" si="20"/>
      </c>
      <c r="X225" s="169" t="str">
        <f t="shared" si="21"/>
      </c>
      <c r="Y225" s="168" t="str">
        <f>IF(ISBLANK(Table123[[#This Row],[Odds Spread]]), "",O225+IF(S225&lt;0, (O225/(S225/-100)), O225*(S225/100)))</f>
      </c>
      <c r="Z225" s="168" t="str">
        <f t="shared" si="22"/>
      </c>
      <c r="AA225" s="68" t="n">
        <f t="shared" si="23"/>
        <v>0</v>
      </c>
      <c r="AB225" s="68" t="n">
        <f t="shared" si="24"/>
        <v>0</v>
      </c>
      <c r="AC225" s="170" t="e">
        <f>IF('Prediction Log'!#REF!="Y", "W", IF('Prediction Log'!#REF!="N","L",""))</f>
        <v>#REF!</v>
      </c>
      <c r="AD225" s="171" t="e">
        <f>IF('Prediction Log'!#REF!="Y", "W", IF('Prediction Log'!#REF!="N","L",""))</f>
        <v>#REF!</v>
      </c>
      <c r="AE225" s="172" t="str">
        <f>IF(ISBLANK(Table123[[#This Row],[Odds Side - Difference Model]]), "",IF(AC225="W", W225, IF(AC225="L",-N225, "")))</f>
      </c>
      <c r="AF225" s="173" t="str">
        <f>IFERROR((IF(ISERR(Table123[[#This Row],[Potential Payout Side - Win Probability Model]]), "",IF(AD225="W", X225, IF(AD225="L",-N225, "")))), "")</f>
      </c>
      <c r="AG225" s="170" t="e">
        <f>IF('Prediction Log'!#REF!="Y", "W", IF('Prediction Log'!#REF!="N", "L", ""))</f>
        <v>#REF!</v>
      </c>
      <c r="AH225" s="172" t="str">
        <f>IF(ISBLANK(Table123[[#This Row],[Odds Spread]]), "",IF(AG225="W", Z225, IF(AG225="L",-O225, "")))</f>
      </c>
      <c r="AI225" s="184"/>
      <c r="AJ225" s="183" t="str">
        <f t="shared" si="25"/>
      </c>
      <c r="AK2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6">
      <c r="A226" s="65" t="e">
        <f>Games!#REF!</f>
        <v>#REF!</v>
      </c>
      <c r="B226" s="65" t="e">
        <f>IF('Prediction Log'!#REF!=0, "",'Prediction Log'!#REF!)</f>
        <v>#REF!</v>
      </c>
      <c r="C226" s="65" t="e">
        <f>IF('Prediction Log'!#REF!=0, "",'Prediction Log'!#REF!)</f>
        <v>#REF!</v>
      </c>
      <c r="D226" s="65" t="e">
        <f>IF('Prediction Log'!#REF!=0, "",'Prediction Log'!#REF!)</f>
        <v>#REF!</v>
      </c>
      <c r="E226" s="65" t="e">
        <f>IF('Prediction Log'!#REF!=0, "",'Prediction Log'!#REF!)</f>
        <v>#REF!</v>
      </c>
      <c r="F226" s="65" t="e">
        <f>IF('Prediction Log'!#REF!=0, "",'Prediction Log'!#REF!)</f>
        <v>#REF!</v>
      </c>
      <c r="G226" s="64" t="e">
        <f>IF(ISBLANK(Games!#REF!), "",'Prediction Log'!#REF!)</f>
        <v>#REF!</v>
      </c>
      <c r="H226" s="66" t="e">
        <f>'Prediction Log'!#REF!</f>
        <v>#REF!</v>
      </c>
      <c r="I226" s="65" t="e">
        <f>IF(ISBLANK(Games!#REF!), "",IF(AND(Games!#REF!="",Games!#REF!=""),"",IF(ISTEXT(Games!#REF!), "Side",Games!#REF!)))</f>
        <v>#REF!</v>
      </c>
      <c r="J226" s="65" t="e">
        <f>IF(ISBLANK(Games!#REF!), "",IF(Games!#REF!="Y", Games!#REF!, Games!#REF!))</f>
        <v>#REF!</v>
      </c>
      <c r="K226" s="65" t="e">
        <f>Games!#REF!</f>
        <v>#REF!</v>
      </c>
      <c r="L226" s="65" t="e">
        <f>IF(ISBLANK(Games!#REF!), "",Games!#REF!)</f>
        <v>#REF!</v>
      </c>
      <c r="M226" s="65"/>
      <c r="N226" s="167" t="str">
        <f>IF(ISBLANK(Table123[[#This Row],[Odds Side - Difference Model]]), "", 1)</f>
      </c>
      <c r="O226" s="167" t="str">
        <f>IF(ISBLANK(Table123[[#This Row],[Odds Spread]]), "", 1)</f>
      </c>
      <c r="P226" s="67"/>
      <c r="Q226" s="67"/>
      <c r="R2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6" s="67"/>
      <c r="T226" s="67"/>
      <c r="U226" s="168" t="str">
        <f>IF(ISBLANK(Table123[[#This Row],[Odds Side - Difference Model]]), "",N226+IF(Q226&lt;0, (N226/(Q226/-100)), N226*(Q226/100)))</f>
      </c>
      <c r="V226" s="169" t="str">
        <f>IFERROR(IF(ISBLANK(Table123[[#This Row],[Odds Side - Win Probability Model]]), "",N226+IF(R226&lt;0, (N226/(R226/-100)), N226*(R226/100))),"")</f>
      </c>
      <c r="W226" s="168" t="str">
        <f t="shared" si="20"/>
      </c>
      <c r="X226" s="169" t="str">
        <f t="shared" si="21"/>
      </c>
      <c r="Y226" s="168" t="str">
        <f>IF(ISBLANK(Table123[[#This Row],[Odds Spread]]), "",O226+IF(S226&lt;0, (O226/(S226/-100)), O226*(S226/100)))</f>
      </c>
      <c r="Z226" s="168" t="str">
        <f t="shared" si="22"/>
      </c>
      <c r="AA226" s="68" t="n">
        <f t="shared" si="23"/>
        <v>0</v>
      </c>
      <c r="AB226" s="68" t="n">
        <f t="shared" si="24"/>
        <v>0</v>
      </c>
      <c r="AC226" s="170" t="e">
        <f>IF('Prediction Log'!#REF!="Y", "W", IF('Prediction Log'!#REF!="N","L",""))</f>
        <v>#REF!</v>
      </c>
      <c r="AD226" s="171" t="e">
        <f>IF('Prediction Log'!#REF!="Y", "W", IF('Prediction Log'!#REF!="N","L",""))</f>
        <v>#REF!</v>
      </c>
      <c r="AE226" s="172" t="str">
        <f>IF(ISBLANK(Table123[[#This Row],[Odds Side - Difference Model]]), "",IF(AC226="W", W226, IF(AC226="L",-N226, "")))</f>
      </c>
      <c r="AF226" s="173" t="str">
        <f>IFERROR((IF(ISERR(Table123[[#This Row],[Potential Payout Side - Win Probability Model]]), "",IF(AD226="W", X226, IF(AD226="L",-N226, "")))), "")</f>
      </c>
      <c r="AG226" s="170" t="e">
        <f>IF('Prediction Log'!#REF!="Y", "W", IF('Prediction Log'!#REF!="N", "L", ""))</f>
        <v>#REF!</v>
      </c>
      <c r="AH226" s="172" t="str">
        <f>IF(ISBLANK(Table123[[#This Row],[Odds Spread]]), "",IF(AG226="W", Z226, IF(AG226="L",-O226, "")))</f>
      </c>
      <c r="AI226" s="184"/>
      <c r="AJ226" s="183" t="str">
        <f t="shared" si="25"/>
      </c>
      <c r="AK2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7">
      <c r="A227" s="65" t="e">
        <f>Games!#REF!</f>
        <v>#REF!</v>
      </c>
      <c r="B227" s="65" t="e">
        <f>IF('Prediction Log'!#REF!=0, "",'Prediction Log'!#REF!)</f>
        <v>#REF!</v>
      </c>
      <c r="C227" s="65" t="e">
        <f>IF('Prediction Log'!#REF!=0, "",'Prediction Log'!#REF!)</f>
        <v>#REF!</v>
      </c>
      <c r="D227" s="65" t="e">
        <f>IF('Prediction Log'!#REF!=0, "",'Prediction Log'!#REF!)</f>
        <v>#REF!</v>
      </c>
      <c r="E227" s="65" t="e">
        <f>IF('Prediction Log'!#REF!=0, "",'Prediction Log'!#REF!)</f>
        <v>#REF!</v>
      </c>
      <c r="F227" s="65" t="e">
        <f>IF('Prediction Log'!#REF!=0, "",'Prediction Log'!#REF!)</f>
        <v>#REF!</v>
      </c>
      <c r="G227" s="64" t="e">
        <f>IF(ISBLANK(Games!#REF!), "",'Prediction Log'!#REF!)</f>
        <v>#REF!</v>
      </c>
      <c r="H227" s="66" t="e">
        <f>'Prediction Log'!#REF!</f>
        <v>#REF!</v>
      </c>
      <c r="I227" s="65" t="e">
        <f>IF(ISBLANK(Games!#REF!), "",IF(AND(Games!#REF!="",Games!#REF!=""),"",IF(ISTEXT(Games!#REF!), "Side",Games!#REF!)))</f>
        <v>#REF!</v>
      </c>
      <c r="J227" s="65" t="e">
        <f>IF(ISBLANK(Games!#REF!), "",IF(Games!#REF!="Y", Games!#REF!, Games!#REF!))</f>
        <v>#REF!</v>
      </c>
      <c r="K227" s="65" t="e">
        <f>Games!#REF!</f>
        <v>#REF!</v>
      </c>
      <c r="L227" s="65" t="e">
        <f>IF(ISBLANK(Games!#REF!), "",Games!#REF!)</f>
        <v>#REF!</v>
      </c>
      <c r="M227" s="65"/>
      <c r="N227" s="167" t="str">
        <f>IF(ISBLANK(Table123[[#This Row],[Odds Side - Difference Model]]), "", 1)</f>
      </c>
      <c r="O227" s="167" t="str">
        <f>IF(ISBLANK(Table123[[#This Row],[Odds Spread]]), "", 1)</f>
      </c>
      <c r="P227" s="67"/>
      <c r="Q227" s="67"/>
      <c r="R2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7" s="67"/>
      <c r="T227" s="67"/>
      <c r="U227" s="168" t="str">
        <f>IF(ISBLANK(Table123[[#This Row],[Odds Side - Difference Model]]), "",N227+IF(Q227&lt;0, (N227/(Q227/-100)), N227*(Q227/100)))</f>
      </c>
      <c r="V227" s="169" t="str">
        <f>IFERROR(IF(ISBLANK(Table123[[#This Row],[Odds Side - Win Probability Model]]), "",N227+IF(R227&lt;0, (N227/(R227/-100)), N227*(R227/100))),"")</f>
      </c>
      <c r="W227" s="168" t="str">
        <f t="shared" si="20"/>
      </c>
      <c r="X227" s="169" t="str">
        <f t="shared" si="21"/>
      </c>
      <c r="Y227" s="168" t="str">
        <f>IF(ISBLANK(Table123[[#This Row],[Odds Spread]]), "",O227+IF(S227&lt;0, (O227/(S227/-100)), O227*(S227/100)))</f>
      </c>
      <c r="Z227" s="168" t="str">
        <f t="shared" si="22"/>
      </c>
      <c r="AA227" s="68" t="n">
        <f t="shared" si="23"/>
        <v>0</v>
      </c>
      <c r="AB227" s="68" t="n">
        <f t="shared" si="24"/>
        <v>0</v>
      </c>
      <c r="AC227" s="170" t="e">
        <f>IF('Prediction Log'!#REF!="Y", "W", IF('Prediction Log'!#REF!="N","L",""))</f>
        <v>#REF!</v>
      </c>
      <c r="AD227" s="171" t="e">
        <f>IF('Prediction Log'!#REF!="Y", "W", IF('Prediction Log'!#REF!="N","L",""))</f>
        <v>#REF!</v>
      </c>
      <c r="AE227" s="172" t="str">
        <f>IF(ISBLANK(Table123[[#This Row],[Odds Side - Difference Model]]), "",IF(AC227="W", W227, IF(AC227="L",-N227, "")))</f>
      </c>
      <c r="AF227" s="173" t="str">
        <f>IFERROR((IF(ISERR(Table123[[#This Row],[Potential Payout Side - Win Probability Model]]), "",IF(AD227="W", X227, IF(AD227="L",-N227, "")))), "")</f>
      </c>
      <c r="AG227" s="170" t="e">
        <f>IF('Prediction Log'!#REF!="Y", "W", IF('Prediction Log'!#REF!="N", "L", ""))</f>
        <v>#REF!</v>
      </c>
      <c r="AH227" s="172" t="str">
        <f>IF(ISBLANK(Table123[[#This Row],[Odds Spread]]), "",IF(AG227="W", Z227, IF(AG227="L",-O227, "")))</f>
      </c>
      <c r="AI227" s="184"/>
      <c r="AJ227" s="183" t="str">
        <f t="shared" si="25"/>
      </c>
      <c r="AK2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8">
      <c r="A228" s="65" t="e">
        <f>Games!#REF!</f>
        <v>#REF!</v>
      </c>
      <c r="B228" s="65" t="e">
        <f>IF('Prediction Log'!#REF!=0, "",'Prediction Log'!#REF!)</f>
        <v>#REF!</v>
      </c>
      <c r="C228" s="65" t="e">
        <f>IF('Prediction Log'!#REF!=0, "",'Prediction Log'!#REF!)</f>
        <v>#REF!</v>
      </c>
      <c r="D228" s="65" t="e">
        <f>IF('Prediction Log'!#REF!=0, "",'Prediction Log'!#REF!)</f>
        <v>#REF!</v>
      </c>
      <c r="E228" s="65" t="e">
        <f>IF('Prediction Log'!#REF!=0, "",'Prediction Log'!#REF!)</f>
        <v>#REF!</v>
      </c>
      <c r="F228" s="65" t="e">
        <f>IF('Prediction Log'!#REF!=0, "",'Prediction Log'!#REF!)</f>
        <v>#REF!</v>
      </c>
      <c r="G228" s="64" t="e">
        <f>IF(ISBLANK(Games!#REF!), "",'Prediction Log'!#REF!)</f>
        <v>#REF!</v>
      </c>
      <c r="H228" s="66" t="e">
        <f>'Prediction Log'!#REF!</f>
        <v>#REF!</v>
      </c>
      <c r="I228" s="65" t="e">
        <f>IF(ISBLANK(Games!#REF!), "",IF(AND(Games!#REF!="",Games!#REF!=""),"",IF(ISTEXT(Games!#REF!), "Side",Games!#REF!)))</f>
        <v>#REF!</v>
      </c>
      <c r="J228" s="65" t="e">
        <f>IF(ISBLANK(Games!#REF!), "",IF(Games!#REF!="Y", Games!#REF!, Games!#REF!))</f>
        <v>#REF!</v>
      </c>
      <c r="K228" s="65" t="e">
        <f>Games!#REF!</f>
        <v>#REF!</v>
      </c>
      <c r="L228" s="65" t="e">
        <f>IF(ISBLANK(Games!#REF!), "",Games!#REF!)</f>
        <v>#REF!</v>
      </c>
      <c r="M228" s="65"/>
      <c r="N228" s="167" t="str">
        <f>IF(ISBLANK(Table123[[#This Row],[Odds Side - Difference Model]]), "", 1)</f>
      </c>
      <c r="O228" s="167" t="str">
        <f>IF(ISBLANK(Table123[[#This Row],[Odds Spread]]), "", 1)</f>
      </c>
      <c r="P228" s="67"/>
      <c r="Q228" s="67"/>
      <c r="R2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8" s="67"/>
      <c r="T228" s="67"/>
      <c r="U228" s="168" t="str">
        <f>IF(ISBLANK(Table123[[#This Row],[Odds Side - Difference Model]]), "",N228+IF(Q228&lt;0, (N228/(Q228/-100)), N228*(Q228/100)))</f>
      </c>
      <c r="V228" s="169" t="str">
        <f>IFERROR(IF(ISBLANK(Table123[[#This Row],[Odds Side - Win Probability Model]]), "",N228+IF(R228&lt;0, (N228/(R228/-100)), N228*(R228/100))),"")</f>
      </c>
      <c r="W228" s="168" t="str">
        <f t="shared" si="20"/>
      </c>
      <c r="X228" s="169" t="str">
        <f t="shared" si="21"/>
      </c>
      <c r="Y228" s="168" t="str">
        <f>IF(ISBLANK(Table123[[#This Row],[Odds Spread]]), "",O228+IF(S228&lt;0, (O228/(S228/-100)), O228*(S228/100)))</f>
      </c>
      <c r="Z228" s="168" t="str">
        <f t="shared" si="22"/>
      </c>
      <c r="AA228" s="68" t="n">
        <f t="shared" si="23"/>
        <v>0</v>
      </c>
      <c r="AB228" s="68" t="n">
        <f t="shared" si="24"/>
        <v>0</v>
      </c>
      <c r="AC228" s="170" t="e">
        <f>IF('Prediction Log'!#REF!="Y", "W", IF('Prediction Log'!#REF!="N","L",""))</f>
        <v>#REF!</v>
      </c>
      <c r="AD228" s="171" t="e">
        <f>IF('Prediction Log'!#REF!="Y", "W", IF('Prediction Log'!#REF!="N","L",""))</f>
        <v>#REF!</v>
      </c>
      <c r="AE228" s="172" t="str">
        <f>IF(ISBLANK(Table123[[#This Row],[Odds Side - Difference Model]]), "",IF(AC228="W", W228, IF(AC228="L",-N228, "")))</f>
      </c>
      <c r="AF228" s="173" t="str">
        <f>IFERROR((IF(ISERR(Table123[[#This Row],[Potential Payout Side - Win Probability Model]]), "",IF(AD228="W", X228, IF(AD228="L",-N228, "")))), "")</f>
      </c>
      <c r="AG228" s="170" t="e">
        <f>IF('Prediction Log'!#REF!="Y", "W", IF('Prediction Log'!#REF!="N", "L", ""))</f>
        <v>#REF!</v>
      </c>
      <c r="AH228" s="172" t="str">
        <f>IF(ISBLANK(Table123[[#This Row],[Odds Spread]]), "",IF(AG228="W", Z228, IF(AG228="L",-O228, "")))</f>
      </c>
      <c r="AI228" s="184"/>
      <c r="AJ228" s="183" t="str">
        <f t="shared" si="25"/>
      </c>
      <c r="AK2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9">
      <c r="A229" s="65" t="e">
        <f>Games!#REF!</f>
        <v>#REF!</v>
      </c>
      <c r="B229" s="65" t="e">
        <f>IF('Prediction Log'!#REF!=0, "",'Prediction Log'!#REF!)</f>
        <v>#REF!</v>
      </c>
      <c r="C229" s="65" t="e">
        <f>IF('Prediction Log'!#REF!=0, "",'Prediction Log'!#REF!)</f>
        <v>#REF!</v>
      </c>
      <c r="D229" s="65" t="e">
        <f>IF('Prediction Log'!#REF!=0, "",'Prediction Log'!#REF!)</f>
        <v>#REF!</v>
      </c>
      <c r="E229" s="65" t="e">
        <f>IF('Prediction Log'!#REF!=0, "",'Prediction Log'!#REF!)</f>
        <v>#REF!</v>
      </c>
      <c r="F229" s="65" t="e">
        <f>IF('Prediction Log'!#REF!=0, "",'Prediction Log'!#REF!)</f>
        <v>#REF!</v>
      </c>
      <c r="G229" s="64" t="e">
        <f>IF(ISBLANK(Games!#REF!), "",'Prediction Log'!#REF!)</f>
        <v>#REF!</v>
      </c>
      <c r="H229" s="66" t="e">
        <f>'Prediction Log'!#REF!</f>
        <v>#REF!</v>
      </c>
      <c r="I229" s="65" t="e">
        <f>IF(ISBLANK(Games!#REF!), "",IF(AND(Games!#REF!="",Games!#REF!=""),"",IF(ISTEXT(Games!#REF!), "Side",Games!#REF!)))</f>
        <v>#REF!</v>
      </c>
      <c r="J229" s="65" t="e">
        <f>IF(ISBLANK(Games!#REF!), "",IF(Games!#REF!="Y", Games!#REF!, Games!#REF!))</f>
        <v>#REF!</v>
      </c>
      <c r="K229" s="65" t="e">
        <f>Games!#REF!</f>
        <v>#REF!</v>
      </c>
      <c r="L229" s="65" t="e">
        <f>IF(ISBLANK(Games!#REF!), "",Games!#REF!)</f>
        <v>#REF!</v>
      </c>
      <c r="M229" s="65"/>
      <c r="N229" s="167" t="str">
        <f>IF(ISBLANK(Table123[[#This Row],[Odds Side - Difference Model]]), "", 1)</f>
      </c>
      <c r="O229" s="167" t="str">
        <f>IF(ISBLANK(Table123[[#This Row],[Odds Spread]]), "", 1)</f>
      </c>
      <c r="P229" s="67"/>
      <c r="Q229" s="67"/>
      <c r="R2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9" s="67"/>
      <c r="T229" s="67"/>
      <c r="U229" s="168" t="str">
        <f>IF(ISBLANK(Table123[[#This Row],[Odds Side - Difference Model]]), "",N229+IF(Q229&lt;0, (N229/(Q229/-100)), N229*(Q229/100)))</f>
      </c>
      <c r="V229" s="169" t="str">
        <f>IFERROR(IF(ISBLANK(Table123[[#This Row],[Odds Side - Win Probability Model]]), "",N229+IF(R229&lt;0, (N229/(R229/-100)), N229*(R229/100))),"")</f>
      </c>
      <c r="W229" s="168" t="str">
        <f t="shared" si="20"/>
      </c>
      <c r="X229" s="169" t="str">
        <f t="shared" si="21"/>
      </c>
      <c r="Y229" s="168" t="str">
        <f>IF(ISBLANK(Table123[[#This Row],[Odds Spread]]), "",O229+IF(S229&lt;0, (O229/(S229/-100)), O229*(S229/100)))</f>
      </c>
      <c r="Z229" s="168" t="str">
        <f t="shared" si="22"/>
      </c>
      <c r="AA229" s="68" t="n">
        <f t="shared" si="23"/>
        <v>0</v>
      </c>
      <c r="AB229" s="68" t="n">
        <f t="shared" si="24"/>
        <v>0</v>
      </c>
      <c r="AC229" s="170" t="e">
        <f>IF('Prediction Log'!#REF!="Y", "W", IF('Prediction Log'!#REF!="N","L",""))</f>
        <v>#REF!</v>
      </c>
      <c r="AD229" s="171" t="e">
        <f>IF('Prediction Log'!#REF!="Y", "W", IF('Prediction Log'!#REF!="N","L",""))</f>
        <v>#REF!</v>
      </c>
      <c r="AE229" s="172" t="str">
        <f>IF(ISBLANK(Table123[[#This Row],[Odds Side - Difference Model]]), "",IF(AC229="W", W229, IF(AC229="L",-N229, "")))</f>
      </c>
      <c r="AF229" s="173" t="str">
        <f>IFERROR((IF(ISERR(Table123[[#This Row],[Potential Payout Side - Win Probability Model]]), "",IF(AD229="W", X229, IF(AD229="L",-N229, "")))), "")</f>
      </c>
      <c r="AG229" s="170" t="e">
        <f>IF('Prediction Log'!#REF!="Y", "W", IF('Prediction Log'!#REF!="N", "L", ""))</f>
        <v>#REF!</v>
      </c>
      <c r="AH229" s="172" t="str">
        <f>IF(ISBLANK(Table123[[#This Row],[Odds Spread]]), "",IF(AG229="W", Z229, IF(AG229="L",-O229, "")))</f>
      </c>
      <c r="AI229" s="184"/>
      <c r="AJ229" s="183" t="str">
        <f t="shared" si="25"/>
      </c>
      <c r="AK2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0">
      <c r="A230" s="65" t="e">
        <f>Games!#REF!</f>
        <v>#REF!</v>
      </c>
      <c r="B230" s="65" t="e">
        <f>IF('Prediction Log'!#REF!=0, "",'Prediction Log'!#REF!)</f>
        <v>#REF!</v>
      </c>
      <c r="C230" s="65" t="e">
        <f>IF('Prediction Log'!#REF!=0, "",'Prediction Log'!#REF!)</f>
        <v>#REF!</v>
      </c>
      <c r="D230" s="65" t="e">
        <f>IF('Prediction Log'!#REF!=0, "",'Prediction Log'!#REF!)</f>
        <v>#REF!</v>
      </c>
      <c r="E230" s="65" t="e">
        <f>IF('Prediction Log'!#REF!=0, "",'Prediction Log'!#REF!)</f>
        <v>#REF!</v>
      </c>
      <c r="F230" s="65" t="e">
        <f>IF('Prediction Log'!#REF!=0, "",'Prediction Log'!#REF!)</f>
        <v>#REF!</v>
      </c>
      <c r="G230" s="64" t="e">
        <f>IF(ISBLANK(Games!#REF!), "",'Prediction Log'!#REF!)</f>
        <v>#REF!</v>
      </c>
      <c r="H230" s="66" t="e">
        <f>'Prediction Log'!#REF!</f>
        <v>#REF!</v>
      </c>
      <c r="I230" s="65" t="e">
        <f>IF(ISBLANK(Games!#REF!), "",IF(AND(Games!#REF!="",Games!#REF!=""),"",IF(ISTEXT(Games!#REF!), "Side",Games!#REF!)))</f>
        <v>#REF!</v>
      </c>
      <c r="J230" s="65" t="e">
        <f>IF(ISBLANK(Games!#REF!), "",IF(Games!#REF!="Y", Games!#REF!, Games!#REF!))</f>
        <v>#REF!</v>
      </c>
      <c r="K230" s="65" t="e">
        <f>Games!#REF!</f>
        <v>#REF!</v>
      </c>
      <c r="L230" s="65" t="e">
        <f>IF(ISBLANK(Games!#REF!), "",Games!#REF!)</f>
        <v>#REF!</v>
      </c>
      <c r="M230" s="65"/>
      <c r="N230" s="167" t="str">
        <f>IF(ISBLANK(Table123[[#This Row],[Odds Side - Difference Model]]), "", 1)</f>
      </c>
      <c r="O230" s="167" t="str">
        <f>IF(ISBLANK(Table123[[#This Row],[Odds Spread]]), "", 1)</f>
      </c>
      <c r="P230" s="67"/>
      <c r="Q230" s="67"/>
      <c r="R2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0" s="67"/>
      <c r="T230" s="67"/>
      <c r="U230" s="168" t="str">
        <f>IF(ISBLANK(Table123[[#This Row],[Odds Side - Difference Model]]), "",N230+IF(Q230&lt;0, (N230/(Q230/-100)), N230*(Q230/100)))</f>
      </c>
      <c r="V230" s="169" t="str">
        <f>IFERROR(IF(ISBLANK(Table123[[#This Row],[Odds Side - Win Probability Model]]), "",N230+IF(R230&lt;0, (N230/(R230/-100)), N230*(R230/100))),"")</f>
      </c>
      <c r="W230" s="168" t="str">
        <f t="shared" si="20"/>
      </c>
      <c r="X230" s="169" t="str">
        <f t="shared" si="21"/>
      </c>
      <c r="Y230" s="168" t="str">
        <f>IF(ISBLANK(Table123[[#This Row],[Odds Spread]]), "",O230+IF(S230&lt;0, (O230/(S230/-100)), O230*(S230/100)))</f>
      </c>
      <c r="Z230" s="168" t="str">
        <f t="shared" si="22"/>
      </c>
      <c r="AA230" s="68" t="n">
        <f t="shared" si="23"/>
        <v>0</v>
      </c>
      <c r="AB230" s="68" t="n">
        <f t="shared" si="24"/>
        <v>0</v>
      </c>
      <c r="AC230" s="170" t="e">
        <f>IF('Prediction Log'!#REF!="Y", "W", IF('Prediction Log'!#REF!="N","L",""))</f>
        <v>#REF!</v>
      </c>
      <c r="AD230" s="171" t="e">
        <f>IF('Prediction Log'!#REF!="Y", "W", IF('Prediction Log'!#REF!="N","L",""))</f>
        <v>#REF!</v>
      </c>
      <c r="AE230" s="172" t="str">
        <f>IF(ISBLANK(Table123[[#This Row],[Odds Side - Difference Model]]), "",IF(AC230="W", W230, IF(AC230="L",-N230, "")))</f>
      </c>
      <c r="AF230" s="173" t="str">
        <f>IFERROR((IF(ISERR(Table123[[#This Row],[Potential Payout Side - Win Probability Model]]), "",IF(AD230="W", X230, IF(AD230="L",-N230, "")))), "")</f>
      </c>
      <c r="AG230" s="170" t="e">
        <f>IF('Prediction Log'!#REF!="Y", "W", IF('Prediction Log'!#REF!="N", "L", ""))</f>
        <v>#REF!</v>
      </c>
      <c r="AH230" s="172" t="str">
        <f>IF(ISBLANK(Table123[[#This Row],[Odds Spread]]), "",IF(AG230="W", Z230, IF(AG230="L",-O230, "")))</f>
      </c>
      <c r="AI230" s="184"/>
      <c r="AJ230" s="183" t="str">
        <f t="shared" si="25"/>
      </c>
      <c r="AK2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1">
      <c r="A231" s="65" t="e">
        <f>Games!#REF!</f>
        <v>#REF!</v>
      </c>
      <c r="B231" s="65" t="e">
        <f>IF('Prediction Log'!#REF!=0, "",'Prediction Log'!#REF!)</f>
        <v>#REF!</v>
      </c>
      <c r="C231" s="65" t="e">
        <f>IF('Prediction Log'!#REF!=0, "",'Prediction Log'!#REF!)</f>
        <v>#REF!</v>
      </c>
      <c r="D231" s="65" t="e">
        <f>IF('Prediction Log'!#REF!=0, "",'Prediction Log'!#REF!)</f>
        <v>#REF!</v>
      </c>
      <c r="E231" s="65" t="e">
        <f>IF('Prediction Log'!#REF!=0, "",'Prediction Log'!#REF!)</f>
        <v>#REF!</v>
      </c>
      <c r="F231" s="65" t="e">
        <f>IF('Prediction Log'!#REF!=0, "",'Prediction Log'!#REF!)</f>
        <v>#REF!</v>
      </c>
      <c r="G231" s="64" t="e">
        <f>IF(ISBLANK(Games!#REF!), "",'Prediction Log'!#REF!)</f>
        <v>#REF!</v>
      </c>
      <c r="H231" s="66" t="e">
        <f>'Prediction Log'!#REF!</f>
        <v>#REF!</v>
      </c>
      <c r="I231" s="65" t="e">
        <f>IF(ISBLANK(Games!#REF!), "",IF(AND(Games!#REF!="",Games!#REF!=""),"",IF(ISTEXT(Games!#REF!), "Side",Games!#REF!)))</f>
        <v>#REF!</v>
      </c>
      <c r="J231" s="65" t="e">
        <f>IF(ISBLANK(Games!#REF!), "",IF(Games!#REF!="Y", Games!#REF!, Games!#REF!))</f>
        <v>#REF!</v>
      </c>
      <c r="K231" s="65" t="e">
        <f>Games!#REF!</f>
        <v>#REF!</v>
      </c>
      <c r="L231" s="65" t="e">
        <f>IF(ISBLANK(Games!#REF!), "",Games!#REF!)</f>
        <v>#REF!</v>
      </c>
      <c r="M231" s="65"/>
      <c r="N231" s="167" t="str">
        <f>IF(ISBLANK(Table123[[#This Row],[Odds Side - Difference Model]]), "", 1)</f>
      </c>
      <c r="O231" s="167" t="str">
        <f>IF(ISBLANK(Table123[[#This Row],[Odds Spread]]), "", 1)</f>
      </c>
      <c r="P231" s="67"/>
      <c r="Q231" s="67"/>
      <c r="R2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1" s="67"/>
      <c r="T231" s="67"/>
      <c r="U231" s="168" t="str">
        <f>IF(ISBLANK(Table123[[#This Row],[Odds Side - Difference Model]]), "",N231+IF(Q231&lt;0, (N231/(Q231/-100)), N231*(Q231/100)))</f>
      </c>
      <c r="V231" s="169" t="str">
        <f>IFERROR(IF(ISBLANK(Table123[[#This Row],[Odds Side - Win Probability Model]]), "",N231+IF(R231&lt;0, (N231/(R231/-100)), N231*(R231/100))),"")</f>
      </c>
      <c r="W231" s="168" t="str">
        <f t="shared" si="20"/>
      </c>
      <c r="X231" s="169" t="str">
        <f t="shared" si="21"/>
      </c>
      <c r="Y231" s="168" t="str">
        <f>IF(ISBLANK(Table123[[#This Row],[Odds Spread]]), "",O231+IF(S231&lt;0, (O231/(S231/-100)), O231*(S231/100)))</f>
      </c>
      <c r="Z231" s="168" t="str">
        <f t="shared" si="22"/>
      </c>
      <c r="AA231" s="68" t="n">
        <f t="shared" si="23"/>
        <v>0</v>
      </c>
      <c r="AB231" s="68" t="n">
        <f t="shared" si="24"/>
        <v>0</v>
      </c>
      <c r="AC231" s="170" t="e">
        <f>IF('Prediction Log'!#REF!="Y", "W", IF('Prediction Log'!#REF!="N","L",""))</f>
        <v>#REF!</v>
      </c>
      <c r="AD231" s="171" t="e">
        <f>IF('Prediction Log'!#REF!="Y", "W", IF('Prediction Log'!#REF!="N","L",""))</f>
        <v>#REF!</v>
      </c>
      <c r="AE231" s="172" t="str">
        <f>IF(ISBLANK(Table123[[#This Row],[Odds Side - Difference Model]]), "",IF(AC231="W", W231, IF(AC231="L",-N231, "")))</f>
      </c>
      <c r="AF231" s="173" t="str">
        <f>IFERROR((IF(ISERR(Table123[[#This Row],[Potential Payout Side - Win Probability Model]]), "",IF(AD231="W", X231, IF(AD231="L",-N231, "")))), "")</f>
      </c>
      <c r="AG231" s="170" t="e">
        <f>IF('Prediction Log'!#REF!="Y", "W", IF('Prediction Log'!#REF!="N", "L", ""))</f>
        <v>#REF!</v>
      </c>
      <c r="AH231" s="172" t="str">
        <f>IF(ISBLANK(Table123[[#This Row],[Odds Spread]]), "",IF(AG231="W", Z231, IF(AG231="L",-O231, "")))</f>
      </c>
      <c r="AI231" s="184"/>
      <c r="AJ231" s="183" t="str">
        <f t="shared" si="25"/>
      </c>
      <c r="AK2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2">
      <c r="A232" s="65" t="e">
        <f>Games!#REF!</f>
        <v>#REF!</v>
      </c>
      <c r="B232" s="65" t="e">
        <f>IF('Prediction Log'!#REF!=0, "",'Prediction Log'!#REF!)</f>
        <v>#REF!</v>
      </c>
      <c r="C232" s="65" t="e">
        <f>IF('Prediction Log'!#REF!=0, "",'Prediction Log'!#REF!)</f>
        <v>#REF!</v>
      </c>
      <c r="D232" s="65" t="e">
        <f>IF('Prediction Log'!#REF!=0, "",'Prediction Log'!#REF!)</f>
        <v>#REF!</v>
      </c>
      <c r="E232" s="65" t="e">
        <f>IF('Prediction Log'!#REF!=0, "",'Prediction Log'!#REF!)</f>
        <v>#REF!</v>
      </c>
      <c r="F232" s="65" t="e">
        <f>IF('Prediction Log'!#REF!=0, "",'Prediction Log'!#REF!)</f>
        <v>#REF!</v>
      </c>
      <c r="G232" s="64" t="e">
        <f>IF(ISBLANK(Games!#REF!), "",'Prediction Log'!#REF!)</f>
        <v>#REF!</v>
      </c>
      <c r="H232" s="66" t="e">
        <f>'Prediction Log'!#REF!</f>
        <v>#REF!</v>
      </c>
      <c r="I232" s="65" t="e">
        <f>IF(ISBLANK(Games!#REF!), "",IF(AND(Games!#REF!="",Games!#REF!=""),"",IF(ISTEXT(Games!#REF!), "Side",Games!#REF!)))</f>
        <v>#REF!</v>
      </c>
      <c r="J232" s="65" t="e">
        <f>IF(ISBLANK(Games!#REF!), "",IF(Games!#REF!="Y", Games!#REF!, Games!#REF!))</f>
        <v>#REF!</v>
      </c>
      <c r="K232" s="65" t="e">
        <f>Games!#REF!</f>
        <v>#REF!</v>
      </c>
      <c r="L232" s="65" t="e">
        <f>IF(ISBLANK(Games!#REF!), "",Games!#REF!)</f>
        <v>#REF!</v>
      </c>
      <c r="M232" s="65"/>
      <c r="N232" s="167" t="str">
        <f>IF(ISBLANK(Table123[[#This Row],[Odds Side - Difference Model]]), "", 1)</f>
      </c>
      <c r="O232" s="167" t="str">
        <f>IF(ISBLANK(Table123[[#This Row],[Odds Spread]]), "", 1)</f>
      </c>
      <c r="P232" s="67"/>
      <c r="Q232" s="67"/>
      <c r="R2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2" s="67"/>
      <c r="T232" s="67"/>
      <c r="U232" s="168" t="str">
        <f>IF(ISBLANK(Table123[[#This Row],[Odds Side - Difference Model]]), "",N232+IF(Q232&lt;0, (N232/(Q232/-100)), N232*(Q232/100)))</f>
      </c>
      <c r="V232" s="169" t="str">
        <f>IFERROR(IF(ISBLANK(Table123[[#This Row],[Odds Side - Win Probability Model]]), "",N232+IF(R232&lt;0, (N232/(R232/-100)), N232*(R232/100))),"")</f>
      </c>
      <c r="W232" s="168" t="str">
        <f t="shared" si="20"/>
      </c>
      <c r="X232" s="169" t="str">
        <f t="shared" si="21"/>
      </c>
      <c r="Y232" s="168" t="str">
        <f>IF(ISBLANK(Table123[[#This Row],[Odds Spread]]), "",O232+IF(S232&lt;0, (O232/(S232/-100)), O232*(S232/100)))</f>
      </c>
      <c r="Z232" s="168" t="str">
        <f t="shared" si="22"/>
      </c>
      <c r="AA232" s="68" t="n">
        <f t="shared" si="23"/>
        <v>0</v>
      </c>
      <c r="AB232" s="68" t="n">
        <f t="shared" si="24"/>
        <v>0</v>
      </c>
      <c r="AC232" s="170" t="e">
        <f>IF('Prediction Log'!#REF!="Y", "W", IF('Prediction Log'!#REF!="N","L",""))</f>
        <v>#REF!</v>
      </c>
      <c r="AD232" s="171" t="e">
        <f>IF('Prediction Log'!#REF!="Y", "W", IF('Prediction Log'!#REF!="N","L",""))</f>
        <v>#REF!</v>
      </c>
      <c r="AE232" s="172" t="str">
        <f>IF(ISBLANK(Table123[[#This Row],[Odds Side - Difference Model]]), "",IF(AC232="W", W232, IF(AC232="L",-N232, "")))</f>
      </c>
      <c r="AF232" s="173" t="str">
        <f>IFERROR((IF(ISERR(Table123[[#This Row],[Potential Payout Side - Win Probability Model]]), "",IF(AD232="W", X232, IF(AD232="L",-N232, "")))), "")</f>
      </c>
      <c r="AG232" s="170" t="e">
        <f>IF('Prediction Log'!#REF!="Y", "W", IF('Prediction Log'!#REF!="N", "L", ""))</f>
        <v>#REF!</v>
      </c>
      <c r="AH232" s="172" t="str">
        <f>IF(ISBLANK(Table123[[#This Row],[Odds Spread]]), "",IF(AG232="W", Z232, IF(AG232="L",-O232, "")))</f>
      </c>
      <c r="AI232" s="184"/>
      <c r="AJ232" s="183" t="str">
        <f t="shared" si="25"/>
      </c>
      <c r="AK2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3">
      <c r="A233" s="65" t="e">
        <f>Games!#REF!</f>
        <v>#REF!</v>
      </c>
      <c r="B233" s="65" t="e">
        <f>IF('Prediction Log'!#REF!=0, "",'Prediction Log'!#REF!)</f>
        <v>#REF!</v>
      </c>
      <c r="C233" s="65" t="e">
        <f>IF('Prediction Log'!#REF!=0, "",'Prediction Log'!#REF!)</f>
        <v>#REF!</v>
      </c>
      <c r="D233" s="65" t="e">
        <f>IF('Prediction Log'!#REF!=0, "",'Prediction Log'!#REF!)</f>
        <v>#REF!</v>
      </c>
      <c r="E233" s="65" t="e">
        <f>IF('Prediction Log'!#REF!=0, "",'Prediction Log'!#REF!)</f>
        <v>#REF!</v>
      </c>
      <c r="F233" s="65" t="e">
        <f>IF('Prediction Log'!#REF!=0, "",'Prediction Log'!#REF!)</f>
        <v>#REF!</v>
      </c>
      <c r="G233" s="64" t="e">
        <f>IF(ISBLANK(Games!#REF!), "",'Prediction Log'!#REF!)</f>
        <v>#REF!</v>
      </c>
      <c r="H233" s="66" t="e">
        <f>'Prediction Log'!#REF!</f>
        <v>#REF!</v>
      </c>
      <c r="I233" s="65" t="e">
        <f>IF(ISBLANK(Games!#REF!), "",IF(AND(Games!#REF!="",Games!#REF!=""),"",IF(ISTEXT(Games!#REF!), "Side",Games!#REF!)))</f>
        <v>#REF!</v>
      </c>
      <c r="J233" s="65" t="e">
        <f>IF(ISBLANK(Games!#REF!), "",IF(Games!#REF!="Y", Games!#REF!, Games!#REF!))</f>
        <v>#REF!</v>
      </c>
      <c r="K233" s="65" t="e">
        <f>Games!#REF!</f>
        <v>#REF!</v>
      </c>
      <c r="L233" s="65" t="e">
        <f>IF(ISBLANK(Games!#REF!), "",Games!#REF!)</f>
        <v>#REF!</v>
      </c>
      <c r="M233" s="65"/>
      <c r="N233" s="167" t="str">
        <f>IF(ISBLANK(Table123[[#This Row],[Odds Side - Difference Model]]), "", 1)</f>
      </c>
      <c r="O233" s="167" t="str">
        <f>IF(ISBLANK(Table123[[#This Row],[Odds Spread]]), "", 1)</f>
      </c>
      <c r="P233" s="67"/>
      <c r="Q233" s="67"/>
      <c r="R2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3" s="67"/>
      <c r="T233" s="67"/>
      <c r="U233" s="168" t="str">
        <f>IF(ISBLANK(Table123[[#This Row],[Odds Side - Difference Model]]), "",N233+IF(Q233&lt;0, (N233/(Q233/-100)), N233*(Q233/100)))</f>
      </c>
      <c r="V233" s="169" t="str">
        <f>IFERROR(IF(ISBLANK(Table123[[#This Row],[Odds Side - Win Probability Model]]), "",N233+IF(R233&lt;0, (N233/(R233/-100)), N233*(R233/100))),"")</f>
      </c>
      <c r="W233" s="168" t="str">
        <f t="shared" si="20"/>
      </c>
      <c r="X233" s="169" t="str">
        <f t="shared" si="21"/>
      </c>
      <c r="Y233" s="168" t="str">
        <f>IF(ISBLANK(Table123[[#This Row],[Odds Spread]]), "",O233+IF(S233&lt;0, (O233/(S233/-100)), O233*(S233/100)))</f>
      </c>
      <c r="Z233" s="168" t="str">
        <f t="shared" si="22"/>
      </c>
      <c r="AA233" s="68" t="n">
        <f t="shared" si="23"/>
        <v>0</v>
      </c>
      <c r="AB233" s="68" t="n">
        <f t="shared" si="24"/>
        <v>0</v>
      </c>
      <c r="AC233" s="170" t="e">
        <f>IF('Prediction Log'!#REF!="Y", "W", IF('Prediction Log'!#REF!="N","L",""))</f>
        <v>#REF!</v>
      </c>
      <c r="AD233" s="171" t="e">
        <f>IF('Prediction Log'!#REF!="Y", "W", IF('Prediction Log'!#REF!="N","L",""))</f>
        <v>#REF!</v>
      </c>
      <c r="AE233" s="172" t="str">
        <f>IF(ISBLANK(Table123[[#This Row],[Odds Side - Difference Model]]), "",IF(AC233="W", W233, IF(AC233="L",-N233, "")))</f>
      </c>
      <c r="AF233" s="173" t="str">
        <f>IFERROR((IF(ISERR(Table123[[#This Row],[Potential Payout Side - Win Probability Model]]), "",IF(AD233="W", X233, IF(AD233="L",-N233, "")))), "")</f>
      </c>
      <c r="AG233" s="170" t="e">
        <f>IF('Prediction Log'!#REF!="Y", "W", IF('Prediction Log'!#REF!="N", "L", ""))</f>
        <v>#REF!</v>
      </c>
      <c r="AH233" s="172" t="str">
        <f>IF(ISBLANK(Table123[[#This Row],[Odds Spread]]), "",IF(AG233="W", Z233, IF(AG233="L",-O233, "")))</f>
      </c>
      <c r="AI233" s="184"/>
      <c r="AJ233" s="183" t="str">
        <f t="shared" si="25"/>
      </c>
      <c r="AK2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4">
      <c r="A234" s="65" t="e">
        <f>Games!#REF!</f>
        <v>#REF!</v>
      </c>
      <c r="B234" s="65" t="e">
        <f>IF('Prediction Log'!#REF!=0, "",'Prediction Log'!#REF!)</f>
        <v>#REF!</v>
      </c>
      <c r="C234" s="65" t="e">
        <f>IF('Prediction Log'!#REF!=0, "",'Prediction Log'!#REF!)</f>
        <v>#REF!</v>
      </c>
      <c r="D234" s="65" t="e">
        <f>IF('Prediction Log'!#REF!=0, "",'Prediction Log'!#REF!)</f>
        <v>#REF!</v>
      </c>
      <c r="E234" s="65" t="e">
        <f>IF('Prediction Log'!#REF!=0, "",'Prediction Log'!#REF!)</f>
        <v>#REF!</v>
      </c>
      <c r="F234" s="65" t="e">
        <f>IF('Prediction Log'!#REF!=0, "",'Prediction Log'!#REF!)</f>
        <v>#REF!</v>
      </c>
      <c r="G234" s="64" t="e">
        <f>IF(ISBLANK(Games!#REF!), "",'Prediction Log'!#REF!)</f>
        <v>#REF!</v>
      </c>
      <c r="H234" s="66" t="e">
        <f>'Prediction Log'!#REF!</f>
        <v>#REF!</v>
      </c>
      <c r="I234" s="65" t="e">
        <f>IF(ISBLANK(Games!#REF!), "",IF(AND(Games!#REF!="",Games!#REF!=""),"",IF(ISTEXT(Games!#REF!), "Side",Games!#REF!)))</f>
        <v>#REF!</v>
      </c>
      <c r="J234" s="65" t="e">
        <f>IF(ISBLANK(Games!#REF!), "",IF(Games!#REF!="Y", Games!#REF!, Games!#REF!))</f>
        <v>#REF!</v>
      </c>
      <c r="K234" s="65" t="e">
        <f>Games!#REF!</f>
        <v>#REF!</v>
      </c>
      <c r="L234" s="65" t="e">
        <f>IF(ISBLANK(Games!#REF!), "",Games!#REF!)</f>
        <v>#REF!</v>
      </c>
      <c r="M234" s="65"/>
      <c r="N234" s="167" t="str">
        <f>IF(ISBLANK(Table123[[#This Row],[Odds Side - Difference Model]]), "", 1)</f>
      </c>
      <c r="O234" s="167" t="str">
        <f>IF(ISBLANK(Table123[[#This Row],[Odds Spread]]), "", 1)</f>
      </c>
      <c r="P234" s="67"/>
      <c r="Q234" s="67"/>
      <c r="R2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4" s="67"/>
      <c r="T234" s="67"/>
      <c r="U234" s="168" t="str">
        <f>IF(ISBLANK(Table123[[#This Row],[Odds Side - Difference Model]]), "",N234+IF(Q234&lt;0, (N234/(Q234/-100)), N234*(Q234/100)))</f>
      </c>
      <c r="V234" s="169" t="str">
        <f>IFERROR(IF(ISBLANK(Table123[[#This Row],[Odds Side - Win Probability Model]]), "",N234+IF(R234&lt;0, (N234/(R234/-100)), N234*(R234/100))),"")</f>
      </c>
      <c r="W234" s="168" t="str">
        <f t="shared" si="20"/>
      </c>
      <c r="X234" s="169" t="str">
        <f t="shared" si="21"/>
      </c>
      <c r="Y234" s="168" t="str">
        <f>IF(ISBLANK(Table123[[#This Row],[Odds Spread]]), "",O234+IF(S234&lt;0, (O234/(S234/-100)), O234*(S234/100)))</f>
      </c>
      <c r="Z234" s="168" t="str">
        <f t="shared" si="22"/>
      </c>
      <c r="AA234" s="68" t="n">
        <f t="shared" si="23"/>
        <v>0</v>
      </c>
      <c r="AB234" s="68" t="n">
        <f t="shared" si="24"/>
        <v>0</v>
      </c>
      <c r="AC234" s="170" t="e">
        <f>IF('Prediction Log'!#REF!="Y", "W", IF('Prediction Log'!#REF!="N","L",""))</f>
        <v>#REF!</v>
      </c>
      <c r="AD234" s="171" t="e">
        <f>IF('Prediction Log'!#REF!="Y", "W", IF('Prediction Log'!#REF!="N","L",""))</f>
        <v>#REF!</v>
      </c>
      <c r="AE234" s="172" t="str">
        <f>IF(ISBLANK(Table123[[#This Row],[Odds Side - Difference Model]]), "",IF(AC234="W", W234, IF(AC234="L",-N234, "")))</f>
      </c>
      <c r="AF234" s="173" t="str">
        <f>IFERROR((IF(ISERR(Table123[[#This Row],[Potential Payout Side - Win Probability Model]]), "",IF(AD234="W", X234, IF(AD234="L",-N234, "")))), "")</f>
      </c>
      <c r="AG234" s="170" t="e">
        <f>IF('Prediction Log'!#REF!="Y", "W", IF('Prediction Log'!#REF!="N", "L", ""))</f>
        <v>#REF!</v>
      </c>
      <c r="AH234" s="172" t="str">
        <f>IF(ISBLANK(Table123[[#This Row],[Odds Spread]]), "",IF(AG234="W", Z234, IF(AG234="L",-O234, "")))</f>
      </c>
      <c r="AI234" s="184"/>
      <c r="AJ234" s="183" t="str">
        <f t="shared" si="25"/>
      </c>
      <c r="AK2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5">
      <c r="A235" s="65" t="e">
        <f>Games!#REF!</f>
        <v>#REF!</v>
      </c>
      <c r="B235" s="65" t="e">
        <f>IF('Prediction Log'!#REF!=0, "",'Prediction Log'!#REF!)</f>
        <v>#REF!</v>
      </c>
      <c r="C235" s="65" t="e">
        <f>IF('Prediction Log'!#REF!=0, "",'Prediction Log'!#REF!)</f>
        <v>#REF!</v>
      </c>
      <c r="D235" s="65" t="e">
        <f>IF('Prediction Log'!#REF!=0, "",'Prediction Log'!#REF!)</f>
        <v>#REF!</v>
      </c>
      <c r="E235" s="65" t="e">
        <f>IF('Prediction Log'!#REF!=0, "",'Prediction Log'!#REF!)</f>
        <v>#REF!</v>
      </c>
      <c r="F235" s="65" t="e">
        <f>IF('Prediction Log'!#REF!=0, "",'Prediction Log'!#REF!)</f>
        <v>#REF!</v>
      </c>
      <c r="G235" s="64" t="e">
        <f>IF(ISBLANK(Games!#REF!), "",'Prediction Log'!#REF!)</f>
        <v>#REF!</v>
      </c>
      <c r="H235" s="66" t="e">
        <f>'Prediction Log'!#REF!</f>
        <v>#REF!</v>
      </c>
      <c r="I235" s="65" t="e">
        <f>IF(ISBLANK(Games!#REF!), "",IF(AND(Games!#REF!="",Games!#REF!=""),"",IF(ISTEXT(Games!#REF!), "Side",Games!#REF!)))</f>
        <v>#REF!</v>
      </c>
      <c r="J235" s="65" t="e">
        <f>IF(ISBLANK(Games!#REF!), "",IF(Games!#REF!="Y", Games!#REF!, Games!#REF!))</f>
        <v>#REF!</v>
      </c>
      <c r="K235" s="65" t="e">
        <f>Games!#REF!</f>
        <v>#REF!</v>
      </c>
      <c r="L235" s="65" t="e">
        <f>IF(ISBLANK(Games!#REF!), "",Games!#REF!)</f>
        <v>#REF!</v>
      </c>
      <c r="M235" s="65"/>
      <c r="N235" s="167" t="str">
        <f>IF(ISBLANK(Table123[[#This Row],[Odds Side - Difference Model]]), "", 1)</f>
      </c>
      <c r="O235" s="167" t="str">
        <f>IF(ISBLANK(Table123[[#This Row],[Odds Spread]]), "", 1)</f>
      </c>
      <c r="P235" s="67"/>
      <c r="Q235" s="67"/>
      <c r="R2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5" s="67"/>
      <c r="T235" s="67"/>
      <c r="U235" s="168" t="str">
        <f>IF(ISBLANK(Table123[[#This Row],[Odds Side - Difference Model]]), "",N235+IF(Q235&lt;0, (N235/(Q235/-100)), N235*(Q235/100)))</f>
      </c>
      <c r="V235" s="169" t="str">
        <f>IFERROR(IF(ISBLANK(Table123[[#This Row],[Odds Side - Win Probability Model]]), "",N235+IF(R235&lt;0, (N235/(R235/-100)), N235*(R235/100))),"")</f>
      </c>
      <c r="W235" s="168" t="str">
        <f t="shared" si="20"/>
      </c>
      <c r="X235" s="169" t="str">
        <f t="shared" si="21"/>
      </c>
      <c r="Y235" s="168" t="str">
        <f>IF(ISBLANK(Table123[[#This Row],[Odds Spread]]), "",O235+IF(S235&lt;0, (O235/(S235/-100)), O235*(S235/100)))</f>
      </c>
      <c r="Z235" s="168" t="str">
        <f t="shared" si="22"/>
      </c>
      <c r="AA235" s="68" t="n">
        <f t="shared" si="23"/>
        <v>0</v>
      </c>
      <c r="AB235" s="68" t="n">
        <f t="shared" si="24"/>
        <v>0</v>
      </c>
      <c r="AC235" s="170" t="e">
        <f>IF('Prediction Log'!#REF!="Y", "W", IF('Prediction Log'!#REF!="N","L",""))</f>
        <v>#REF!</v>
      </c>
      <c r="AD235" s="171" t="e">
        <f>IF('Prediction Log'!#REF!="Y", "W", IF('Prediction Log'!#REF!="N","L",""))</f>
        <v>#REF!</v>
      </c>
      <c r="AE235" s="172" t="str">
        <f>IF(ISBLANK(Table123[[#This Row],[Odds Side - Difference Model]]), "",IF(AC235="W", W235, IF(AC235="L",-N235, "")))</f>
      </c>
      <c r="AF235" s="173" t="str">
        <f>IFERROR((IF(ISERR(Table123[[#This Row],[Potential Payout Side - Win Probability Model]]), "",IF(AD235="W", X235, IF(AD235="L",-N235, "")))), "")</f>
      </c>
      <c r="AG235" s="170" t="e">
        <f>IF('Prediction Log'!#REF!="Y", "W", IF('Prediction Log'!#REF!="N", "L", ""))</f>
        <v>#REF!</v>
      </c>
      <c r="AH235" s="172" t="str">
        <f>IF(ISBLANK(Table123[[#This Row],[Odds Spread]]), "",IF(AG235="W", Z235, IF(AG235="L",-O235, "")))</f>
      </c>
      <c r="AI235" s="184"/>
      <c r="AJ235" s="183" t="str">
        <f t="shared" si="25"/>
      </c>
      <c r="AK2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6">
      <c r="A236" s="65" t="e">
        <f>Games!#REF!</f>
        <v>#REF!</v>
      </c>
      <c r="B236" s="65" t="e">
        <f>IF('Prediction Log'!#REF!=0, "",'Prediction Log'!#REF!)</f>
        <v>#REF!</v>
      </c>
      <c r="C236" s="65" t="e">
        <f>IF('Prediction Log'!#REF!=0, "",'Prediction Log'!#REF!)</f>
        <v>#REF!</v>
      </c>
      <c r="D236" s="65" t="e">
        <f>IF('Prediction Log'!#REF!=0, "",'Prediction Log'!#REF!)</f>
        <v>#REF!</v>
      </c>
      <c r="E236" s="65" t="e">
        <f>IF('Prediction Log'!#REF!=0, "",'Prediction Log'!#REF!)</f>
        <v>#REF!</v>
      </c>
      <c r="F236" s="65" t="e">
        <f>IF('Prediction Log'!#REF!=0, "",'Prediction Log'!#REF!)</f>
        <v>#REF!</v>
      </c>
      <c r="G236" s="64" t="e">
        <f>IF(ISBLANK(Games!#REF!), "",'Prediction Log'!#REF!)</f>
        <v>#REF!</v>
      </c>
      <c r="H236" s="66" t="e">
        <f>'Prediction Log'!#REF!</f>
        <v>#REF!</v>
      </c>
      <c r="I236" s="65" t="e">
        <f>IF(ISBLANK(Games!#REF!), "",IF(AND(Games!#REF!="",Games!#REF!=""),"",IF(ISTEXT(Games!#REF!), "Side",Games!#REF!)))</f>
        <v>#REF!</v>
      </c>
      <c r="J236" s="65" t="e">
        <f>IF(ISBLANK(Games!#REF!), "",IF(Games!#REF!="Y", Games!#REF!, Games!#REF!))</f>
        <v>#REF!</v>
      </c>
      <c r="K236" s="65" t="e">
        <f>Games!#REF!</f>
        <v>#REF!</v>
      </c>
      <c r="L236" s="65" t="e">
        <f>IF(ISBLANK(Games!#REF!), "",Games!#REF!)</f>
        <v>#REF!</v>
      </c>
      <c r="M236" s="65"/>
      <c r="N236" s="167" t="str">
        <f>IF(ISBLANK(Table123[[#This Row],[Odds Side - Difference Model]]), "", 1)</f>
      </c>
      <c r="O236" s="167" t="str">
        <f>IF(ISBLANK(Table123[[#This Row],[Odds Spread]]), "", 1)</f>
      </c>
      <c r="P236" s="67"/>
      <c r="Q236" s="67"/>
      <c r="R2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6" s="67"/>
      <c r="T236" s="67"/>
      <c r="U236" s="168" t="str">
        <f>IF(ISBLANK(Table123[[#This Row],[Odds Side - Difference Model]]), "",N236+IF(Q236&lt;0, (N236/(Q236/-100)), N236*(Q236/100)))</f>
      </c>
      <c r="V236" s="169" t="str">
        <f>IFERROR(IF(ISBLANK(Table123[[#This Row],[Odds Side - Win Probability Model]]), "",N236+IF(R236&lt;0, (N236/(R236/-100)), N236*(R236/100))),"")</f>
      </c>
      <c r="W236" s="168" t="str">
        <f t="shared" si="20"/>
      </c>
      <c r="X236" s="169" t="str">
        <f t="shared" si="21"/>
      </c>
      <c r="Y236" s="168" t="str">
        <f>IF(ISBLANK(Table123[[#This Row],[Odds Spread]]), "",O236+IF(S236&lt;0, (O236/(S236/-100)), O236*(S236/100)))</f>
      </c>
      <c r="Z236" s="168" t="str">
        <f t="shared" si="22"/>
      </c>
      <c r="AA236" s="68" t="n">
        <f t="shared" si="23"/>
        <v>0</v>
      </c>
      <c r="AB236" s="68" t="n">
        <f t="shared" si="24"/>
        <v>0</v>
      </c>
      <c r="AC236" s="170" t="e">
        <f>IF('Prediction Log'!#REF!="Y", "W", IF('Prediction Log'!#REF!="N","L",""))</f>
        <v>#REF!</v>
      </c>
      <c r="AD236" s="171" t="e">
        <f>IF('Prediction Log'!#REF!="Y", "W", IF('Prediction Log'!#REF!="N","L",""))</f>
        <v>#REF!</v>
      </c>
      <c r="AE236" s="172" t="str">
        <f>IF(ISBLANK(Table123[[#This Row],[Odds Side - Difference Model]]), "",IF(AC236="W", W236, IF(AC236="L",-N236, "")))</f>
      </c>
      <c r="AF236" s="173" t="str">
        <f>IFERROR((IF(ISERR(Table123[[#This Row],[Potential Payout Side - Win Probability Model]]), "",IF(AD236="W", X236, IF(AD236="L",-N236, "")))), "")</f>
      </c>
      <c r="AG236" s="170" t="e">
        <f>IF('Prediction Log'!#REF!="Y", "W", IF('Prediction Log'!#REF!="N", "L", ""))</f>
        <v>#REF!</v>
      </c>
      <c r="AH236" s="172" t="str">
        <f>IF(ISBLANK(Table123[[#This Row],[Odds Spread]]), "",IF(AG236="W", Z236, IF(AG236="L",-O236, "")))</f>
      </c>
      <c r="AI236" s="184"/>
      <c r="AJ236" s="183" t="str">
        <f t="shared" si="25"/>
      </c>
      <c r="AK2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7">
      <c r="A237" s="65" t="e">
        <f>Games!#REF!</f>
        <v>#REF!</v>
      </c>
      <c r="B237" s="65" t="e">
        <f>IF('Prediction Log'!#REF!=0, "",'Prediction Log'!#REF!)</f>
        <v>#REF!</v>
      </c>
      <c r="C237" s="65" t="e">
        <f>IF('Prediction Log'!#REF!=0, "",'Prediction Log'!#REF!)</f>
        <v>#REF!</v>
      </c>
      <c r="D237" s="65" t="e">
        <f>IF('Prediction Log'!#REF!=0, "",'Prediction Log'!#REF!)</f>
        <v>#REF!</v>
      </c>
      <c r="E237" s="65" t="e">
        <f>IF('Prediction Log'!#REF!=0, "",'Prediction Log'!#REF!)</f>
        <v>#REF!</v>
      </c>
      <c r="F237" s="65" t="e">
        <f>IF('Prediction Log'!#REF!=0, "",'Prediction Log'!#REF!)</f>
        <v>#REF!</v>
      </c>
      <c r="G237" s="64" t="e">
        <f>IF(ISBLANK(Games!#REF!), "",'Prediction Log'!#REF!)</f>
        <v>#REF!</v>
      </c>
      <c r="H237" s="66" t="e">
        <f>'Prediction Log'!#REF!</f>
        <v>#REF!</v>
      </c>
      <c r="I237" s="65" t="e">
        <f>IF(ISBLANK(Games!#REF!), "",IF(AND(Games!#REF!="",Games!#REF!=""),"",IF(ISTEXT(Games!#REF!), "Side",Games!#REF!)))</f>
        <v>#REF!</v>
      </c>
      <c r="J237" s="65" t="e">
        <f>IF(ISBLANK(Games!#REF!), "",IF(Games!#REF!="Y", Games!#REF!, Games!#REF!))</f>
        <v>#REF!</v>
      </c>
      <c r="K237" s="65" t="e">
        <f>Games!#REF!</f>
        <v>#REF!</v>
      </c>
      <c r="L237" s="65" t="e">
        <f>IF(ISBLANK(Games!#REF!), "",Games!#REF!)</f>
        <v>#REF!</v>
      </c>
      <c r="M237" s="65"/>
      <c r="N237" s="167" t="str">
        <f>IF(ISBLANK(Table123[[#This Row],[Odds Side - Difference Model]]), "", 1)</f>
      </c>
      <c r="O237" s="167" t="str">
        <f>IF(ISBLANK(Table123[[#This Row],[Odds Spread]]), "", 1)</f>
      </c>
      <c r="P237" s="67"/>
      <c r="Q237" s="67"/>
      <c r="R2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7" s="67"/>
      <c r="T237" s="67"/>
      <c r="U237" s="168" t="str">
        <f>IF(ISBLANK(Table123[[#This Row],[Odds Side - Difference Model]]), "",N237+IF(Q237&lt;0, (N237/(Q237/-100)), N237*(Q237/100)))</f>
      </c>
      <c r="V237" s="169" t="str">
        <f>IFERROR(IF(ISBLANK(Table123[[#This Row],[Odds Side - Win Probability Model]]), "",N237+IF(R237&lt;0, (N237/(R237/-100)), N237*(R237/100))),"")</f>
      </c>
      <c r="W237" s="168" t="str">
        <f t="shared" si="20"/>
      </c>
      <c r="X237" s="169" t="str">
        <f t="shared" si="21"/>
      </c>
      <c r="Y237" s="168" t="str">
        <f>IF(ISBLANK(Table123[[#This Row],[Odds Spread]]), "",O237+IF(S237&lt;0, (O237/(S237/-100)), O237*(S237/100)))</f>
      </c>
      <c r="Z237" s="168" t="str">
        <f t="shared" si="22"/>
      </c>
      <c r="AA237" s="68" t="n">
        <f t="shared" si="23"/>
        <v>0</v>
      </c>
      <c r="AB237" s="68" t="n">
        <f t="shared" si="24"/>
        <v>0</v>
      </c>
      <c r="AC237" s="170" t="e">
        <f>IF('Prediction Log'!#REF!="Y", "W", IF('Prediction Log'!#REF!="N","L",""))</f>
        <v>#REF!</v>
      </c>
      <c r="AD237" s="171" t="e">
        <f>IF('Prediction Log'!#REF!="Y", "W", IF('Prediction Log'!#REF!="N","L",""))</f>
        <v>#REF!</v>
      </c>
      <c r="AE237" s="172" t="str">
        <f>IF(ISBLANK(Table123[[#This Row],[Odds Side - Difference Model]]), "",IF(AC237="W", W237, IF(AC237="L",-N237, "")))</f>
      </c>
      <c r="AF237" s="173" t="str">
        <f>IFERROR((IF(ISERR(Table123[[#This Row],[Potential Payout Side - Win Probability Model]]), "",IF(AD237="W", X237, IF(AD237="L",-N237, "")))), "")</f>
      </c>
      <c r="AG237" s="170" t="e">
        <f>IF('Prediction Log'!#REF!="Y", "W", IF('Prediction Log'!#REF!="N", "L", ""))</f>
        <v>#REF!</v>
      </c>
      <c r="AH237" s="172" t="str">
        <f>IF(ISBLANK(Table123[[#This Row],[Odds Spread]]), "",IF(AG237="W", Z237, IF(AG237="L",-O237, "")))</f>
      </c>
      <c r="AI237" s="184"/>
      <c r="AJ237" s="183" t="str">
        <f t="shared" si="25"/>
      </c>
      <c r="AK2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8">
      <c r="A238" s="65" t="e">
        <f>Games!#REF!</f>
        <v>#REF!</v>
      </c>
      <c r="B238" s="65" t="e">
        <f>IF('Prediction Log'!#REF!=0, "",'Prediction Log'!#REF!)</f>
        <v>#REF!</v>
      </c>
      <c r="C238" s="65" t="e">
        <f>IF('Prediction Log'!#REF!=0, "",'Prediction Log'!#REF!)</f>
        <v>#REF!</v>
      </c>
      <c r="D238" s="65" t="e">
        <f>IF('Prediction Log'!#REF!=0, "",'Prediction Log'!#REF!)</f>
        <v>#REF!</v>
      </c>
      <c r="E238" s="65" t="e">
        <f>IF('Prediction Log'!#REF!=0, "",'Prediction Log'!#REF!)</f>
        <v>#REF!</v>
      </c>
      <c r="F238" s="65" t="e">
        <f>IF('Prediction Log'!#REF!=0, "",'Prediction Log'!#REF!)</f>
        <v>#REF!</v>
      </c>
      <c r="G238" s="64" t="e">
        <f>IF(ISBLANK(Games!#REF!), "",'Prediction Log'!#REF!)</f>
        <v>#REF!</v>
      </c>
      <c r="H238" s="66" t="e">
        <f>'Prediction Log'!#REF!</f>
        <v>#REF!</v>
      </c>
      <c r="I238" s="65" t="e">
        <f>IF(ISBLANK(Games!#REF!), "",IF(AND(Games!#REF!="",Games!#REF!=""),"",IF(ISTEXT(Games!#REF!), "Side",Games!#REF!)))</f>
        <v>#REF!</v>
      </c>
      <c r="J238" s="65" t="e">
        <f>IF(ISBLANK(Games!#REF!), "",IF(Games!#REF!="Y", Games!#REF!, Games!#REF!))</f>
        <v>#REF!</v>
      </c>
      <c r="K238" s="65" t="e">
        <f>Games!#REF!</f>
        <v>#REF!</v>
      </c>
      <c r="L238" s="65" t="e">
        <f>IF(ISBLANK(Games!#REF!), "",Games!#REF!)</f>
        <v>#REF!</v>
      </c>
      <c r="M238" s="65"/>
      <c r="N238" s="167" t="str">
        <f>IF(ISBLANK(Table123[[#This Row],[Odds Side - Difference Model]]), "", 1)</f>
      </c>
      <c r="O238" s="167" t="str">
        <f>IF(ISBLANK(Table123[[#This Row],[Odds Spread]]), "", 1)</f>
      </c>
      <c r="P238" s="67"/>
      <c r="Q238" s="67"/>
      <c r="R2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8" s="67"/>
      <c r="T238" s="67"/>
      <c r="U238" s="168" t="str">
        <f>IF(ISBLANK(Table123[[#This Row],[Odds Side - Difference Model]]), "",N238+IF(Q238&lt;0, (N238/(Q238/-100)), N238*(Q238/100)))</f>
      </c>
      <c r="V238" s="169" t="str">
        <f>IFERROR(IF(ISBLANK(Table123[[#This Row],[Odds Side - Win Probability Model]]), "",N238+IF(R238&lt;0, (N238/(R238/-100)), N238*(R238/100))),"")</f>
      </c>
      <c r="W238" s="168" t="str">
        <f t="shared" si="20"/>
      </c>
      <c r="X238" s="169" t="str">
        <f t="shared" si="21"/>
      </c>
      <c r="Y238" s="168" t="str">
        <f>IF(ISBLANK(Table123[[#This Row],[Odds Spread]]), "",O238+IF(S238&lt;0, (O238/(S238/-100)), O238*(S238/100)))</f>
      </c>
      <c r="Z238" s="168" t="str">
        <f t="shared" si="22"/>
      </c>
      <c r="AA238" s="68" t="n">
        <f t="shared" si="23"/>
        <v>0</v>
      </c>
      <c r="AB238" s="68" t="n">
        <f t="shared" si="24"/>
        <v>0</v>
      </c>
      <c r="AC238" s="170" t="e">
        <f>IF('Prediction Log'!#REF!="Y", "W", IF('Prediction Log'!#REF!="N","L",""))</f>
        <v>#REF!</v>
      </c>
      <c r="AD238" s="171" t="e">
        <f>IF('Prediction Log'!#REF!="Y", "W", IF('Prediction Log'!#REF!="N","L",""))</f>
        <v>#REF!</v>
      </c>
      <c r="AE238" s="172" t="str">
        <f>IF(ISBLANK(Table123[[#This Row],[Odds Side - Difference Model]]), "",IF(AC238="W", W238, IF(AC238="L",-N238, "")))</f>
      </c>
      <c r="AF238" s="173" t="str">
        <f>IFERROR((IF(ISERR(Table123[[#This Row],[Potential Payout Side - Win Probability Model]]), "",IF(AD238="W", X238, IF(AD238="L",-N238, "")))), "")</f>
      </c>
      <c r="AG238" s="170" t="e">
        <f>IF('Prediction Log'!#REF!="Y", "W", IF('Prediction Log'!#REF!="N", "L", ""))</f>
        <v>#REF!</v>
      </c>
      <c r="AH238" s="172" t="str">
        <f>IF(ISBLANK(Table123[[#This Row],[Odds Spread]]), "",IF(AG238="W", Z238, IF(AG238="L",-O238, "")))</f>
      </c>
      <c r="AI238" s="184"/>
      <c r="AJ238" s="183" t="str">
        <f t="shared" si="25"/>
      </c>
      <c r="AK2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9">
      <c r="A239" s="65" t="e">
        <f>Games!#REF!</f>
        <v>#REF!</v>
      </c>
      <c r="B239" s="65" t="e">
        <f>IF('Prediction Log'!#REF!=0, "",'Prediction Log'!#REF!)</f>
        <v>#REF!</v>
      </c>
      <c r="C239" s="65" t="e">
        <f>IF('Prediction Log'!#REF!=0, "",'Prediction Log'!#REF!)</f>
        <v>#REF!</v>
      </c>
      <c r="D239" s="65" t="e">
        <f>IF('Prediction Log'!#REF!=0, "",'Prediction Log'!#REF!)</f>
        <v>#REF!</v>
      </c>
      <c r="E239" s="65" t="e">
        <f>IF('Prediction Log'!#REF!=0, "",'Prediction Log'!#REF!)</f>
        <v>#REF!</v>
      </c>
      <c r="F239" s="65" t="e">
        <f>IF('Prediction Log'!#REF!=0, "",'Prediction Log'!#REF!)</f>
        <v>#REF!</v>
      </c>
      <c r="G239" s="64" t="e">
        <f>IF(ISBLANK(Games!#REF!), "",'Prediction Log'!#REF!)</f>
        <v>#REF!</v>
      </c>
      <c r="H239" s="66" t="e">
        <f>'Prediction Log'!#REF!</f>
        <v>#REF!</v>
      </c>
      <c r="I239" s="65" t="e">
        <f>IF(ISBLANK(Games!#REF!), "",IF(AND(Games!#REF!="",Games!#REF!=""),"",IF(ISTEXT(Games!#REF!), "Side",Games!#REF!)))</f>
        <v>#REF!</v>
      </c>
      <c r="J239" s="65" t="e">
        <f>IF(ISBLANK(Games!#REF!), "",IF(Games!#REF!="Y", Games!#REF!, Games!#REF!))</f>
        <v>#REF!</v>
      </c>
      <c r="K239" s="65" t="e">
        <f>Games!#REF!</f>
        <v>#REF!</v>
      </c>
      <c r="L239" s="65" t="e">
        <f>IF(ISBLANK(Games!#REF!), "",Games!#REF!)</f>
        <v>#REF!</v>
      </c>
      <c r="M239" s="65"/>
      <c r="N239" s="167" t="str">
        <f>IF(ISBLANK(Table123[[#This Row],[Odds Side - Difference Model]]), "", 1)</f>
      </c>
      <c r="O239" s="167" t="str">
        <f>IF(ISBLANK(Table123[[#This Row],[Odds Spread]]), "", 1)</f>
      </c>
      <c r="P239" s="67"/>
      <c r="Q239" s="67"/>
      <c r="R2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9" s="67"/>
      <c r="T239" s="67"/>
      <c r="U239" s="168" t="str">
        <f>IF(ISBLANK(Table123[[#This Row],[Odds Side - Difference Model]]), "",N239+IF(Q239&lt;0, (N239/(Q239/-100)), N239*(Q239/100)))</f>
      </c>
      <c r="V239" s="169" t="str">
        <f>IFERROR(IF(ISBLANK(Table123[[#This Row],[Odds Side - Win Probability Model]]), "",N239+IF(R239&lt;0, (N239/(R239/-100)), N239*(R239/100))),"")</f>
      </c>
      <c r="W239" s="168" t="str">
        <f t="shared" si="20"/>
      </c>
      <c r="X239" s="169" t="str">
        <f t="shared" si="21"/>
      </c>
      <c r="Y239" s="168" t="str">
        <f>IF(ISBLANK(Table123[[#This Row],[Odds Spread]]), "",O239+IF(S239&lt;0, (O239/(S239/-100)), O239*(S239/100)))</f>
      </c>
      <c r="Z239" s="168" t="str">
        <f t="shared" si="22"/>
      </c>
      <c r="AA239" s="68" t="n">
        <f t="shared" si="23"/>
        <v>0</v>
      </c>
      <c r="AB239" s="68" t="n">
        <f t="shared" si="24"/>
        <v>0</v>
      </c>
      <c r="AC239" s="170" t="e">
        <f>IF('Prediction Log'!#REF!="Y", "W", IF('Prediction Log'!#REF!="N","L",""))</f>
        <v>#REF!</v>
      </c>
      <c r="AD239" s="171" t="e">
        <f>IF('Prediction Log'!#REF!="Y", "W", IF('Prediction Log'!#REF!="N","L",""))</f>
        <v>#REF!</v>
      </c>
      <c r="AE239" s="172" t="str">
        <f>IF(ISBLANK(Table123[[#This Row],[Odds Side - Difference Model]]), "",IF(AC239="W", W239, IF(AC239="L",-N239, "")))</f>
      </c>
      <c r="AF239" s="173" t="str">
        <f>IFERROR((IF(ISERR(Table123[[#This Row],[Potential Payout Side - Win Probability Model]]), "",IF(AD239="W", X239, IF(AD239="L",-N239, "")))), "")</f>
      </c>
      <c r="AG239" s="170" t="e">
        <f>IF('Prediction Log'!#REF!="Y", "W", IF('Prediction Log'!#REF!="N", "L", ""))</f>
        <v>#REF!</v>
      </c>
      <c r="AH239" s="172" t="str">
        <f>IF(ISBLANK(Table123[[#This Row],[Odds Spread]]), "",IF(AG239="W", Z239, IF(AG239="L",-O239, "")))</f>
      </c>
      <c r="AI239" s="184"/>
      <c r="AJ239" s="183" t="str">
        <f t="shared" si="25"/>
      </c>
      <c r="AK2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0">
      <c r="A240" s="65" t="e">
        <f>Games!#REF!</f>
        <v>#REF!</v>
      </c>
      <c r="B240" s="65" t="e">
        <f>IF('Prediction Log'!#REF!=0, "",'Prediction Log'!#REF!)</f>
        <v>#REF!</v>
      </c>
      <c r="C240" s="65" t="e">
        <f>IF('Prediction Log'!#REF!=0, "",'Prediction Log'!#REF!)</f>
        <v>#REF!</v>
      </c>
      <c r="D240" s="65" t="e">
        <f>IF('Prediction Log'!#REF!=0, "",'Prediction Log'!#REF!)</f>
        <v>#REF!</v>
      </c>
      <c r="E240" s="65" t="e">
        <f>IF('Prediction Log'!#REF!=0, "",'Prediction Log'!#REF!)</f>
        <v>#REF!</v>
      </c>
      <c r="F240" s="65" t="e">
        <f>IF('Prediction Log'!#REF!=0, "",'Prediction Log'!#REF!)</f>
        <v>#REF!</v>
      </c>
      <c r="G240" s="64" t="e">
        <f>IF(ISBLANK(Games!#REF!), "",'Prediction Log'!#REF!)</f>
        <v>#REF!</v>
      </c>
      <c r="H240" s="66" t="e">
        <f>'Prediction Log'!#REF!</f>
        <v>#REF!</v>
      </c>
      <c r="I240" s="65" t="e">
        <f>IF(ISBLANK(Games!#REF!), "",IF(AND(Games!#REF!="",Games!#REF!=""),"",IF(ISTEXT(Games!#REF!), "Side",Games!#REF!)))</f>
        <v>#REF!</v>
      </c>
      <c r="J240" s="65" t="e">
        <f>IF(ISBLANK(Games!#REF!), "",IF(Games!#REF!="Y", Games!#REF!, Games!#REF!))</f>
        <v>#REF!</v>
      </c>
      <c r="K240" s="65" t="e">
        <f>Games!#REF!</f>
        <v>#REF!</v>
      </c>
      <c r="L240" s="65" t="e">
        <f>IF(ISBLANK(Games!#REF!), "",Games!#REF!)</f>
        <v>#REF!</v>
      </c>
      <c r="M240" s="65"/>
      <c r="N240" s="167" t="str">
        <f>IF(ISBLANK(Table123[[#This Row],[Odds Side - Difference Model]]), "", 1)</f>
      </c>
      <c r="O240" s="167" t="str">
        <f>IF(ISBLANK(Table123[[#This Row],[Odds Spread]]), "", 1)</f>
      </c>
      <c r="P240" s="67"/>
      <c r="Q240" s="67"/>
      <c r="R2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0" s="67"/>
      <c r="T240" s="67"/>
      <c r="U240" s="168" t="str">
        <f>IF(ISBLANK(Table123[[#This Row],[Odds Side - Difference Model]]), "",N240+IF(Q240&lt;0, (N240/(Q240/-100)), N240*(Q240/100)))</f>
      </c>
      <c r="V240" s="169" t="str">
        <f>IFERROR(IF(ISBLANK(Table123[[#This Row],[Odds Side - Win Probability Model]]), "",N240+IF(R240&lt;0, (N240/(R240/-100)), N240*(R240/100))),"")</f>
      </c>
      <c r="W240" s="168" t="str">
        <f t="shared" si="20"/>
      </c>
      <c r="X240" s="169" t="str">
        <f t="shared" si="21"/>
      </c>
      <c r="Y240" s="168" t="str">
        <f>IF(ISBLANK(Table123[[#This Row],[Odds Spread]]), "",O240+IF(S240&lt;0, (O240/(S240/-100)), O240*(S240/100)))</f>
      </c>
      <c r="Z240" s="168" t="str">
        <f t="shared" si="22"/>
      </c>
      <c r="AA240" s="68" t="n">
        <f t="shared" si="23"/>
        <v>0</v>
      </c>
      <c r="AB240" s="68" t="n">
        <f t="shared" si="24"/>
        <v>0</v>
      </c>
      <c r="AC240" s="170" t="e">
        <f>IF('Prediction Log'!#REF!="Y", "W", IF('Prediction Log'!#REF!="N","L",""))</f>
        <v>#REF!</v>
      </c>
      <c r="AD240" s="171" t="e">
        <f>IF('Prediction Log'!#REF!="Y", "W", IF('Prediction Log'!#REF!="N","L",""))</f>
        <v>#REF!</v>
      </c>
      <c r="AE240" s="172" t="str">
        <f>IF(ISBLANK(Table123[[#This Row],[Odds Side - Difference Model]]), "",IF(AC240="W", W240, IF(AC240="L",-N240, "")))</f>
      </c>
      <c r="AF240" s="173" t="str">
        <f>IFERROR((IF(ISERR(Table123[[#This Row],[Potential Payout Side - Win Probability Model]]), "",IF(AD240="W", X240, IF(AD240="L",-N240, "")))), "")</f>
      </c>
      <c r="AG240" s="170" t="e">
        <f>IF('Prediction Log'!#REF!="Y", "W", IF('Prediction Log'!#REF!="N", "L", ""))</f>
        <v>#REF!</v>
      </c>
      <c r="AH240" s="172" t="str">
        <f>IF(ISBLANK(Table123[[#This Row],[Odds Spread]]), "",IF(AG240="W", Z240, IF(AG240="L",-O240, "")))</f>
      </c>
      <c r="AI240" s="184"/>
      <c r="AJ240" s="183" t="str">
        <f t="shared" si="25"/>
      </c>
      <c r="AK2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1">
      <c r="A241" s="65" t="e">
        <f>Games!#REF!</f>
        <v>#REF!</v>
      </c>
      <c r="B241" s="65" t="e">
        <f>IF('Prediction Log'!#REF!=0, "",'Prediction Log'!#REF!)</f>
        <v>#REF!</v>
      </c>
      <c r="C241" s="65" t="e">
        <f>IF('Prediction Log'!#REF!=0, "",'Prediction Log'!#REF!)</f>
        <v>#REF!</v>
      </c>
      <c r="D241" s="65" t="e">
        <f>IF('Prediction Log'!#REF!=0, "",'Prediction Log'!#REF!)</f>
        <v>#REF!</v>
      </c>
      <c r="E241" s="65" t="e">
        <f>IF('Prediction Log'!#REF!=0, "",'Prediction Log'!#REF!)</f>
        <v>#REF!</v>
      </c>
      <c r="F241" s="65" t="e">
        <f>IF('Prediction Log'!#REF!=0, "",'Prediction Log'!#REF!)</f>
        <v>#REF!</v>
      </c>
      <c r="G241" s="64" t="e">
        <f>IF(ISBLANK(Games!#REF!), "",'Prediction Log'!#REF!)</f>
        <v>#REF!</v>
      </c>
      <c r="H241" s="66" t="e">
        <f>'Prediction Log'!#REF!</f>
        <v>#REF!</v>
      </c>
      <c r="I241" s="65" t="e">
        <f>IF(ISBLANK(Games!#REF!), "",IF(AND(Games!#REF!="",Games!#REF!=""),"",IF(ISTEXT(Games!#REF!), "Side",Games!#REF!)))</f>
        <v>#REF!</v>
      </c>
      <c r="J241" s="65" t="e">
        <f>IF(ISBLANK(Games!#REF!), "",IF(Games!#REF!="Y", Games!#REF!, Games!#REF!))</f>
        <v>#REF!</v>
      </c>
      <c r="K241" s="65" t="e">
        <f>Games!#REF!</f>
        <v>#REF!</v>
      </c>
      <c r="L241" s="65" t="e">
        <f>IF(ISBLANK(Games!#REF!), "",Games!#REF!)</f>
        <v>#REF!</v>
      </c>
      <c r="M241" s="65"/>
      <c r="N241" s="167" t="str">
        <f>IF(ISBLANK(Table123[[#This Row],[Odds Side - Difference Model]]), "", 1)</f>
      </c>
      <c r="O241" s="167" t="str">
        <f>IF(ISBLANK(Table123[[#This Row],[Odds Spread]]), "", 1)</f>
      </c>
      <c r="P241" s="67"/>
      <c r="Q241" s="67"/>
      <c r="R2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1" s="67"/>
      <c r="T241" s="67"/>
      <c r="U241" s="168" t="str">
        <f>IF(ISBLANK(Table123[[#This Row],[Odds Side - Difference Model]]), "",N241+IF(Q241&lt;0, (N241/(Q241/-100)), N241*(Q241/100)))</f>
      </c>
      <c r="V241" s="169" t="str">
        <f>IFERROR(IF(ISBLANK(Table123[[#This Row],[Odds Side - Win Probability Model]]), "",N241+IF(R241&lt;0, (N241/(R241/-100)), N241*(R241/100))),"")</f>
      </c>
      <c r="W241" s="168" t="str">
        <f t="shared" si="20"/>
      </c>
      <c r="X241" s="169" t="str">
        <f t="shared" si="21"/>
      </c>
      <c r="Y241" s="168" t="str">
        <f>IF(ISBLANK(Table123[[#This Row],[Odds Spread]]), "",O241+IF(S241&lt;0, (O241/(S241/-100)), O241*(S241/100)))</f>
      </c>
      <c r="Z241" s="168" t="str">
        <f t="shared" si="22"/>
      </c>
      <c r="AA241" s="68" t="n">
        <f t="shared" si="23"/>
        <v>0</v>
      </c>
      <c r="AB241" s="68" t="n">
        <f t="shared" si="24"/>
        <v>0</v>
      </c>
      <c r="AC241" s="170" t="e">
        <f>IF('Prediction Log'!#REF!="Y", "W", IF('Prediction Log'!#REF!="N","L",""))</f>
        <v>#REF!</v>
      </c>
      <c r="AD241" s="171" t="e">
        <f>IF('Prediction Log'!#REF!="Y", "W", IF('Prediction Log'!#REF!="N","L",""))</f>
        <v>#REF!</v>
      </c>
      <c r="AE241" s="172" t="str">
        <f>IF(ISBLANK(Table123[[#This Row],[Odds Side - Difference Model]]), "",IF(AC241="W", W241, IF(AC241="L",-N241, "")))</f>
      </c>
      <c r="AF241" s="173" t="str">
        <f>IFERROR((IF(ISERR(Table123[[#This Row],[Potential Payout Side - Win Probability Model]]), "",IF(AD241="W", X241, IF(AD241="L",-N241, "")))), "")</f>
      </c>
      <c r="AG241" s="170" t="e">
        <f>IF('Prediction Log'!#REF!="Y", "W", IF('Prediction Log'!#REF!="N", "L", ""))</f>
        <v>#REF!</v>
      </c>
      <c r="AH241" s="172" t="str">
        <f>IF(ISBLANK(Table123[[#This Row],[Odds Spread]]), "",IF(AG241="W", Z241, IF(AG241="L",-O241, "")))</f>
      </c>
      <c r="AI241" s="184"/>
      <c r="AJ241" s="183" t="str">
        <f t="shared" si="25"/>
      </c>
      <c r="AK2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2">
      <c r="A242" s="65" t="e">
        <f>Games!#REF!</f>
        <v>#REF!</v>
      </c>
      <c r="B242" s="65" t="e">
        <f>IF('Prediction Log'!#REF!=0, "",'Prediction Log'!#REF!)</f>
        <v>#REF!</v>
      </c>
      <c r="C242" s="65" t="e">
        <f>IF('Prediction Log'!#REF!=0, "",'Prediction Log'!#REF!)</f>
        <v>#REF!</v>
      </c>
      <c r="D242" s="65" t="e">
        <f>IF('Prediction Log'!#REF!=0, "",'Prediction Log'!#REF!)</f>
        <v>#REF!</v>
      </c>
      <c r="E242" s="65" t="e">
        <f>IF('Prediction Log'!#REF!=0, "",'Prediction Log'!#REF!)</f>
        <v>#REF!</v>
      </c>
      <c r="F242" s="65" t="e">
        <f>IF('Prediction Log'!#REF!=0, "",'Prediction Log'!#REF!)</f>
        <v>#REF!</v>
      </c>
      <c r="G242" s="64" t="e">
        <f>IF(ISBLANK(Games!#REF!), "",'Prediction Log'!#REF!)</f>
        <v>#REF!</v>
      </c>
      <c r="H242" s="66" t="e">
        <f>'Prediction Log'!#REF!</f>
        <v>#REF!</v>
      </c>
      <c r="I242" s="65" t="e">
        <f>IF(ISBLANK(Games!#REF!), "",IF(AND(Games!#REF!="",Games!#REF!=""),"",IF(ISTEXT(Games!#REF!), "Side",Games!#REF!)))</f>
        <v>#REF!</v>
      </c>
      <c r="J242" s="65" t="e">
        <f>IF(ISBLANK(Games!#REF!), "",IF(Games!#REF!="Y", Games!#REF!, Games!#REF!))</f>
        <v>#REF!</v>
      </c>
      <c r="K242" s="65" t="e">
        <f>Games!#REF!</f>
        <v>#REF!</v>
      </c>
      <c r="L242" s="65" t="e">
        <f>IF(ISBLANK(Games!#REF!), "",Games!#REF!)</f>
        <v>#REF!</v>
      </c>
      <c r="M242" s="65"/>
      <c r="N242" s="167" t="str">
        <f>IF(ISBLANK(Table123[[#This Row],[Odds Side - Difference Model]]), "", 1)</f>
      </c>
      <c r="O242" s="167" t="str">
        <f>IF(ISBLANK(Table123[[#This Row],[Odds Spread]]), "", 1)</f>
      </c>
      <c r="P242" s="67"/>
      <c r="Q242" s="67"/>
      <c r="R2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2" s="67"/>
      <c r="T242" s="67"/>
      <c r="U242" s="168" t="str">
        <f>IF(ISBLANK(Table123[[#This Row],[Odds Side - Difference Model]]), "",N242+IF(Q242&lt;0, (N242/(Q242/-100)), N242*(Q242/100)))</f>
      </c>
      <c r="V242" s="169" t="str">
        <f>IFERROR(IF(ISBLANK(Table123[[#This Row],[Odds Side - Win Probability Model]]), "",N242+IF(R242&lt;0, (N242/(R242/-100)), N242*(R242/100))),"")</f>
      </c>
      <c r="W242" s="168" t="str">
        <f t="shared" si="20"/>
      </c>
      <c r="X242" s="169" t="str">
        <f t="shared" si="21"/>
      </c>
      <c r="Y242" s="168" t="str">
        <f>IF(ISBLANK(Table123[[#This Row],[Odds Spread]]), "",O242+IF(S242&lt;0, (O242/(S242/-100)), O242*(S242/100)))</f>
      </c>
      <c r="Z242" s="168" t="str">
        <f t="shared" si="22"/>
      </c>
      <c r="AA242" s="68" t="n">
        <f t="shared" si="23"/>
        <v>0</v>
      </c>
      <c r="AB242" s="68" t="n">
        <f t="shared" si="24"/>
        <v>0</v>
      </c>
      <c r="AC242" s="170" t="e">
        <f>IF('Prediction Log'!#REF!="Y", "W", IF('Prediction Log'!#REF!="N","L",""))</f>
        <v>#REF!</v>
      </c>
      <c r="AD242" s="171" t="e">
        <f>IF('Prediction Log'!#REF!="Y", "W", IF('Prediction Log'!#REF!="N","L",""))</f>
        <v>#REF!</v>
      </c>
      <c r="AE242" s="172" t="str">
        <f>IF(ISBLANK(Table123[[#This Row],[Odds Side - Difference Model]]), "",IF(AC242="W", W242, IF(AC242="L",-N242, "")))</f>
      </c>
      <c r="AF242" s="173" t="str">
        <f>IFERROR((IF(ISERR(Table123[[#This Row],[Potential Payout Side - Win Probability Model]]), "",IF(AD242="W", X242, IF(AD242="L",-N242, "")))), "")</f>
      </c>
      <c r="AG242" s="170" t="e">
        <f>IF('Prediction Log'!#REF!="Y", "W", IF('Prediction Log'!#REF!="N", "L", ""))</f>
        <v>#REF!</v>
      </c>
      <c r="AH242" s="172" t="str">
        <f>IF(ISBLANK(Table123[[#This Row],[Odds Spread]]), "",IF(AG242="W", Z242, IF(AG242="L",-O242, "")))</f>
      </c>
      <c r="AI242" s="184"/>
      <c r="AJ242" s="183" t="str">
        <f t="shared" si="25"/>
      </c>
      <c r="AK2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3">
      <c r="A243" s="65" t="e">
        <f>Games!#REF!</f>
        <v>#REF!</v>
      </c>
      <c r="B243" s="65" t="e">
        <f>IF('Prediction Log'!#REF!=0, "",'Prediction Log'!#REF!)</f>
        <v>#REF!</v>
      </c>
      <c r="C243" s="65" t="e">
        <f>IF('Prediction Log'!#REF!=0, "",'Prediction Log'!#REF!)</f>
        <v>#REF!</v>
      </c>
      <c r="D243" s="65" t="e">
        <f>IF('Prediction Log'!#REF!=0, "",'Prediction Log'!#REF!)</f>
        <v>#REF!</v>
      </c>
      <c r="E243" s="65" t="e">
        <f>IF('Prediction Log'!#REF!=0, "",'Prediction Log'!#REF!)</f>
        <v>#REF!</v>
      </c>
      <c r="F243" s="65" t="e">
        <f>IF('Prediction Log'!#REF!=0, "",'Prediction Log'!#REF!)</f>
        <v>#REF!</v>
      </c>
      <c r="G243" s="64" t="e">
        <f>IF(ISBLANK(Games!#REF!), "",'Prediction Log'!#REF!)</f>
        <v>#REF!</v>
      </c>
      <c r="H243" s="66" t="e">
        <f>'Prediction Log'!#REF!</f>
        <v>#REF!</v>
      </c>
      <c r="I243" s="65" t="e">
        <f>IF(ISBLANK(Games!#REF!), "",IF(AND(Games!#REF!="",Games!#REF!=""),"",IF(ISTEXT(Games!#REF!), "Side",Games!#REF!)))</f>
        <v>#REF!</v>
      </c>
      <c r="J243" s="65" t="e">
        <f>IF(ISBLANK(Games!#REF!), "",IF(Games!#REF!="Y", Games!#REF!, Games!#REF!))</f>
        <v>#REF!</v>
      </c>
      <c r="K243" s="65" t="e">
        <f>Games!#REF!</f>
        <v>#REF!</v>
      </c>
      <c r="L243" s="65" t="e">
        <f>IF(ISBLANK(Games!#REF!), "",Games!#REF!)</f>
        <v>#REF!</v>
      </c>
      <c r="M243" s="65"/>
      <c r="N243" s="167" t="str">
        <f>IF(ISBLANK(Table123[[#This Row],[Odds Side - Difference Model]]), "", 1)</f>
      </c>
      <c r="O243" s="167" t="str">
        <f>IF(ISBLANK(Table123[[#This Row],[Odds Spread]]), "", 1)</f>
      </c>
      <c r="P243" s="67"/>
      <c r="Q243" s="67"/>
      <c r="R2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3" s="67"/>
      <c r="T243" s="67"/>
      <c r="U243" s="168" t="str">
        <f>IF(ISBLANK(Table123[[#This Row],[Odds Side - Difference Model]]), "",N243+IF(Q243&lt;0, (N243/(Q243/-100)), N243*(Q243/100)))</f>
      </c>
      <c r="V243" s="169" t="str">
        <f>IFERROR(IF(ISBLANK(Table123[[#This Row],[Odds Side - Win Probability Model]]), "",N243+IF(R243&lt;0, (N243/(R243/-100)), N243*(R243/100))),"")</f>
      </c>
      <c r="W243" s="168" t="str">
        <f t="shared" si="20"/>
      </c>
      <c r="X243" s="169" t="str">
        <f t="shared" si="21"/>
      </c>
      <c r="Y243" s="168" t="str">
        <f>IF(ISBLANK(Table123[[#This Row],[Odds Spread]]), "",O243+IF(S243&lt;0, (O243/(S243/-100)), O243*(S243/100)))</f>
      </c>
      <c r="Z243" s="168" t="str">
        <f t="shared" si="22"/>
      </c>
      <c r="AA243" s="68" t="n">
        <f t="shared" si="23"/>
        <v>0</v>
      </c>
      <c r="AB243" s="68" t="n">
        <f t="shared" si="24"/>
        <v>0</v>
      </c>
      <c r="AC243" s="170" t="e">
        <f>IF('Prediction Log'!#REF!="Y", "W", IF('Prediction Log'!#REF!="N","L",""))</f>
        <v>#REF!</v>
      </c>
      <c r="AD243" s="171" t="e">
        <f>IF('Prediction Log'!#REF!="Y", "W", IF('Prediction Log'!#REF!="N","L",""))</f>
        <v>#REF!</v>
      </c>
      <c r="AE243" s="172" t="str">
        <f>IF(ISBLANK(Table123[[#This Row],[Odds Side - Difference Model]]), "",IF(AC243="W", W243, IF(AC243="L",-N243, "")))</f>
      </c>
      <c r="AF243" s="173" t="str">
        <f>IFERROR((IF(ISERR(Table123[[#This Row],[Potential Payout Side - Win Probability Model]]), "",IF(AD243="W", X243, IF(AD243="L",-N243, "")))), "")</f>
      </c>
      <c r="AG243" s="170" t="e">
        <f>IF('Prediction Log'!#REF!="Y", "W", IF('Prediction Log'!#REF!="N", "L", ""))</f>
        <v>#REF!</v>
      </c>
      <c r="AH243" s="172" t="str">
        <f>IF(ISBLANK(Table123[[#This Row],[Odds Spread]]), "",IF(AG243="W", Z243, IF(AG243="L",-O243, "")))</f>
      </c>
      <c r="AI243" s="184"/>
      <c r="AJ243" s="183" t="str">
        <f t="shared" si="25"/>
      </c>
      <c r="AK2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4">
      <c r="A244" s="65" t="e">
        <f>Games!#REF!</f>
        <v>#REF!</v>
      </c>
      <c r="B244" s="65" t="e">
        <f>IF('Prediction Log'!#REF!=0, "",'Prediction Log'!#REF!)</f>
        <v>#REF!</v>
      </c>
      <c r="C244" s="65" t="e">
        <f>IF('Prediction Log'!#REF!=0, "",'Prediction Log'!#REF!)</f>
        <v>#REF!</v>
      </c>
      <c r="D244" s="65" t="e">
        <f>IF('Prediction Log'!#REF!=0, "",'Prediction Log'!#REF!)</f>
        <v>#REF!</v>
      </c>
      <c r="E244" s="65" t="e">
        <f>IF('Prediction Log'!#REF!=0, "",'Prediction Log'!#REF!)</f>
        <v>#REF!</v>
      </c>
      <c r="F244" s="65" t="e">
        <f>IF('Prediction Log'!#REF!=0, "",'Prediction Log'!#REF!)</f>
        <v>#REF!</v>
      </c>
      <c r="G244" s="64" t="e">
        <f>IF(ISBLANK(Games!#REF!), "",'Prediction Log'!#REF!)</f>
        <v>#REF!</v>
      </c>
      <c r="H244" s="66" t="e">
        <f>'Prediction Log'!#REF!</f>
        <v>#REF!</v>
      </c>
      <c r="I244" s="65" t="e">
        <f>IF(ISBLANK(Games!#REF!), "",IF(AND(Games!#REF!="",Games!#REF!=""),"",IF(ISTEXT(Games!#REF!), "Side",Games!#REF!)))</f>
        <v>#REF!</v>
      </c>
      <c r="J244" s="65" t="e">
        <f>IF(ISBLANK(Games!#REF!), "",IF(Games!#REF!="Y", Games!#REF!, Games!#REF!))</f>
        <v>#REF!</v>
      </c>
      <c r="K244" s="65" t="e">
        <f>Games!#REF!</f>
        <v>#REF!</v>
      </c>
      <c r="L244" s="65" t="e">
        <f>IF(ISBLANK(Games!#REF!), "",Games!#REF!)</f>
        <v>#REF!</v>
      </c>
      <c r="M244" s="65"/>
      <c r="N244" s="167" t="str">
        <f>IF(ISBLANK(Table123[[#This Row],[Odds Side - Difference Model]]), "", 1)</f>
      </c>
      <c r="O244" s="167" t="str">
        <f>IF(ISBLANK(Table123[[#This Row],[Odds Spread]]), "", 1)</f>
      </c>
      <c r="P244" s="67"/>
      <c r="Q244" s="67"/>
      <c r="R2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4" s="67"/>
      <c r="T244" s="67"/>
      <c r="U244" s="168" t="str">
        <f>IF(ISBLANK(Table123[[#This Row],[Odds Side - Difference Model]]), "",N244+IF(Q244&lt;0, (N244/(Q244/-100)), N244*(Q244/100)))</f>
      </c>
      <c r="V244" s="169" t="str">
        <f>IFERROR(IF(ISBLANK(Table123[[#This Row],[Odds Side - Win Probability Model]]), "",N244+IF(R244&lt;0, (N244/(R244/-100)), N244*(R244/100))),"")</f>
      </c>
      <c r="W244" s="168" t="str">
        <f t="shared" si="20"/>
      </c>
      <c r="X244" s="169" t="str">
        <f t="shared" si="21"/>
      </c>
      <c r="Y244" s="168" t="str">
        <f>IF(ISBLANK(Table123[[#This Row],[Odds Spread]]), "",O244+IF(S244&lt;0, (O244/(S244/-100)), O244*(S244/100)))</f>
      </c>
      <c r="Z244" s="168" t="str">
        <f t="shared" si="22"/>
      </c>
      <c r="AA244" s="68" t="n">
        <f t="shared" si="23"/>
        <v>0</v>
      </c>
      <c r="AB244" s="68" t="n">
        <f t="shared" si="24"/>
        <v>0</v>
      </c>
      <c r="AC244" s="170" t="e">
        <f>IF('Prediction Log'!#REF!="Y", "W", IF('Prediction Log'!#REF!="N","L",""))</f>
        <v>#REF!</v>
      </c>
      <c r="AD244" s="171" t="e">
        <f>IF('Prediction Log'!#REF!="Y", "W", IF('Prediction Log'!#REF!="N","L",""))</f>
        <v>#REF!</v>
      </c>
      <c r="AE244" s="172" t="str">
        <f>IF(ISBLANK(Table123[[#This Row],[Odds Side - Difference Model]]), "",IF(AC244="W", W244, IF(AC244="L",-N244, "")))</f>
      </c>
      <c r="AF244" s="173" t="str">
        <f>IFERROR((IF(ISERR(Table123[[#This Row],[Potential Payout Side - Win Probability Model]]), "",IF(AD244="W", X244, IF(AD244="L",-N244, "")))), "")</f>
      </c>
      <c r="AG244" s="170" t="e">
        <f>IF('Prediction Log'!#REF!="Y", "W", IF('Prediction Log'!#REF!="N", "L", ""))</f>
        <v>#REF!</v>
      </c>
      <c r="AH244" s="172" t="str">
        <f>IF(ISBLANK(Table123[[#This Row],[Odds Spread]]), "",IF(AG244="W", Z244, IF(AG244="L",-O244, "")))</f>
      </c>
      <c r="AI244" s="184"/>
      <c r="AJ244" s="183" t="str">
        <f t="shared" si="25"/>
      </c>
      <c r="AK2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5">
      <c r="A245" s="65" t="e">
        <f>Games!#REF!</f>
        <v>#REF!</v>
      </c>
      <c r="B245" s="65" t="e">
        <f>IF('Prediction Log'!#REF!=0, "",'Prediction Log'!#REF!)</f>
        <v>#REF!</v>
      </c>
      <c r="C245" s="65" t="e">
        <f>IF('Prediction Log'!#REF!=0, "",'Prediction Log'!#REF!)</f>
        <v>#REF!</v>
      </c>
      <c r="D245" s="65" t="e">
        <f>IF('Prediction Log'!#REF!=0, "",'Prediction Log'!#REF!)</f>
        <v>#REF!</v>
      </c>
      <c r="E245" s="65" t="e">
        <f>IF('Prediction Log'!#REF!=0, "",'Prediction Log'!#REF!)</f>
        <v>#REF!</v>
      </c>
      <c r="F245" s="65" t="e">
        <f>IF('Prediction Log'!#REF!=0, "",'Prediction Log'!#REF!)</f>
        <v>#REF!</v>
      </c>
      <c r="G245" s="64" t="e">
        <f>IF(ISBLANK(Games!#REF!), "",'Prediction Log'!#REF!)</f>
        <v>#REF!</v>
      </c>
      <c r="H245" s="66" t="e">
        <f>'Prediction Log'!#REF!</f>
        <v>#REF!</v>
      </c>
      <c r="I245" s="65" t="e">
        <f>IF(ISBLANK(Games!#REF!), "",IF(AND(Games!#REF!="",Games!#REF!=""),"",IF(ISTEXT(Games!#REF!), "Side",Games!#REF!)))</f>
        <v>#REF!</v>
      </c>
      <c r="J245" s="65" t="e">
        <f>IF(ISBLANK(Games!#REF!), "",IF(Games!#REF!="Y", Games!#REF!, Games!#REF!))</f>
        <v>#REF!</v>
      </c>
      <c r="K245" s="65" t="e">
        <f>Games!#REF!</f>
        <v>#REF!</v>
      </c>
      <c r="L245" s="65" t="e">
        <f>IF(ISBLANK(Games!#REF!), "",Games!#REF!)</f>
        <v>#REF!</v>
      </c>
      <c r="M245" s="65"/>
      <c r="N245" s="167" t="str">
        <f>IF(ISBLANK(Table123[[#This Row],[Odds Side - Difference Model]]), "", 1)</f>
      </c>
      <c r="O245" s="167" t="str">
        <f>IF(ISBLANK(Table123[[#This Row],[Odds Spread]]), "", 1)</f>
      </c>
      <c r="P245" s="67"/>
      <c r="Q245" s="67"/>
      <c r="R2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5" s="67"/>
      <c r="T245" s="67"/>
      <c r="U245" s="168" t="str">
        <f>IF(ISBLANK(Table123[[#This Row],[Odds Side - Difference Model]]), "",N245+IF(Q245&lt;0, (N245/(Q245/-100)), N245*(Q245/100)))</f>
      </c>
      <c r="V245" s="169" t="str">
        <f>IFERROR(IF(ISBLANK(Table123[[#This Row],[Odds Side - Win Probability Model]]), "",N245+IF(R245&lt;0, (N245/(R245/-100)), N245*(R245/100))),"")</f>
      </c>
      <c r="W245" s="168" t="str">
        <f t="shared" si="20"/>
      </c>
      <c r="X245" s="169" t="str">
        <f t="shared" si="21"/>
      </c>
      <c r="Y245" s="168" t="str">
        <f>IF(ISBLANK(Table123[[#This Row],[Odds Spread]]), "",O245+IF(S245&lt;0, (O245/(S245/-100)), O245*(S245/100)))</f>
      </c>
      <c r="Z245" s="168" t="str">
        <f t="shared" si="22"/>
      </c>
      <c r="AA245" s="68" t="n">
        <f t="shared" si="23"/>
        <v>0</v>
      </c>
      <c r="AB245" s="68" t="n">
        <f t="shared" si="24"/>
        <v>0</v>
      </c>
      <c r="AC245" s="170" t="e">
        <f>IF('Prediction Log'!#REF!="Y", "W", IF('Prediction Log'!#REF!="N","L",""))</f>
        <v>#REF!</v>
      </c>
      <c r="AD245" s="171" t="e">
        <f>IF('Prediction Log'!#REF!="Y", "W", IF('Prediction Log'!#REF!="N","L",""))</f>
        <v>#REF!</v>
      </c>
      <c r="AE245" s="172" t="str">
        <f>IF(ISBLANK(Table123[[#This Row],[Odds Side - Difference Model]]), "",IF(AC245="W", W245, IF(AC245="L",-N245, "")))</f>
      </c>
      <c r="AF245" s="173" t="str">
        <f>IFERROR((IF(ISERR(Table123[[#This Row],[Potential Payout Side - Win Probability Model]]), "",IF(AD245="W", X245, IF(AD245="L",-N245, "")))), "")</f>
      </c>
      <c r="AG245" s="170" t="e">
        <f>IF('Prediction Log'!#REF!="Y", "W", IF('Prediction Log'!#REF!="N", "L", ""))</f>
        <v>#REF!</v>
      </c>
      <c r="AH245" s="172" t="str">
        <f>IF(ISBLANK(Table123[[#This Row],[Odds Spread]]), "",IF(AG245="W", Z245, IF(AG245="L",-O245, "")))</f>
      </c>
      <c r="AI245" s="184"/>
      <c r="AJ245" s="183" t="str">
        <f t="shared" si="25"/>
      </c>
      <c r="AK2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6">
      <c r="A246" s="65" t="e">
        <f>Games!#REF!</f>
        <v>#REF!</v>
      </c>
      <c r="B246" s="65" t="e">
        <f>IF('Prediction Log'!#REF!=0, "",'Prediction Log'!#REF!)</f>
        <v>#REF!</v>
      </c>
      <c r="C246" s="65" t="e">
        <f>IF('Prediction Log'!#REF!=0, "",'Prediction Log'!#REF!)</f>
        <v>#REF!</v>
      </c>
      <c r="D246" s="65" t="e">
        <f>IF('Prediction Log'!#REF!=0, "",'Prediction Log'!#REF!)</f>
        <v>#REF!</v>
      </c>
      <c r="E246" s="65" t="e">
        <f>IF('Prediction Log'!#REF!=0, "",'Prediction Log'!#REF!)</f>
        <v>#REF!</v>
      </c>
      <c r="F246" s="65" t="e">
        <f>IF('Prediction Log'!#REF!=0, "",'Prediction Log'!#REF!)</f>
        <v>#REF!</v>
      </c>
      <c r="G246" s="64" t="e">
        <f>IF(ISBLANK(Games!#REF!), "",'Prediction Log'!#REF!)</f>
        <v>#REF!</v>
      </c>
      <c r="H246" s="66" t="e">
        <f>'Prediction Log'!#REF!</f>
        <v>#REF!</v>
      </c>
      <c r="I246" s="65" t="e">
        <f>IF(ISBLANK(Games!#REF!), "",IF(AND(Games!#REF!="",Games!#REF!=""),"",IF(ISTEXT(Games!#REF!), "Side",Games!#REF!)))</f>
        <v>#REF!</v>
      </c>
      <c r="J246" s="65" t="e">
        <f>IF(ISBLANK(Games!#REF!), "",IF(Games!#REF!="Y", Games!#REF!, Games!#REF!))</f>
        <v>#REF!</v>
      </c>
      <c r="K246" s="65" t="e">
        <f>Games!#REF!</f>
        <v>#REF!</v>
      </c>
      <c r="L246" s="65" t="e">
        <f>IF(ISBLANK(Games!#REF!), "",Games!#REF!)</f>
        <v>#REF!</v>
      </c>
      <c r="M246" s="65"/>
      <c r="N246" s="167" t="str">
        <f>IF(ISBLANK(Table123[[#This Row],[Odds Side - Difference Model]]), "", 1)</f>
      </c>
      <c r="O246" s="167" t="str">
        <f>IF(ISBLANK(Table123[[#This Row],[Odds Spread]]), "", 1)</f>
      </c>
      <c r="P246" s="67"/>
      <c r="Q246" s="67"/>
      <c r="R2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6" s="67"/>
      <c r="T246" s="67"/>
      <c r="U246" s="168" t="str">
        <f>IF(ISBLANK(Table123[[#This Row],[Odds Side - Difference Model]]), "",N246+IF(Q246&lt;0, (N246/(Q246/-100)), N246*(Q246/100)))</f>
      </c>
      <c r="V246" s="169" t="str">
        <f>IFERROR(IF(ISBLANK(Table123[[#This Row],[Odds Side - Win Probability Model]]), "",N246+IF(R246&lt;0, (N246/(R246/-100)), N246*(R246/100))),"")</f>
      </c>
      <c r="W246" s="168" t="str">
        <f t="shared" si="20"/>
      </c>
      <c r="X246" s="169" t="str">
        <f t="shared" si="21"/>
      </c>
      <c r="Y246" s="168" t="str">
        <f>IF(ISBLANK(Table123[[#This Row],[Odds Spread]]), "",O246+IF(S246&lt;0, (O246/(S246/-100)), O246*(S246/100)))</f>
      </c>
      <c r="Z246" s="168" t="str">
        <f t="shared" si="22"/>
      </c>
      <c r="AA246" s="68" t="n">
        <f t="shared" si="23"/>
        <v>0</v>
      </c>
      <c r="AB246" s="68" t="n">
        <f t="shared" si="24"/>
        <v>0</v>
      </c>
      <c r="AC246" s="170" t="e">
        <f>IF('Prediction Log'!#REF!="Y", "W", IF('Prediction Log'!#REF!="N","L",""))</f>
        <v>#REF!</v>
      </c>
      <c r="AD246" s="171" t="e">
        <f>IF('Prediction Log'!#REF!="Y", "W", IF('Prediction Log'!#REF!="N","L",""))</f>
        <v>#REF!</v>
      </c>
      <c r="AE246" s="172" t="str">
        <f>IF(ISBLANK(Table123[[#This Row],[Odds Side - Difference Model]]), "",IF(AC246="W", W246, IF(AC246="L",-N246, "")))</f>
      </c>
      <c r="AF246" s="173" t="str">
        <f>IFERROR((IF(ISERR(Table123[[#This Row],[Potential Payout Side - Win Probability Model]]), "",IF(AD246="W", X246, IF(AD246="L",-N246, "")))), "")</f>
      </c>
      <c r="AG246" s="170" t="e">
        <f>IF('Prediction Log'!#REF!="Y", "W", IF('Prediction Log'!#REF!="N", "L", ""))</f>
        <v>#REF!</v>
      </c>
      <c r="AH246" s="172" t="str">
        <f>IF(ISBLANK(Table123[[#This Row],[Odds Spread]]), "",IF(AG246="W", Z246, IF(AG246="L",-O246, "")))</f>
      </c>
      <c r="AI246" s="184"/>
      <c r="AJ246" s="183" t="str">
        <f t="shared" si="25"/>
      </c>
      <c r="AK2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7">
      <c r="A247" s="65" t="e">
        <f>Games!#REF!</f>
        <v>#REF!</v>
      </c>
      <c r="B247" s="65" t="e">
        <f>IF('Prediction Log'!#REF!=0, "",'Prediction Log'!#REF!)</f>
        <v>#REF!</v>
      </c>
      <c r="C247" s="65" t="e">
        <f>IF('Prediction Log'!#REF!=0, "",'Prediction Log'!#REF!)</f>
        <v>#REF!</v>
      </c>
      <c r="D247" s="65" t="e">
        <f>IF('Prediction Log'!#REF!=0, "",'Prediction Log'!#REF!)</f>
        <v>#REF!</v>
      </c>
      <c r="E247" s="65" t="e">
        <f>IF('Prediction Log'!#REF!=0, "",'Prediction Log'!#REF!)</f>
        <v>#REF!</v>
      </c>
      <c r="F247" s="65" t="e">
        <f>IF('Prediction Log'!#REF!=0, "",'Prediction Log'!#REF!)</f>
        <v>#REF!</v>
      </c>
      <c r="G247" s="64" t="e">
        <f>IF(ISBLANK(Games!#REF!), "",'Prediction Log'!#REF!)</f>
        <v>#REF!</v>
      </c>
      <c r="H247" s="66" t="e">
        <f>'Prediction Log'!#REF!</f>
        <v>#REF!</v>
      </c>
      <c r="I247" s="65" t="e">
        <f>IF(ISBLANK(Games!#REF!), "",IF(AND(Games!#REF!="",Games!#REF!=""),"",IF(ISTEXT(Games!#REF!), "Side",Games!#REF!)))</f>
        <v>#REF!</v>
      </c>
      <c r="J247" s="65" t="e">
        <f>IF(ISBLANK(Games!#REF!), "",IF(Games!#REF!="Y", Games!#REF!, Games!#REF!))</f>
        <v>#REF!</v>
      </c>
      <c r="K247" s="65" t="e">
        <f>Games!#REF!</f>
        <v>#REF!</v>
      </c>
      <c r="L247" s="65" t="e">
        <f>IF(ISBLANK(Games!#REF!), "",Games!#REF!)</f>
        <v>#REF!</v>
      </c>
      <c r="M247" s="65"/>
      <c r="N247" s="167" t="str">
        <f>IF(ISBLANK(Table123[[#This Row],[Odds Side - Difference Model]]), "", 1)</f>
      </c>
      <c r="O247" s="167" t="str">
        <f>IF(ISBLANK(Table123[[#This Row],[Odds Spread]]), "", 1)</f>
      </c>
      <c r="P247" s="67"/>
      <c r="Q247" s="67"/>
      <c r="R2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7" s="67"/>
      <c r="T247" s="67"/>
      <c r="U247" s="168" t="str">
        <f>IF(ISBLANK(Table123[[#This Row],[Odds Side - Difference Model]]), "",N247+IF(Q247&lt;0, (N247/(Q247/-100)), N247*(Q247/100)))</f>
      </c>
      <c r="V247" s="169" t="str">
        <f>IFERROR(IF(ISBLANK(Table123[[#This Row],[Odds Side - Win Probability Model]]), "",N247+IF(R247&lt;0, (N247/(R247/-100)), N247*(R247/100))),"")</f>
      </c>
      <c r="W247" s="168" t="str">
        <f t="shared" si="20"/>
      </c>
      <c r="X247" s="169" t="str">
        <f t="shared" si="21"/>
      </c>
      <c r="Y247" s="168" t="str">
        <f>IF(ISBLANK(Table123[[#This Row],[Odds Spread]]), "",O247+IF(S247&lt;0, (O247/(S247/-100)), O247*(S247/100)))</f>
      </c>
      <c r="Z247" s="168" t="str">
        <f t="shared" si="22"/>
      </c>
      <c r="AA247" s="68" t="n">
        <f t="shared" si="23"/>
        <v>0</v>
      </c>
      <c r="AB247" s="68" t="n">
        <f t="shared" si="24"/>
        <v>0</v>
      </c>
      <c r="AC247" s="170" t="e">
        <f>IF('Prediction Log'!#REF!="Y", "W", IF('Prediction Log'!#REF!="N","L",""))</f>
        <v>#REF!</v>
      </c>
      <c r="AD247" s="171" t="e">
        <f>IF('Prediction Log'!#REF!="Y", "W", IF('Prediction Log'!#REF!="N","L",""))</f>
        <v>#REF!</v>
      </c>
      <c r="AE247" s="172" t="str">
        <f>IF(ISBLANK(Table123[[#This Row],[Odds Side - Difference Model]]), "",IF(AC247="W", W247, IF(AC247="L",-N247, "")))</f>
      </c>
      <c r="AF247" s="173" t="str">
        <f>IFERROR((IF(ISERR(Table123[[#This Row],[Potential Payout Side - Win Probability Model]]), "",IF(AD247="W", X247, IF(AD247="L",-N247, "")))), "")</f>
      </c>
      <c r="AG247" s="170" t="e">
        <f>IF('Prediction Log'!#REF!="Y", "W", IF('Prediction Log'!#REF!="N", "L", ""))</f>
        <v>#REF!</v>
      </c>
      <c r="AH247" s="172" t="str">
        <f>IF(ISBLANK(Table123[[#This Row],[Odds Spread]]), "",IF(AG247="W", Z247, IF(AG247="L",-O247, "")))</f>
      </c>
      <c r="AI247" s="184"/>
      <c r="AJ247" s="183" t="str">
        <f t="shared" si="25"/>
      </c>
      <c r="AK2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8">
      <c r="A248" s="65" t="e">
        <f>Games!#REF!</f>
        <v>#REF!</v>
      </c>
      <c r="B248" s="65" t="e">
        <f>IF('Prediction Log'!#REF!=0, "",'Prediction Log'!#REF!)</f>
        <v>#REF!</v>
      </c>
      <c r="C248" s="65" t="e">
        <f>IF('Prediction Log'!#REF!=0, "",'Prediction Log'!#REF!)</f>
        <v>#REF!</v>
      </c>
      <c r="D248" s="65" t="e">
        <f>IF('Prediction Log'!#REF!=0, "",'Prediction Log'!#REF!)</f>
        <v>#REF!</v>
      </c>
      <c r="E248" s="65" t="e">
        <f>IF('Prediction Log'!#REF!=0, "",'Prediction Log'!#REF!)</f>
        <v>#REF!</v>
      </c>
      <c r="F248" s="65" t="e">
        <f>IF('Prediction Log'!#REF!=0, "",'Prediction Log'!#REF!)</f>
        <v>#REF!</v>
      </c>
      <c r="G248" s="64" t="e">
        <f>IF(ISBLANK(Games!#REF!), "",'Prediction Log'!#REF!)</f>
        <v>#REF!</v>
      </c>
      <c r="H248" s="66" t="e">
        <f>'Prediction Log'!#REF!</f>
        <v>#REF!</v>
      </c>
      <c r="I248" s="65" t="e">
        <f>IF(ISBLANK(Games!#REF!), "",IF(AND(Games!#REF!="",Games!#REF!=""),"",IF(ISTEXT(Games!#REF!), "Side",Games!#REF!)))</f>
        <v>#REF!</v>
      </c>
      <c r="J248" s="65" t="e">
        <f>IF(ISBLANK(Games!#REF!), "",IF(Games!#REF!="Y", Games!#REF!, Games!#REF!))</f>
        <v>#REF!</v>
      </c>
      <c r="K248" s="65" t="e">
        <f>Games!#REF!</f>
        <v>#REF!</v>
      </c>
      <c r="L248" s="65" t="e">
        <f>IF(ISBLANK(Games!#REF!), "",Games!#REF!)</f>
        <v>#REF!</v>
      </c>
      <c r="M248" s="65"/>
      <c r="N248" s="167" t="str">
        <f>IF(ISBLANK(Table123[[#This Row],[Odds Side - Difference Model]]), "", 1)</f>
      </c>
      <c r="O248" s="167" t="str">
        <f>IF(ISBLANK(Table123[[#This Row],[Odds Spread]]), "", 1)</f>
      </c>
      <c r="P248" s="67"/>
      <c r="Q248" s="67"/>
      <c r="R2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8" s="67"/>
      <c r="T248" s="67"/>
      <c r="U248" s="168" t="str">
        <f>IF(ISBLANK(Table123[[#This Row],[Odds Side - Difference Model]]), "",N248+IF(Q248&lt;0, (N248/(Q248/-100)), N248*(Q248/100)))</f>
      </c>
      <c r="V248" s="169" t="str">
        <f>IFERROR(IF(ISBLANK(Table123[[#This Row],[Odds Side - Win Probability Model]]), "",N248+IF(R248&lt;0, (N248/(R248/-100)), N248*(R248/100))),"")</f>
      </c>
      <c r="W248" s="168" t="str">
        <f t="shared" si="20"/>
      </c>
      <c r="X248" s="169" t="str">
        <f t="shared" si="21"/>
      </c>
      <c r="Y248" s="168" t="str">
        <f>IF(ISBLANK(Table123[[#This Row],[Odds Spread]]), "",O248+IF(S248&lt;0, (O248/(S248/-100)), O248*(S248/100)))</f>
      </c>
      <c r="Z248" s="168" t="str">
        <f t="shared" si="22"/>
      </c>
      <c r="AA248" s="68" t="n">
        <f t="shared" si="23"/>
        <v>0</v>
      </c>
      <c r="AB248" s="68" t="n">
        <f t="shared" si="24"/>
        <v>0</v>
      </c>
      <c r="AC248" s="170" t="e">
        <f>IF('Prediction Log'!#REF!="Y", "W", IF('Prediction Log'!#REF!="N","L",""))</f>
        <v>#REF!</v>
      </c>
      <c r="AD248" s="171" t="e">
        <f>IF('Prediction Log'!#REF!="Y", "W", IF('Prediction Log'!#REF!="N","L",""))</f>
        <v>#REF!</v>
      </c>
      <c r="AE248" s="172" t="str">
        <f>IF(ISBLANK(Table123[[#This Row],[Odds Side - Difference Model]]), "",IF(AC248="W", W248, IF(AC248="L",-N248, "")))</f>
      </c>
      <c r="AF248" s="173" t="str">
        <f>IFERROR((IF(ISERR(Table123[[#This Row],[Potential Payout Side - Win Probability Model]]), "",IF(AD248="W", X248, IF(AD248="L",-N248, "")))), "")</f>
      </c>
      <c r="AG248" s="170" t="e">
        <f>IF('Prediction Log'!#REF!="Y", "W", IF('Prediction Log'!#REF!="N", "L", ""))</f>
        <v>#REF!</v>
      </c>
      <c r="AH248" s="172" t="str">
        <f>IF(ISBLANK(Table123[[#This Row],[Odds Spread]]), "",IF(AG248="W", Z248, IF(AG248="L",-O248, "")))</f>
      </c>
      <c r="AI248" s="184"/>
      <c r="AJ248" s="183" t="str">
        <f t="shared" si="25"/>
      </c>
      <c r="AK2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9">
      <c r="A249" s="65" t="e">
        <f>Games!#REF!</f>
        <v>#REF!</v>
      </c>
      <c r="B249" s="65" t="e">
        <f>IF('Prediction Log'!#REF!=0, "",'Prediction Log'!#REF!)</f>
        <v>#REF!</v>
      </c>
      <c r="C249" s="65" t="e">
        <f>IF('Prediction Log'!#REF!=0, "",'Prediction Log'!#REF!)</f>
        <v>#REF!</v>
      </c>
      <c r="D249" s="65" t="e">
        <f>IF('Prediction Log'!#REF!=0, "",'Prediction Log'!#REF!)</f>
        <v>#REF!</v>
      </c>
      <c r="E249" s="65" t="e">
        <f>IF('Prediction Log'!#REF!=0, "",'Prediction Log'!#REF!)</f>
        <v>#REF!</v>
      </c>
      <c r="F249" s="65" t="e">
        <f>IF('Prediction Log'!#REF!=0, "",'Prediction Log'!#REF!)</f>
        <v>#REF!</v>
      </c>
      <c r="G249" s="64" t="e">
        <f>IF(ISBLANK(Games!#REF!), "",'Prediction Log'!#REF!)</f>
        <v>#REF!</v>
      </c>
      <c r="H249" s="66" t="e">
        <f>'Prediction Log'!#REF!</f>
        <v>#REF!</v>
      </c>
      <c r="I249" s="65" t="e">
        <f>IF(ISBLANK(Games!#REF!), "",IF(AND(Games!#REF!="",Games!#REF!=""),"",IF(ISTEXT(Games!#REF!), "Side",Games!#REF!)))</f>
        <v>#REF!</v>
      </c>
      <c r="J249" s="65" t="e">
        <f>IF(ISBLANK(Games!#REF!), "",IF(Games!#REF!="Y", Games!#REF!, Games!#REF!))</f>
        <v>#REF!</v>
      </c>
      <c r="K249" s="65" t="e">
        <f>Games!#REF!</f>
        <v>#REF!</v>
      </c>
      <c r="L249" s="65" t="e">
        <f>IF(ISBLANK(Games!#REF!), "",Games!#REF!)</f>
        <v>#REF!</v>
      </c>
      <c r="M249" s="65"/>
      <c r="N249" s="167" t="str">
        <f>IF(ISBLANK(Table123[[#This Row],[Odds Side - Difference Model]]), "", 1)</f>
      </c>
      <c r="O249" s="167" t="str">
        <f>IF(ISBLANK(Table123[[#This Row],[Odds Spread]]), "", 1)</f>
      </c>
      <c r="P249" s="67"/>
      <c r="Q249" s="67"/>
      <c r="R2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9" s="67"/>
      <c r="T249" s="67"/>
      <c r="U249" s="168" t="str">
        <f>IF(ISBLANK(Table123[[#This Row],[Odds Side - Difference Model]]), "",N249+IF(Q249&lt;0, (N249/(Q249/-100)), N249*(Q249/100)))</f>
      </c>
      <c r="V249" s="169" t="str">
        <f>IFERROR(IF(ISBLANK(Table123[[#This Row],[Odds Side - Win Probability Model]]), "",N249+IF(R249&lt;0, (N249/(R249/-100)), N249*(R249/100))),"")</f>
      </c>
      <c r="W249" s="168" t="str">
        <f t="shared" si="20"/>
      </c>
      <c r="X249" s="169" t="str">
        <f t="shared" si="21"/>
      </c>
      <c r="Y249" s="168" t="str">
        <f>IF(ISBLANK(Table123[[#This Row],[Odds Spread]]), "",O249+IF(S249&lt;0, (O249/(S249/-100)), O249*(S249/100)))</f>
      </c>
      <c r="Z249" s="168" t="str">
        <f t="shared" si="22"/>
      </c>
      <c r="AA249" s="68" t="n">
        <f t="shared" si="23"/>
        <v>0</v>
      </c>
      <c r="AB249" s="68" t="n">
        <f t="shared" si="24"/>
        <v>0</v>
      </c>
      <c r="AC249" s="170" t="e">
        <f>IF('Prediction Log'!#REF!="Y", "W", IF('Prediction Log'!#REF!="N","L",""))</f>
        <v>#REF!</v>
      </c>
      <c r="AD249" s="171" t="e">
        <f>IF('Prediction Log'!#REF!="Y", "W", IF('Prediction Log'!#REF!="N","L",""))</f>
        <v>#REF!</v>
      </c>
      <c r="AE249" s="172" t="str">
        <f>IF(ISBLANK(Table123[[#This Row],[Odds Side - Difference Model]]), "",IF(AC249="W", W249, IF(AC249="L",-N249, "")))</f>
      </c>
      <c r="AF249" s="173" t="str">
        <f>IFERROR((IF(ISERR(Table123[[#This Row],[Potential Payout Side - Win Probability Model]]), "",IF(AD249="W", X249, IF(AD249="L",-N249, "")))), "")</f>
      </c>
      <c r="AG249" s="170" t="e">
        <f>IF('Prediction Log'!#REF!="Y", "W", IF('Prediction Log'!#REF!="N", "L", ""))</f>
        <v>#REF!</v>
      </c>
      <c r="AH249" s="172" t="str">
        <f>IF(ISBLANK(Table123[[#This Row],[Odds Spread]]), "",IF(AG249="W", Z249, IF(AG249="L",-O249, "")))</f>
      </c>
      <c r="AI249" s="184"/>
      <c r="AJ249" s="183" t="str">
        <f t="shared" si="25"/>
      </c>
      <c r="AK2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0">
      <c r="A250" s="65" t="e">
        <f>Games!#REF!</f>
        <v>#REF!</v>
      </c>
      <c r="B250" s="65" t="e">
        <f>IF('Prediction Log'!#REF!=0, "",'Prediction Log'!#REF!)</f>
        <v>#REF!</v>
      </c>
      <c r="C250" s="65" t="e">
        <f>IF('Prediction Log'!#REF!=0, "",'Prediction Log'!#REF!)</f>
        <v>#REF!</v>
      </c>
      <c r="D250" s="65" t="e">
        <f>IF('Prediction Log'!#REF!=0, "",'Prediction Log'!#REF!)</f>
        <v>#REF!</v>
      </c>
      <c r="E250" s="65" t="e">
        <f>IF('Prediction Log'!#REF!=0, "",'Prediction Log'!#REF!)</f>
        <v>#REF!</v>
      </c>
      <c r="F250" s="65" t="e">
        <f>IF('Prediction Log'!#REF!=0, "",'Prediction Log'!#REF!)</f>
        <v>#REF!</v>
      </c>
      <c r="G250" s="64" t="e">
        <f>IF(ISBLANK(Games!#REF!), "",'Prediction Log'!#REF!)</f>
        <v>#REF!</v>
      </c>
      <c r="H250" s="66" t="e">
        <f>'Prediction Log'!#REF!</f>
        <v>#REF!</v>
      </c>
      <c r="I250" s="65" t="e">
        <f>IF(ISBLANK(Games!#REF!), "",IF(AND(Games!#REF!="",Games!#REF!=""),"",IF(ISTEXT(Games!#REF!), "Side",Games!#REF!)))</f>
        <v>#REF!</v>
      </c>
      <c r="J250" s="65" t="e">
        <f>IF(ISBLANK(Games!#REF!), "",IF(Games!#REF!="Y", Games!#REF!, Games!#REF!))</f>
        <v>#REF!</v>
      </c>
      <c r="K250" s="65" t="e">
        <f>Games!#REF!</f>
        <v>#REF!</v>
      </c>
      <c r="L250" s="65" t="e">
        <f>IF(ISBLANK(Games!#REF!), "",Games!#REF!)</f>
        <v>#REF!</v>
      </c>
      <c r="M250" s="65"/>
      <c r="N250" s="167" t="str">
        <f>IF(ISBLANK(Table123[[#This Row],[Odds Side - Difference Model]]), "", 1)</f>
      </c>
      <c r="O250" s="167" t="str">
        <f>IF(ISBLANK(Table123[[#This Row],[Odds Spread]]), "", 1)</f>
      </c>
      <c r="P250" s="67"/>
      <c r="Q250" s="67"/>
      <c r="R2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0" s="67"/>
      <c r="T250" s="67"/>
      <c r="U250" s="168" t="str">
        <f>IF(ISBLANK(Table123[[#This Row],[Odds Side - Difference Model]]), "",N250+IF(Q250&lt;0, (N250/(Q250/-100)), N250*(Q250/100)))</f>
      </c>
      <c r="V250" s="169" t="str">
        <f>IFERROR(IF(ISBLANK(Table123[[#This Row],[Odds Side - Win Probability Model]]), "",N250+IF(R250&lt;0, (N250/(R250/-100)), N250*(R250/100))),"")</f>
      </c>
      <c r="W250" s="168" t="str">
        <f t="shared" si="20"/>
      </c>
      <c r="X250" s="169" t="str">
        <f t="shared" si="21"/>
      </c>
      <c r="Y250" s="168" t="str">
        <f>IF(ISBLANK(Table123[[#This Row],[Odds Spread]]), "",O250+IF(S250&lt;0, (O250/(S250/-100)), O250*(S250/100)))</f>
      </c>
      <c r="Z250" s="168" t="str">
        <f t="shared" si="22"/>
      </c>
      <c r="AA250" s="68" t="n">
        <f t="shared" si="23"/>
        <v>0</v>
      </c>
      <c r="AB250" s="68" t="n">
        <f t="shared" si="24"/>
        <v>0</v>
      </c>
      <c r="AC250" s="170" t="e">
        <f>IF('Prediction Log'!#REF!="Y", "W", IF('Prediction Log'!#REF!="N","L",""))</f>
        <v>#REF!</v>
      </c>
      <c r="AD250" s="171" t="e">
        <f>IF('Prediction Log'!#REF!="Y", "W", IF('Prediction Log'!#REF!="N","L",""))</f>
        <v>#REF!</v>
      </c>
      <c r="AE250" s="172" t="str">
        <f>IF(ISBLANK(Table123[[#This Row],[Odds Side - Difference Model]]), "",IF(AC250="W", W250, IF(AC250="L",-N250, "")))</f>
      </c>
      <c r="AF250" s="173" t="str">
        <f>IFERROR((IF(ISERR(Table123[[#This Row],[Potential Payout Side - Win Probability Model]]), "",IF(AD250="W", X250, IF(AD250="L",-N250, "")))), "")</f>
      </c>
      <c r="AG250" s="170" t="e">
        <f>IF('Prediction Log'!#REF!="Y", "W", IF('Prediction Log'!#REF!="N", "L", ""))</f>
        <v>#REF!</v>
      </c>
      <c r="AH250" s="172" t="str">
        <f>IF(ISBLANK(Table123[[#This Row],[Odds Spread]]), "",IF(AG250="W", Z250, IF(AG250="L",-O250, "")))</f>
      </c>
      <c r="AI250" s="184"/>
      <c r="AJ250" s="183" t="str">
        <f t="shared" si="25"/>
      </c>
      <c r="AK2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1">
      <c r="A251" s="65" t="e">
        <f>Games!#REF!</f>
        <v>#REF!</v>
      </c>
      <c r="B251" s="65" t="e">
        <f>IF('Prediction Log'!#REF!=0, "",'Prediction Log'!#REF!)</f>
        <v>#REF!</v>
      </c>
      <c r="C251" s="65" t="e">
        <f>IF('Prediction Log'!#REF!=0, "",'Prediction Log'!#REF!)</f>
        <v>#REF!</v>
      </c>
      <c r="D251" s="65" t="e">
        <f>IF('Prediction Log'!#REF!=0, "",'Prediction Log'!#REF!)</f>
        <v>#REF!</v>
      </c>
      <c r="E251" s="65" t="e">
        <f>IF('Prediction Log'!#REF!=0, "",'Prediction Log'!#REF!)</f>
        <v>#REF!</v>
      </c>
      <c r="F251" s="65" t="e">
        <f>IF('Prediction Log'!#REF!=0, "",'Prediction Log'!#REF!)</f>
        <v>#REF!</v>
      </c>
      <c r="G251" s="64" t="e">
        <f>IF(ISBLANK(Games!#REF!), "",'Prediction Log'!#REF!)</f>
        <v>#REF!</v>
      </c>
      <c r="H251" s="66" t="e">
        <f>'Prediction Log'!#REF!</f>
        <v>#REF!</v>
      </c>
      <c r="I251" s="65" t="e">
        <f>IF(ISBLANK(Games!#REF!), "",IF(AND(Games!#REF!="",Games!#REF!=""),"",IF(ISTEXT(Games!#REF!), "Side",Games!#REF!)))</f>
        <v>#REF!</v>
      </c>
      <c r="J251" s="65" t="e">
        <f>IF(ISBLANK(Games!#REF!), "",IF(Games!#REF!="Y", Games!#REF!, Games!#REF!))</f>
        <v>#REF!</v>
      </c>
      <c r="K251" s="65" t="e">
        <f>Games!#REF!</f>
        <v>#REF!</v>
      </c>
      <c r="L251" s="65" t="e">
        <f>IF(ISBLANK(Games!#REF!), "",Games!#REF!)</f>
        <v>#REF!</v>
      </c>
      <c r="M251" s="65"/>
      <c r="N251" s="167" t="str">
        <f>IF(ISBLANK(Table123[[#This Row],[Odds Side - Difference Model]]), "", 1)</f>
      </c>
      <c r="O251" s="167" t="str">
        <f>IF(ISBLANK(Table123[[#This Row],[Odds Spread]]), "", 1)</f>
      </c>
      <c r="P251" s="67"/>
      <c r="Q251" s="67"/>
      <c r="R2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1" s="67"/>
      <c r="T251" s="67"/>
      <c r="U251" s="168" t="str">
        <f>IF(ISBLANK(Table123[[#This Row],[Odds Side - Difference Model]]), "",N251+IF(Q251&lt;0, (N251/(Q251/-100)), N251*(Q251/100)))</f>
      </c>
      <c r="V251" s="169" t="str">
        <f>IFERROR(IF(ISBLANK(Table123[[#This Row],[Odds Side - Win Probability Model]]), "",N251+IF(R251&lt;0, (N251/(R251/-100)), N251*(R251/100))),"")</f>
      </c>
      <c r="W251" s="168" t="str">
        <f t="shared" si="20"/>
      </c>
      <c r="X251" s="169" t="str">
        <f t="shared" si="21"/>
      </c>
      <c r="Y251" s="168" t="str">
        <f>IF(ISBLANK(Table123[[#This Row],[Odds Spread]]), "",O251+IF(S251&lt;0, (O251/(S251/-100)), O251*(S251/100)))</f>
      </c>
      <c r="Z251" s="168" t="str">
        <f t="shared" si="22"/>
      </c>
      <c r="AA251" s="68" t="n">
        <f t="shared" si="23"/>
        <v>0</v>
      </c>
      <c r="AB251" s="68" t="n">
        <f t="shared" si="24"/>
        <v>0</v>
      </c>
      <c r="AC251" s="170" t="e">
        <f>IF('Prediction Log'!#REF!="Y", "W", IF('Prediction Log'!#REF!="N","L",""))</f>
        <v>#REF!</v>
      </c>
      <c r="AD251" s="171" t="e">
        <f>IF('Prediction Log'!#REF!="Y", "W", IF('Prediction Log'!#REF!="N","L",""))</f>
        <v>#REF!</v>
      </c>
      <c r="AE251" s="172" t="str">
        <f>IF(ISBLANK(Table123[[#This Row],[Odds Side - Difference Model]]), "",IF(AC251="W", W251, IF(AC251="L",-N251, "")))</f>
      </c>
      <c r="AF251" s="173" t="str">
        <f>IFERROR((IF(ISERR(Table123[[#This Row],[Potential Payout Side - Win Probability Model]]), "",IF(AD251="W", X251, IF(AD251="L",-N251, "")))), "")</f>
      </c>
      <c r="AG251" s="170" t="e">
        <f>IF('Prediction Log'!#REF!="Y", "W", IF('Prediction Log'!#REF!="N", "L", ""))</f>
        <v>#REF!</v>
      </c>
      <c r="AH251" s="172" t="str">
        <f>IF(ISBLANK(Table123[[#This Row],[Odds Spread]]), "",IF(AG251="W", Z251, IF(AG251="L",-O251, "")))</f>
      </c>
      <c r="AI251" s="184"/>
      <c r="AJ251" s="183" t="str">
        <f t="shared" si="25"/>
      </c>
      <c r="AK2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2">
      <c r="A252" s="65" t="e">
        <f>Games!#REF!</f>
        <v>#REF!</v>
      </c>
      <c r="B252" s="65" t="e">
        <f>IF('Prediction Log'!#REF!=0, "",'Prediction Log'!#REF!)</f>
        <v>#REF!</v>
      </c>
      <c r="C252" s="65" t="e">
        <f>IF('Prediction Log'!#REF!=0, "",'Prediction Log'!#REF!)</f>
        <v>#REF!</v>
      </c>
      <c r="D252" s="65" t="e">
        <f>IF('Prediction Log'!#REF!=0, "",'Prediction Log'!#REF!)</f>
        <v>#REF!</v>
      </c>
      <c r="E252" s="65" t="e">
        <f>IF('Prediction Log'!#REF!=0, "",'Prediction Log'!#REF!)</f>
        <v>#REF!</v>
      </c>
      <c r="F252" s="65" t="e">
        <f>IF('Prediction Log'!#REF!=0, "",'Prediction Log'!#REF!)</f>
        <v>#REF!</v>
      </c>
      <c r="G252" s="64" t="e">
        <f>IF(ISBLANK(Games!#REF!), "",'Prediction Log'!#REF!)</f>
        <v>#REF!</v>
      </c>
      <c r="H252" s="66" t="e">
        <f>'Prediction Log'!#REF!</f>
        <v>#REF!</v>
      </c>
      <c r="I252" s="65" t="e">
        <f>IF(ISBLANK(Games!#REF!), "",IF(AND(Games!#REF!="",Games!#REF!=""),"",IF(ISTEXT(Games!#REF!), "Side",Games!#REF!)))</f>
        <v>#REF!</v>
      </c>
      <c r="J252" s="65" t="e">
        <f>IF(ISBLANK(Games!#REF!), "",IF(Games!#REF!="Y", Games!#REF!, Games!#REF!))</f>
        <v>#REF!</v>
      </c>
      <c r="K252" s="65" t="e">
        <f>Games!#REF!</f>
        <v>#REF!</v>
      </c>
      <c r="L252" s="65" t="e">
        <f>IF(ISBLANK(Games!#REF!), "",Games!#REF!)</f>
        <v>#REF!</v>
      </c>
      <c r="M252" s="65"/>
      <c r="N252" s="167" t="str">
        <f>IF(ISBLANK(Table123[[#This Row],[Odds Side - Difference Model]]), "", 1)</f>
      </c>
      <c r="O252" s="167" t="str">
        <f>IF(ISBLANK(Table123[[#This Row],[Odds Spread]]), "", 1)</f>
      </c>
      <c r="P252" s="67"/>
      <c r="Q252" s="67"/>
      <c r="R2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2" s="67"/>
      <c r="T252" s="67"/>
      <c r="U252" s="168" t="str">
        <f>IF(ISBLANK(Table123[[#This Row],[Odds Side - Difference Model]]), "",N252+IF(Q252&lt;0, (N252/(Q252/-100)), N252*(Q252/100)))</f>
      </c>
      <c r="V252" s="169" t="str">
        <f>IFERROR(IF(ISBLANK(Table123[[#This Row],[Odds Side - Win Probability Model]]), "",N252+IF(R252&lt;0, (N252/(R252/-100)), N252*(R252/100))),"")</f>
      </c>
      <c r="W252" s="168" t="str">
        <f t="shared" si="20"/>
      </c>
      <c r="X252" s="169" t="str">
        <f t="shared" si="21"/>
      </c>
      <c r="Y252" s="168" t="str">
        <f>IF(ISBLANK(Table123[[#This Row],[Odds Spread]]), "",O252+IF(S252&lt;0, (O252/(S252/-100)), O252*(S252/100)))</f>
      </c>
      <c r="Z252" s="168" t="str">
        <f t="shared" si="22"/>
      </c>
      <c r="AA252" s="68" t="n">
        <f t="shared" si="23"/>
        <v>0</v>
      </c>
      <c r="AB252" s="68" t="n">
        <f t="shared" si="24"/>
        <v>0</v>
      </c>
      <c r="AC252" s="170" t="e">
        <f>IF('Prediction Log'!#REF!="Y", "W", IF('Prediction Log'!#REF!="N","L",""))</f>
        <v>#REF!</v>
      </c>
      <c r="AD252" s="171" t="e">
        <f>IF('Prediction Log'!#REF!="Y", "W", IF('Prediction Log'!#REF!="N","L",""))</f>
        <v>#REF!</v>
      </c>
      <c r="AE252" s="172" t="str">
        <f>IF(ISBLANK(Table123[[#This Row],[Odds Side - Difference Model]]), "",IF(AC252="W", W252, IF(AC252="L",-N252, "")))</f>
      </c>
      <c r="AF252" s="173" t="str">
        <f>IFERROR((IF(ISERR(Table123[[#This Row],[Potential Payout Side - Win Probability Model]]), "",IF(AD252="W", X252, IF(AD252="L",-N252, "")))), "")</f>
      </c>
      <c r="AG252" s="170" t="e">
        <f>IF('Prediction Log'!#REF!="Y", "W", IF('Prediction Log'!#REF!="N", "L", ""))</f>
        <v>#REF!</v>
      </c>
      <c r="AH252" s="172" t="str">
        <f>IF(ISBLANK(Table123[[#This Row],[Odds Spread]]), "",IF(AG252="W", Z252, IF(AG252="L",-O252, "")))</f>
      </c>
      <c r="AI252" s="184"/>
      <c r="AJ252" s="183" t="str">
        <f t="shared" si="25"/>
      </c>
      <c r="AK2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3">
      <c r="A253" s="65" t="e">
        <f>Games!#REF!</f>
        <v>#REF!</v>
      </c>
      <c r="B253" s="65" t="e">
        <f>IF('Prediction Log'!#REF!=0, "",'Prediction Log'!#REF!)</f>
        <v>#REF!</v>
      </c>
      <c r="C253" s="65" t="e">
        <f>IF('Prediction Log'!#REF!=0, "",'Prediction Log'!#REF!)</f>
        <v>#REF!</v>
      </c>
      <c r="D253" s="65" t="e">
        <f>IF('Prediction Log'!#REF!=0, "",'Prediction Log'!#REF!)</f>
        <v>#REF!</v>
      </c>
      <c r="E253" s="65" t="e">
        <f>IF('Prediction Log'!#REF!=0, "",'Prediction Log'!#REF!)</f>
        <v>#REF!</v>
      </c>
      <c r="F253" s="65" t="e">
        <f>IF('Prediction Log'!#REF!=0, "",'Prediction Log'!#REF!)</f>
        <v>#REF!</v>
      </c>
      <c r="G253" s="64" t="e">
        <f>IF(ISBLANK(Games!#REF!), "",'Prediction Log'!#REF!)</f>
        <v>#REF!</v>
      </c>
      <c r="H253" s="66" t="e">
        <f>'Prediction Log'!#REF!</f>
        <v>#REF!</v>
      </c>
      <c r="I253" s="65" t="e">
        <f>IF(ISBLANK(Games!#REF!), "",IF(AND(Games!#REF!="",Games!#REF!=""),"",IF(ISTEXT(Games!#REF!), "Side",Games!#REF!)))</f>
        <v>#REF!</v>
      </c>
      <c r="J253" s="65" t="e">
        <f>IF(ISBLANK(Games!#REF!), "",IF(Games!#REF!="Y", Games!#REF!, Games!#REF!))</f>
        <v>#REF!</v>
      </c>
      <c r="K253" s="65" t="e">
        <f>Games!#REF!</f>
        <v>#REF!</v>
      </c>
      <c r="L253" s="65" t="e">
        <f>IF(ISBLANK(Games!#REF!), "",Games!#REF!)</f>
        <v>#REF!</v>
      </c>
      <c r="M253" s="65"/>
      <c r="N253" s="167" t="str">
        <f>IF(ISBLANK(Table123[[#This Row],[Odds Side - Difference Model]]), "", 1)</f>
      </c>
      <c r="O253" s="167" t="str">
        <f>IF(ISBLANK(Table123[[#This Row],[Odds Spread]]), "", 1)</f>
      </c>
      <c r="P253" s="67"/>
      <c r="Q253" s="67"/>
      <c r="R2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3" s="67"/>
      <c r="T253" s="67"/>
      <c r="U253" s="168" t="str">
        <f>IF(ISBLANK(Table123[[#This Row],[Odds Side - Difference Model]]), "",N253+IF(Q253&lt;0, (N253/(Q253/-100)), N253*(Q253/100)))</f>
      </c>
      <c r="V253" s="169" t="str">
        <f>IFERROR(IF(ISBLANK(Table123[[#This Row],[Odds Side - Win Probability Model]]), "",N253+IF(R253&lt;0, (N253/(R253/-100)), N253*(R253/100))),"")</f>
      </c>
      <c r="W253" s="168" t="str">
        <f t="shared" si="20"/>
      </c>
      <c r="X253" s="169" t="str">
        <f t="shared" si="21"/>
      </c>
      <c r="Y253" s="168" t="str">
        <f>IF(ISBLANK(Table123[[#This Row],[Odds Spread]]), "",O253+IF(S253&lt;0, (O253/(S253/-100)), O253*(S253/100)))</f>
      </c>
      <c r="Z253" s="168" t="str">
        <f t="shared" si="22"/>
      </c>
      <c r="AA253" s="68" t="n">
        <f t="shared" si="23"/>
        <v>0</v>
      </c>
      <c r="AB253" s="68" t="n">
        <f t="shared" si="24"/>
        <v>0</v>
      </c>
      <c r="AC253" s="170" t="e">
        <f>IF('Prediction Log'!#REF!="Y", "W", IF('Prediction Log'!#REF!="N","L",""))</f>
        <v>#REF!</v>
      </c>
      <c r="AD253" s="171" t="e">
        <f>IF('Prediction Log'!#REF!="Y", "W", IF('Prediction Log'!#REF!="N","L",""))</f>
        <v>#REF!</v>
      </c>
      <c r="AE253" s="172" t="str">
        <f>IF(ISBLANK(Table123[[#This Row],[Odds Side - Difference Model]]), "",IF(AC253="W", W253, IF(AC253="L",-N253, "")))</f>
      </c>
      <c r="AF253" s="173" t="str">
        <f>IFERROR((IF(ISERR(Table123[[#This Row],[Potential Payout Side - Win Probability Model]]), "",IF(AD253="W", X253, IF(AD253="L",-N253, "")))), "")</f>
      </c>
      <c r="AG253" s="170" t="e">
        <f>IF('Prediction Log'!#REF!="Y", "W", IF('Prediction Log'!#REF!="N", "L", ""))</f>
        <v>#REF!</v>
      </c>
      <c r="AH253" s="172" t="str">
        <f>IF(ISBLANK(Table123[[#This Row],[Odds Spread]]), "",IF(AG253="W", Z253, IF(AG253="L",-O253, "")))</f>
      </c>
      <c r="AI253" s="184"/>
      <c r="AJ253" s="183" t="str">
        <f t="shared" si="25"/>
      </c>
      <c r="AK2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4">
      <c r="A254" s="65" t="e">
        <f>Games!#REF!</f>
        <v>#REF!</v>
      </c>
      <c r="B254" s="65" t="e">
        <f>IF('Prediction Log'!#REF!=0, "",'Prediction Log'!#REF!)</f>
        <v>#REF!</v>
      </c>
      <c r="C254" s="65" t="e">
        <f>IF('Prediction Log'!#REF!=0, "",'Prediction Log'!#REF!)</f>
        <v>#REF!</v>
      </c>
      <c r="D254" s="65" t="e">
        <f>IF('Prediction Log'!#REF!=0, "",'Prediction Log'!#REF!)</f>
        <v>#REF!</v>
      </c>
      <c r="E254" s="65" t="e">
        <f>IF('Prediction Log'!#REF!=0, "",'Prediction Log'!#REF!)</f>
        <v>#REF!</v>
      </c>
      <c r="F254" s="65" t="e">
        <f>IF('Prediction Log'!#REF!=0, "",'Prediction Log'!#REF!)</f>
        <v>#REF!</v>
      </c>
      <c r="G254" s="64" t="e">
        <f>IF(ISBLANK(Games!#REF!), "",'Prediction Log'!#REF!)</f>
        <v>#REF!</v>
      </c>
      <c r="H254" s="66" t="e">
        <f>'Prediction Log'!#REF!</f>
        <v>#REF!</v>
      </c>
      <c r="I254" s="65" t="e">
        <f>IF(ISBLANK(Games!#REF!), "",IF(AND(Games!#REF!="",Games!#REF!=""),"",IF(ISTEXT(Games!#REF!), "Side",Games!#REF!)))</f>
        <v>#REF!</v>
      </c>
      <c r="J254" s="65" t="e">
        <f>IF(ISBLANK(Games!#REF!), "",IF(Games!#REF!="Y", Games!#REF!, Games!#REF!))</f>
        <v>#REF!</v>
      </c>
      <c r="K254" s="65" t="e">
        <f>Games!#REF!</f>
        <v>#REF!</v>
      </c>
      <c r="L254" s="65" t="e">
        <f>IF(ISBLANK(Games!#REF!), "",Games!#REF!)</f>
        <v>#REF!</v>
      </c>
      <c r="M254" s="65"/>
      <c r="N254" s="167" t="str">
        <f>IF(ISBLANK(Table123[[#This Row],[Odds Side - Difference Model]]), "", 1)</f>
      </c>
      <c r="O254" s="167" t="str">
        <f>IF(ISBLANK(Table123[[#This Row],[Odds Spread]]), "", 1)</f>
      </c>
      <c r="P254" s="67"/>
      <c r="Q254" s="67"/>
      <c r="R2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4" s="67"/>
      <c r="T254" s="67"/>
      <c r="U254" s="168" t="str">
        <f>IF(ISBLANK(Table123[[#This Row],[Odds Side - Difference Model]]), "",N254+IF(Q254&lt;0, (N254/(Q254/-100)), N254*(Q254/100)))</f>
      </c>
      <c r="V254" s="169" t="str">
        <f>IFERROR(IF(ISBLANK(Table123[[#This Row],[Odds Side - Win Probability Model]]), "",N254+IF(R254&lt;0, (N254/(R254/-100)), N254*(R254/100))),"")</f>
      </c>
      <c r="W254" s="168" t="str">
        <f t="shared" si="20"/>
      </c>
      <c r="X254" s="169" t="str">
        <f t="shared" si="21"/>
      </c>
      <c r="Y254" s="168" t="str">
        <f>IF(ISBLANK(Table123[[#This Row],[Odds Spread]]), "",O254+IF(S254&lt;0, (O254/(S254/-100)), O254*(S254/100)))</f>
      </c>
      <c r="Z254" s="168" t="str">
        <f t="shared" si="22"/>
      </c>
      <c r="AA254" s="68" t="n">
        <f t="shared" si="23"/>
        <v>0</v>
      </c>
      <c r="AB254" s="68" t="n">
        <f t="shared" si="24"/>
        <v>0</v>
      </c>
      <c r="AC254" s="170" t="e">
        <f>IF('Prediction Log'!#REF!="Y", "W", IF('Prediction Log'!#REF!="N","L",""))</f>
        <v>#REF!</v>
      </c>
      <c r="AD254" s="171" t="e">
        <f>IF('Prediction Log'!#REF!="Y", "W", IF('Prediction Log'!#REF!="N","L",""))</f>
        <v>#REF!</v>
      </c>
      <c r="AE254" s="172" t="str">
        <f>IF(ISBLANK(Table123[[#This Row],[Odds Side - Difference Model]]), "",IF(AC254="W", W254, IF(AC254="L",-N254, "")))</f>
      </c>
      <c r="AF254" s="173" t="str">
        <f>IFERROR((IF(ISERR(Table123[[#This Row],[Potential Payout Side - Win Probability Model]]), "",IF(AD254="W", X254, IF(AD254="L",-N254, "")))), "")</f>
      </c>
      <c r="AG254" s="170" t="e">
        <f>IF('Prediction Log'!#REF!="Y", "W", IF('Prediction Log'!#REF!="N", "L", ""))</f>
        <v>#REF!</v>
      </c>
      <c r="AH254" s="172" t="str">
        <f>IF(ISBLANK(Table123[[#This Row],[Odds Spread]]), "",IF(AG254="W", Z254, IF(AG254="L",-O254, "")))</f>
      </c>
      <c r="AI254" s="184"/>
      <c r="AJ254" s="183" t="str">
        <f t="shared" si="25"/>
      </c>
      <c r="AK2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5">
      <c r="A255" s="65" t="e">
        <f>Games!#REF!</f>
        <v>#REF!</v>
      </c>
      <c r="B255" s="65" t="e">
        <f>IF('Prediction Log'!#REF!=0, "",'Prediction Log'!#REF!)</f>
        <v>#REF!</v>
      </c>
      <c r="C255" s="65" t="e">
        <f>IF('Prediction Log'!#REF!=0, "",'Prediction Log'!#REF!)</f>
        <v>#REF!</v>
      </c>
      <c r="D255" s="65" t="e">
        <f>IF('Prediction Log'!#REF!=0, "",'Prediction Log'!#REF!)</f>
        <v>#REF!</v>
      </c>
      <c r="E255" s="65" t="e">
        <f>IF('Prediction Log'!#REF!=0, "",'Prediction Log'!#REF!)</f>
        <v>#REF!</v>
      </c>
      <c r="F255" s="65" t="e">
        <f>IF('Prediction Log'!#REF!=0, "",'Prediction Log'!#REF!)</f>
        <v>#REF!</v>
      </c>
      <c r="G255" s="64" t="e">
        <f>IF(ISBLANK(Games!#REF!), "",'Prediction Log'!#REF!)</f>
        <v>#REF!</v>
      </c>
      <c r="H255" s="66" t="e">
        <f>'Prediction Log'!#REF!</f>
        <v>#REF!</v>
      </c>
      <c r="I255" s="65" t="e">
        <f>IF(ISBLANK(Games!#REF!), "",IF(AND(Games!#REF!="",Games!#REF!=""),"",IF(ISTEXT(Games!#REF!), "Side",Games!#REF!)))</f>
        <v>#REF!</v>
      </c>
      <c r="J255" s="65" t="e">
        <f>IF(ISBLANK(Games!#REF!), "",IF(Games!#REF!="Y", Games!#REF!, Games!#REF!))</f>
        <v>#REF!</v>
      </c>
      <c r="K255" s="65" t="e">
        <f>Games!#REF!</f>
        <v>#REF!</v>
      </c>
      <c r="L255" s="65" t="e">
        <f>IF(ISBLANK(Games!#REF!), "",Games!#REF!)</f>
        <v>#REF!</v>
      </c>
      <c r="M255" s="65"/>
      <c r="N255" s="167" t="str">
        <f>IF(ISBLANK(Table123[[#This Row],[Odds Side - Difference Model]]), "", 1)</f>
      </c>
      <c r="O255" s="167" t="str">
        <f>IF(ISBLANK(Table123[[#This Row],[Odds Spread]]), "", 1)</f>
      </c>
      <c r="P255" s="67"/>
      <c r="Q255" s="67"/>
      <c r="R2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5" s="67"/>
      <c r="T255" s="67"/>
      <c r="U255" s="168" t="str">
        <f>IF(ISBLANK(Table123[[#This Row],[Odds Side - Difference Model]]), "",N255+IF(Q255&lt;0, (N255/(Q255/-100)), N255*(Q255/100)))</f>
      </c>
      <c r="V255" s="169" t="str">
        <f>IFERROR(IF(ISBLANK(Table123[[#This Row],[Odds Side - Win Probability Model]]), "",N255+IF(R255&lt;0, (N255/(R255/-100)), N255*(R255/100))),"")</f>
      </c>
      <c r="W255" s="168" t="str">
        <f t="shared" si="20"/>
      </c>
      <c r="X255" s="169" t="str">
        <f t="shared" si="21"/>
      </c>
      <c r="Y255" s="168" t="str">
        <f>IF(ISBLANK(Table123[[#This Row],[Odds Spread]]), "",O255+IF(S255&lt;0, (O255/(S255/-100)), O255*(S255/100)))</f>
      </c>
      <c r="Z255" s="168" t="str">
        <f t="shared" si="22"/>
      </c>
      <c r="AA255" s="68" t="n">
        <f t="shared" si="23"/>
        <v>0</v>
      </c>
      <c r="AB255" s="68" t="n">
        <f t="shared" si="24"/>
        <v>0</v>
      </c>
      <c r="AC255" s="170" t="e">
        <f>IF('Prediction Log'!#REF!="Y", "W", IF('Prediction Log'!#REF!="N","L",""))</f>
        <v>#REF!</v>
      </c>
      <c r="AD255" s="171" t="e">
        <f>IF('Prediction Log'!#REF!="Y", "W", IF('Prediction Log'!#REF!="N","L",""))</f>
        <v>#REF!</v>
      </c>
      <c r="AE255" s="172" t="str">
        <f>IF(ISBLANK(Table123[[#This Row],[Odds Side - Difference Model]]), "",IF(AC255="W", W255, IF(AC255="L",-N255, "")))</f>
      </c>
      <c r="AF255" s="173" t="str">
        <f>IFERROR((IF(ISERR(Table123[[#This Row],[Potential Payout Side - Win Probability Model]]), "",IF(AD255="W", X255, IF(AD255="L",-N255, "")))), "")</f>
      </c>
      <c r="AG255" s="170" t="e">
        <f>IF('Prediction Log'!#REF!="Y", "W", IF('Prediction Log'!#REF!="N", "L", ""))</f>
        <v>#REF!</v>
      </c>
      <c r="AH255" s="172" t="str">
        <f>IF(ISBLANK(Table123[[#This Row],[Odds Spread]]), "",IF(AG255="W", Z255, IF(AG255="L",-O255, "")))</f>
      </c>
      <c r="AI255" s="184"/>
      <c r="AJ255" s="183" t="str">
        <f t="shared" si="25"/>
      </c>
      <c r="AK2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6">
      <c r="A256" s="65" t="e">
        <f>Games!#REF!</f>
        <v>#REF!</v>
      </c>
      <c r="B256" s="65" t="e">
        <f>IF('Prediction Log'!#REF!=0, "",'Prediction Log'!#REF!)</f>
        <v>#REF!</v>
      </c>
      <c r="C256" s="65" t="e">
        <f>IF('Prediction Log'!#REF!=0, "",'Prediction Log'!#REF!)</f>
        <v>#REF!</v>
      </c>
      <c r="D256" s="65" t="e">
        <f>IF('Prediction Log'!#REF!=0, "",'Prediction Log'!#REF!)</f>
        <v>#REF!</v>
      </c>
      <c r="E256" s="65" t="e">
        <f>IF('Prediction Log'!#REF!=0, "",'Prediction Log'!#REF!)</f>
        <v>#REF!</v>
      </c>
      <c r="F256" s="65" t="e">
        <f>IF('Prediction Log'!#REF!=0, "",'Prediction Log'!#REF!)</f>
        <v>#REF!</v>
      </c>
      <c r="G256" s="64" t="e">
        <f>IF(ISBLANK(Games!#REF!), "",'Prediction Log'!#REF!)</f>
        <v>#REF!</v>
      </c>
      <c r="H256" s="66" t="e">
        <f>'Prediction Log'!#REF!</f>
        <v>#REF!</v>
      </c>
      <c r="I256" s="65" t="e">
        <f>IF(ISBLANK(Games!#REF!), "",IF(AND(Games!#REF!="",Games!#REF!=""),"",IF(ISTEXT(Games!#REF!), "Side",Games!#REF!)))</f>
        <v>#REF!</v>
      </c>
      <c r="J256" s="65" t="e">
        <f>IF(ISBLANK(Games!#REF!), "",IF(Games!#REF!="Y", Games!#REF!, Games!#REF!))</f>
        <v>#REF!</v>
      </c>
      <c r="K256" s="65" t="e">
        <f>Games!#REF!</f>
        <v>#REF!</v>
      </c>
      <c r="L256" s="65" t="e">
        <f>IF(ISBLANK(Games!#REF!), "",Games!#REF!)</f>
        <v>#REF!</v>
      </c>
      <c r="M256" s="65"/>
      <c r="N256" s="167" t="str">
        <f>IF(ISBLANK(Table123[[#This Row],[Odds Side - Difference Model]]), "", 1)</f>
      </c>
      <c r="O256" s="167" t="str">
        <f>IF(ISBLANK(Table123[[#This Row],[Odds Spread]]), "", 1)</f>
      </c>
      <c r="P256" s="67"/>
      <c r="Q256" s="67"/>
      <c r="R2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6" s="67"/>
      <c r="T256" s="67"/>
      <c r="U256" s="168" t="str">
        <f>IF(ISBLANK(Table123[[#This Row],[Odds Side - Difference Model]]), "",N256+IF(Q256&lt;0, (N256/(Q256/-100)), N256*(Q256/100)))</f>
      </c>
      <c r="V256" s="169" t="str">
        <f>IFERROR(IF(ISBLANK(Table123[[#This Row],[Odds Side - Win Probability Model]]), "",N256+IF(R256&lt;0, (N256/(R256/-100)), N256*(R256/100))),"")</f>
      </c>
      <c r="W256" s="168" t="str">
        <f t="shared" si="20"/>
      </c>
      <c r="X256" s="169" t="str">
        <f t="shared" si="21"/>
      </c>
      <c r="Y256" s="168" t="str">
        <f>IF(ISBLANK(Table123[[#This Row],[Odds Spread]]), "",O256+IF(S256&lt;0, (O256/(S256/-100)), O256*(S256/100)))</f>
      </c>
      <c r="Z256" s="168" t="str">
        <f t="shared" si="22"/>
      </c>
      <c r="AA256" s="68" t="n">
        <f t="shared" si="23"/>
        <v>0</v>
      </c>
      <c r="AB256" s="68" t="n">
        <f t="shared" si="24"/>
        <v>0</v>
      </c>
      <c r="AC256" s="170" t="e">
        <f>IF('Prediction Log'!#REF!="Y", "W", IF('Prediction Log'!#REF!="N","L",""))</f>
        <v>#REF!</v>
      </c>
      <c r="AD256" s="171" t="e">
        <f>IF('Prediction Log'!#REF!="Y", "W", IF('Prediction Log'!#REF!="N","L",""))</f>
        <v>#REF!</v>
      </c>
      <c r="AE256" s="172" t="str">
        <f>IF(ISBLANK(Table123[[#This Row],[Odds Side - Difference Model]]), "",IF(AC256="W", W256, IF(AC256="L",-N256, "")))</f>
      </c>
      <c r="AF256" s="173" t="str">
        <f>IFERROR((IF(ISERR(Table123[[#This Row],[Potential Payout Side - Win Probability Model]]), "",IF(AD256="W", X256, IF(AD256="L",-N256, "")))), "")</f>
      </c>
      <c r="AG256" s="170" t="e">
        <f>IF('Prediction Log'!#REF!="Y", "W", IF('Prediction Log'!#REF!="N", "L", ""))</f>
        <v>#REF!</v>
      </c>
      <c r="AH256" s="172" t="str">
        <f>IF(ISBLANK(Table123[[#This Row],[Odds Spread]]), "",IF(AG256="W", Z256, IF(AG256="L",-O256, "")))</f>
      </c>
      <c r="AI256" s="184"/>
      <c r="AJ256" s="183" t="str">
        <f t="shared" si="25"/>
      </c>
      <c r="AK2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7">
      <c r="A257" s="65" t="e">
        <f>Games!#REF!</f>
        <v>#REF!</v>
      </c>
      <c r="B257" s="65" t="e">
        <f>IF('Prediction Log'!#REF!=0, "",'Prediction Log'!#REF!)</f>
        <v>#REF!</v>
      </c>
      <c r="C257" s="65" t="e">
        <f>IF('Prediction Log'!#REF!=0, "",'Prediction Log'!#REF!)</f>
        <v>#REF!</v>
      </c>
      <c r="D257" s="65" t="e">
        <f>IF('Prediction Log'!#REF!=0, "",'Prediction Log'!#REF!)</f>
        <v>#REF!</v>
      </c>
      <c r="E257" s="65" t="e">
        <f>IF('Prediction Log'!#REF!=0, "",'Prediction Log'!#REF!)</f>
        <v>#REF!</v>
      </c>
      <c r="F257" s="65" t="e">
        <f>IF('Prediction Log'!#REF!=0, "",'Prediction Log'!#REF!)</f>
        <v>#REF!</v>
      </c>
      <c r="G257" s="64" t="e">
        <f>IF(ISBLANK(Games!#REF!), "",'Prediction Log'!#REF!)</f>
        <v>#REF!</v>
      </c>
      <c r="H257" s="66" t="e">
        <f>'Prediction Log'!#REF!</f>
        <v>#REF!</v>
      </c>
      <c r="I257" s="65" t="e">
        <f>IF(ISBLANK(Games!#REF!), "",IF(AND(Games!#REF!="",Games!#REF!=""),"",IF(ISTEXT(Games!#REF!), "Side",Games!#REF!)))</f>
        <v>#REF!</v>
      </c>
      <c r="J257" s="65" t="e">
        <f>IF(ISBLANK(Games!#REF!), "",IF(Games!#REF!="Y", Games!#REF!, Games!#REF!))</f>
        <v>#REF!</v>
      </c>
      <c r="K257" s="65" t="e">
        <f>Games!#REF!</f>
        <v>#REF!</v>
      </c>
      <c r="L257" s="65" t="e">
        <f>IF(ISBLANK(Games!#REF!), "",Games!#REF!)</f>
        <v>#REF!</v>
      </c>
      <c r="M257" s="65"/>
      <c r="N257" s="167" t="str">
        <f>IF(ISBLANK(Table123[[#This Row],[Odds Side - Difference Model]]), "", 1)</f>
      </c>
      <c r="O257" s="167" t="str">
        <f>IF(ISBLANK(Table123[[#This Row],[Odds Spread]]), "", 1)</f>
      </c>
      <c r="P257" s="67"/>
      <c r="Q257" s="67"/>
      <c r="R2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7" s="67"/>
      <c r="T257" s="67"/>
      <c r="U257" s="168" t="str">
        <f>IF(ISBLANK(Table123[[#This Row],[Odds Side - Difference Model]]), "",N257+IF(Q257&lt;0, (N257/(Q257/-100)), N257*(Q257/100)))</f>
      </c>
      <c r="V257" s="169" t="str">
        <f>IFERROR(IF(ISBLANK(Table123[[#This Row],[Odds Side - Win Probability Model]]), "",N257+IF(R257&lt;0, (N257/(R257/-100)), N257*(R257/100))),"")</f>
      </c>
      <c r="W257" s="168" t="str">
        <f t="shared" si="20"/>
      </c>
      <c r="X257" s="169" t="str">
        <f t="shared" si="21"/>
      </c>
      <c r="Y257" s="168" t="str">
        <f>IF(ISBLANK(Table123[[#This Row],[Odds Spread]]), "",O257+IF(S257&lt;0, (O257/(S257/-100)), O257*(S257/100)))</f>
      </c>
      <c r="Z257" s="168" t="str">
        <f t="shared" si="22"/>
      </c>
      <c r="AA257" s="68" t="n">
        <f t="shared" si="23"/>
        <v>0</v>
      </c>
      <c r="AB257" s="68" t="n">
        <f t="shared" si="24"/>
        <v>0</v>
      </c>
      <c r="AC257" s="170" t="e">
        <f>IF('Prediction Log'!#REF!="Y", "W", IF('Prediction Log'!#REF!="N","L",""))</f>
        <v>#REF!</v>
      </c>
      <c r="AD257" s="171" t="e">
        <f>IF('Prediction Log'!#REF!="Y", "W", IF('Prediction Log'!#REF!="N","L",""))</f>
        <v>#REF!</v>
      </c>
      <c r="AE257" s="172" t="str">
        <f>IF(ISBLANK(Table123[[#This Row],[Odds Side - Difference Model]]), "",IF(AC257="W", W257, IF(AC257="L",-N257, "")))</f>
      </c>
      <c r="AF257" s="173" t="str">
        <f>IFERROR((IF(ISERR(Table123[[#This Row],[Potential Payout Side - Win Probability Model]]), "",IF(AD257="W", X257, IF(AD257="L",-N257, "")))), "")</f>
      </c>
      <c r="AG257" s="170" t="e">
        <f>IF('Prediction Log'!#REF!="Y", "W", IF('Prediction Log'!#REF!="N", "L", ""))</f>
        <v>#REF!</v>
      </c>
      <c r="AH257" s="172" t="str">
        <f>IF(ISBLANK(Table123[[#This Row],[Odds Spread]]), "",IF(AG257="W", Z257, IF(AG257="L",-O257, "")))</f>
      </c>
      <c r="AI257" s="184"/>
      <c r="AJ257" s="183" t="str">
        <f t="shared" si="25"/>
      </c>
      <c r="AK2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8">
      <c r="A258" s="65" t="e">
        <f>Games!#REF!</f>
        <v>#REF!</v>
      </c>
      <c r="B258" s="65" t="e">
        <f>IF('Prediction Log'!#REF!=0, "",'Prediction Log'!#REF!)</f>
        <v>#REF!</v>
      </c>
      <c r="C258" s="65" t="e">
        <f>IF('Prediction Log'!#REF!=0, "",'Prediction Log'!#REF!)</f>
        <v>#REF!</v>
      </c>
      <c r="D258" s="65" t="e">
        <f>IF('Prediction Log'!#REF!=0, "",'Prediction Log'!#REF!)</f>
        <v>#REF!</v>
      </c>
      <c r="E258" s="65" t="e">
        <f>IF('Prediction Log'!#REF!=0, "",'Prediction Log'!#REF!)</f>
        <v>#REF!</v>
      </c>
      <c r="F258" s="65" t="e">
        <f>IF('Prediction Log'!#REF!=0, "",'Prediction Log'!#REF!)</f>
        <v>#REF!</v>
      </c>
      <c r="G258" s="64" t="e">
        <f>IF(ISBLANK(Games!#REF!), "",'Prediction Log'!#REF!)</f>
        <v>#REF!</v>
      </c>
      <c r="H258" s="66" t="e">
        <f>'Prediction Log'!#REF!</f>
        <v>#REF!</v>
      </c>
      <c r="I258" s="65" t="e">
        <f>IF(ISBLANK(Games!#REF!), "",IF(AND(Games!#REF!="",Games!#REF!=""),"",IF(ISTEXT(Games!#REF!), "Side",Games!#REF!)))</f>
        <v>#REF!</v>
      </c>
      <c r="J258" s="65" t="e">
        <f>IF(ISBLANK(Games!#REF!), "",IF(Games!#REF!="Y", Games!#REF!, Games!#REF!))</f>
        <v>#REF!</v>
      </c>
      <c r="K258" s="65" t="e">
        <f>Games!#REF!</f>
        <v>#REF!</v>
      </c>
      <c r="L258" s="65" t="e">
        <f>IF(ISBLANK(Games!#REF!), "",Games!#REF!)</f>
        <v>#REF!</v>
      </c>
      <c r="M258" s="65"/>
      <c r="N258" s="167" t="str">
        <f>IF(ISBLANK(Table123[[#This Row],[Odds Side - Difference Model]]), "", 1)</f>
      </c>
      <c r="O258" s="167" t="str">
        <f>IF(ISBLANK(Table123[[#This Row],[Odds Spread]]), "", 1)</f>
      </c>
      <c r="P258" s="67"/>
      <c r="Q258" s="67"/>
      <c r="R2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8" s="67"/>
      <c r="T258" s="67"/>
      <c r="U258" s="168" t="str">
        <f>IF(ISBLANK(Table123[[#This Row],[Odds Side - Difference Model]]), "",N258+IF(Q258&lt;0, (N258/(Q258/-100)), N258*(Q258/100)))</f>
      </c>
      <c r="V258" s="169" t="str">
        <f>IFERROR(IF(ISBLANK(Table123[[#This Row],[Odds Side - Win Probability Model]]), "",N258+IF(R258&lt;0, (N258/(R258/-100)), N258*(R258/100))),"")</f>
      </c>
      <c r="W258" s="168" t="str">
        <f t="shared" si="20"/>
      </c>
      <c r="X258" s="169" t="str">
        <f t="shared" si="21"/>
      </c>
      <c r="Y258" s="168" t="str">
        <f>IF(ISBLANK(Table123[[#This Row],[Odds Spread]]), "",O258+IF(S258&lt;0, (O258/(S258/-100)), O258*(S258/100)))</f>
      </c>
      <c r="Z258" s="168" t="str">
        <f t="shared" si="22"/>
      </c>
      <c r="AA258" s="68" t="n">
        <f t="shared" si="23"/>
        <v>0</v>
      </c>
      <c r="AB258" s="68" t="n">
        <f t="shared" si="24"/>
        <v>0</v>
      </c>
      <c r="AC258" s="170" t="e">
        <f>IF('Prediction Log'!#REF!="Y", "W", IF('Prediction Log'!#REF!="N","L",""))</f>
        <v>#REF!</v>
      </c>
      <c r="AD258" s="171" t="e">
        <f>IF('Prediction Log'!#REF!="Y", "W", IF('Prediction Log'!#REF!="N","L",""))</f>
        <v>#REF!</v>
      </c>
      <c r="AE258" s="172" t="str">
        <f>IF(ISBLANK(Table123[[#This Row],[Odds Side - Difference Model]]), "",IF(AC258="W", W258, IF(AC258="L",-N258, "")))</f>
      </c>
      <c r="AF258" s="173" t="str">
        <f>IFERROR((IF(ISERR(Table123[[#This Row],[Potential Payout Side - Win Probability Model]]), "",IF(AD258="W", X258, IF(AD258="L",-N258, "")))), "")</f>
      </c>
      <c r="AG258" s="170" t="e">
        <f>IF('Prediction Log'!#REF!="Y", "W", IF('Prediction Log'!#REF!="N", "L", ""))</f>
        <v>#REF!</v>
      </c>
      <c r="AH258" s="172" t="str">
        <f>IF(ISBLANK(Table123[[#This Row],[Odds Spread]]), "",IF(AG258="W", Z258, IF(AG258="L",-O258, "")))</f>
      </c>
      <c r="AI258" s="184"/>
      <c r="AJ258" s="183" t="str">
        <f t="shared" si="25"/>
      </c>
      <c r="AK2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9">
      <c r="A259" s="65" t="e">
        <f>Games!#REF!</f>
        <v>#REF!</v>
      </c>
      <c r="B259" s="65" t="e">
        <f>IF('Prediction Log'!#REF!=0, "",'Prediction Log'!#REF!)</f>
        <v>#REF!</v>
      </c>
      <c r="C259" s="65" t="e">
        <f>IF('Prediction Log'!#REF!=0, "",'Prediction Log'!#REF!)</f>
        <v>#REF!</v>
      </c>
      <c r="D259" s="65" t="e">
        <f>IF('Prediction Log'!#REF!=0, "",'Prediction Log'!#REF!)</f>
        <v>#REF!</v>
      </c>
      <c r="E259" s="65" t="e">
        <f>IF('Prediction Log'!#REF!=0, "",'Prediction Log'!#REF!)</f>
        <v>#REF!</v>
      </c>
      <c r="F259" s="65" t="e">
        <f>IF('Prediction Log'!#REF!=0, "",'Prediction Log'!#REF!)</f>
        <v>#REF!</v>
      </c>
      <c r="G259" s="64" t="e">
        <f>IF(ISBLANK(Games!#REF!), "",'Prediction Log'!#REF!)</f>
        <v>#REF!</v>
      </c>
      <c r="H259" s="66" t="e">
        <f>'Prediction Log'!#REF!</f>
        <v>#REF!</v>
      </c>
      <c r="I259" s="65" t="e">
        <f>IF(ISBLANK(Games!#REF!), "",IF(AND(Games!#REF!="",Games!#REF!=""),"",IF(ISTEXT(Games!#REF!), "Side",Games!#REF!)))</f>
        <v>#REF!</v>
      </c>
      <c r="J259" s="65" t="e">
        <f>IF(ISBLANK(Games!#REF!), "",IF(Games!#REF!="Y", Games!#REF!, Games!#REF!))</f>
        <v>#REF!</v>
      </c>
      <c r="K259" s="65" t="e">
        <f>Games!#REF!</f>
        <v>#REF!</v>
      </c>
      <c r="L259" s="65" t="e">
        <f>IF(ISBLANK(Games!#REF!), "",Games!#REF!)</f>
        <v>#REF!</v>
      </c>
      <c r="M259" s="65"/>
      <c r="N259" s="167" t="str">
        <f>IF(ISBLANK(Table123[[#This Row],[Odds Side - Difference Model]]), "", 1)</f>
      </c>
      <c r="O259" s="167" t="str">
        <f>IF(ISBLANK(Table123[[#This Row],[Odds Spread]]), "", 1)</f>
      </c>
      <c r="P259" s="67"/>
      <c r="Q259" s="67"/>
      <c r="R2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9" s="67"/>
      <c r="T259" s="67"/>
      <c r="U259" s="168" t="str">
        <f>IF(ISBLANK(Table123[[#This Row],[Odds Side - Difference Model]]), "",N259+IF(Q259&lt;0, (N259/(Q259/-100)), N259*(Q259/100)))</f>
      </c>
      <c r="V259" s="169" t="str">
        <f>IFERROR(IF(ISBLANK(Table123[[#This Row],[Odds Side - Win Probability Model]]), "",N259+IF(R259&lt;0, (N259/(R259/-100)), N259*(R259/100))),"")</f>
      </c>
      <c r="W259" s="168" t="str">
        <f t="shared" ref="W259:W322" si="26">IFERROR(U259-N259, "")</f>
      </c>
      <c r="X259" s="169" t="str">
        <f t="shared" ref="X259:X322" si="27">IFERROR(V259-N259, "")</f>
      </c>
      <c r="Y259" s="168" t="str">
        <f>IF(ISBLANK(Table123[[#This Row],[Odds Spread]]), "",O259+IF(S259&lt;0, (O259/(S259/-100)), O259*(S259/100)))</f>
      </c>
      <c r="Z259" s="168" t="str">
        <f t="shared" ref="Z259:Z322" si="28">IFERROR(Y259-O259, "")</f>
      </c>
      <c r="AA259" s="68" t="n">
        <f t="shared" ref="AA259:AA322" si="29">P259+IF(T259&lt;0, (P259/(T259/-100)), P259*(T259/100))</f>
        <v>0</v>
      </c>
      <c r="AB259" s="68" t="n">
        <f t="shared" ref="AB259:AB322" si="30">T259-P259</f>
        <v>0</v>
      </c>
      <c r="AC259" s="170" t="e">
        <f>IF('Prediction Log'!#REF!="Y", "W", IF('Prediction Log'!#REF!="N","L",""))</f>
        <v>#REF!</v>
      </c>
      <c r="AD259" s="171" t="e">
        <f>IF('Prediction Log'!#REF!="Y", "W", IF('Prediction Log'!#REF!="N","L",""))</f>
        <v>#REF!</v>
      </c>
      <c r="AE259" s="172" t="str">
        <f>IF(ISBLANK(Table123[[#This Row],[Odds Side - Difference Model]]), "",IF(AC259="W", W259, IF(AC259="L",-N259, "")))</f>
      </c>
      <c r="AF259" s="173" t="str">
        <f>IFERROR((IF(ISERR(Table123[[#This Row],[Potential Payout Side - Win Probability Model]]), "",IF(AD259="W", X259, IF(AD259="L",-N259, "")))), "")</f>
      </c>
      <c r="AG259" s="170" t="e">
        <f>IF('Prediction Log'!#REF!="Y", "W", IF('Prediction Log'!#REF!="N", "L", ""))</f>
        <v>#REF!</v>
      </c>
      <c r="AH259" s="172" t="str">
        <f>IF(ISBLANK(Table123[[#This Row],[Odds Spread]]), "",IF(AG259="W", Z259, IF(AG259="L",-O259, "")))</f>
      </c>
      <c r="AI259" s="184"/>
      <c r="AJ259" s="183" t="str">
        <f t="shared" ref="AJ259:AJ322" si="31">IF(AI259="W", AB259, IF(AI259="L",-S259, ""))</f>
      </c>
      <c r="AK2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0">
      <c r="A260" s="65" t="e">
        <f>Games!#REF!</f>
        <v>#REF!</v>
      </c>
      <c r="B260" s="65" t="e">
        <f>IF('Prediction Log'!#REF!=0, "",'Prediction Log'!#REF!)</f>
        <v>#REF!</v>
      </c>
      <c r="C260" s="65" t="e">
        <f>IF('Prediction Log'!#REF!=0, "",'Prediction Log'!#REF!)</f>
        <v>#REF!</v>
      </c>
      <c r="D260" s="65" t="e">
        <f>IF('Prediction Log'!#REF!=0, "",'Prediction Log'!#REF!)</f>
        <v>#REF!</v>
      </c>
      <c r="E260" s="65" t="e">
        <f>IF('Prediction Log'!#REF!=0, "",'Prediction Log'!#REF!)</f>
        <v>#REF!</v>
      </c>
      <c r="F260" s="65" t="e">
        <f>IF('Prediction Log'!#REF!=0, "",'Prediction Log'!#REF!)</f>
        <v>#REF!</v>
      </c>
      <c r="G260" s="64" t="e">
        <f>IF(ISBLANK(Games!#REF!), "",'Prediction Log'!#REF!)</f>
        <v>#REF!</v>
      </c>
      <c r="H260" s="66" t="e">
        <f>'Prediction Log'!#REF!</f>
        <v>#REF!</v>
      </c>
      <c r="I260" s="65" t="e">
        <f>IF(ISBLANK(Games!#REF!), "",IF(AND(Games!#REF!="",Games!#REF!=""),"",IF(ISTEXT(Games!#REF!), "Side",Games!#REF!)))</f>
        <v>#REF!</v>
      </c>
      <c r="J260" s="65" t="e">
        <f>IF(ISBLANK(Games!#REF!), "",IF(Games!#REF!="Y", Games!#REF!, Games!#REF!))</f>
        <v>#REF!</v>
      </c>
      <c r="K260" s="65" t="e">
        <f>Games!#REF!</f>
        <v>#REF!</v>
      </c>
      <c r="L260" s="65" t="e">
        <f>IF(ISBLANK(Games!#REF!), "",Games!#REF!)</f>
        <v>#REF!</v>
      </c>
      <c r="M260" s="65"/>
      <c r="N260" s="167" t="str">
        <f>IF(ISBLANK(Table123[[#This Row],[Odds Side - Difference Model]]), "", 1)</f>
      </c>
      <c r="O260" s="167" t="str">
        <f>IF(ISBLANK(Table123[[#This Row],[Odds Spread]]), "", 1)</f>
      </c>
      <c r="P260" s="67"/>
      <c r="Q260" s="67"/>
      <c r="R2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0" s="67"/>
      <c r="T260" s="67"/>
      <c r="U260" s="168" t="str">
        <f>IF(ISBLANK(Table123[[#This Row],[Odds Side - Difference Model]]), "",N260+IF(Q260&lt;0, (N260/(Q260/-100)), N260*(Q260/100)))</f>
      </c>
      <c r="V260" s="169" t="str">
        <f>IFERROR(IF(ISBLANK(Table123[[#This Row],[Odds Side - Win Probability Model]]), "",N260+IF(R260&lt;0, (N260/(R260/-100)), N260*(R260/100))),"")</f>
      </c>
      <c r="W260" s="168" t="str">
        <f t="shared" si="26"/>
      </c>
      <c r="X260" s="169" t="str">
        <f t="shared" si="27"/>
      </c>
      <c r="Y260" s="168" t="str">
        <f>IF(ISBLANK(Table123[[#This Row],[Odds Spread]]), "",O260+IF(S260&lt;0, (O260/(S260/-100)), O260*(S260/100)))</f>
      </c>
      <c r="Z260" s="168" t="str">
        <f t="shared" si="28"/>
      </c>
      <c r="AA260" s="68" t="n">
        <f t="shared" si="29"/>
        <v>0</v>
      </c>
      <c r="AB260" s="68" t="n">
        <f t="shared" si="30"/>
        <v>0</v>
      </c>
      <c r="AC260" s="170" t="e">
        <f>IF('Prediction Log'!#REF!="Y", "W", IF('Prediction Log'!#REF!="N","L",""))</f>
        <v>#REF!</v>
      </c>
      <c r="AD260" s="171" t="e">
        <f>IF('Prediction Log'!#REF!="Y", "W", IF('Prediction Log'!#REF!="N","L",""))</f>
        <v>#REF!</v>
      </c>
      <c r="AE260" s="172" t="str">
        <f>IF(ISBLANK(Table123[[#This Row],[Odds Side - Difference Model]]), "",IF(AC260="W", W260, IF(AC260="L",-N260, "")))</f>
      </c>
      <c r="AF260" s="173" t="str">
        <f>IFERROR((IF(ISERR(Table123[[#This Row],[Potential Payout Side - Win Probability Model]]), "",IF(AD260="W", X260, IF(AD260="L",-N260, "")))), "")</f>
      </c>
      <c r="AG260" s="170" t="e">
        <f>IF('Prediction Log'!#REF!="Y", "W", IF('Prediction Log'!#REF!="N", "L", ""))</f>
        <v>#REF!</v>
      </c>
      <c r="AH260" s="172" t="str">
        <f>IF(ISBLANK(Table123[[#This Row],[Odds Spread]]), "",IF(AG260="W", Z260, IF(AG260="L",-O260, "")))</f>
      </c>
      <c r="AI260" s="184"/>
      <c r="AJ260" s="183" t="str">
        <f t="shared" si="31"/>
      </c>
      <c r="AK2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1">
      <c r="A261" s="65" t="e">
        <f>Games!#REF!</f>
        <v>#REF!</v>
      </c>
      <c r="B261" s="65" t="e">
        <f>IF('Prediction Log'!#REF!=0, "",'Prediction Log'!#REF!)</f>
        <v>#REF!</v>
      </c>
      <c r="C261" s="65" t="e">
        <f>IF('Prediction Log'!#REF!=0, "",'Prediction Log'!#REF!)</f>
        <v>#REF!</v>
      </c>
      <c r="D261" s="65" t="e">
        <f>IF('Prediction Log'!#REF!=0, "",'Prediction Log'!#REF!)</f>
        <v>#REF!</v>
      </c>
      <c r="E261" s="65" t="e">
        <f>IF('Prediction Log'!#REF!=0, "",'Prediction Log'!#REF!)</f>
        <v>#REF!</v>
      </c>
      <c r="F261" s="65" t="e">
        <f>IF('Prediction Log'!#REF!=0, "",'Prediction Log'!#REF!)</f>
        <v>#REF!</v>
      </c>
      <c r="G261" s="64" t="e">
        <f>IF(ISBLANK(Games!#REF!), "",'Prediction Log'!#REF!)</f>
        <v>#REF!</v>
      </c>
      <c r="H261" s="66" t="e">
        <f>'Prediction Log'!#REF!</f>
        <v>#REF!</v>
      </c>
      <c r="I261" s="65" t="e">
        <f>IF(ISBLANK(Games!#REF!), "",IF(AND(Games!#REF!="",Games!#REF!=""),"",IF(ISTEXT(Games!#REF!), "Side",Games!#REF!)))</f>
        <v>#REF!</v>
      </c>
      <c r="J261" s="65" t="e">
        <f>IF(ISBLANK(Games!#REF!), "",IF(Games!#REF!="Y", Games!#REF!, Games!#REF!))</f>
        <v>#REF!</v>
      </c>
      <c r="K261" s="65" t="e">
        <f>Games!#REF!</f>
        <v>#REF!</v>
      </c>
      <c r="L261" s="65" t="e">
        <f>IF(ISBLANK(Games!#REF!), "",Games!#REF!)</f>
        <v>#REF!</v>
      </c>
      <c r="M261" s="65"/>
      <c r="N261" s="167" t="str">
        <f>IF(ISBLANK(Table123[[#This Row],[Odds Side - Difference Model]]), "", 1)</f>
      </c>
      <c r="O261" s="167" t="str">
        <f>IF(ISBLANK(Table123[[#This Row],[Odds Spread]]), "", 1)</f>
      </c>
      <c r="P261" s="67"/>
      <c r="Q261" s="67"/>
      <c r="R2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1" s="67"/>
      <c r="T261" s="67"/>
      <c r="U261" s="168" t="str">
        <f>IF(ISBLANK(Table123[[#This Row],[Odds Side - Difference Model]]), "",N261+IF(Q261&lt;0, (N261/(Q261/-100)), N261*(Q261/100)))</f>
      </c>
      <c r="V261" s="169" t="str">
        <f>IFERROR(IF(ISBLANK(Table123[[#This Row],[Odds Side - Win Probability Model]]), "",N261+IF(R261&lt;0, (N261/(R261/-100)), N261*(R261/100))),"")</f>
      </c>
      <c r="W261" s="168" t="str">
        <f t="shared" si="26"/>
      </c>
      <c r="X261" s="169" t="str">
        <f t="shared" si="27"/>
      </c>
      <c r="Y261" s="168" t="str">
        <f>IF(ISBLANK(Table123[[#This Row],[Odds Spread]]), "",O261+IF(S261&lt;0, (O261/(S261/-100)), O261*(S261/100)))</f>
      </c>
      <c r="Z261" s="168" t="str">
        <f t="shared" si="28"/>
      </c>
      <c r="AA261" s="68" t="n">
        <f t="shared" si="29"/>
        <v>0</v>
      </c>
      <c r="AB261" s="68" t="n">
        <f t="shared" si="30"/>
        <v>0</v>
      </c>
      <c r="AC261" s="170" t="e">
        <f>IF('Prediction Log'!#REF!="Y", "W", IF('Prediction Log'!#REF!="N","L",""))</f>
        <v>#REF!</v>
      </c>
      <c r="AD261" s="171" t="e">
        <f>IF('Prediction Log'!#REF!="Y", "W", IF('Prediction Log'!#REF!="N","L",""))</f>
        <v>#REF!</v>
      </c>
      <c r="AE261" s="172" t="str">
        <f>IF(ISBLANK(Table123[[#This Row],[Odds Side - Difference Model]]), "",IF(AC261="W", W261, IF(AC261="L",-N261, "")))</f>
      </c>
      <c r="AF261" s="173" t="str">
        <f>IFERROR((IF(ISERR(Table123[[#This Row],[Potential Payout Side - Win Probability Model]]), "",IF(AD261="W", X261, IF(AD261="L",-N261, "")))), "")</f>
      </c>
      <c r="AG261" s="170" t="e">
        <f>IF('Prediction Log'!#REF!="Y", "W", IF('Prediction Log'!#REF!="N", "L", ""))</f>
        <v>#REF!</v>
      </c>
      <c r="AH261" s="172" t="str">
        <f>IF(ISBLANK(Table123[[#This Row],[Odds Spread]]), "",IF(AG261="W", Z261, IF(AG261="L",-O261, "")))</f>
      </c>
      <c r="AI261" s="184"/>
      <c r="AJ261" s="183" t="str">
        <f t="shared" si="31"/>
      </c>
      <c r="AK2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2">
      <c r="A262" s="65" t="e">
        <f>Games!#REF!</f>
        <v>#REF!</v>
      </c>
      <c r="B262" s="65" t="e">
        <f>IF('Prediction Log'!#REF!=0, "",'Prediction Log'!#REF!)</f>
        <v>#REF!</v>
      </c>
      <c r="C262" s="65" t="e">
        <f>IF('Prediction Log'!#REF!=0, "",'Prediction Log'!#REF!)</f>
        <v>#REF!</v>
      </c>
      <c r="D262" s="65" t="e">
        <f>IF('Prediction Log'!#REF!=0, "",'Prediction Log'!#REF!)</f>
        <v>#REF!</v>
      </c>
      <c r="E262" s="65" t="e">
        <f>IF('Prediction Log'!#REF!=0, "",'Prediction Log'!#REF!)</f>
        <v>#REF!</v>
      </c>
      <c r="F262" s="65" t="e">
        <f>IF('Prediction Log'!#REF!=0, "",'Prediction Log'!#REF!)</f>
        <v>#REF!</v>
      </c>
      <c r="G262" s="64" t="e">
        <f>IF(ISBLANK(Games!#REF!), "",'Prediction Log'!#REF!)</f>
        <v>#REF!</v>
      </c>
      <c r="H262" s="66" t="e">
        <f>'Prediction Log'!#REF!</f>
        <v>#REF!</v>
      </c>
      <c r="I262" s="65" t="e">
        <f>IF(ISBLANK(Games!#REF!), "",IF(AND(Games!#REF!="",Games!#REF!=""),"",IF(ISTEXT(Games!#REF!), "Side",Games!#REF!)))</f>
        <v>#REF!</v>
      </c>
      <c r="J262" s="65" t="e">
        <f>IF(ISBLANK(Games!#REF!), "",IF(Games!#REF!="Y", Games!#REF!, Games!#REF!))</f>
        <v>#REF!</v>
      </c>
      <c r="K262" s="65" t="e">
        <f>Games!#REF!</f>
        <v>#REF!</v>
      </c>
      <c r="L262" s="65" t="e">
        <f>IF(ISBLANK(Games!#REF!), "",Games!#REF!)</f>
        <v>#REF!</v>
      </c>
      <c r="M262" s="65"/>
      <c r="N262" s="167" t="str">
        <f>IF(ISBLANK(Table123[[#This Row],[Odds Side - Difference Model]]), "", 1)</f>
      </c>
      <c r="O262" s="167" t="str">
        <f>IF(ISBLANK(Table123[[#This Row],[Odds Spread]]), "", 1)</f>
      </c>
      <c r="P262" s="67"/>
      <c r="Q262" s="67"/>
      <c r="R2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2" s="67"/>
      <c r="T262" s="67"/>
      <c r="U262" s="168" t="str">
        <f>IF(ISBLANK(Table123[[#This Row],[Odds Side - Difference Model]]), "",N262+IF(Q262&lt;0, (N262/(Q262/-100)), N262*(Q262/100)))</f>
      </c>
      <c r="V262" s="169" t="str">
        <f>IFERROR(IF(ISBLANK(Table123[[#This Row],[Odds Side - Win Probability Model]]), "",N262+IF(R262&lt;0, (N262/(R262/-100)), N262*(R262/100))),"")</f>
      </c>
      <c r="W262" s="168" t="str">
        <f t="shared" si="26"/>
      </c>
      <c r="X262" s="169" t="str">
        <f t="shared" si="27"/>
      </c>
      <c r="Y262" s="168" t="str">
        <f>IF(ISBLANK(Table123[[#This Row],[Odds Spread]]), "",O262+IF(S262&lt;0, (O262/(S262/-100)), O262*(S262/100)))</f>
      </c>
      <c r="Z262" s="168" t="str">
        <f t="shared" si="28"/>
      </c>
      <c r="AA262" s="68" t="n">
        <f t="shared" si="29"/>
        <v>0</v>
      </c>
      <c r="AB262" s="68" t="n">
        <f t="shared" si="30"/>
        <v>0</v>
      </c>
      <c r="AC262" s="170" t="e">
        <f>IF('Prediction Log'!#REF!="Y", "W", IF('Prediction Log'!#REF!="N","L",""))</f>
        <v>#REF!</v>
      </c>
      <c r="AD262" s="171" t="e">
        <f>IF('Prediction Log'!#REF!="Y", "W", IF('Prediction Log'!#REF!="N","L",""))</f>
        <v>#REF!</v>
      </c>
      <c r="AE262" s="172" t="str">
        <f>IF(ISBLANK(Table123[[#This Row],[Odds Side - Difference Model]]), "",IF(AC262="W", W262, IF(AC262="L",-N262, "")))</f>
      </c>
      <c r="AF262" s="173" t="str">
        <f>IFERROR((IF(ISERR(Table123[[#This Row],[Potential Payout Side - Win Probability Model]]), "",IF(AD262="W", X262, IF(AD262="L",-N262, "")))), "")</f>
      </c>
      <c r="AG262" s="170" t="e">
        <f>IF('Prediction Log'!#REF!="Y", "W", IF('Prediction Log'!#REF!="N", "L", ""))</f>
        <v>#REF!</v>
      </c>
      <c r="AH262" s="172" t="str">
        <f>IF(ISBLANK(Table123[[#This Row],[Odds Spread]]), "",IF(AG262="W", Z262, IF(AG262="L",-O262, "")))</f>
      </c>
      <c r="AI262" s="184"/>
      <c r="AJ262" s="183" t="str">
        <f t="shared" si="31"/>
      </c>
      <c r="AK2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3">
      <c r="A263" s="65" t="e">
        <f>Games!#REF!</f>
        <v>#REF!</v>
      </c>
      <c r="B263" s="65" t="e">
        <f>IF('Prediction Log'!#REF!=0, "",'Prediction Log'!#REF!)</f>
        <v>#REF!</v>
      </c>
      <c r="C263" s="65" t="e">
        <f>IF('Prediction Log'!#REF!=0, "",'Prediction Log'!#REF!)</f>
        <v>#REF!</v>
      </c>
      <c r="D263" s="65" t="e">
        <f>IF('Prediction Log'!#REF!=0, "",'Prediction Log'!#REF!)</f>
        <v>#REF!</v>
      </c>
      <c r="E263" s="65" t="e">
        <f>IF('Prediction Log'!#REF!=0, "",'Prediction Log'!#REF!)</f>
        <v>#REF!</v>
      </c>
      <c r="F263" s="65" t="e">
        <f>IF('Prediction Log'!#REF!=0, "",'Prediction Log'!#REF!)</f>
        <v>#REF!</v>
      </c>
      <c r="G263" s="64" t="e">
        <f>IF(ISBLANK(Games!#REF!), "",'Prediction Log'!#REF!)</f>
        <v>#REF!</v>
      </c>
      <c r="H263" s="66" t="e">
        <f>'Prediction Log'!#REF!</f>
        <v>#REF!</v>
      </c>
      <c r="I263" s="65" t="e">
        <f>IF(ISBLANK(Games!#REF!), "",IF(AND(Games!#REF!="",Games!#REF!=""),"",IF(ISTEXT(Games!#REF!), "Side",Games!#REF!)))</f>
        <v>#REF!</v>
      </c>
      <c r="J263" s="65" t="e">
        <f>IF(ISBLANK(Games!#REF!), "",IF(Games!#REF!="Y", Games!#REF!, Games!#REF!))</f>
        <v>#REF!</v>
      </c>
      <c r="K263" s="65" t="e">
        <f>Games!#REF!</f>
        <v>#REF!</v>
      </c>
      <c r="L263" s="65" t="e">
        <f>IF(ISBLANK(Games!#REF!), "",Games!#REF!)</f>
        <v>#REF!</v>
      </c>
      <c r="M263" s="65"/>
      <c r="N263" s="167" t="str">
        <f>IF(ISBLANK(Table123[[#This Row],[Odds Side - Difference Model]]), "", 1)</f>
      </c>
      <c r="O263" s="167" t="str">
        <f>IF(ISBLANK(Table123[[#This Row],[Odds Spread]]), "", 1)</f>
      </c>
      <c r="P263" s="67"/>
      <c r="Q263" s="67"/>
      <c r="R2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3" s="67"/>
      <c r="T263" s="67"/>
      <c r="U263" s="168" t="str">
        <f>IF(ISBLANK(Table123[[#This Row],[Odds Side - Difference Model]]), "",N263+IF(Q263&lt;0, (N263/(Q263/-100)), N263*(Q263/100)))</f>
      </c>
      <c r="V263" s="169" t="str">
        <f>IFERROR(IF(ISBLANK(Table123[[#This Row],[Odds Side - Win Probability Model]]), "",N263+IF(R263&lt;0, (N263/(R263/-100)), N263*(R263/100))),"")</f>
      </c>
      <c r="W263" s="168" t="str">
        <f t="shared" si="26"/>
      </c>
      <c r="X263" s="169" t="str">
        <f t="shared" si="27"/>
      </c>
      <c r="Y263" s="168" t="str">
        <f>IF(ISBLANK(Table123[[#This Row],[Odds Spread]]), "",O263+IF(S263&lt;0, (O263/(S263/-100)), O263*(S263/100)))</f>
      </c>
      <c r="Z263" s="168" t="str">
        <f t="shared" si="28"/>
      </c>
      <c r="AA263" s="68" t="n">
        <f t="shared" si="29"/>
        <v>0</v>
      </c>
      <c r="AB263" s="68" t="n">
        <f t="shared" si="30"/>
        <v>0</v>
      </c>
      <c r="AC263" s="170" t="e">
        <f>IF('Prediction Log'!#REF!="Y", "W", IF('Prediction Log'!#REF!="N","L",""))</f>
        <v>#REF!</v>
      </c>
      <c r="AD263" s="171" t="e">
        <f>IF('Prediction Log'!#REF!="Y", "W", IF('Prediction Log'!#REF!="N","L",""))</f>
        <v>#REF!</v>
      </c>
      <c r="AE263" s="172" t="str">
        <f>IF(ISBLANK(Table123[[#This Row],[Odds Side - Difference Model]]), "",IF(AC263="W", W263, IF(AC263="L",-N263, "")))</f>
      </c>
      <c r="AF263" s="173" t="str">
        <f>IFERROR((IF(ISERR(Table123[[#This Row],[Potential Payout Side - Win Probability Model]]), "",IF(AD263="W", X263, IF(AD263="L",-N263, "")))), "")</f>
      </c>
      <c r="AG263" s="170" t="e">
        <f>IF('Prediction Log'!#REF!="Y", "W", IF('Prediction Log'!#REF!="N", "L", ""))</f>
        <v>#REF!</v>
      </c>
      <c r="AH263" s="172" t="str">
        <f>IF(ISBLANK(Table123[[#This Row],[Odds Spread]]), "",IF(AG263="W", Z263, IF(AG263="L",-O263, "")))</f>
      </c>
      <c r="AI263" s="184"/>
      <c r="AJ263" s="183" t="str">
        <f t="shared" si="31"/>
      </c>
      <c r="AK2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4">
      <c r="A264" s="65" t="e">
        <f>Games!#REF!</f>
        <v>#REF!</v>
      </c>
      <c r="B264" s="65" t="e">
        <f>IF('Prediction Log'!#REF!=0, "",'Prediction Log'!#REF!)</f>
        <v>#REF!</v>
      </c>
      <c r="C264" s="65" t="e">
        <f>IF('Prediction Log'!#REF!=0, "",'Prediction Log'!#REF!)</f>
        <v>#REF!</v>
      </c>
      <c r="D264" s="65" t="e">
        <f>IF('Prediction Log'!#REF!=0, "",'Prediction Log'!#REF!)</f>
        <v>#REF!</v>
      </c>
      <c r="E264" s="65" t="e">
        <f>IF('Prediction Log'!#REF!=0, "",'Prediction Log'!#REF!)</f>
        <v>#REF!</v>
      </c>
      <c r="F264" s="65" t="e">
        <f>IF('Prediction Log'!#REF!=0, "",'Prediction Log'!#REF!)</f>
        <v>#REF!</v>
      </c>
      <c r="G264" s="64" t="e">
        <f>IF(ISBLANK(Games!#REF!), "",'Prediction Log'!#REF!)</f>
        <v>#REF!</v>
      </c>
      <c r="H264" s="66" t="e">
        <f>'Prediction Log'!#REF!</f>
        <v>#REF!</v>
      </c>
      <c r="I264" s="65" t="e">
        <f>IF(ISBLANK(Games!#REF!), "",IF(AND(Games!#REF!="",Games!#REF!=""),"",IF(ISTEXT(Games!#REF!), "Side",Games!#REF!)))</f>
        <v>#REF!</v>
      </c>
      <c r="J264" s="65" t="e">
        <f>IF(ISBLANK(Games!#REF!), "",IF(Games!#REF!="Y", Games!#REF!, Games!#REF!))</f>
        <v>#REF!</v>
      </c>
      <c r="K264" s="65" t="e">
        <f>Games!#REF!</f>
        <v>#REF!</v>
      </c>
      <c r="L264" s="65" t="e">
        <f>IF(ISBLANK(Games!#REF!), "",Games!#REF!)</f>
        <v>#REF!</v>
      </c>
      <c r="M264" s="65"/>
      <c r="N264" s="167" t="str">
        <f>IF(ISBLANK(Table123[[#This Row],[Odds Side - Difference Model]]), "", 1)</f>
      </c>
      <c r="O264" s="167" t="str">
        <f>IF(ISBLANK(Table123[[#This Row],[Odds Spread]]), "", 1)</f>
      </c>
      <c r="P264" s="67"/>
      <c r="Q264" s="67"/>
      <c r="R2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4" s="67"/>
      <c r="T264" s="67"/>
      <c r="U264" s="168" t="str">
        <f>IF(ISBLANK(Table123[[#This Row],[Odds Side - Difference Model]]), "",N264+IF(Q264&lt;0, (N264/(Q264/-100)), N264*(Q264/100)))</f>
      </c>
      <c r="V264" s="169" t="str">
        <f>IFERROR(IF(ISBLANK(Table123[[#This Row],[Odds Side - Win Probability Model]]), "",N264+IF(R264&lt;0, (N264/(R264/-100)), N264*(R264/100))),"")</f>
      </c>
      <c r="W264" s="168" t="str">
        <f t="shared" si="26"/>
      </c>
      <c r="X264" s="169" t="str">
        <f t="shared" si="27"/>
      </c>
      <c r="Y264" s="168" t="str">
        <f>IF(ISBLANK(Table123[[#This Row],[Odds Spread]]), "",O264+IF(S264&lt;0, (O264/(S264/-100)), O264*(S264/100)))</f>
      </c>
      <c r="Z264" s="168" t="str">
        <f t="shared" si="28"/>
      </c>
      <c r="AA264" s="68" t="n">
        <f t="shared" si="29"/>
        <v>0</v>
      </c>
      <c r="AB264" s="68" t="n">
        <f t="shared" si="30"/>
        <v>0</v>
      </c>
      <c r="AC264" s="170" t="e">
        <f>IF('Prediction Log'!#REF!="Y", "W", IF('Prediction Log'!#REF!="N","L",""))</f>
        <v>#REF!</v>
      </c>
      <c r="AD264" s="171" t="e">
        <f>IF('Prediction Log'!#REF!="Y", "W", IF('Prediction Log'!#REF!="N","L",""))</f>
        <v>#REF!</v>
      </c>
      <c r="AE264" s="172" t="str">
        <f>IF(ISBLANK(Table123[[#This Row],[Odds Side - Difference Model]]), "",IF(AC264="W", W264, IF(AC264="L",-N264, "")))</f>
      </c>
      <c r="AF264" s="173" t="str">
        <f>IFERROR((IF(ISERR(Table123[[#This Row],[Potential Payout Side - Win Probability Model]]), "",IF(AD264="W", X264, IF(AD264="L",-N264, "")))), "")</f>
      </c>
      <c r="AG264" s="170" t="e">
        <f>IF('Prediction Log'!#REF!="Y", "W", IF('Prediction Log'!#REF!="N", "L", ""))</f>
        <v>#REF!</v>
      </c>
      <c r="AH264" s="172" t="str">
        <f>IF(ISBLANK(Table123[[#This Row],[Odds Spread]]), "",IF(AG264="W", Z264, IF(AG264="L",-O264, "")))</f>
      </c>
      <c r="AI264" s="184"/>
      <c r="AJ264" s="183" t="str">
        <f t="shared" si="31"/>
      </c>
      <c r="AK2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5">
      <c r="A265" s="65" t="e">
        <f>Games!#REF!</f>
        <v>#REF!</v>
      </c>
      <c r="B265" s="65" t="e">
        <f>IF('Prediction Log'!#REF!=0, "",'Prediction Log'!#REF!)</f>
        <v>#REF!</v>
      </c>
      <c r="C265" s="65" t="e">
        <f>IF('Prediction Log'!#REF!=0, "",'Prediction Log'!#REF!)</f>
        <v>#REF!</v>
      </c>
      <c r="D265" s="65" t="e">
        <f>IF('Prediction Log'!#REF!=0, "",'Prediction Log'!#REF!)</f>
        <v>#REF!</v>
      </c>
      <c r="E265" s="65" t="e">
        <f>IF('Prediction Log'!#REF!=0, "",'Prediction Log'!#REF!)</f>
        <v>#REF!</v>
      </c>
      <c r="F265" s="65" t="e">
        <f>IF('Prediction Log'!#REF!=0, "",'Prediction Log'!#REF!)</f>
        <v>#REF!</v>
      </c>
      <c r="G265" s="64" t="e">
        <f>IF(ISBLANK(Games!#REF!), "",'Prediction Log'!#REF!)</f>
        <v>#REF!</v>
      </c>
      <c r="H265" s="66" t="e">
        <f>'Prediction Log'!#REF!</f>
        <v>#REF!</v>
      </c>
      <c r="I265" s="65" t="e">
        <f>IF(ISBLANK(Games!#REF!), "",IF(AND(Games!#REF!="",Games!#REF!=""),"",IF(ISTEXT(Games!#REF!), "Side",Games!#REF!)))</f>
        <v>#REF!</v>
      </c>
      <c r="J265" s="65" t="e">
        <f>IF(ISBLANK(Games!#REF!), "",IF(Games!#REF!="Y", Games!#REF!, Games!#REF!))</f>
        <v>#REF!</v>
      </c>
      <c r="K265" s="65" t="e">
        <f>Games!#REF!</f>
        <v>#REF!</v>
      </c>
      <c r="L265" s="65" t="e">
        <f>IF(ISBLANK(Games!#REF!), "",Games!#REF!)</f>
        <v>#REF!</v>
      </c>
      <c r="M265" s="65"/>
      <c r="N265" s="167" t="str">
        <f>IF(ISBLANK(Table123[[#This Row],[Odds Side - Difference Model]]), "", 1)</f>
      </c>
      <c r="O265" s="167" t="str">
        <f>IF(ISBLANK(Table123[[#This Row],[Odds Spread]]), "", 1)</f>
      </c>
      <c r="P265" s="67"/>
      <c r="Q265" s="67"/>
      <c r="R2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5" s="67"/>
      <c r="T265" s="67"/>
      <c r="U265" s="168" t="str">
        <f>IF(ISBLANK(Table123[[#This Row],[Odds Side - Difference Model]]), "",N265+IF(Q265&lt;0, (N265/(Q265/-100)), N265*(Q265/100)))</f>
      </c>
      <c r="V265" s="169" t="str">
        <f>IFERROR(IF(ISBLANK(Table123[[#This Row],[Odds Side - Win Probability Model]]), "",N265+IF(R265&lt;0, (N265/(R265/-100)), N265*(R265/100))),"")</f>
      </c>
      <c r="W265" s="168" t="str">
        <f t="shared" si="26"/>
      </c>
      <c r="X265" s="169" t="str">
        <f t="shared" si="27"/>
      </c>
      <c r="Y265" s="168" t="str">
        <f>IF(ISBLANK(Table123[[#This Row],[Odds Spread]]), "",O265+IF(S265&lt;0, (O265/(S265/-100)), O265*(S265/100)))</f>
      </c>
      <c r="Z265" s="168" t="str">
        <f t="shared" si="28"/>
      </c>
      <c r="AA265" s="68" t="n">
        <f t="shared" si="29"/>
        <v>0</v>
      </c>
      <c r="AB265" s="68" t="n">
        <f t="shared" si="30"/>
        <v>0</v>
      </c>
      <c r="AC265" s="170" t="e">
        <f>IF('Prediction Log'!#REF!="Y", "W", IF('Prediction Log'!#REF!="N","L",""))</f>
        <v>#REF!</v>
      </c>
      <c r="AD265" s="171" t="e">
        <f>IF('Prediction Log'!#REF!="Y", "W", IF('Prediction Log'!#REF!="N","L",""))</f>
        <v>#REF!</v>
      </c>
      <c r="AE265" s="172" t="str">
        <f>IF(ISBLANK(Table123[[#This Row],[Odds Side - Difference Model]]), "",IF(AC265="W", W265, IF(AC265="L",-N265, "")))</f>
      </c>
      <c r="AF265" s="173" t="str">
        <f>IFERROR((IF(ISERR(Table123[[#This Row],[Potential Payout Side - Win Probability Model]]), "",IF(AD265="W", X265, IF(AD265="L",-N265, "")))), "")</f>
      </c>
      <c r="AG265" s="170" t="e">
        <f>IF('Prediction Log'!#REF!="Y", "W", IF('Prediction Log'!#REF!="N", "L", ""))</f>
        <v>#REF!</v>
      </c>
      <c r="AH265" s="172" t="str">
        <f>IF(ISBLANK(Table123[[#This Row],[Odds Spread]]), "",IF(AG265="W", Z265, IF(AG265="L",-O265, "")))</f>
      </c>
      <c r="AI265" s="184"/>
      <c r="AJ265" s="183" t="str">
        <f t="shared" si="31"/>
      </c>
      <c r="AK2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6">
      <c r="A266" s="65" t="e">
        <f>Games!#REF!</f>
        <v>#REF!</v>
      </c>
      <c r="B266" s="65" t="e">
        <f>IF('Prediction Log'!#REF!=0, "",'Prediction Log'!#REF!)</f>
        <v>#REF!</v>
      </c>
      <c r="C266" s="65" t="e">
        <f>IF('Prediction Log'!#REF!=0, "",'Prediction Log'!#REF!)</f>
        <v>#REF!</v>
      </c>
      <c r="D266" s="65" t="e">
        <f>IF('Prediction Log'!#REF!=0, "",'Prediction Log'!#REF!)</f>
        <v>#REF!</v>
      </c>
      <c r="E266" s="65" t="e">
        <f>IF('Prediction Log'!#REF!=0, "",'Prediction Log'!#REF!)</f>
        <v>#REF!</v>
      </c>
      <c r="F266" s="65" t="e">
        <f>IF('Prediction Log'!#REF!=0, "",'Prediction Log'!#REF!)</f>
        <v>#REF!</v>
      </c>
      <c r="G266" s="64" t="e">
        <f>IF(ISBLANK(Games!#REF!), "",'Prediction Log'!#REF!)</f>
        <v>#REF!</v>
      </c>
      <c r="H266" s="66" t="e">
        <f>'Prediction Log'!#REF!</f>
        <v>#REF!</v>
      </c>
      <c r="I266" s="65" t="e">
        <f>IF(ISBLANK(Games!#REF!), "",IF(AND(Games!#REF!="",Games!#REF!=""),"",IF(ISTEXT(Games!#REF!), "Side",Games!#REF!)))</f>
        <v>#REF!</v>
      </c>
      <c r="J266" s="65" t="e">
        <f>IF(ISBLANK(Games!#REF!), "",IF(Games!#REF!="Y", Games!#REF!, Games!#REF!))</f>
        <v>#REF!</v>
      </c>
      <c r="K266" s="65" t="e">
        <f>Games!#REF!</f>
        <v>#REF!</v>
      </c>
      <c r="L266" s="65" t="e">
        <f>IF(ISBLANK(Games!#REF!), "",Games!#REF!)</f>
        <v>#REF!</v>
      </c>
      <c r="M266" s="65"/>
      <c r="N266" s="167" t="str">
        <f>IF(ISBLANK(Table123[[#This Row],[Odds Side - Difference Model]]), "", 1)</f>
      </c>
      <c r="O266" s="167" t="str">
        <f>IF(ISBLANK(Table123[[#This Row],[Odds Spread]]), "", 1)</f>
      </c>
      <c r="P266" s="67"/>
      <c r="Q266" s="67"/>
      <c r="R2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6" s="67"/>
      <c r="T266" s="67"/>
      <c r="U266" s="168" t="str">
        <f>IF(ISBLANK(Table123[[#This Row],[Odds Side - Difference Model]]), "",N266+IF(Q266&lt;0, (N266/(Q266/-100)), N266*(Q266/100)))</f>
      </c>
      <c r="V266" s="169" t="str">
        <f>IFERROR(IF(ISBLANK(Table123[[#This Row],[Odds Side - Win Probability Model]]), "",N266+IF(R266&lt;0, (N266/(R266/-100)), N266*(R266/100))),"")</f>
      </c>
      <c r="W266" s="168" t="str">
        <f t="shared" si="26"/>
      </c>
      <c r="X266" s="169" t="str">
        <f t="shared" si="27"/>
      </c>
      <c r="Y266" s="168" t="str">
        <f>IF(ISBLANK(Table123[[#This Row],[Odds Spread]]), "",O266+IF(S266&lt;0, (O266/(S266/-100)), O266*(S266/100)))</f>
      </c>
      <c r="Z266" s="168" t="str">
        <f t="shared" si="28"/>
      </c>
      <c r="AA266" s="68" t="n">
        <f t="shared" si="29"/>
        <v>0</v>
      </c>
      <c r="AB266" s="68" t="n">
        <f t="shared" si="30"/>
        <v>0</v>
      </c>
      <c r="AC266" s="170" t="e">
        <f>IF('Prediction Log'!#REF!="Y", "W", IF('Prediction Log'!#REF!="N","L",""))</f>
        <v>#REF!</v>
      </c>
      <c r="AD266" s="171" t="e">
        <f>IF('Prediction Log'!#REF!="Y", "W", IF('Prediction Log'!#REF!="N","L",""))</f>
        <v>#REF!</v>
      </c>
      <c r="AE266" s="172" t="str">
        <f>IF(ISBLANK(Table123[[#This Row],[Odds Side - Difference Model]]), "",IF(AC266="W", W266, IF(AC266="L",-N266, "")))</f>
      </c>
      <c r="AF266" s="173" t="str">
        <f>IFERROR((IF(ISERR(Table123[[#This Row],[Potential Payout Side - Win Probability Model]]), "",IF(AD266="W", X266, IF(AD266="L",-N266, "")))), "")</f>
      </c>
      <c r="AG266" s="170" t="e">
        <f>IF('Prediction Log'!#REF!="Y", "W", IF('Prediction Log'!#REF!="N", "L", ""))</f>
        <v>#REF!</v>
      </c>
      <c r="AH266" s="172" t="str">
        <f>IF(ISBLANK(Table123[[#This Row],[Odds Spread]]), "",IF(AG266="W", Z266, IF(AG266="L",-O266, "")))</f>
      </c>
      <c r="AI266" s="184"/>
      <c r="AJ266" s="183" t="str">
        <f t="shared" si="31"/>
      </c>
      <c r="AK2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7">
      <c r="A267" s="65" t="e">
        <f>Games!#REF!</f>
        <v>#REF!</v>
      </c>
      <c r="B267" s="65" t="e">
        <f>IF('Prediction Log'!#REF!=0, "",'Prediction Log'!#REF!)</f>
        <v>#REF!</v>
      </c>
      <c r="C267" s="65" t="e">
        <f>IF('Prediction Log'!#REF!=0, "",'Prediction Log'!#REF!)</f>
        <v>#REF!</v>
      </c>
      <c r="D267" s="65" t="e">
        <f>IF('Prediction Log'!#REF!=0, "",'Prediction Log'!#REF!)</f>
        <v>#REF!</v>
      </c>
      <c r="E267" s="65" t="e">
        <f>IF('Prediction Log'!#REF!=0, "",'Prediction Log'!#REF!)</f>
        <v>#REF!</v>
      </c>
      <c r="F267" s="65" t="e">
        <f>IF('Prediction Log'!#REF!=0, "",'Prediction Log'!#REF!)</f>
        <v>#REF!</v>
      </c>
      <c r="G267" s="64" t="e">
        <f>IF(ISBLANK(Games!#REF!), "",'Prediction Log'!#REF!)</f>
        <v>#REF!</v>
      </c>
      <c r="H267" s="66" t="e">
        <f>'Prediction Log'!#REF!</f>
        <v>#REF!</v>
      </c>
      <c r="I267" s="65" t="e">
        <f>IF(ISBLANK(Games!#REF!), "",IF(AND(Games!#REF!="",Games!#REF!=""),"",IF(ISTEXT(Games!#REF!), "Side",Games!#REF!)))</f>
        <v>#REF!</v>
      </c>
      <c r="J267" s="65" t="e">
        <f>IF(ISBLANK(Games!#REF!), "",IF(Games!#REF!="Y", Games!#REF!, Games!#REF!))</f>
        <v>#REF!</v>
      </c>
      <c r="K267" s="65" t="e">
        <f>Games!#REF!</f>
        <v>#REF!</v>
      </c>
      <c r="L267" s="65" t="e">
        <f>IF(ISBLANK(Games!#REF!), "",Games!#REF!)</f>
        <v>#REF!</v>
      </c>
      <c r="M267" s="65"/>
      <c r="N267" s="167" t="str">
        <f>IF(ISBLANK(Table123[[#This Row],[Odds Side - Difference Model]]), "", 1)</f>
      </c>
      <c r="O267" s="167" t="str">
        <f>IF(ISBLANK(Table123[[#This Row],[Odds Spread]]), "", 1)</f>
      </c>
      <c r="P267" s="67"/>
      <c r="Q267" s="67"/>
      <c r="R2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7" s="67"/>
      <c r="T267" s="67"/>
      <c r="U267" s="168" t="str">
        <f>IF(ISBLANK(Table123[[#This Row],[Odds Side - Difference Model]]), "",N267+IF(Q267&lt;0, (N267/(Q267/-100)), N267*(Q267/100)))</f>
      </c>
      <c r="V267" s="169" t="str">
        <f>IFERROR(IF(ISBLANK(Table123[[#This Row],[Odds Side - Win Probability Model]]), "",N267+IF(R267&lt;0, (N267/(R267/-100)), N267*(R267/100))),"")</f>
      </c>
      <c r="W267" s="168" t="str">
        <f t="shared" si="26"/>
      </c>
      <c r="X267" s="169" t="str">
        <f t="shared" si="27"/>
      </c>
      <c r="Y267" s="168" t="str">
        <f>IF(ISBLANK(Table123[[#This Row],[Odds Spread]]), "",O267+IF(S267&lt;0, (O267/(S267/-100)), O267*(S267/100)))</f>
      </c>
      <c r="Z267" s="168" t="str">
        <f t="shared" si="28"/>
      </c>
      <c r="AA267" s="68" t="n">
        <f t="shared" si="29"/>
        <v>0</v>
      </c>
      <c r="AB267" s="68" t="n">
        <f t="shared" si="30"/>
        <v>0</v>
      </c>
      <c r="AC267" s="170" t="e">
        <f>IF('Prediction Log'!#REF!="Y", "W", IF('Prediction Log'!#REF!="N","L",""))</f>
        <v>#REF!</v>
      </c>
      <c r="AD267" s="171" t="e">
        <f>IF('Prediction Log'!#REF!="Y", "W", IF('Prediction Log'!#REF!="N","L",""))</f>
        <v>#REF!</v>
      </c>
      <c r="AE267" s="172" t="str">
        <f>IF(ISBLANK(Table123[[#This Row],[Odds Side - Difference Model]]), "",IF(AC267="W", W267, IF(AC267="L",-N267, "")))</f>
      </c>
      <c r="AF267" s="173" t="str">
        <f>IFERROR((IF(ISERR(Table123[[#This Row],[Potential Payout Side - Win Probability Model]]), "",IF(AD267="W", X267, IF(AD267="L",-N267, "")))), "")</f>
      </c>
      <c r="AG267" s="170" t="e">
        <f>IF('Prediction Log'!#REF!="Y", "W", IF('Prediction Log'!#REF!="N", "L", ""))</f>
        <v>#REF!</v>
      </c>
      <c r="AH267" s="172" t="str">
        <f>IF(ISBLANK(Table123[[#This Row],[Odds Spread]]), "",IF(AG267="W", Z267, IF(AG267="L",-O267, "")))</f>
      </c>
      <c r="AI267" s="184"/>
      <c r="AJ267" s="183" t="str">
        <f t="shared" si="31"/>
      </c>
      <c r="AK2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8">
      <c r="A268" s="65" t="e">
        <f>Games!#REF!</f>
        <v>#REF!</v>
      </c>
      <c r="B268" s="65" t="e">
        <f>IF('Prediction Log'!#REF!=0, "",'Prediction Log'!#REF!)</f>
        <v>#REF!</v>
      </c>
      <c r="C268" s="65" t="e">
        <f>IF('Prediction Log'!#REF!=0, "",'Prediction Log'!#REF!)</f>
        <v>#REF!</v>
      </c>
      <c r="D268" s="65" t="e">
        <f>IF('Prediction Log'!#REF!=0, "",'Prediction Log'!#REF!)</f>
        <v>#REF!</v>
      </c>
      <c r="E268" s="65" t="e">
        <f>IF('Prediction Log'!#REF!=0, "",'Prediction Log'!#REF!)</f>
        <v>#REF!</v>
      </c>
      <c r="F268" s="65" t="e">
        <f>IF('Prediction Log'!#REF!=0, "",'Prediction Log'!#REF!)</f>
        <v>#REF!</v>
      </c>
      <c r="G268" s="64" t="e">
        <f>IF(ISBLANK(Games!#REF!), "",'Prediction Log'!#REF!)</f>
        <v>#REF!</v>
      </c>
      <c r="H268" s="66" t="e">
        <f>'Prediction Log'!#REF!</f>
        <v>#REF!</v>
      </c>
      <c r="I268" s="65" t="e">
        <f>IF(ISBLANK(Games!#REF!), "",IF(AND(Games!#REF!="",Games!#REF!=""),"",IF(ISTEXT(Games!#REF!), "Side",Games!#REF!)))</f>
        <v>#REF!</v>
      </c>
      <c r="J268" s="65" t="e">
        <f>IF(ISBLANK(Games!#REF!), "",IF(Games!#REF!="Y", Games!#REF!, Games!#REF!))</f>
        <v>#REF!</v>
      </c>
      <c r="K268" s="65" t="e">
        <f>Games!#REF!</f>
        <v>#REF!</v>
      </c>
      <c r="L268" s="65" t="e">
        <f>IF(ISBLANK(Games!#REF!), "",Games!#REF!)</f>
        <v>#REF!</v>
      </c>
      <c r="M268" s="65"/>
      <c r="N268" s="167" t="str">
        <f>IF(ISBLANK(Table123[[#This Row],[Odds Side - Difference Model]]), "", 1)</f>
      </c>
      <c r="O268" s="167" t="str">
        <f>IF(ISBLANK(Table123[[#This Row],[Odds Spread]]), "", 1)</f>
      </c>
      <c r="P268" s="67"/>
      <c r="Q268" s="67"/>
      <c r="R2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8" s="67"/>
      <c r="T268" s="67"/>
      <c r="U268" s="168" t="str">
        <f>IF(ISBLANK(Table123[[#This Row],[Odds Side - Difference Model]]), "",N268+IF(Q268&lt;0, (N268/(Q268/-100)), N268*(Q268/100)))</f>
      </c>
      <c r="V268" s="169" t="str">
        <f>IFERROR(IF(ISBLANK(Table123[[#This Row],[Odds Side - Win Probability Model]]), "",N268+IF(R268&lt;0, (N268/(R268/-100)), N268*(R268/100))),"")</f>
      </c>
      <c r="W268" s="168" t="str">
        <f t="shared" si="26"/>
      </c>
      <c r="X268" s="169" t="str">
        <f t="shared" si="27"/>
      </c>
      <c r="Y268" s="168" t="str">
        <f>IF(ISBLANK(Table123[[#This Row],[Odds Spread]]), "",O268+IF(S268&lt;0, (O268/(S268/-100)), O268*(S268/100)))</f>
      </c>
      <c r="Z268" s="168" t="str">
        <f t="shared" si="28"/>
      </c>
      <c r="AA268" s="68" t="n">
        <f t="shared" si="29"/>
        <v>0</v>
      </c>
      <c r="AB268" s="68" t="n">
        <f t="shared" si="30"/>
        <v>0</v>
      </c>
      <c r="AC268" s="170" t="e">
        <f>IF('Prediction Log'!#REF!="Y", "W", IF('Prediction Log'!#REF!="N","L",""))</f>
        <v>#REF!</v>
      </c>
      <c r="AD268" s="171" t="e">
        <f>IF('Prediction Log'!#REF!="Y", "W", IF('Prediction Log'!#REF!="N","L",""))</f>
        <v>#REF!</v>
      </c>
      <c r="AE268" s="172" t="str">
        <f>IF(ISBLANK(Table123[[#This Row],[Odds Side - Difference Model]]), "",IF(AC268="W", W268, IF(AC268="L",-N268, "")))</f>
      </c>
      <c r="AF268" s="173" t="str">
        <f>IFERROR((IF(ISERR(Table123[[#This Row],[Potential Payout Side - Win Probability Model]]), "",IF(AD268="W", X268, IF(AD268="L",-N268, "")))), "")</f>
      </c>
      <c r="AG268" s="170" t="e">
        <f>IF('Prediction Log'!#REF!="Y", "W", IF('Prediction Log'!#REF!="N", "L", ""))</f>
        <v>#REF!</v>
      </c>
      <c r="AH268" s="172" t="str">
        <f>IF(ISBLANK(Table123[[#This Row],[Odds Spread]]), "",IF(AG268="W", Z268, IF(AG268="L",-O268, "")))</f>
      </c>
      <c r="AI268" s="184"/>
      <c r="AJ268" s="183" t="str">
        <f t="shared" si="31"/>
      </c>
      <c r="AK2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9">
      <c r="A269" s="65" t="e">
        <f>Games!#REF!</f>
        <v>#REF!</v>
      </c>
      <c r="B269" s="65" t="e">
        <f>IF('Prediction Log'!#REF!=0, "",'Prediction Log'!#REF!)</f>
        <v>#REF!</v>
      </c>
      <c r="C269" s="65" t="e">
        <f>IF('Prediction Log'!#REF!=0, "",'Prediction Log'!#REF!)</f>
        <v>#REF!</v>
      </c>
      <c r="D269" s="65" t="e">
        <f>IF('Prediction Log'!#REF!=0, "",'Prediction Log'!#REF!)</f>
        <v>#REF!</v>
      </c>
      <c r="E269" s="65" t="e">
        <f>IF('Prediction Log'!#REF!=0, "",'Prediction Log'!#REF!)</f>
        <v>#REF!</v>
      </c>
      <c r="F269" s="65" t="e">
        <f>IF('Prediction Log'!#REF!=0, "",'Prediction Log'!#REF!)</f>
        <v>#REF!</v>
      </c>
      <c r="G269" s="64" t="e">
        <f>IF(ISBLANK(Games!#REF!), "",'Prediction Log'!#REF!)</f>
        <v>#REF!</v>
      </c>
      <c r="H269" s="66" t="e">
        <f>'Prediction Log'!#REF!</f>
        <v>#REF!</v>
      </c>
      <c r="I269" s="65" t="e">
        <f>IF(ISBLANK(Games!#REF!), "",IF(AND(Games!#REF!="",Games!#REF!=""),"",IF(ISTEXT(Games!#REF!), "Side",Games!#REF!)))</f>
        <v>#REF!</v>
      </c>
      <c r="J269" s="65" t="e">
        <f>IF(ISBLANK(Games!#REF!), "",IF(Games!#REF!="Y", Games!#REF!, Games!#REF!))</f>
        <v>#REF!</v>
      </c>
      <c r="K269" s="65" t="e">
        <f>Games!#REF!</f>
        <v>#REF!</v>
      </c>
      <c r="L269" s="65" t="e">
        <f>IF(ISBLANK(Games!#REF!), "",Games!#REF!)</f>
        <v>#REF!</v>
      </c>
      <c r="M269" s="65"/>
      <c r="N269" s="167" t="str">
        <f>IF(ISBLANK(Table123[[#This Row],[Odds Side - Difference Model]]), "", 1)</f>
      </c>
      <c r="O269" s="167" t="str">
        <f>IF(ISBLANK(Table123[[#This Row],[Odds Spread]]), "", 1)</f>
      </c>
      <c r="P269" s="67"/>
      <c r="Q269" s="67"/>
      <c r="R2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9" s="67"/>
      <c r="T269" s="67"/>
      <c r="U269" s="168" t="str">
        <f>IF(ISBLANK(Table123[[#This Row],[Odds Side - Difference Model]]), "",N269+IF(Q269&lt;0, (N269/(Q269/-100)), N269*(Q269/100)))</f>
      </c>
      <c r="V269" s="169" t="str">
        <f>IFERROR(IF(ISBLANK(Table123[[#This Row],[Odds Side - Win Probability Model]]), "",N269+IF(R269&lt;0, (N269/(R269/-100)), N269*(R269/100))),"")</f>
      </c>
      <c r="W269" s="168" t="str">
        <f t="shared" si="26"/>
      </c>
      <c r="X269" s="169" t="str">
        <f t="shared" si="27"/>
      </c>
      <c r="Y269" s="168" t="str">
        <f>IF(ISBLANK(Table123[[#This Row],[Odds Spread]]), "",O269+IF(S269&lt;0, (O269/(S269/-100)), O269*(S269/100)))</f>
      </c>
      <c r="Z269" s="168" t="str">
        <f t="shared" si="28"/>
      </c>
      <c r="AA269" s="68" t="n">
        <f t="shared" si="29"/>
        <v>0</v>
      </c>
      <c r="AB269" s="68" t="n">
        <f t="shared" si="30"/>
        <v>0</v>
      </c>
      <c r="AC269" s="170" t="e">
        <f>IF('Prediction Log'!#REF!="Y", "W", IF('Prediction Log'!#REF!="N","L",""))</f>
        <v>#REF!</v>
      </c>
      <c r="AD269" s="171" t="e">
        <f>IF('Prediction Log'!#REF!="Y", "W", IF('Prediction Log'!#REF!="N","L",""))</f>
        <v>#REF!</v>
      </c>
      <c r="AE269" s="172" t="str">
        <f>IF(ISBLANK(Table123[[#This Row],[Odds Side - Difference Model]]), "",IF(AC269="W", W269, IF(AC269="L",-N269, "")))</f>
      </c>
      <c r="AF269" s="173" t="str">
        <f>IFERROR((IF(ISERR(Table123[[#This Row],[Potential Payout Side - Win Probability Model]]), "",IF(AD269="W", X269, IF(AD269="L",-N269, "")))), "")</f>
      </c>
      <c r="AG269" s="170" t="e">
        <f>IF('Prediction Log'!#REF!="Y", "W", IF('Prediction Log'!#REF!="N", "L", ""))</f>
        <v>#REF!</v>
      </c>
      <c r="AH269" s="172" t="str">
        <f>IF(ISBLANK(Table123[[#This Row],[Odds Spread]]), "",IF(AG269="W", Z269, IF(AG269="L",-O269, "")))</f>
      </c>
      <c r="AI269" s="184"/>
      <c r="AJ269" s="183" t="str">
        <f t="shared" si="31"/>
      </c>
      <c r="AK2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0">
      <c r="A270" s="65" t="e">
        <f>Games!#REF!</f>
        <v>#REF!</v>
      </c>
      <c r="B270" s="65" t="e">
        <f>IF('Prediction Log'!#REF!=0, "",'Prediction Log'!#REF!)</f>
        <v>#REF!</v>
      </c>
      <c r="C270" s="65" t="e">
        <f>IF('Prediction Log'!#REF!=0, "",'Prediction Log'!#REF!)</f>
        <v>#REF!</v>
      </c>
      <c r="D270" s="65" t="e">
        <f>IF('Prediction Log'!#REF!=0, "",'Prediction Log'!#REF!)</f>
        <v>#REF!</v>
      </c>
      <c r="E270" s="65" t="e">
        <f>IF('Prediction Log'!#REF!=0, "",'Prediction Log'!#REF!)</f>
        <v>#REF!</v>
      </c>
      <c r="F270" s="65" t="e">
        <f>IF('Prediction Log'!#REF!=0, "",'Prediction Log'!#REF!)</f>
        <v>#REF!</v>
      </c>
      <c r="G270" s="64" t="e">
        <f>IF(ISBLANK(Games!#REF!), "",'Prediction Log'!#REF!)</f>
        <v>#REF!</v>
      </c>
      <c r="H270" s="66" t="e">
        <f>'Prediction Log'!#REF!</f>
        <v>#REF!</v>
      </c>
      <c r="I270" s="65" t="e">
        <f>IF(ISBLANK(Games!#REF!), "",IF(AND(Games!#REF!="",Games!#REF!=""),"",IF(ISTEXT(Games!#REF!), "Side",Games!#REF!)))</f>
        <v>#REF!</v>
      </c>
      <c r="J270" s="65" t="e">
        <f>IF(ISBLANK(Games!#REF!), "",IF(Games!#REF!="Y", Games!#REF!, Games!#REF!))</f>
        <v>#REF!</v>
      </c>
      <c r="K270" s="65" t="e">
        <f>Games!#REF!</f>
        <v>#REF!</v>
      </c>
      <c r="L270" s="65" t="e">
        <f>IF(ISBLANK(Games!#REF!), "",Games!#REF!)</f>
        <v>#REF!</v>
      </c>
      <c r="M270" s="65"/>
      <c r="N270" s="167" t="str">
        <f>IF(ISBLANK(Table123[[#This Row],[Odds Side - Difference Model]]), "", 1)</f>
      </c>
      <c r="O270" s="167" t="str">
        <f>IF(ISBLANK(Table123[[#This Row],[Odds Spread]]), "", 1)</f>
      </c>
      <c r="P270" s="67"/>
      <c r="Q270" s="67"/>
      <c r="R2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0" s="67"/>
      <c r="T270" s="67"/>
      <c r="U270" s="168" t="str">
        <f>IF(ISBLANK(Table123[[#This Row],[Odds Side - Difference Model]]), "",N270+IF(Q270&lt;0, (N270/(Q270/-100)), N270*(Q270/100)))</f>
      </c>
      <c r="V270" s="169" t="str">
        <f>IFERROR(IF(ISBLANK(Table123[[#This Row],[Odds Side - Win Probability Model]]), "",N270+IF(R270&lt;0, (N270/(R270/-100)), N270*(R270/100))),"")</f>
      </c>
      <c r="W270" s="168" t="str">
        <f t="shared" si="26"/>
      </c>
      <c r="X270" s="169" t="str">
        <f t="shared" si="27"/>
      </c>
      <c r="Y270" s="168" t="str">
        <f>IF(ISBLANK(Table123[[#This Row],[Odds Spread]]), "",O270+IF(S270&lt;0, (O270/(S270/-100)), O270*(S270/100)))</f>
      </c>
      <c r="Z270" s="168" t="str">
        <f t="shared" si="28"/>
      </c>
      <c r="AA270" s="68" t="n">
        <f t="shared" si="29"/>
        <v>0</v>
      </c>
      <c r="AB270" s="68" t="n">
        <f t="shared" si="30"/>
        <v>0</v>
      </c>
      <c r="AC270" s="170" t="e">
        <f>IF('Prediction Log'!#REF!="Y", "W", IF('Prediction Log'!#REF!="N","L",""))</f>
        <v>#REF!</v>
      </c>
      <c r="AD270" s="171" t="e">
        <f>IF('Prediction Log'!#REF!="Y", "W", IF('Prediction Log'!#REF!="N","L",""))</f>
        <v>#REF!</v>
      </c>
      <c r="AE270" s="172" t="str">
        <f>IF(ISBLANK(Table123[[#This Row],[Odds Side - Difference Model]]), "",IF(AC270="W", W270, IF(AC270="L",-N270, "")))</f>
      </c>
      <c r="AF270" s="173" t="str">
        <f>IFERROR((IF(ISERR(Table123[[#This Row],[Potential Payout Side - Win Probability Model]]), "",IF(AD270="W", X270, IF(AD270="L",-N270, "")))), "")</f>
      </c>
      <c r="AG270" s="170" t="e">
        <f>IF('Prediction Log'!#REF!="Y", "W", IF('Prediction Log'!#REF!="N", "L", ""))</f>
        <v>#REF!</v>
      </c>
      <c r="AH270" s="172" t="str">
        <f>IF(ISBLANK(Table123[[#This Row],[Odds Spread]]), "",IF(AG270="W", Z270, IF(AG270="L",-O270, "")))</f>
      </c>
      <c r="AI270" s="184"/>
      <c r="AJ270" s="183" t="str">
        <f t="shared" si="31"/>
      </c>
      <c r="AK2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1">
      <c r="A271" s="65" t="e">
        <f>Games!#REF!</f>
        <v>#REF!</v>
      </c>
      <c r="B271" s="65" t="e">
        <f>IF('Prediction Log'!#REF!=0, "",'Prediction Log'!#REF!)</f>
        <v>#REF!</v>
      </c>
      <c r="C271" s="65" t="e">
        <f>IF('Prediction Log'!#REF!=0, "",'Prediction Log'!#REF!)</f>
        <v>#REF!</v>
      </c>
      <c r="D271" s="65" t="e">
        <f>IF('Prediction Log'!#REF!=0, "",'Prediction Log'!#REF!)</f>
        <v>#REF!</v>
      </c>
      <c r="E271" s="65" t="e">
        <f>IF('Prediction Log'!#REF!=0, "",'Prediction Log'!#REF!)</f>
        <v>#REF!</v>
      </c>
      <c r="F271" s="65" t="e">
        <f>IF('Prediction Log'!#REF!=0, "",'Prediction Log'!#REF!)</f>
        <v>#REF!</v>
      </c>
      <c r="G271" s="64" t="e">
        <f>IF(ISBLANK(Games!#REF!), "",'Prediction Log'!#REF!)</f>
        <v>#REF!</v>
      </c>
      <c r="H271" s="66" t="e">
        <f>'Prediction Log'!#REF!</f>
        <v>#REF!</v>
      </c>
      <c r="I271" s="65" t="e">
        <f>IF(ISBLANK(Games!#REF!), "",IF(AND(Games!#REF!="",Games!#REF!=""),"",IF(ISTEXT(Games!#REF!), "Side",Games!#REF!)))</f>
        <v>#REF!</v>
      </c>
      <c r="J271" s="65" t="e">
        <f>IF(ISBLANK(Games!#REF!), "",IF(Games!#REF!="Y", Games!#REF!, Games!#REF!))</f>
        <v>#REF!</v>
      </c>
      <c r="K271" s="65" t="e">
        <f>Games!#REF!</f>
        <v>#REF!</v>
      </c>
      <c r="L271" s="65" t="e">
        <f>IF(ISBLANK(Games!#REF!), "",Games!#REF!)</f>
        <v>#REF!</v>
      </c>
      <c r="M271" s="65"/>
      <c r="N271" s="167" t="str">
        <f>IF(ISBLANK(Table123[[#This Row],[Odds Side - Difference Model]]), "", 1)</f>
      </c>
      <c r="O271" s="167" t="str">
        <f>IF(ISBLANK(Table123[[#This Row],[Odds Spread]]), "", 1)</f>
      </c>
      <c r="P271" s="67"/>
      <c r="Q271" s="67"/>
      <c r="R2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1" s="67"/>
      <c r="T271" s="67"/>
      <c r="U271" s="168" t="str">
        <f>IF(ISBLANK(Table123[[#This Row],[Odds Side - Difference Model]]), "",N271+IF(Q271&lt;0, (N271/(Q271/-100)), N271*(Q271/100)))</f>
      </c>
      <c r="V271" s="169" t="str">
        <f>IFERROR(IF(ISBLANK(Table123[[#This Row],[Odds Side - Win Probability Model]]), "",N271+IF(R271&lt;0, (N271/(R271/-100)), N271*(R271/100))),"")</f>
      </c>
      <c r="W271" s="168" t="str">
        <f t="shared" si="26"/>
      </c>
      <c r="X271" s="169" t="str">
        <f t="shared" si="27"/>
      </c>
      <c r="Y271" s="168" t="str">
        <f>IF(ISBLANK(Table123[[#This Row],[Odds Spread]]), "",O271+IF(S271&lt;0, (O271/(S271/-100)), O271*(S271/100)))</f>
      </c>
      <c r="Z271" s="168" t="str">
        <f t="shared" si="28"/>
      </c>
      <c r="AA271" s="68" t="n">
        <f t="shared" si="29"/>
        <v>0</v>
      </c>
      <c r="AB271" s="68" t="n">
        <f t="shared" si="30"/>
        <v>0</v>
      </c>
      <c r="AC271" s="170" t="e">
        <f>IF('Prediction Log'!#REF!="Y", "W", IF('Prediction Log'!#REF!="N","L",""))</f>
        <v>#REF!</v>
      </c>
      <c r="AD271" s="171" t="e">
        <f>IF('Prediction Log'!#REF!="Y", "W", IF('Prediction Log'!#REF!="N","L",""))</f>
        <v>#REF!</v>
      </c>
      <c r="AE271" s="172" t="str">
        <f>IF(ISBLANK(Table123[[#This Row],[Odds Side - Difference Model]]), "",IF(AC271="W", W271, IF(AC271="L",-N271, "")))</f>
      </c>
      <c r="AF271" s="173" t="str">
        <f>IFERROR((IF(ISERR(Table123[[#This Row],[Potential Payout Side - Win Probability Model]]), "",IF(AD271="W", X271, IF(AD271="L",-N271, "")))), "")</f>
      </c>
      <c r="AG271" s="170" t="e">
        <f>IF('Prediction Log'!#REF!="Y", "W", IF('Prediction Log'!#REF!="N", "L", ""))</f>
        <v>#REF!</v>
      </c>
      <c r="AH271" s="172" t="str">
        <f>IF(ISBLANK(Table123[[#This Row],[Odds Spread]]), "",IF(AG271="W", Z271, IF(AG271="L",-O271, "")))</f>
      </c>
      <c r="AI271" s="184"/>
      <c r="AJ271" s="183" t="str">
        <f t="shared" si="31"/>
      </c>
      <c r="AK2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2">
      <c r="A272" s="65" t="e">
        <f>Games!#REF!</f>
        <v>#REF!</v>
      </c>
      <c r="B272" s="65" t="e">
        <f>IF('Prediction Log'!#REF!=0, "",'Prediction Log'!#REF!)</f>
        <v>#REF!</v>
      </c>
      <c r="C272" s="65" t="e">
        <f>IF('Prediction Log'!#REF!=0, "",'Prediction Log'!#REF!)</f>
        <v>#REF!</v>
      </c>
      <c r="D272" s="65" t="e">
        <f>IF('Prediction Log'!#REF!=0, "",'Prediction Log'!#REF!)</f>
        <v>#REF!</v>
      </c>
      <c r="E272" s="65" t="e">
        <f>IF('Prediction Log'!#REF!=0, "",'Prediction Log'!#REF!)</f>
        <v>#REF!</v>
      </c>
      <c r="F272" s="65" t="e">
        <f>IF('Prediction Log'!#REF!=0, "",'Prediction Log'!#REF!)</f>
        <v>#REF!</v>
      </c>
      <c r="G272" s="64" t="e">
        <f>IF(ISBLANK(Games!#REF!), "",'Prediction Log'!#REF!)</f>
        <v>#REF!</v>
      </c>
      <c r="H272" s="66" t="e">
        <f>'Prediction Log'!#REF!</f>
        <v>#REF!</v>
      </c>
      <c r="I272" s="65" t="e">
        <f>IF(ISBLANK(Games!#REF!), "",IF(AND(Games!#REF!="",Games!#REF!=""),"",IF(ISTEXT(Games!#REF!), "Side",Games!#REF!)))</f>
        <v>#REF!</v>
      </c>
      <c r="J272" s="65" t="e">
        <f>IF(ISBLANK(Games!#REF!), "",IF(Games!#REF!="Y", Games!#REF!, Games!#REF!))</f>
        <v>#REF!</v>
      </c>
      <c r="K272" s="65" t="e">
        <f>Games!#REF!</f>
        <v>#REF!</v>
      </c>
      <c r="L272" s="65" t="e">
        <f>IF(ISBLANK(Games!#REF!), "",Games!#REF!)</f>
        <v>#REF!</v>
      </c>
      <c r="M272" s="65"/>
      <c r="N272" s="167" t="str">
        <f>IF(ISBLANK(Table123[[#This Row],[Odds Side - Difference Model]]), "", 1)</f>
      </c>
      <c r="O272" s="167" t="str">
        <f>IF(ISBLANK(Table123[[#This Row],[Odds Spread]]), "", 1)</f>
      </c>
      <c r="P272" s="67"/>
      <c r="Q272" s="67"/>
      <c r="R2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2" s="67"/>
      <c r="T272" s="67"/>
      <c r="U272" s="168" t="str">
        <f>IF(ISBLANK(Table123[[#This Row],[Odds Side - Difference Model]]), "",N272+IF(Q272&lt;0, (N272/(Q272/-100)), N272*(Q272/100)))</f>
      </c>
      <c r="V272" s="169" t="str">
        <f>IFERROR(IF(ISBLANK(Table123[[#This Row],[Odds Side - Win Probability Model]]), "",N272+IF(R272&lt;0, (N272/(R272/-100)), N272*(R272/100))),"")</f>
      </c>
      <c r="W272" s="168" t="str">
        <f t="shared" si="26"/>
      </c>
      <c r="X272" s="169" t="str">
        <f t="shared" si="27"/>
      </c>
      <c r="Y272" s="168" t="str">
        <f>IF(ISBLANK(Table123[[#This Row],[Odds Spread]]), "",O272+IF(S272&lt;0, (O272/(S272/-100)), O272*(S272/100)))</f>
      </c>
      <c r="Z272" s="168" t="str">
        <f t="shared" si="28"/>
      </c>
      <c r="AA272" s="68" t="n">
        <f t="shared" si="29"/>
        <v>0</v>
      </c>
      <c r="AB272" s="68" t="n">
        <f t="shared" si="30"/>
        <v>0</v>
      </c>
      <c r="AC272" s="170" t="e">
        <f>IF('Prediction Log'!#REF!="Y", "W", IF('Prediction Log'!#REF!="N","L",""))</f>
        <v>#REF!</v>
      </c>
      <c r="AD272" s="171" t="e">
        <f>IF('Prediction Log'!#REF!="Y", "W", IF('Prediction Log'!#REF!="N","L",""))</f>
        <v>#REF!</v>
      </c>
      <c r="AE272" s="172" t="str">
        <f>IF(ISBLANK(Table123[[#This Row],[Odds Side - Difference Model]]), "",IF(AC272="W", W272, IF(AC272="L",-N272, "")))</f>
      </c>
      <c r="AF272" s="173" t="str">
        <f>IFERROR((IF(ISERR(Table123[[#This Row],[Potential Payout Side - Win Probability Model]]), "",IF(AD272="W", X272, IF(AD272="L",-N272, "")))), "")</f>
      </c>
      <c r="AG272" s="170" t="e">
        <f>IF('Prediction Log'!#REF!="Y", "W", IF('Prediction Log'!#REF!="N", "L", ""))</f>
        <v>#REF!</v>
      </c>
      <c r="AH272" s="172" t="str">
        <f>IF(ISBLANK(Table123[[#This Row],[Odds Spread]]), "",IF(AG272="W", Z272, IF(AG272="L",-O272, "")))</f>
      </c>
      <c r="AI272" s="184"/>
      <c r="AJ272" s="183" t="str">
        <f t="shared" si="31"/>
      </c>
      <c r="AK2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3">
      <c r="A273" s="65" t="e">
        <f>Games!#REF!</f>
        <v>#REF!</v>
      </c>
      <c r="B273" s="65" t="e">
        <f>IF('Prediction Log'!#REF!=0, "",'Prediction Log'!#REF!)</f>
        <v>#REF!</v>
      </c>
      <c r="C273" s="65" t="e">
        <f>IF('Prediction Log'!#REF!=0, "",'Prediction Log'!#REF!)</f>
        <v>#REF!</v>
      </c>
      <c r="D273" s="65" t="e">
        <f>IF('Prediction Log'!#REF!=0, "",'Prediction Log'!#REF!)</f>
        <v>#REF!</v>
      </c>
      <c r="E273" s="65" t="e">
        <f>IF('Prediction Log'!#REF!=0, "",'Prediction Log'!#REF!)</f>
        <v>#REF!</v>
      </c>
      <c r="F273" s="65" t="e">
        <f>IF('Prediction Log'!#REF!=0, "",'Prediction Log'!#REF!)</f>
        <v>#REF!</v>
      </c>
      <c r="G273" s="64" t="e">
        <f>IF(ISBLANK(Games!#REF!), "",'Prediction Log'!#REF!)</f>
        <v>#REF!</v>
      </c>
      <c r="H273" s="66" t="e">
        <f>'Prediction Log'!#REF!</f>
        <v>#REF!</v>
      </c>
      <c r="I273" s="65" t="e">
        <f>IF(ISBLANK(Games!#REF!), "",IF(AND(Games!#REF!="",Games!#REF!=""),"",IF(ISTEXT(Games!#REF!), "Side",Games!#REF!)))</f>
        <v>#REF!</v>
      </c>
      <c r="J273" s="65" t="e">
        <f>IF(ISBLANK(Games!#REF!), "",IF(Games!#REF!="Y", Games!#REF!, Games!#REF!))</f>
        <v>#REF!</v>
      </c>
      <c r="K273" s="65" t="e">
        <f>Games!#REF!</f>
        <v>#REF!</v>
      </c>
      <c r="L273" s="65" t="e">
        <f>IF(ISBLANK(Games!#REF!), "",Games!#REF!)</f>
        <v>#REF!</v>
      </c>
      <c r="M273" s="65"/>
      <c r="N273" s="167" t="str">
        <f>IF(ISBLANK(Table123[[#This Row],[Odds Side - Difference Model]]), "", 1)</f>
      </c>
      <c r="O273" s="167" t="str">
        <f>IF(ISBLANK(Table123[[#This Row],[Odds Spread]]), "", 1)</f>
      </c>
      <c r="P273" s="67"/>
      <c r="Q273" s="67"/>
      <c r="R2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3" s="67"/>
      <c r="T273" s="67"/>
      <c r="U273" s="168" t="str">
        <f>IF(ISBLANK(Table123[[#This Row],[Odds Side - Difference Model]]), "",N273+IF(Q273&lt;0, (N273/(Q273/-100)), N273*(Q273/100)))</f>
      </c>
      <c r="V273" s="169" t="str">
        <f>IFERROR(IF(ISBLANK(Table123[[#This Row],[Odds Side - Win Probability Model]]), "",N273+IF(R273&lt;0, (N273/(R273/-100)), N273*(R273/100))),"")</f>
      </c>
      <c r="W273" s="168" t="str">
        <f t="shared" si="26"/>
      </c>
      <c r="X273" s="169" t="str">
        <f t="shared" si="27"/>
      </c>
      <c r="Y273" s="168" t="str">
        <f>IF(ISBLANK(Table123[[#This Row],[Odds Spread]]), "",O273+IF(S273&lt;0, (O273/(S273/-100)), O273*(S273/100)))</f>
      </c>
      <c r="Z273" s="168" t="str">
        <f t="shared" si="28"/>
      </c>
      <c r="AA273" s="68" t="n">
        <f t="shared" si="29"/>
        <v>0</v>
      </c>
      <c r="AB273" s="68" t="n">
        <f t="shared" si="30"/>
        <v>0</v>
      </c>
      <c r="AC273" s="170" t="e">
        <f>IF('Prediction Log'!#REF!="Y", "W", IF('Prediction Log'!#REF!="N","L",""))</f>
        <v>#REF!</v>
      </c>
      <c r="AD273" s="171" t="e">
        <f>IF('Prediction Log'!#REF!="Y", "W", IF('Prediction Log'!#REF!="N","L",""))</f>
        <v>#REF!</v>
      </c>
      <c r="AE273" s="172" t="str">
        <f>IF(ISBLANK(Table123[[#This Row],[Odds Side - Difference Model]]), "",IF(AC273="W", W273, IF(AC273="L",-N273, "")))</f>
      </c>
      <c r="AF273" s="173" t="str">
        <f>IFERROR((IF(ISERR(Table123[[#This Row],[Potential Payout Side - Win Probability Model]]), "",IF(AD273="W", X273, IF(AD273="L",-N273, "")))), "")</f>
      </c>
      <c r="AG273" s="170" t="e">
        <f>IF('Prediction Log'!#REF!="Y", "W", IF('Prediction Log'!#REF!="N", "L", ""))</f>
        <v>#REF!</v>
      </c>
      <c r="AH273" s="172" t="str">
        <f>IF(ISBLANK(Table123[[#This Row],[Odds Spread]]), "",IF(AG273="W", Z273, IF(AG273="L",-O273, "")))</f>
      </c>
      <c r="AI273" s="184"/>
      <c r="AJ273" s="183" t="str">
        <f t="shared" si="31"/>
      </c>
      <c r="AK2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4">
      <c r="A274" s="65" t="e">
        <f>Games!#REF!</f>
        <v>#REF!</v>
      </c>
      <c r="B274" s="65" t="e">
        <f>IF('Prediction Log'!#REF!=0, "",'Prediction Log'!#REF!)</f>
        <v>#REF!</v>
      </c>
      <c r="C274" s="65" t="e">
        <f>IF('Prediction Log'!#REF!=0, "",'Prediction Log'!#REF!)</f>
        <v>#REF!</v>
      </c>
      <c r="D274" s="65" t="e">
        <f>IF('Prediction Log'!#REF!=0, "",'Prediction Log'!#REF!)</f>
        <v>#REF!</v>
      </c>
      <c r="E274" s="65" t="e">
        <f>IF('Prediction Log'!#REF!=0, "",'Prediction Log'!#REF!)</f>
        <v>#REF!</v>
      </c>
      <c r="F274" s="65" t="e">
        <f>IF('Prediction Log'!#REF!=0, "",'Prediction Log'!#REF!)</f>
        <v>#REF!</v>
      </c>
      <c r="G274" s="64" t="e">
        <f>IF(ISBLANK(Games!#REF!), "",'Prediction Log'!#REF!)</f>
        <v>#REF!</v>
      </c>
      <c r="H274" s="66" t="e">
        <f>'Prediction Log'!#REF!</f>
        <v>#REF!</v>
      </c>
      <c r="I274" s="65" t="e">
        <f>IF(ISBLANK(Games!#REF!), "",IF(AND(Games!#REF!="",Games!#REF!=""),"",IF(ISTEXT(Games!#REF!), "Side",Games!#REF!)))</f>
        <v>#REF!</v>
      </c>
      <c r="J274" s="65" t="e">
        <f>IF(ISBLANK(Games!#REF!), "",IF(Games!#REF!="Y", Games!#REF!, Games!#REF!))</f>
        <v>#REF!</v>
      </c>
      <c r="K274" s="65" t="e">
        <f>Games!#REF!</f>
        <v>#REF!</v>
      </c>
      <c r="L274" s="65" t="e">
        <f>IF(ISBLANK(Games!#REF!), "",Games!#REF!)</f>
        <v>#REF!</v>
      </c>
      <c r="M274" s="65"/>
      <c r="N274" s="167" t="str">
        <f>IF(ISBLANK(Table123[[#This Row],[Odds Side - Difference Model]]), "", 1)</f>
      </c>
      <c r="O274" s="167" t="str">
        <f>IF(ISBLANK(Table123[[#This Row],[Odds Spread]]), "", 1)</f>
      </c>
      <c r="P274" s="67"/>
      <c r="Q274" s="67"/>
      <c r="R2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4" s="67"/>
      <c r="T274" s="67"/>
      <c r="U274" s="168" t="str">
        <f>IF(ISBLANK(Table123[[#This Row],[Odds Side - Difference Model]]), "",N274+IF(Q274&lt;0, (N274/(Q274/-100)), N274*(Q274/100)))</f>
      </c>
      <c r="V274" s="169" t="str">
        <f>IFERROR(IF(ISBLANK(Table123[[#This Row],[Odds Side - Win Probability Model]]), "",N274+IF(R274&lt;0, (N274/(R274/-100)), N274*(R274/100))),"")</f>
      </c>
      <c r="W274" s="168" t="str">
        <f t="shared" si="26"/>
      </c>
      <c r="X274" s="169" t="str">
        <f t="shared" si="27"/>
      </c>
      <c r="Y274" s="168" t="str">
        <f>IF(ISBLANK(Table123[[#This Row],[Odds Spread]]), "",O274+IF(S274&lt;0, (O274/(S274/-100)), O274*(S274/100)))</f>
      </c>
      <c r="Z274" s="168" t="str">
        <f t="shared" si="28"/>
      </c>
      <c r="AA274" s="68" t="n">
        <f t="shared" si="29"/>
        <v>0</v>
      </c>
      <c r="AB274" s="68" t="n">
        <f t="shared" si="30"/>
        <v>0</v>
      </c>
      <c r="AC274" s="170" t="e">
        <f>IF('Prediction Log'!#REF!="Y", "W", IF('Prediction Log'!#REF!="N","L",""))</f>
        <v>#REF!</v>
      </c>
      <c r="AD274" s="171" t="e">
        <f>IF('Prediction Log'!#REF!="Y", "W", IF('Prediction Log'!#REF!="N","L",""))</f>
        <v>#REF!</v>
      </c>
      <c r="AE274" s="172" t="str">
        <f>IF(ISBLANK(Table123[[#This Row],[Odds Side - Difference Model]]), "",IF(AC274="W", W274, IF(AC274="L",-N274, "")))</f>
      </c>
      <c r="AF274" s="173" t="str">
        <f>IFERROR((IF(ISERR(Table123[[#This Row],[Potential Payout Side - Win Probability Model]]), "",IF(AD274="W", X274, IF(AD274="L",-N274, "")))), "")</f>
      </c>
      <c r="AG274" s="170" t="e">
        <f>IF('Prediction Log'!#REF!="Y", "W", IF('Prediction Log'!#REF!="N", "L", ""))</f>
        <v>#REF!</v>
      </c>
      <c r="AH274" s="172" t="str">
        <f>IF(ISBLANK(Table123[[#This Row],[Odds Spread]]), "",IF(AG274="W", Z274, IF(AG274="L",-O274, "")))</f>
      </c>
      <c r="AI274" s="184"/>
      <c r="AJ274" s="183" t="str">
        <f t="shared" si="31"/>
      </c>
      <c r="AK2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5">
      <c r="A275" s="65" t="e">
        <f>Games!#REF!</f>
        <v>#REF!</v>
      </c>
      <c r="B275" s="65" t="e">
        <f>IF('Prediction Log'!#REF!=0, "",'Prediction Log'!#REF!)</f>
        <v>#REF!</v>
      </c>
      <c r="C275" s="65" t="e">
        <f>IF('Prediction Log'!#REF!=0, "",'Prediction Log'!#REF!)</f>
        <v>#REF!</v>
      </c>
      <c r="D275" s="65" t="e">
        <f>IF('Prediction Log'!#REF!=0, "",'Prediction Log'!#REF!)</f>
        <v>#REF!</v>
      </c>
      <c r="E275" s="65" t="e">
        <f>IF('Prediction Log'!#REF!=0, "",'Prediction Log'!#REF!)</f>
        <v>#REF!</v>
      </c>
      <c r="F275" s="65" t="e">
        <f>IF('Prediction Log'!#REF!=0, "",'Prediction Log'!#REF!)</f>
        <v>#REF!</v>
      </c>
      <c r="G275" s="64" t="e">
        <f>IF(ISBLANK(Games!#REF!), "",'Prediction Log'!#REF!)</f>
        <v>#REF!</v>
      </c>
      <c r="H275" s="66" t="e">
        <f>'Prediction Log'!#REF!</f>
        <v>#REF!</v>
      </c>
      <c r="I275" s="65" t="e">
        <f>IF(ISBLANK(Games!#REF!), "",IF(AND(Games!#REF!="",Games!#REF!=""),"",IF(ISTEXT(Games!#REF!), "Side",Games!#REF!)))</f>
        <v>#REF!</v>
      </c>
      <c r="J275" s="65" t="e">
        <f>IF(ISBLANK(Games!#REF!), "",IF(Games!#REF!="Y", Games!#REF!, Games!#REF!))</f>
        <v>#REF!</v>
      </c>
      <c r="K275" s="65" t="e">
        <f>Games!#REF!</f>
        <v>#REF!</v>
      </c>
      <c r="L275" s="65" t="e">
        <f>IF(ISBLANK(Games!#REF!), "",Games!#REF!)</f>
        <v>#REF!</v>
      </c>
      <c r="M275" s="65"/>
      <c r="N275" s="167" t="str">
        <f>IF(ISBLANK(Table123[[#This Row],[Odds Side - Difference Model]]), "", 1)</f>
      </c>
      <c r="O275" s="167" t="str">
        <f>IF(ISBLANK(Table123[[#This Row],[Odds Spread]]), "", 1)</f>
      </c>
      <c r="P275" s="67"/>
      <c r="Q275" s="67"/>
      <c r="R2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5" s="67"/>
      <c r="T275" s="67"/>
      <c r="U275" s="168" t="str">
        <f>IF(ISBLANK(Table123[[#This Row],[Odds Side - Difference Model]]), "",N275+IF(Q275&lt;0, (N275/(Q275/-100)), N275*(Q275/100)))</f>
      </c>
      <c r="V275" s="169" t="str">
        <f>IFERROR(IF(ISBLANK(Table123[[#This Row],[Odds Side - Win Probability Model]]), "",N275+IF(R275&lt;0, (N275/(R275/-100)), N275*(R275/100))),"")</f>
      </c>
      <c r="W275" s="168" t="str">
        <f t="shared" si="26"/>
      </c>
      <c r="X275" s="169" t="str">
        <f t="shared" si="27"/>
      </c>
      <c r="Y275" s="168" t="str">
        <f>IF(ISBLANK(Table123[[#This Row],[Odds Spread]]), "",O275+IF(S275&lt;0, (O275/(S275/-100)), O275*(S275/100)))</f>
      </c>
      <c r="Z275" s="168" t="str">
        <f t="shared" si="28"/>
      </c>
      <c r="AA275" s="68" t="n">
        <f t="shared" si="29"/>
        <v>0</v>
      </c>
      <c r="AB275" s="68" t="n">
        <f t="shared" si="30"/>
        <v>0</v>
      </c>
      <c r="AC275" s="170" t="e">
        <f>IF('Prediction Log'!#REF!="Y", "W", IF('Prediction Log'!#REF!="N","L",""))</f>
        <v>#REF!</v>
      </c>
      <c r="AD275" s="171" t="e">
        <f>IF('Prediction Log'!#REF!="Y", "W", IF('Prediction Log'!#REF!="N","L",""))</f>
        <v>#REF!</v>
      </c>
      <c r="AE275" s="172" t="str">
        <f>IF(ISBLANK(Table123[[#This Row],[Odds Side - Difference Model]]), "",IF(AC275="W", W275, IF(AC275="L",-N275, "")))</f>
      </c>
      <c r="AF275" s="173" t="str">
        <f>IFERROR((IF(ISERR(Table123[[#This Row],[Potential Payout Side - Win Probability Model]]), "",IF(AD275="W", X275, IF(AD275="L",-N275, "")))), "")</f>
      </c>
      <c r="AG275" s="170" t="e">
        <f>IF('Prediction Log'!#REF!="Y", "W", IF('Prediction Log'!#REF!="N", "L", ""))</f>
        <v>#REF!</v>
      </c>
      <c r="AH275" s="172" t="str">
        <f>IF(ISBLANK(Table123[[#This Row],[Odds Spread]]), "",IF(AG275="W", Z275, IF(AG275="L",-O275, "")))</f>
      </c>
      <c r="AI275" s="184"/>
      <c r="AJ275" s="183" t="str">
        <f t="shared" si="31"/>
      </c>
      <c r="AK2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6">
      <c r="A276" s="65" t="e">
        <f>Games!#REF!</f>
        <v>#REF!</v>
      </c>
      <c r="B276" s="65" t="e">
        <f>IF('Prediction Log'!#REF!=0, "",'Prediction Log'!#REF!)</f>
        <v>#REF!</v>
      </c>
      <c r="C276" s="65" t="e">
        <f>IF('Prediction Log'!#REF!=0, "",'Prediction Log'!#REF!)</f>
        <v>#REF!</v>
      </c>
      <c r="D276" s="65" t="e">
        <f>IF('Prediction Log'!#REF!=0, "",'Prediction Log'!#REF!)</f>
        <v>#REF!</v>
      </c>
      <c r="E276" s="65" t="e">
        <f>IF('Prediction Log'!#REF!=0, "",'Prediction Log'!#REF!)</f>
        <v>#REF!</v>
      </c>
      <c r="F276" s="65" t="e">
        <f>IF('Prediction Log'!#REF!=0, "",'Prediction Log'!#REF!)</f>
        <v>#REF!</v>
      </c>
      <c r="G276" s="64" t="e">
        <f>IF(ISBLANK(Games!#REF!), "",'Prediction Log'!#REF!)</f>
        <v>#REF!</v>
      </c>
      <c r="H276" s="66" t="e">
        <f>'Prediction Log'!#REF!</f>
        <v>#REF!</v>
      </c>
      <c r="I276" s="65" t="e">
        <f>IF(ISBLANK(Games!#REF!), "",IF(AND(Games!#REF!="",Games!#REF!=""),"",IF(ISTEXT(Games!#REF!), "Side",Games!#REF!)))</f>
        <v>#REF!</v>
      </c>
      <c r="J276" s="65" t="e">
        <f>IF(ISBLANK(Games!#REF!), "",IF(Games!#REF!="Y", Games!#REF!, Games!#REF!))</f>
        <v>#REF!</v>
      </c>
      <c r="K276" s="65" t="e">
        <f>Games!#REF!</f>
        <v>#REF!</v>
      </c>
      <c r="L276" s="65" t="e">
        <f>IF(ISBLANK(Games!#REF!), "",Games!#REF!)</f>
        <v>#REF!</v>
      </c>
      <c r="M276" s="65"/>
      <c r="N276" s="167" t="str">
        <f>IF(ISBLANK(Table123[[#This Row],[Odds Side - Difference Model]]), "", 1)</f>
      </c>
      <c r="O276" s="167" t="str">
        <f>IF(ISBLANK(Table123[[#This Row],[Odds Spread]]), "", 1)</f>
      </c>
      <c r="P276" s="67"/>
      <c r="Q276" s="67"/>
      <c r="R2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6" s="67"/>
      <c r="T276" s="67"/>
      <c r="U276" s="168" t="str">
        <f>IF(ISBLANK(Table123[[#This Row],[Odds Side - Difference Model]]), "",N276+IF(Q276&lt;0, (N276/(Q276/-100)), N276*(Q276/100)))</f>
      </c>
      <c r="V276" s="169" t="str">
        <f>IFERROR(IF(ISBLANK(Table123[[#This Row],[Odds Side - Win Probability Model]]), "",N276+IF(R276&lt;0, (N276/(R276/-100)), N276*(R276/100))),"")</f>
      </c>
      <c r="W276" s="168" t="str">
        <f t="shared" si="26"/>
      </c>
      <c r="X276" s="169" t="str">
        <f t="shared" si="27"/>
      </c>
      <c r="Y276" s="168" t="str">
        <f>IF(ISBLANK(Table123[[#This Row],[Odds Spread]]), "",O276+IF(S276&lt;0, (O276/(S276/-100)), O276*(S276/100)))</f>
      </c>
      <c r="Z276" s="168" t="str">
        <f t="shared" si="28"/>
      </c>
      <c r="AA276" s="68" t="n">
        <f t="shared" si="29"/>
        <v>0</v>
      </c>
      <c r="AB276" s="68" t="n">
        <f t="shared" si="30"/>
        <v>0</v>
      </c>
      <c r="AC276" s="170" t="e">
        <f>IF('Prediction Log'!#REF!="Y", "W", IF('Prediction Log'!#REF!="N","L",""))</f>
        <v>#REF!</v>
      </c>
      <c r="AD276" s="171" t="e">
        <f>IF('Prediction Log'!#REF!="Y", "W", IF('Prediction Log'!#REF!="N","L",""))</f>
        <v>#REF!</v>
      </c>
      <c r="AE276" s="172" t="str">
        <f>IF(ISBLANK(Table123[[#This Row],[Odds Side - Difference Model]]), "",IF(AC276="W", W276, IF(AC276="L",-N276, "")))</f>
      </c>
      <c r="AF276" s="173" t="str">
        <f>IFERROR((IF(ISERR(Table123[[#This Row],[Potential Payout Side - Win Probability Model]]), "",IF(AD276="W", X276, IF(AD276="L",-N276, "")))), "")</f>
      </c>
      <c r="AG276" s="170" t="e">
        <f>IF('Prediction Log'!#REF!="Y", "W", IF('Prediction Log'!#REF!="N", "L", ""))</f>
        <v>#REF!</v>
      </c>
      <c r="AH276" s="172" t="str">
        <f>IF(ISBLANK(Table123[[#This Row],[Odds Spread]]), "",IF(AG276="W", Z276, IF(AG276="L",-O276, "")))</f>
      </c>
      <c r="AI276" s="184"/>
      <c r="AJ276" s="183" t="str">
        <f t="shared" si="31"/>
      </c>
      <c r="AK2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7">
      <c r="A277" s="65" t="e">
        <f>Games!#REF!</f>
        <v>#REF!</v>
      </c>
      <c r="B277" s="65" t="e">
        <f>IF('Prediction Log'!#REF!=0, "",'Prediction Log'!#REF!)</f>
        <v>#REF!</v>
      </c>
      <c r="C277" s="65" t="e">
        <f>IF('Prediction Log'!#REF!=0, "",'Prediction Log'!#REF!)</f>
        <v>#REF!</v>
      </c>
      <c r="D277" s="65" t="e">
        <f>IF('Prediction Log'!#REF!=0, "",'Prediction Log'!#REF!)</f>
        <v>#REF!</v>
      </c>
      <c r="E277" s="65" t="e">
        <f>IF('Prediction Log'!#REF!=0, "",'Prediction Log'!#REF!)</f>
        <v>#REF!</v>
      </c>
      <c r="F277" s="65" t="e">
        <f>IF('Prediction Log'!#REF!=0, "",'Prediction Log'!#REF!)</f>
        <v>#REF!</v>
      </c>
      <c r="G277" s="64" t="e">
        <f>IF(ISBLANK(Games!#REF!), "",'Prediction Log'!#REF!)</f>
        <v>#REF!</v>
      </c>
      <c r="H277" s="66" t="e">
        <f>'Prediction Log'!#REF!</f>
        <v>#REF!</v>
      </c>
      <c r="I277" s="65" t="e">
        <f>IF(ISBLANK(Games!#REF!), "",IF(AND(Games!#REF!="",Games!#REF!=""),"",IF(ISTEXT(Games!#REF!), "Side",Games!#REF!)))</f>
        <v>#REF!</v>
      </c>
      <c r="J277" s="65" t="e">
        <f>IF(ISBLANK(Games!#REF!), "",IF(Games!#REF!="Y", Games!#REF!, Games!#REF!))</f>
        <v>#REF!</v>
      </c>
      <c r="K277" s="65" t="e">
        <f>Games!#REF!</f>
        <v>#REF!</v>
      </c>
      <c r="L277" s="65" t="e">
        <f>IF(ISBLANK(Games!#REF!), "",Games!#REF!)</f>
        <v>#REF!</v>
      </c>
      <c r="M277" s="65"/>
      <c r="N277" s="167" t="str">
        <f>IF(ISBLANK(Table123[[#This Row],[Odds Side - Difference Model]]), "", 1)</f>
      </c>
      <c r="O277" s="167" t="str">
        <f>IF(ISBLANK(Table123[[#This Row],[Odds Spread]]), "", 1)</f>
      </c>
      <c r="P277" s="67"/>
      <c r="Q277" s="67"/>
      <c r="R2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7" s="67"/>
      <c r="T277" s="67"/>
      <c r="U277" s="168" t="str">
        <f>IF(ISBLANK(Table123[[#This Row],[Odds Side - Difference Model]]), "",N277+IF(Q277&lt;0, (N277/(Q277/-100)), N277*(Q277/100)))</f>
      </c>
      <c r="V277" s="169" t="str">
        <f>IFERROR(IF(ISBLANK(Table123[[#This Row],[Odds Side - Win Probability Model]]), "",N277+IF(R277&lt;0, (N277/(R277/-100)), N277*(R277/100))),"")</f>
      </c>
      <c r="W277" s="168" t="str">
        <f t="shared" si="26"/>
      </c>
      <c r="X277" s="169" t="str">
        <f t="shared" si="27"/>
      </c>
      <c r="Y277" s="168" t="str">
        <f>IF(ISBLANK(Table123[[#This Row],[Odds Spread]]), "",O277+IF(S277&lt;0, (O277/(S277/-100)), O277*(S277/100)))</f>
      </c>
      <c r="Z277" s="168" t="str">
        <f t="shared" si="28"/>
      </c>
      <c r="AA277" s="68" t="n">
        <f t="shared" si="29"/>
        <v>0</v>
      </c>
      <c r="AB277" s="68" t="n">
        <f t="shared" si="30"/>
        <v>0</v>
      </c>
      <c r="AC277" s="170" t="e">
        <f>IF('Prediction Log'!#REF!="Y", "W", IF('Prediction Log'!#REF!="N","L",""))</f>
        <v>#REF!</v>
      </c>
      <c r="AD277" s="171" t="e">
        <f>IF('Prediction Log'!#REF!="Y", "W", IF('Prediction Log'!#REF!="N","L",""))</f>
        <v>#REF!</v>
      </c>
      <c r="AE277" s="172" t="str">
        <f>IF(ISBLANK(Table123[[#This Row],[Odds Side - Difference Model]]), "",IF(AC277="W", W277, IF(AC277="L",-N277, "")))</f>
      </c>
      <c r="AF277" s="173" t="str">
        <f>IFERROR((IF(ISERR(Table123[[#This Row],[Potential Payout Side - Win Probability Model]]), "",IF(AD277="W", X277, IF(AD277="L",-N277, "")))), "")</f>
      </c>
      <c r="AG277" s="170" t="e">
        <f>IF('Prediction Log'!#REF!="Y", "W", IF('Prediction Log'!#REF!="N", "L", ""))</f>
        <v>#REF!</v>
      </c>
      <c r="AH277" s="172" t="str">
        <f>IF(ISBLANK(Table123[[#This Row],[Odds Spread]]), "",IF(AG277="W", Z277, IF(AG277="L",-O277, "")))</f>
      </c>
      <c r="AI277" s="184"/>
      <c r="AJ277" s="183" t="str">
        <f t="shared" si="31"/>
      </c>
      <c r="AK2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8">
      <c r="A278" s="65" t="e">
        <f>Games!#REF!</f>
        <v>#REF!</v>
      </c>
      <c r="B278" s="65" t="e">
        <f>IF('Prediction Log'!#REF!=0, "",'Prediction Log'!#REF!)</f>
        <v>#REF!</v>
      </c>
      <c r="C278" s="65" t="e">
        <f>IF('Prediction Log'!#REF!=0, "",'Prediction Log'!#REF!)</f>
        <v>#REF!</v>
      </c>
      <c r="D278" s="65" t="e">
        <f>IF('Prediction Log'!#REF!=0, "",'Prediction Log'!#REF!)</f>
        <v>#REF!</v>
      </c>
      <c r="E278" s="65" t="e">
        <f>IF('Prediction Log'!#REF!=0, "",'Prediction Log'!#REF!)</f>
        <v>#REF!</v>
      </c>
      <c r="F278" s="65" t="e">
        <f>IF('Prediction Log'!#REF!=0, "",'Prediction Log'!#REF!)</f>
        <v>#REF!</v>
      </c>
      <c r="G278" s="64" t="e">
        <f>IF(ISBLANK(Games!#REF!), "",'Prediction Log'!#REF!)</f>
        <v>#REF!</v>
      </c>
      <c r="H278" s="66" t="e">
        <f>'Prediction Log'!#REF!</f>
        <v>#REF!</v>
      </c>
      <c r="I278" s="65" t="e">
        <f>IF(ISBLANK(Games!#REF!), "",IF(AND(Games!#REF!="",Games!#REF!=""),"",IF(ISTEXT(Games!#REF!), "Side",Games!#REF!)))</f>
        <v>#REF!</v>
      </c>
      <c r="J278" s="65" t="e">
        <f>IF(ISBLANK(Games!#REF!), "",IF(Games!#REF!="Y", Games!#REF!, Games!#REF!))</f>
        <v>#REF!</v>
      </c>
      <c r="K278" s="65" t="e">
        <f>Games!#REF!</f>
        <v>#REF!</v>
      </c>
      <c r="L278" s="65" t="e">
        <f>IF(ISBLANK(Games!#REF!), "",Games!#REF!)</f>
        <v>#REF!</v>
      </c>
      <c r="M278" s="65"/>
      <c r="N278" s="167" t="str">
        <f>IF(ISBLANK(Table123[[#This Row],[Odds Side - Difference Model]]), "", 1)</f>
      </c>
      <c r="O278" s="167" t="str">
        <f>IF(ISBLANK(Table123[[#This Row],[Odds Spread]]), "", 1)</f>
      </c>
      <c r="P278" s="67"/>
      <c r="Q278" s="67"/>
      <c r="R2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8" s="67"/>
      <c r="T278" s="67"/>
      <c r="U278" s="168" t="str">
        <f>IF(ISBLANK(Table123[[#This Row],[Odds Side - Difference Model]]), "",N278+IF(Q278&lt;0, (N278/(Q278/-100)), N278*(Q278/100)))</f>
      </c>
      <c r="V278" s="169" t="str">
        <f>IFERROR(IF(ISBLANK(Table123[[#This Row],[Odds Side - Win Probability Model]]), "",N278+IF(R278&lt;0, (N278/(R278/-100)), N278*(R278/100))),"")</f>
      </c>
      <c r="W278" s="168" t="str">
        <f t="shared" si="26"/>
      </c>
      <c r="X278" s="169" t="str">
        <f t="shared" si="27"/>
      </c>
      <c r="Y278" s="168" t="str">
        <f>IF(ISBLANK(Table123[[#This Row],[Odds Spread]]), "",O278+IF(S278&lt;0, (O278/(S278/-100)), O278*(S278/100)))</f>
      </c>
      <c r="Z278" s="168" t="str">
        <f t="shared" si="28"/>
      </c>
      <c r="AA278" s="68" t="n">
        <f t="shared" si="29"/>
        <v>0</v>
      </c>
      <c r="AB278" s="68" t="n">
        <f t="shared" si="30"/>
        <v>0</v>
      </c>
      <c r="AC278" s="170" t="e">
        <f>IF('Prediction Log'!#REF!="Y", "W", IF('Prediction Log'!#REF!="N","L",""))</f>
        <v>#REF!</v>
      </c>
      <c r="AD278" s="171" t="e">
        <f>IF('Prediction Log'!#REF!="Y", "W", IF('Prediction Log'!#REF!="N","L",""))</f>
        <v>#REF!</v>
      </c>
      <c r="AE278" s="172" t="str">
        <f>IF(ISBLANK(Table123[[#This Row],[Odds Side - Difference Model]]), "",IF(AC278="W", W278, IF(AC278="L",-N278, "")))</f>
      </c>
      <c r="AF278" s="173" t="str">
        <f>IFERROR((IF(ISERR(Table123[[#This Row],[Potential Payout Side - Win Probability Model]]), "",IF(AD278="W", X278, IF(AD278="L",-N278, "")))), "")</f>
      </c>
      <c r="AG278" s="170" t="e">
        <f>IF('Prediction Log'!#REF!="Y", "W", IF('Prediction Log'!#REF!="N", "L", ""))</f>
        <v>#REF!</v>
      </c>
      <c r="AH278" s="172" t="str">
        <f>IF(ISBLANK(Table123[[#This Row],[Odds Spread]]), "",IF(AG278="W", Z278, IF(AG278="L",-O278, "")))</f>
      </c>
      <c r="AI278" s="184"/>
      <c r="AJ278" s="183" t="str">
        <f t="shared" si="31"/>
      </c>
      <c r="AK2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9">
      <c r="A279" s="65" t="e">
        <f>Games!#REF!</f>
        <v>#REF!</v>
      </c>
      <c r="B279" s="65" t="e">
        <f>IF('Prediction Log'!#REF!=0, "",'Prediction Log'!#REF!)</f>
        <v>#REF!</v>
      </c>
      <c r="C279" s="65" t="e">
        <f>IF('Prediction Log'!#REF!=0, "",'Prediction Log'!#REF!)</f>
        <v>#REF!</v>
      </c>
      <c r="D279" s="65" t="e">
        <f>IF('Prediction Log'!#REF!=0, "",'Prediction Log'!#REF!)</f>
        <v>#REF!</v>
      </c>
      <c r="E279" s="65" t="e">
        <f>IF('Prediction Log'!#REF!=0, "",'Prediction Log'!#REF!)</f>
        <v>#REF!</v>
      </c>
      <c r="F279" s="65" t="e">
        <f>IF('Prediction Log'!#REF!=0, "",'Prediction Log'!#REF!)</f>
        <v>#REF!</v>
      </c>
      <c r="G279" s="64" t="e">
        <f>IF(ISBLANK(Games!#REF!), "",'Prediction Log'!#REF!)</f>
        <v>#REF!</v>
      </c>
      <c r="H279" s="66" t="e">
        <f>'Prediction Log'!#REF!</f>
        <v>#REF!</v>
      </c>
      <c r="I279" s="65" t="e">
        <f>IF(ISBLANK(Games!#REF!), "",IF(AND(Games!#REF!="",Games!#REF!=""),"",IF(ISTEXT(Games!#REF!), "Side",Games!#REF!)))</f>
        <v>#REF!</v>
      </c>
      <c r="J279" s="65" t="e">
        <f>IF(ISBLANK(Games!#REF!), "",IF(Games!#REF!="Y", Games!#REF!, Games!#REF!))</f>
        <v>#REF!</v>
      </c>
      <c r="K279" s="65" t="e">
        <f>Games!#REF!</f>
        <v>#REF!</v>
      </c>
      <c r="L279" s="65" t="e">
        <f>IF(ISBLANK(Games!#REF!), "",Games!#REF!)</f>
        <v>#REF!</v>
      </c>
      <c r="M279" s="65"/>
      <c r="N279" s="167" t="str">
        <f>IF(ISBLANK(Table123[[#This Row],[Odds Side - Difference Model]]), "", 1)</f>
      </c>
      <c r="O279" s="167" t="str">
        <f>IF(ISBLANK(Table123[[#This Row],[Odds Spread]]), "", 1)</f>
      </c>
      <c r="P279" s="67"/>
      <c r="Q279" s="67"/>
      <c r="R2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9" s="67"/>
      <c r="T279" s="67"/>
      <c r="U279" s="168" t="str">
        <f>IF(ISBLANK(Table123[[#This Row],[Odds Side - Difference Model]]), "",N279+IF(Q279&lt;0, (N279/(Q279/-100)), N279*(Q279/100)))</f>
      </c>
      <c r="V279" s="169" t="str">
        <f>IFERROR(IF(ISBLANK(Table123[[#This Row],[Odds Side - Win Probability Model]]), "",N279+IF(R279&lt;0, (N279/(R279/-100)), N279*(R279/100))),"")</f>
      </c>
      <c r="W279" s="168" t="str">
        <f t="shared" si="26"/>
      </c>
      <c r="X279" s="169" t="str">
        <f t="shared" si="27"/>
      </c>
      <c r="Y279" s="168" t="str">
        <f>IF(ISBLANK(Table123[[#This Row],[Odds Spread]]), "",O279+IF(S279&lt;0, (O279/(S279/-100)), O279*(S279/100)))</f>
      </c>
      <c r="Z279" s="168" t="str">
        <f t="shared" si="28"/>
      </c>
      <c r="AA279" s="68" t="n">
        <f t="shared" si="29"/>
        <v>0</v>
      </c>
      <c r="AB279" s="68" t="n">
        <f t="shared" si="30"/>
        <v>0</v>
      </c>
      <c r="AC279" s="170" t="e">
        <f>IF('Prediction Log'!#REF!="Y", "W", IF('Prediction Log'!#REF!="N","L",""))</f>
        <v>#REF!</v>
      </c>
      <c r="AD279" s="171" t="e">
        <f>IF('Prediction Log'!#REF!="Y", "W", IF('Prediction Log'!#REF!="N","L",""))</f>
        <v>#REF!</v>
      </c>
      <c r="AE279" s="172" t="str">
        <f>IF(ISBLANK(Table123[[#This Row],[Odds Side - Difference Model]]), "",IF(AC279="W", W279, IF(AC279="L",-N279, "")))</f>
      </c>
      <c r="AF279" s="173" t="str">
        <f>IFERROR((IF(ISERR(Table123[[#This Row],[Potential Payout Side - Win Probability Model]]), "",IF(AD279="W", X279, IF(AD279="L",-N279, "")))), "")</f>
      </c>
      <c r="AG279" s="170" t="e">
        <f>IF('Prediction Log'!#REF!="Y", "W", IF('Prediction Log'!#REF!="N", "L", ""))</f>
        <v>#REF!</v>
      </c>
      <c r="AH279" s="172" t="str">
        <f>IF(ISBLANK(Table123[[#This Row],[Odds Spread]]), "",IF(AG279="W", Z279, IF(AG279="L",-O279, "")))</f>
      </c>
      <c r="AI279" s="184"/>
      <c r="AJ279" s="183" t="str">
        <f t="shared" si="31"/>
      </c>
      <c r="AK2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0">
      <c r="A280" s="65" t="e">
        <f>Games!#REF!</f>
        <v>#REF!</v>
      </c>
      <c r="B280" s="65" t="e">
        <f>IF('Prediction Log'!#REF!=0, "",'Prediction Log'!#REF!)</f>
        <v>#REF!</v>
      </c>
      <c r="C280" s="65" t="e">
        <f>IF('Prediction Log'!#REF!=0, "",'Prediction Log'!#REF!)</f>
        <v>#REF!</v>
      </c>
      <c r="D280" s="65" t="e">
        <f>IF('Prediction Log'!#REF!=0, "",'Prediction Log'!#REF!)</f>
        <v>#REF!</v>
      </c>
      <c r="E280" s="65" t="e">
        <f>IF('Prediction Log'!#REF!=0, "",'Prediction Log'!#REF!)</f>
        <v>#REF!</v>
      </c>
      <c r="F280" s="65" t="e">
        <f>IF('Prediction Log'!#REF!=0, "",'Prediction Log'!#REF!)</f>
        <v>#REF!</v>
      </c>
      <c r="G280" s="64" t="e">
        <f>IF(ISBLANK(Games!#REF!), "",'Prediction Log'!#REF!)</f>
        <v>#REF!</v>
      </c>
      <c r="H280" s="66" t="e">
        <f>'Prediction Log'!#REF!</f>
        <v>#REF!</v>
      </c>
      <c r="I280" s="65" t="e">
        <f>IF(ISBLANK(Games!#REF!), "",IF(AND(Games!#REF!="",Games!#REF!=""),"",IF(ISTEXT(Games!#REF!), "Side",Games!#REF!)))</f>
        <v>#REF!</v>
      </c>
      <c r="J280" s="65" t="e">
        <f>IF(ISBLANK(Games!#REF!), "",IF(Games!#REF!="Y", Games!#REF!, Games!#REF!))</f>
        <v>#REF!</v>
      </c>
      <c r="K280" s="65" t="e">
        <f>Games!#REF!</f>
        <v>#REF!</v>
      </c>
      <c r="L280" s="65" t="e">
        <f>IF(ISBLANK(Games!#REF!), "",Games!#REF!)</f>
        <v>#REF!</v>
      </c>
      <c r="M280" s="65"/>
      <c r="N280" s="167" t="str">
        <f>IF(ISBLANK(Table123[[#This Row],[Odds Side - Difference Model]]), "", 1)</f>
      </c>
      <c r="O280" s="167" t="str">
        <f>IF(ISBLANK(Table123[[#This Row],[Odds Spread]]), "", 1)</f>
      </c>
      <c r="P280" s="67"/>
      <c r="Q280" s="67"/>
      <c r="R2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0" s="67"/>
      <c r="T280" s="67"/>
      <c r="U280" s="168" t="str">
        <f>IF(ISBLANK(Table123[[#This Row],[Odds Side - Difference Model]]), "",N280+IF(Q280&lt;0, (N280/(Q280/-100)), N280*(Q280/100)))</f>
      </c>
      <c r="V280" s="169" t="str">
        <f>IFERROR(IF(ISBLANK(Table123[[#This Row],[Odds Side - Win Probability Model]]), "",N280+IF(R280&lt;0, (N280/(R280/-100)), N280*(R280/100))),"")</f>
      </c>
      <c r="W280" s="168" t="str">
        <f t="shared" si="26"/>
      </c>
      <c r="X280" s="169" t="str">
        <f t="shared" si="27"/>
      </c>
      <c r="Y280" s="168" t="str">
        <f>IF(ISBLANK(Table123[[#This Row],[Odds Spread]]), "",O280+IF(S280&lt;0, (O280/(S280/-100)), O280*(S280/100)))</f>
      </c>
      <c r="Z280" s="168" t="str">
        <f t="shared" si="28"/>
      </c>
      <c r="AA280" s="68" t="n">
        <f t="shared" si="29"/>
        <v>0</v>
      </c>
      <c r="AB280" s="68" t="n">
        <f t="shared" si="30"/>
        <v>0</v>
      </c>
      <c r="AC280" s="170" t="e">
        <f>IF('Prediction Log'!#REF!="Y", "W", IF('Prediction Log'!#REF!="N","L",""))</f>
        <v>#REF!</v>
      </c>
      <c r="AD280" s="171" t="e">
        <f>IF('Prediction Log'!#REF!="Y", "W", IF('Prediction Log'!#REF!="N","L",""))</f>
        <v>#REF!</v>
      </c>
      <c r="AE280" s="172" t="str">
        <f>IF(ISBLANK(Table123[[#This Row],[Odds Side - Difference Model]]), "",IF(AC280="W", W280, IF(AC280="L",-N280, "")))</f>
      </c>
      <c r="AF280" s="173" t="str">
        <f>IFERROR((IF(ISERR(Table123[[#This Row],[Potential Payout Side - Win Probability Model]]), "",IF(AD280="W", X280, IF(AD280="L",-N280, "")))), "")</f>
      </c>
      <c r="AG280" s="170" t="e">
        <f>IF('Prediction Log'!#REF!="Y", "W", IF('Prediction Log'!#REF!="N", "L", ""))</f>
        <v>#REF!</v>
      </c>
      <c r="AH280" s="172" t="str">
        <f>IF(ISBLANK(Table123[[#This Row],[Odds Spread]]), "",IF(AG280="W", Z280, IF(AG280="L",-O280, "")))</f>
      </c>
      <c r="AI280" s="184"/>
      <c r="AJ280" s="183" t="str">
        <f t="shared" si="31"/>
      </c>
      <c r="AK2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1">
      <c r="A281" s="65" t="e">
        <f>Games!#REF!</f>
        <v>#REF!</v>
      </c>
      <c r="B281" s="65" t="e">
        <f>IF('Prediction Log'!#REF!=0, "",'Prediction Log'!#REF!)</f>
        <v>#REF!</v>
      </c>
      <c r="C281" s="65" t="e">
        <f>IF('Prediction Log'!#REF!=0, "",'Prediction Log'!#REF!)</f>
        <v>#REF!</v>
      </c>
      <c r="D281" s="65" t="e">
        <f>IF('Prediction Log'!#REF!=0, "",'Prediction Log'!#REF!)</f>
        <v>#REF!</v>
      </c>
      <c r="E281" s="65" t="e">
        <f>IF('Prediction Log'!#REF!=0, "",'Prediction Log'!#REF!)</f>
        <v>#REF!</v>
      </c>
      <c r="F281" s="65" t="e">
        <f>IF('Prediction Log'!#REF!=0, "",'Prediction Log'!#REF!)</f>
        <v>#REF!</v>
      </c>
      <c r="G281" s="64" t="e">
        <f>IF(ISBLANK(Games!#REF!), "",'Prediction Log'!#REF!)</f>
        <v>#REF!</v>
      </c>
      <c r="H281" s="66" t="e">
        <f>'Prediction Log'!#REF!</f>
        <v>#REF!</v>
      </c>
      <c r="I281" s="65" t="e">
        <f>IF(ISBLANK(Games!#REF!), "",IF(AND(Games!#REF!="",Games!#REF!=""),"",IF(ISTEXT(Games!#REF!), "Side",Games!#REF!)))</f>
        <v>#REF!</v>
      </c>
      <c r="J281" s="65" t="e">
        <f>IF(ISBLANK(Games!#REF!), "",IF(Games!#REF!="Y", Games!#REF!, Games!#REF!))</f>
        <v>#REF!</v>
      </c>
      <c r="K281" s="65" t="e">
        <f>Games!#REF!</f>
        <v>#REF!</v>
      </c>
      <c r="L281" s="65" t="e">
        <f>IF(ISBLANK(Games!#REF!), "",Games!#REF!)</f>
        <v>#REF!</v>
      </c>
      <c r="M281" s="65"/>
      <c r="N281" s="167" t="str">
        <f>IF(ISBLANK(Table123[[#This Row],[Odds Side - Difference Model]]), "", 1)</f>
      </c>
      <c r="O281" s="167" t="str">
        <f>IF(ISBLANK(Table123[[#This Row],[Odds Spread]]), "", 1)</f>
      </c>
      <c r="P281" s="67"/>
      <c r="Q281" s="67"/>
      <c r="R2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1" s="67"/>
      <c r="T281" s="67"/>
      <c r="U281" s="168" t="str">
        <f>IF(ISBLANK(Table123[[#This Row],[Odds Side - Difference Model]]), "",N281+IF(Q281&lt;0, (N281/(Q281/-100)), N281*(Q281/100)))</f>
      </c>
      <c r="V281" s="169" t="str">
        <f>IFERROR(IF(ISBLANK(Table123[[#This Row],[Odds Side - Win Probability Model]]), "",N281+IF(R281&lt;0, (N281/(R281/-100)), N281*(R281/100))),"")</f>
      </c>
      <c r="W281" s="168" t="str">
        <f t="shared" si="26"/>
      </c>
      <c r="X281" s="169" t="str">
        <f t="shared" si="27"/>
      </c>
      <c r="Y281" s="168" t="str">
        <f>IF(ISBLANK(Table123[[#This Row],[Odds Spread]]), "",O281+IF(S281&lt;0, (O281/(S281/-100)), O281*(S281/100)))</f>
      </c>
      <c r="Z281" s="168" t="str">
        <f t="shared" si="28"/>
      </c>
      <c r="AA281" s="68" t="n">
        <f t="shared" si="29"/>
        <v>0</v>
      </c>
      <c r="AB281" s="68" t="n">
        <f t="shared" si="30"/>
        <v>0</v>
      </c>
      <c r="AC281" s="170" t="e">
        <f>IF('Prediction Log'!#REF!="Y", "W", IF('Prediction Log'!#REF!="N","L",""))</f>
        <v>#REF!</v>
      </c>
      <c r="AD281" s="171" t="e">
        <f>IF('Prediction Log'!#REF!="Y", "W", IF('Prediction Log'!#REF!="N","L",""))</f>
        <v>#REF!</v>
      </c>
      <c r="AE281" s="172" t="str">
        <f>IF(ISBLANK(Table123[[#This Row],[Odds Side - Difference Model]]), "",IF(AC281="W", W281, IF(AC281="L",-N281, "")))</f>
      </c>
      <c r="AF281" s="173" t="str">
        <f>IFERROR((IF(ISERR(Table123[[#This Row],[Potential Payout Side - Win Probability Model]]), "",IF(AD281="W", X281, IF(AD281="L",-N281, "")))), "")</f>
      </c>
      <c r="AG281" s="170" t="e">
        <f>IF('Prediction Log'!#REF!="Y", "W", IF('Prediction Log'!#REF!="N", "L", ""))</f>
        <v>#REF!</v>
      </c>
      <c r="AH281" s="172" t="str">
        <f>IF(ISBLANK(Table123[[#This Row],[Odds Spread]]), "",IF(AG281="W", Z281, IF(AG281="L",-O281, "")))</f>
      </c>
      <c r="AI281" s="184"/>
      <c r="AJ281" s="183" t="str">
        <f t="shared" si="31"/>
      </c>
      <c r="AK2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2">
      <c r="A282" s="65" t="e">
        <f>Games!#REF!</f>
        <v>#REF!</v>
      </c>
      <c r="B282" s="65" t="e">
        <f>IF('Prediction Log'!#REF!=0, "",'Prediction Log'!#REF!)</f>
        <v>#REF!</v>
      </c>
      <c r="C282" s="65" t="e">
        <f>IF('Prediction Log'!#REF!=0, "",'Prediction Log'!#REF!)</f>
        <v>#REF!</v>
      </c>
      <c r="D282" s="65" t="e">
        <f>IF('Prediction Log'!#REF!=0, "",'Prediction Log'!#REF!)</f>
        <v>#REF!</v>
      </c>
      <c r="E282" s="65" t="e">
        <f>IF('Prediction Log'!#REF!=0, "",'Prediction Log'!#REF!)</f>
        <v>#REF!</v>
      </c>
      <c r="F282" s="65" t="e">
        <f>IF('Prediction Log'!#REF!=0, "",'Prediction Log'!#REF!)</f>
        <v>#REF!</v>
      </c>
      <c r="G282" s="64" t="e">
        <f>IF(ISBLANK(Games!#REF!), "",'Prediction Log'!#REF!)</f>
        <v>#REF!</v>
      </c>
      <c r="H282" s="66" t="e">
        <f>'Prediction Log'!#REF!</f>
        <v>#REF!</v>
      </c>
      <c r="I282" s="65" t="e">
        <f>IF(ISBLANK(Games!#REF!), "",IF(AND(Games!#REF!="",Games!#REF!=""),"",IF(ISTEXT(Games!#REF!), "Side",Games!#REF!)))</f>
        <v>#REF!</v>
      </c>
      <c r="J282" s="65" t="e">
        <f>IF(ISBLANK(Games!#REF!), "",IF(Games!#REF!="Y", Games!#REF!, Games!#REF!))</f>
        <v>#REF!</v>
      </c>
      <c r="K282" s="65" t="e">
        <f>Games!#REF!</f>
        <v>#REF!</v>
      </c>
      <c r="L282" s="65" t="e">
        <f>IF(ISBLANK(Games!#REF!), "",Games!#REF!)</f>
        <v>#REF!</v>
      </c>
      <c r="M282" s="65"/>
      <c r="N282" s="167" t="str">
        <f>IF(ISBLANK(Table123[[#This Row],[Odds Side - Difference Model]]), "", 1)</f>
      </c>
      <c r="O282" s="167" t="str">
        <f>IF(ISBLANK(Table123[[#This Row],[Odds Spread]]), "", 1)</f>
      </c>
      <c r="P282" s="67"/>
      <c r="Q282" s="67"/>
      <c r="R2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2" s="67"/>
      <c r="T282" s="67"/>
      <c r="U282" s="168" t="str">
        <f>IF(ISBLANK(Table123[[#This Row],[Odds Side - Difference Model]]), "",N282+IF(Q282&lt;0, (N282/(Q282/-100)), N282*(Q282/100)))</f>
      </c>
      <c r="V282" s="169" t="str">
        <f>IFERROR(IF(ISBLANK(Table123[[#This Row],[Odds Side - Win Probability Model]]), "",N282+IF(R282&lt;0, (N282/(R282/-100)), N282*(R282/100))),"")</f>
      </c>
      <c r="W282" s="168" t="str">
        <f t="shared" si="26"/>
      </c>
      <c r="X282" s="169" t="str">
        <f t="shared" si="27"/>
      </c>
      <c r="Y282" s="168" t="str">
        <f>IF(ISBLANK(Table123[[#This Row],[Odds Spread]]), "",O282+IF(S282&lt;0, (O282/(S282/-100)), O282*(S282/100)))</f>
      </c>
      <c r="Z282" s="168" t="str">
        <f t="shared" si="28"/>
      </c>
      <c r="AA282" s="68" t="n">
        <f t="shared" si="29"/>
        <v>0</v>
      </c>
      <c r="AB282" s="68" t="n">
        <f t="shared" si="30"/>
        <v>0</v>
      </c>
      <c r="AC282" s="170" t="e">
        <f>IF('Prediction Log'!#REF!="Y", "W", IF('Prediction Log'!#REF!="N","L",""))</f>
        <v>#REF!</v>
      </c>
      <c r="AD282" s="171" t="e">
        <f>IF('Prediction Log'!#REF!="Y", "W", IF('Prediction Log'!#REF!="N","L",""))</f>
        <v>#REF!</v>
      </c>
      <c r="AE282" s="172" t="str">
        <f>IF(ISBLANK(Table123[[#This Row],[Odds Side - Difference Model]]), "",IF(AC282="W", W282, IF(AC282="L",-N282, "")))</f>
      </c>
      <c r="AF282" s="173" t="str">
        <f>IFERROR((IF(ISERR(Table123[[#This Row],[Potential Payout Side - Win Probability Model]]), "",IF(AD282="W", X282, IF(AD282="L",-N282, "")))), "")</f>
      </c>
      <c r="AG282" s="170" t="e">
        <f>IF('Prediction Log'!#REF!="Y", "W", IF('Prediction Log'!#REF!="N", "L", ""))</f>
        <v>#REF!</v>
      </c>
      <c r="AH282" s="172" t="str">
        <f>IF(ISBLANK(Table123[[#This Row],[Odds Spread]]), "",IF(AG282="W", Z282, IF(AG282="L",-O282, "")))</f>
      </c>
      <c r="AI282" s="184"/>
      <c r="AJ282" s="183" t="str">
        <f t="shared" si="31"/>
      </c>
      <c r="AK2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3">
      <c r="A283" s="65" t="e">
        <f>Games!#REF!</f>
        <v>#REF!</v>
      </c>
      <c r="B283" s="65" t="e">
        <f>IF('Prediction Log'!#REF!=0, "",'Prediction Log'!#REF!)</f>
        <v>#REF!</v>
      </c>
      <c r="C283" s="65" t="e">
        <f>IF('Prediction Log'!#REF!=0, "",'Prediction Log'!#REF!)</f>
        <v>#REF!</v>
      </c>
      <c r="D283" s="65" t="e">
        <f>IF('Prediction Log'!#REF!=0, "",'Prediction Log'!#REF!)</f>
        <v>#REF!</v>
      </c>
      <c r="E283" s="65" t="e">
        <f>IF('Prediction Log'!#REF!=0, "",'Prediction Log'!#REF!)</f>
        <v>#REF!</v>
      </c>
      <c r="F283" s="65" t="e">
        <f>IF('Prediction Log'!#REF!=0, "",'Prediction Log'!#REF!)</f>
        <v>#REF!</v>
      </c>
      <c r="G283" s="64" t="e">
        <f>IF(ISBLANK(Games!#REF!), "",'Prediction Log'!#REF!)</f>
        <v>#REF!</v>
      </c>
      <c r="H283" s="66" t="e">
        <f>'Prediction Log'!#REF!</f>
        <v>#REF!</v>
      </c>
      <c r="I283" s="65" t="e">
        <f>IF(ISBLANK(Games!#REF!), "",IF(AND(Games!#REF!="",Games!#REF!=""),"",IF(ISTEXT(Games!#REF!), "Side",Games!#REF!)))</f>
        <v>#REF!</v>
      </c>
      <c r="J283" s="65" t="e">
        <f>IF(ISBLANK(Games!#REF!), "",IF(Games!#REF!="Y", Games!#REF!, Games!#REF!))</f>
        <v>#REF!</v>
      </c>
      <c r="K283" s="65" t="e">
        <f>Games!#REF!</f>
        <v>#REF!</v>
      </c>
      <c r="L283" s="65" t="e">
        <f>IF(ISBLANK(Games!#REF!), "",Games!#REF!)</f>
        <v>#REF!</v>
      </c>
      <c r="M283" s="65"/>
      <c r="N283" s="167" t="str">
        <f>IF(ISBLANK(Table123[[#This Row],[Odds Side - Difference Model]]), "", 1)</f>
      </c>
      <c r="O283" s="167" t="str">
        <f>IF(ISBLANK(Table123[[#This Row],[Odds Spread]]), "", 1)</f>
      </c>
      <c r="P283" s="67"/>
      <c r="Q283" s="67"/>
      <c r="R2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3" s="67"/>
      <c r="T283" s="67"/>
      <c r="U283" s="168" t="str">
        <f>IF(ISBLANK(Table123[[#This Row],[Odds Side - Difference Model]]), "",N283+IF(Q283&lt;0, (N283/(Q283/-100)), N283*(Q283/100)))</f>
      </c>
      <c r="V283" s="169" t="str">
        <f>IFERROR(IF(ISBLANK(Table123[[#This Row],[Odds Side - Win Probability Model]]), "",N283+IF(R283&lt;0, (N283/(R283/-100)), N283*(R283/100))),"")</f>
      </c>
      <c r="W283" s="168" t="str">
        <f t="shared" si="26"/>
      </c>
      <c r="X283" s="169" t="str">
        <f t="shared" si="27"/>
      </c>
      <c r="Y283" s="168" t="str">
        <f>IF(ISBLANK(Table123[[#This Row],[Odds Spread]]), "",O283+IF(S283&lt;0, (O283/(S283/-100)), O283*(S283/100)))</f>
      </c>
      <c r="Z283" s="168" t="str">
        <f t="shared" si="28"/>
      </c>
      <c r="AA283" s="68" t="n">
        <f t="shared" si="29"/>
        <v>0</v>
      </c>
      <c r="AB283" s="68" t="n">
        <f t="shared" si="30"/>
        <v>0</v>
      </c>
      <c r="AC283" s="170" t="e">
        <f>IF('Prediction Log'!#REF!="Y", "W", IF('Prediction Log'!#REF!="N","L",""))</f>
        <v>#REF!</v>
      </c>
      <c r="AD283" s="171" t="e">
        <f>IF('Prediction Log'!#REF!="Y", "W", IF('Prediction Log'!#REF!="N","L",""))</f>
        <v>#REF!</v>
      </c>
      <c r="AE283" s="172" t="str">
        <f>IF(ISBLANK(Table123[[#This Row],[Odds Side - Difference Model]]), "",IF(AC283="W", W283, IF(AC283="L",-N283, "")))</f>
      </c>
      <c r="AF283" s="173" t="str">
        <f>IFERROR((IF(ISERR(Table123[[#This Row],[Potential Payout Side - Win Probability Model]]), "",IF(AD283="W", X283, IF(AD283="L",-N283, "")))), "")</f>
      </c>
      <c r="AG283" s="170" t="e">
        <f>IF('Prediction Log'!#REF!="Y", "W", IF('Prediction Log'!#REF!="N", "L", ""))</f>
        <v>#REF!</v>
      </c>
      <c r="AH283" s="172" t="str">
        <f>IF(ISBLANK(Table123[[#This Row],[Odds Spread]]), "",IF(AG283="W", Z283, IF(AG283="L",-O283, "")))</f>
      </c>
      <c r="AI283" s="184"/>
      <c r="AJ283" s="183" t="str">
        <f t="shared" si="31"/>
      </c>
      <c r="AK2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4">
      <c r="A284" s="65" t="e">
        <f>Games!#REF!</f>
        <v>#REF!</v>
      </c>
      <c r="B284" s="65" t="e">
        <f>IF('Prediction Log'!#REF!=0, "",'Prediction Log'!#REF!)</f>
        <v>#REF!</v>
      </c>
      <c r="C284" s="65" t="e">
        <f>IF('Prediction Log'!#REF!=0, "",'Prediction Log'!#REF!)</f>
        <v>#REF!</v>
      </c>
      <c r="D284" s="65" t="e">
        <f>IF('Prediction Log'!#REF!=0, "",'Prediction Log'!#REF!)</f>
        <v>#REF!</v>
      </c>
      <c r="E284" s="65" t="e">
        <f>IF('Prediction Log'!#REF!=0, "",'Prediction Log'!#REF!)</f>
        <v>#REF!</v>
      </c>
      <c r="F284" s="65" t="e">
        <f>IF('Prediction Log'!#REF!=0, "",'Prediction Log'!#REF!)</f>
        <v>#REF!</v>
      </c>
      <c r="G284" s="64" t="e">
        <f>IF(ISBLANK(Games!#REF!), "",'Prediction Log'!#REF!)</f>
        <v>#REF!</v>
      </c>
      <c r="H284" s="66" t="e">
        <f>'Prediction Log'!#REF!</f>
        <v>#REF!</v>
      </c>
      <c r="I284" s="65" t="e">
        <f>IF(ISBLANK(Games!#REF!), "",IF(AND(Games!#REF!="",Games!#REF!=""),"",IF(ISTEXT(Games!#REF!), "Side",Games!#REF!)))</f>
        <v>#REF!</v>
      </c>
      <c r="J284" s="65" t="e">
        <f>IF(ISBLANK(Games!#REF!), "",IF(Games!#REF!="Y", Games!#REF!, Games!#REF!))</f>
        <v>#REF!</v>
      </c>
      <c r="K284" s="65" t="e">
        <f>Games!#REF!</f>
        <v>#REF!</v>
      </c>
      <c r="L284" s="65" t="e">
        <f>IF(ISBLANK(Games!#REF!), "",Games!#REF!)</f>
        <v>#REF!</v>
      </c>
      <c r="M284" s="65"/>
      <c r="N284" s="167" t="str">
        <f>IF(ISBLANK(Table123[[#This Row],[Odds Side - Difference Model]]), "", 1)</f>
      </c>
      <c r="O284" s="167" t="str">
        <f>IF(ISBLANK(Table123[[#This Row],[Odds Spread]]), "", 1)</f>
      </c>
      <c r="P284" s="67"/>
      <c r="Q284" s="67"/>
      <c r="R2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4" s="67"/>
      <c r="T284" s="67"/>
      <c r="U284" s="168" t="str">
        <f>IF(ISBLANK(Table123[[#This Row],[Odds Side - Difference Model]]), "",N284+IF(Q284&lt;0, (N284/(Q284/-100)), N284*(Q284/100)))</f>
      </c>
      <c r="V284" s="169" t="str">
        <f>IFERROR(IF(ISBLANK(Table123[[#This Row],[Odds Side - Win Probability Model]]), "",N284+IF(R284&lt;0, (N284/(R284/-100)), N284*(R284/100))),"")</f>
      </c>
      <c r="W284" s="168" t="str">
        <f t="shared" si="26"/>
      </c>
      <c r="X284" s="169" t="str">
        <f t="shared" si="27"/>
      </c>
      <c r="Y284" s="168" t="str">
        <f>IF(ISBLANK(Table123[[#This Row],[Odds Spread]]), "",O284+IF(S284&lt;0, (O284/(S284/-100)), O284*(S284/100)))</f>
      </c>
      <c r="Z284" s="168" t="str">
        <f t="shared" si="28"/>
      </c>
      <c r="AA284" s="68" t="n">
        <f t="shared" si="29"/>
        <v>0</v>
      </c>
      <c r="AB284" s="68" t="n">
        <f t="shared" si="30"/>
        <v>0</v>
      </c>
      <c r="AC284" s="170" t="e">
        <f>IF('Prediction Log'!#REF!="Y", "W", IF('Prediction Log'!#REF!="N","L",""))</f>
        <v>#REF!</v>
      </c>
      <c r="AD284" s="171" t="e">
        <f>IF('Prediction Log'!#REF!="Y", "W", IF('Prediction Log'!#REF!="N","L",""))</f>
        <v>#REF!</v>
      </c>
      <c r="AE284" s="172" t="str">
        <f>IF(ISBLANK(Table123[[#This Row],[Odds Side - Difference Model]]), "",IF(AC284="W", W284, IF(AC284="L",-N284, "")))</f>
      </c>
      <c r="AF284" s="173" t="str">
        <f>IFERROR((IF(ISERR(Table123[[#This Row],[Potential Payout Side - Win Probability Model]]), "",IF(AD284="W", X284, IF(AD284="L",-N284, "")))), "")</f>
      </c>
      <c r="AG284" s="170" t="e">
        <f>IF('Prediction Log'!#REF!="Y", "W", IF('Prediction Log'!#REF!="N", "L", ""))</f>
        <v>#REF!</v>
      </c>
      <c r="AH284" s="172" t="str">
        <f>IF(ISBLANK(Table123[[#This Row],[Odds Spread]]), "",IF(AG284="W", Z284, IF(AG284="L",-O284, "")))</f>
      </c>
      <c r="AI284" s="184"/>
      <c r="AJ284" s="183" t="str">
        <f t="shared" si="31"/>
      </c>
      <c r="AK2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5">
      <c r="A285" s="65" t="e">
        <f>Games!#REF!</f>
        <v>#REF!</v>
      </c>
      <c r="B285" s="65" t="e">
        <f>IF('Prediction Log'!#REF!=0, "",'Prediction Log'!#REF!)</f>
        <v>#REF!</v>
      </c>
      <c r="C285" s="65" t="e">
        <f>IF('Prediction Log'!#REF!=0, "",'Prediction Log'!#REF!)</f>
        <v>#REF!</v>
      </c>
      <c r="D285" s="65" t="e">
        <f>IF('Prediction Log'!#REF!=0, "",'Prediction Log'!#REF!)</f>
        <v>#REF!</v>
      </c>
      <c r="E285" s="65" t="e">
        <f>IF('Prediction Log'!#REF!=0, "",'Prediction Log'!#REF!)</f>
        <v>#REF!</v>
      </c>
      <c r="F285" s="65" t="e">
        <f>IF('Prediction Log'!#REF!=0, "",'Prediction Log'!#REF!)</f>
        <v>#REF!</v>
      </c>
      <c r="G285" s="64" t="e">
        <f>IF(ISBLANK(Games!#REF!), "",'Prediction Log'!#REF!)</f>
        <v>#REF!</v>
      </c>
      <c r="H285" s="66" t="e">
        <f>'Prediction Log'!#REF!</f>
        <v>#REF!</v>
      </c>
      <c r="I285" s="65" t="e">
        <f>IF(ISBLANK(Games!#REF!), "",IF(AND(Games!#REF!="",Games!#REF!=""),"",IF(ISTEXT(Games!#REF!), "Side",Games!#REF!)))</f>
        <v>#REF!</v>
      </c>
      <c r="J285" s="65" t="e">
        <f>IF(ISBLANK(Games!#REF!), "",IF(Games!#REF!="Y", Games!#REF!, Games!#REF!))</f>
        <v>#REF!</v>
      </c>
      <c r="K285" s="65" t="e">
        <f>Games!#REF!</f>
        <v>#REF!</v>
      </c>
      <c r="L285" s="65" t="e">
        <f>IF(ISBLANK(Games!#REF!), "",Games!#REF!)</f>
        <v>#REF!</v>
      </c>
      <c r="M285" s="65"/>
      <c r="N285" s="167" t="str">
        <f>IF(ISBLANK(Table123[[#This Row],[Odds Side - Difference Model]]), "", 1)</f>
      </c>
      <c r="O285" s="167" t="str">
        <f>IF(ISBLANK(Table123[[#This Row],[Odds Spread]]), "", 1)</f>
      </c>
      <c r="P285" s="67"/>
      <c r="Q285" s="67"/>
      <c r="R2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5" s="67"/>
      <c r="T285" s="67"/>
      <c r="U285" s="168" t="str">
        <f>IF(ISBLANK(Table123[[#This Row],[Odds Side - Difference Model]]), "",N285+IF(Q285&lt;0, (N285/(Q285/-100)), N285*(Q285/100)))</f>
      </c>
      <c r="V285" s="169" t="str">
        <f>IFERROR(IF(ISBLANK(Table123[[#This Row],[Odds Side - Win Probability Model]]), "",N285+IF(R285&lt;0, (N285/(R285/-100)), N285*(R285/100))),"")</f>
      </c>
      <c r="W285" s="168" t="str">
        <f t="shared" si="26"/>
      </c>
      <c r="X285" s="169" t="str">
        <f t="shared" si="27"/>
      </c>
      <c r="Y285" s="168" t="str">
        <f>IF(ISBLANK(Table123[[#This Row],[Odds Spread]]), "",O285+IF(S285&lt;0, (O285/(S285/-100)), O285*(S285/100)))</f>
      </c>
      <c r="Z285" s="168" t="str">
        <f t="shared" si="28"/>
      </c>
      <c r="AA285" s="68" t="n">
        <f t="shared" si="29"/>
        <v>0</v>
      </c>
      <c r="AB285" s="68" t="n">
        <f t="shared" si="30"/>
        <v>0</v>
      </c>
      <c r="AC285" s="170" t="e">
        <f>IF('Prediction Log'!#REF!="Y", "W", IF('Prediction Log'!#REF!="N","L",""))</f>
        <v>#REF!</v>
      </c>
      <c r="AD285" s="171" t="e">
        <f>IF('Prediction Log'!#REF!="Y", "W", IF('Prediction Log'!#REF!="N","L",""))</f>
        <v>#REF!</v>
      </c>
      <c r="AE285" s="172" t="str">
        <f>IF(ISBLANK(Table123[[#This Row],[Odds Side - Difference Model]]), "",IF(AC285="W", W285, IF(AC285="L",-N285, "")))</f>
      </c>
      <c r="AF285" s="173" t="str">
        <f>IFERROR((IF(ISERR(Table123[[#This Row],[Potential Payout Side - Win Probability Model]]), "",IF(AD285="W", X285, IF(AD285="L",-N285, "")))), "")</f>
      </c>
      <c r="AG285" s="170" t="e">
        <f>IF('Prediction Log'!#REF!="Y", "W", IF('Prediction Log'!#REF!="N", "L", ""))</f>
        <v>#REF!</v>
      </c>
      <c r="AH285" s="172" t="str">
        <f>IF(ISBLANK(Table123[[#This Row],[Odds Spread]]), "",IF(AG285="W", Z285, IF(AG285="L",-O285, "")))</f>
      </c>
      <c r="AI285" s="184"/>
      <c r="AJ285" s="183" t="str">
        <f t="shared" si="31"/>
      </c>
      <c r="AK2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6">
      <c r="A286" s="65" t="e">
        <f>Games!#REF!</f>
        <v>#REF!</v>
      </c>
      <c r="B286" s="65" t="e">
        <f>IF('Prediction Log'!#REF!=0, "",'Prediction Log'!#REF!)</f>
        <v>#REF!</v>
      </c>
      <c r="C286" s="65" t="e">
        <f>IF('Prediction Log'!#REF!=0, "",'Prediction Log'!#REF!)</f>
        <v>#REF!</v>
      </c>
      <c r="D286" s="65" t="e">
        <f>IF('Prediction Log'!#REF!=0, "",'Prediction Log'!#REF!)</f>
        <v>#REF!</v>
      </c>
      <c r="E286" s="65" t="e">
        <f>IF('Prediction Log'!#REF!=0, "",'Prediction Log'!#REF!)</f>
        <v>#REF!</v>
      </c>
      <c r="F286" s="65" t="e">
        <f>IF('Prediction Log'!#REF!=0, "",'Prediction Log'!#REF!)</f>
        <v>#REF!</v>
      </c>
      <c r="G286" s="64" t="e">
        <f>IF(ISBLANK(Games!#REF!), "",'Prediction Log'!#REF!)</f>
        <v>#REF!</v>
      </c>
      <c r="H286" s="66" t="e">
        <f>'Prediction Log'!#REF!</f>
        <v>#REF!</v>
      </c>
      <c r="I286" s="65" t="e">
        <f>IF(ISBLANK(Games!#REF!), "",IF(AND(Games!#REF!="",Games!#REF!=""),"",IF(ISTEXT(Games!#REF!), "Side",Games!#REF!)))</f>
        <v>#REF!</v>
      </c>
      <c r="J286" s="65" t="e">
        <f>IF(ISBLANK(Games!#REF!), "",IF(Games!#REF!="Y", Games!#REF!, Games!#REF!))</f>
        <v>#REF!</v>
      </c>
      <c r="K286" s="65" t="e">
        <f>Games!#REF!</f>
        <v>#REF!</v>
      </c>
      <c r="L286" s="65" t="e">
        <f>IF(ISBLANK(Games!#REF!), "",Games!#REF!)</f>
        <v>#REF!</v>
      </c>
      <c r="M286" s="65"/>
      <c r="N286" s="167" t="str">
        <f>IF(ISBLANK(Table123[[#This Row],[Odds Side - Difference Model]]), "", 1)</f>
      </c>
      <c r="O286" s="167" t="str">
        <f>IF(ISBLANK(Table123[[#This Row],[Odds Spread]]), "", 1)</f>
      </c>
      <c r="P286" s="67"/>
      <c r="Q286" s="67"/>
      <c r="R2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6" s="67"/>
      <c r="T286" s="67"/>
      <c r="U286" s="168" t="str">
        <f>IF(ISBLANK(Table123[[#This Row],[Odds Side - Difference Model]]), "",N286+IF(Q286&lt;0, (N286/(Q286/-100)), N286*(Q286/100)))</f>
      </c>
      <c r="V286" s="169" t="str">
        <f>IFERROR(IF(ISBLANK(Table123[[#This Row],[Odds Side - Win Probability Model]]), "",N286+IF(R286&lt;0, (N286/(R286/-100)), N286*(R286/100))),"")</f>
      </c>
      <c r="W286" s="168" t="str">
        <f t="shared" si="26"/>
      </c>
      <c r="X286" s="169" t="str">
        <f t="shared" si="27"/>
      </c>
      <c r="Y286" s="168" t="str">
        <f>IF(ISBLANK(Table123[[#This Row],[Odds Spread]]), "",O286+IF(S286&lt;0, (O286/(S286/-100)), O286*(S286/100)))</f>
      </c>
      <c r="Z286" s="168" t="str">
        <f t="shared" si="28"/>
      </c>
      <c r="AA286" s="68" t="n">
        <f t="shared" si="29"/>
        <v>0</v>
      </c>
      <c r="AB286" s="68" t="n">
        <f t="shared" si="30"/>
        <v>0</v>
      </c>
      <c r="AC286" s="170" t="e">
        <f>IF('Prediction Log'!#REF!="Y", "W", IF('Prediction Log'!#REF!="N","L",""))</f>
        <v>#REF!</v>
      </c>
      <c r="AD286" s="171" t="e">
        <f>IF('Prediction Log'!#REF!="Y", "W", IF('Prediction Log'!#REF!="N","L",""))</f>
        <v>#REF!</v>
      </c>
      <c r="AE286" s="172" t="str">
        <f>IF(ISBLANK(Table123[[#This Row],[Odds Side - Difference Model]]), "",IF(AC286="W", W286, IF(AC286="L",-N286, "")))</f>
      </c>
      <c r="AF286" s="173" t="str">
        <f>IFERROR((IF(ISERR(Table123[[#This Row],[Potential Payout Side - Win Probability Model]]), "",IF(AD286="W", X286, IF(AD286="L",-N286, "")))), "")</f>
      </c>
      <c r="AG286" s="170" t="e">
        <f>IF('Prediction Log'!#REF!="Y", "W", IF('Prediction Log'!#REF!="N", "L", ""))</f>
        <v>#REF!</v>
      </c>
      <c r="AH286" s="172" t="str">
        <f>IF(ISBLANK(Table123[[#This Row],[Odds Spread]]), "",IF(AG286="W", Z286, IF(AG286="L",-O286, "")))</f>
      </c>
      <c r="AI286" s="184"/>
      <c r="AJ286" s="183" t="str">
        <f t="shared" si="31"/>
      </c>
      <c r="AK2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7">
      <c r="A287" s="65" t="e">
        <f>Games!#REF!</f>
        <v>#REF!</v>
      </c>
      <c r="B287" s="65" t="e">
        <f>IF('Prediction Log'!#REF!=0, "",'Prediction Log'!#REF!)</f>
        <v>#REF!</v>
      </c>
      <c r="C287" s="65" t="e">
        <f>IF('Prediction Log'!#REF!=0, "",'Prediction Log'!#REF!)</f>
        <v>#REF!</v>
      </c>
      <c r="D287" s="65" t="e">
        <f>IF('Prediction Log'!#REF!=0, "",'Prediction Log'!#REF!)</f>
        <v>#REF!</v>
      </c>
      <c r="E287" s="65" t="e">
        <f>IF('Prediction Log'!#REF!=0, "",'Prediction Log'!#REF!)</f>
        <v>#REF!</v>
      </c>
      <c r="F287" s="65" t="e">
        <f>IF('Prediction Log'!#REF!=0, "",'Prediction Log'!#REF!)</f>
        <v>#REF!</v>
      </c>
      <c r="G287" s="64" t="e">
        <f>IF(ISBLANK(Games!#REF!), "",'Prediction Log'!#REF!)</f>
        <v>#REF!</v>
      </c>
      <c r="H287" s="66" t="e">
        <f>'Prediction Log'!#REF!</f>
        <v>#REF!</v>
      </c>
      <c r="I287" s="65" t="e">
        <f>IF(ISBLANK(Games!#REF!), "",IF(AND(Games!#REF!="",Games!#REF!=""),"",IF(ISTEXT(Games!#REF!), "Side",Games!#REF!)))</f>
        <v>#REF!</v>
      </c>
      <c r="J287" s="65" t="e">
        <f>IF(ISBLANK(Games!#REF!), "",IF(Games!#REF!="Y", Games!#REF!, Games!#REF!))</f>
        <v>#REF!</v>
      </c>
      <c r="K287" s="65" t="e">
        <f>Games!#REF!</f>
        <v>#REF!</v>
      </c>
      <c r="L287" s="65" t="e">
        <f>IF(ISBLANK(Games!#REF!), "",Games!#REF!)</f>
        <v>#REF!</v>
      </c>
      <c r="M287" s="65"/>
      <c r="N287" s="167" t="str">
        <f>IF(ISBLANK(Table123[[#This Row],[Odds Side - Difference Model]]), "", 1)</f>
      </c>
      <c r="O287" s="167" t="str">
        <f>IF(ISBLANK(Table123[[#This Row],[Odds Spread]]), "", 1)</f>
      </c>
      <c r="P287" s="67"/>
      <c r="Q287" s="67"/>
      <c r="R2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7" s="67"/>
      <c r="T287" s="67"/>
      <c r="U287" s="168" t="str">
        <f>IF(ISBLANK(Table123[[#This Row],[Odds Side - Difference Model]]), "",N287+IF(Q287&lt;0, (N287/(Q287/-100)), N287*(Q287/100)))</f>
      </c>
      <c r="V287" s="169" t="str">
        <f>IFERROR(IF(ISBLANK(Table123[[#This Row],[Odds Side - Win Probability Model]]), "",N287+IF(R287&lt;0, (N287/(R287/-100)), N287*(R287/100))),"")</f>
      </c>
      <c r="W287" s="168" t="str">
        <f t="shared" si="26"/>
      </c>
      <c r="X287" s="169" t="str">
        <f t="shared" si="27"/>
      </c>
      <c r="Y287" s="168" t="str">
        <f>IF(ISBLANK(Table123[[#This Row],[Odds Spread]]), "",O287+IF(S287&lt;0, (O287/(S287/-100)), O287*(S287/100)))</f>
      </c>
      <c r="Z287" s="168" t="str">
        <f t="shared" si="28"/>
      </c>
      <c r="AA287" s="68" t="n">
        <f t="shared" si="29"/>
        <v>0</v>
      </c>
      <c r="AB287" s="68" t="n">
        <f t="shared" si="30"/>
        <v>0</v>
      </c>
      <c r="AC287" s="170" t="e">
        <f>IF('Prediction Log'!#REF!="Y", "W", IF('Prediction Log'!#REF!="N","L",""))</f>
        <v>#REF!</v>
      </c>
      <c r="AD287" s="171" t="e">
        <f>IF('Prediction Log'!#REF!="Y", "W", IF('Prediction Log'!#REF!="N","L",""))</f>
        <v>#REF!</v>
      </c>
      <c r="AE287" s="172" t="str">
        <f>IF(ISBLANK(Table123[[#This Row],[Odds Side - Difference Model]]), "",IF(AC287="W", W287, IF(AC287="L",-N287, "")))</f>
      </c>
      <c r="AF287" s="173" t="str">
        <f>IFERROR((IF(ISERR(Table123[[#This Row],[Potential Payout Side - Win Probability Model]]), "",IF(AD287="W", X287, IF(AD287="L",-N287, "")))), "")</f>
      </c>
      <c r="AG287" s="170" t="e">
        <f>IF('Prediction Log'!#REF!="Y", "W", IF('Prediction Log'!#REF!="N", "L", ""))</f>
        <v>#REF!</v>
      </c>
      <c r="AH287" s="172" t="str">
        <f>IF(ISBLANK(Table123[[#This Row],[Odds Spread]]), "",IF(AG287="W", Z287, IF(AG287="L",-O287, "")))</f>
      </c>
      <c r="AI287" s="184"/>
      <c r="AJ287" s="183" t="str">
        <f t="shared" si="31"/>
      </c>
      <c r="AK2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8">
      <c r="A288" s="65" t="e">
        <f>Games!#REF!</f>
        <v>#REF!</v>
      </c>
      <c r="B288" s="65" t="e">
        <f>IF('Prediction Log'!#REF!=0, "",'Prediction Log'!#REF!)</f>
        <v>#REF!</v>
      </c>
      <c r="C288" s="65" t="e">
        <f>IF('Prediction Log'!#REF!=0, "",'Prediction Log'!#REF!)</f>
        <v>#REF!</v>
      </c>
      <c r="D288" s="65" t="e">
        <f>IF('Prediction Log'!#REF!=0, "",'Prediction Log'!#REF!)</f>
        <v>#REF!</v>
      </c>
      <c r="E288" s="65" t="e">
        <f>IF('Prediction Log'!#REF!=0, "",'Prediction Log'!#REF!)</f>
        <v>#REF!</v>
      </c>
      <c r="F288" s="65" t="e">
        <f>IF('Prediction Log'!#REF!=0, "",'Prediction Log'!#REF!)</f>
        <v>#REF!</v>
      </c>
      <c r="G288" s="64" t="e">
        <f>IF(ISBLANK(Games!#REF!), "",'Prediction Log'!#REF!)</f>
        <v>#REF!</v>
      </c>
      <c r="H288" s="66" t="e">
        <f>'Prediction Log'!#REF!</f>
        <v>#REF!</v>
      </c>
      <c r="I288" s="65" t="e">
        <f>IF(ISBLANK(Games!#REF!), "",IF(AND(Games!#REF!="",Games!#REF!=""),"",IF(ISTEXT(Games!#REF!), "Side",Games!#REF!)))</f>
        <v>#REF!</v>
      </c>
      <c r="J288" s="65" t="e">
        <f>IF(ISBLANK(Games!#REF!), "",IF(Games!#REF!="Y", Games!#REF!, Games!#REF!))</f>
        <v>#REF!</v>
      </c>
      <c r="K288" s="65" t="e">
        <f>Games!#REF!</f>
        <v>#REF!</v>
      </c>
      <c r="L288" s="65" t="e">
        <f>IF(ISBLANK(Games!#REF!), "",Games!#REF!)</f>
        <v>#REF!</v>
      </c>
      <c r="M288" s="65"/>
      <c r="N288" s="167" t="str">
        <f>IF(ISBLANK(Table123[[#This Row],[Odds Side - Difference Model]]), "", 1)</f>
      </c>
      <c r="O288" s="167" t="str">
        <f>IF(ISBLANK(Table123[[#This Row],[Odds Spread]]), "", 1)</f>
      </c>
      <c r="P288" s="67"/>
      <c r="Q288" s="67"/>
      <c r="R2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8" s="67"/>
      <c r="T288" s="67"/>
      <c r="U288" s="168" t="str">
        <f>IF(ISBLANK(Table123[[#This Row],[Odds Side - Difference Model]]), "",N288+IF(Q288&lt;0, (N288/(Q288/-100)), N288*(Q288/100)))</f>
      </c>
      <c r="V288" s="169" t="str">
        <f>IFERROR(IF(ISBLANK(Table123[[#This Row],[Odds Side - Win Probability Model]]), "",N288+IF(R288&lt;0, (N288/(R288/-100)), N288*(R288/100))),"")</f>
      </c>
      <c r="W288" s="168" t="str">
        <f t="shared" si="26"/>
      </c>
      <c r="X288" s="169" t="str">
        <f t="shared" si="27"/>
      </c>
      <c r="Y288" s="168" t="str">
        <f>IF(ISBLANK(Table123[[#This Row],[Odds Spread]]), "",O288+IF(S288&lt;0, (O288/(S288/-100)), O288*(S288/100)))</f>
      </c>
      <c r="Z288" s="168" t="str">
        <f t="shared" si="28"/>
      </c>
      <c r="AA288" s="68" t="n">
        <f t="shared" si="29"/>
        <v>0</v>
      </c>
      <c r="AB288" s="68" t="n">
        <f t="shared" si="30"/>
        <v>0</v>
      </c>
      <c r="AC288" s="170" t="e">
        <f>IF('Prediction Log'!#REF!="Y", "W", IF('Prediction Log'!#REF!="N","L",""))</f>
        <v>#REF!</v>
      </c>
      <c r="AD288" s="171" t="e">
        <f>IF('Prediction Log'!#REF!="Y", "W", IF('Prediction Log'!#REF!="N","L",""))</f>
        <v>#REF!</v>
      </c>
      <c r="AE288" s="172" t="str">
        <f>IF(ISBLANK(Table123[[#This Row],[Odds Side - Difference Model]]), "",IF(AC288="W", W288, IF(AC288="L",-N288, "")))</f>
      </c>
      <c r="AF288" s="173" t="str">
        <f>IFERROR((IF(ISERR(Table123[[#This Row],[Potential Payout Side - Win Probability Model]]), "",IF(AD288="W", X288, IF(AD288="L",-N288, "")))), "")</f>
      </c>
      <c r="AG288" s="170" t="e">
        <f>IF('Prediction Log'!#REF!="Y", "W", IF('Prediction Log'!#REF!="N", "L", ""))</f>
        <v>#REF!</v>
      </c>
      <c r="AH288" s="172" t="str">
        <f>IF(ISBLANK(Table123[[#This Row],[Odds Spread]]), "",IF(AG288="W", Z288, IF(AG288="L",-O288, "")))</f>
      </c>
      <c r="AI288" s="184"/>
      <c r="AJ288" s="183" t="str">
        <f t="shared" si="31"/>
      </c>
      <c r="AK2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9">
      <c r="A289" s="65" t="e">
        <f>Games!#REF!</f>
        <v>#REF!</v>
      </c>
      <c r="B289" s="65" t="e">
        <f>IF('Prediction Log'!#REF!=0, "",'Prediction Log'!#REF!)</f>
        <v>#REF!</v>
      </c>
      <c r="C289" s="65" t="e">
        <f>IF('Prediction Log'!#REF!=0, "",'Prediction Log'!#REF!)</f>
        <v>#REF!</v>
      </c>
      <c r="D289" s="65" t="e">
        <f>IF('Prediction Log'!#REF!=0, "",'Prediction Log'!#REF!)</f>
        <v>#REF!</v>
      </c>
      <c r="E289" s="65" t="e">
        <f>IF('Prediction Log'!#REF!=0, "",'Prediction Log'!#REF!)</f>
        <v>#REF!</v>
      </c>
      <c r="F289" s="65" t="e">
        <f>IF('Prediction Log'!#REF!=0, "",'Prediction Log'!#REF!)</f>
        <v>#REF!</v>
      </c>
      <c r="G289" s="64" t="e">
        <f>IF(ISBLANK(Games!#REF!), "",'Prediction Log'!#REF!)</f>
        <v>#REF!</v>
      </c>
      <c r="H289" s="66" t="e">
        <f>'Prediction Log'!#REF!</f>
        <v>#REF!</v>
      </c>
      <c r="I289" s="65" t="e">
        <f>IF(ISBLANK(Games!#REF!), "",IF(AND(Games!#REF!="",Games!#REF!=""),"",IF(ISTEXT(Games!#REF!), "Side",Games!#REF!)))</f>
        <v>#REF!</v>
      </c>
      <c r="J289" s="65" t="e">
        <f>IF(ISBLANK(Games!#REF!), "",IF(Games!#REF!="Y", Games!#REF!, Games!#REF!))</f>
        <v>#REF!</v>
      </c>
      <c r="K289" s="65" t="e">
        <f>Games!#REF!</f>
        <v>#REF!</v>
      </c>
      <c r="L289" s="65" t="e">
        <f>IF(ISBLANK(Games!#REF!), "",Games!#REF!)</f>
        <v>#REF!</v>
      </c>
      <c r="M289" s="65"/>
      <c r="N289" s="167" t="str">
        <f>IF(ISBLANK(Table123[[#This Row],[Odds Side - Difference Model]]), "", 1)</f>
      </c>
      <c r="O289" s="167" t="str">
        <f>IF(ISBLANK(Table123[[#This Row],[Odds Spread]]), "", 1)</f>
      </c>
      <c r="P289" s="67"/>
      <c r="Q289" s="67"/>
      <c r="R2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9" s="67"/>
      <c r="T289" s="67"/>
      <c r="U289" s="168" t="str">
        <f>IF(ISBLANK(Table123[[#This Row],[Odds Side - Difference Model]]), "",N289+IF(Q289&lt;0, (N289/(Q289/-100)), N289*(Q289/100)))</f>
      </c>
      <c r="V289" s="169" t="str">
        <f>IFERROR(IF(ISBLANK(Table123[[#This Row],[Odds Side - Win Probability Model]]), "",N289+IF(R289&lt;0, (N289/(R289/-100)), N289*(R289/100))),"")</f>
      </c>
      <c r="W289" s="168" t="str">
        <f t="shared" si="26"/>
      </c>
      <c r="X289" s="169" t="str">
        <f t="shared" si="27"/>
      </c>
      <c r="Y289" s="168" t="str">
        <f>IF(ISBLANK(Table123[[#This Row],[Odds Spread]]), "",O289+IF(S289&lt;0, (O289/(S289/-100)), O289*(S289/100)))</f>
      </c>
      <c r="Z289" s="168" t="str">
        <f t="shared" si="28"/>
      </c>
      <c r="AA289" s="68" t="n">
        <f t="shared" si="29"/>
        <v>0</v>
      </c>
      <c r="AB289" s="68" t="n">
        <f t="shared" si="30"/>
        <v>0</v>
      </c>
      <c r="AC289" s="170" t="e">
        <f>IF('Prediction Log'!#REF!="Y", "W", IF('Prediction Log'!#REF!="N","L",""))</f>
        <v>#REF!</v>
      </c>
      <c r="AD289" s="171" t="e">
        <f>IF('Prediction Log'!#REF!="Y", "W", IF('Prediction Log'!#REF!="N","L",""))</f>
        <v>#REF!</v>
      </c>
      <c r="AE289" s="172" t="str">
        <f>IF(ISBLANK(Table123[[#This Row],[Odds Side - Difference Model]]), "",IF(AC289="W", W289, IF(AC289="L",-N289, "")))</f>
      </c>
      <c r="AF289" s="173" t="str">
        <f>IFERROR((IF(ISERR(Table123[[#This Row],[Potential Payout Side - Win Probability Model]]), "",IF(AD289="W", X289, IF(AD289="L",-N289, "")))), "")</f>
      </c>
      <c r="AG289" s="170" t="e">
        <f>IF('Prediction Log'!#REF!="Y", "W", IF('Prediction Log'!#REF!="N", "L", ""))</f>
        <v>#REF!</v>
      </c>
      <c r="AH289" s="172" t="str">
        <f>IF(ISBLANK(Table123[[#This Row],[Odds Spread]]), "",IF(AG289="W", Z289, IF(AG289="L",-O289, "")))</f>
      </c>
      <c r="AI289" s="184"/>
      <c r="AJ289" s="183" t="str">
        <f t="shared" si="31"/>
      </c>
      <c r="AK2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0">
      <c r="A290" s="65" t="e">
        <f>Games!#REF!</f>
        <v>#REF!</v>
      </c>
      <c r="B290" s="65" t="e">
        <f>IF('Prediction Log'!#REF!=0, "",'Prediction Log'!#REF!)</f>
        <v>#REF!</v>
      </c>
      <c r="C290" s="65" t="e">
        <f>IF('Prediction Log'!#REF!=0, "",'Prediction Log'!#REF!)</f>
        <v>#REF!</v>
      </c>
      <c r="D290" s="65" t="e">
        <f>IF('Prediction Log'!#REF!=0, "",'Prediction Log'!#REF!)</f>
        <v>#REF!</v>
      </c>
      <c r="E290" s="65" t="e">
        <f>IF('Prediction Log'!#REF!=0, "",'Prediction Log'!#REF!)</f>
        <v>#REF!</v>
      </c>
      <c r="F290" s="65" t="e">
        <f>IF('Prediction Log'!#REF!=0, "",'Prediction Log'!#REF!)</f>
        <v>#REF!</v>
      </c>
      <c r="G290" s="64" t="e">
        <f>IF(ISBLANK(Games!#REF!), "",'Prediction Log'!#REF!)</f>
        <v>#REF!</v>
      </c>
      <c r="H290" s="66" t="e">
        <f>'Prediction Log'!#REF!</f>
        <v>#REF!</v>
      </c>
      <c r="I290" s="65" t="e">
        <f>IF(ISBLANK(Games!#REF!), "",IF(AND(Games!#REF!="",Games!#REF!=""),"",IF(ISTEXT(Games!#REF!), "Side",Games!#REF!)))</f>
        <v>#REF!</v>
      </c>
      <c r="J290" s="65" t="e">
        <f>IF(ISBLANK(Games!#REF!), "",IF(Games!#REF!="Y", Games!#REF!, Games!#REF!))</f>
        <v>#REF!</v>
      </c>
      <c r="K290" s="65" t="e">
        <f>Games!#REF!</f>
        <v>#REF!</v>
      </c>
      <c r="L290" s="65" t="e">
        <f>IF(ISBLANK(Games!#REF!), "",Games!#REF!)</f>
        <v>#REF!</v>
      </c>
      <c r="M290" s="65"/>
      <c r="N290" s="167" t="str">
        <f>IF(ISBLANK(Table123[[#This Row],[Odds Side - Difference Model]]), "", 1)</f>
      </c>
      <c r="O290" s="167" t="str">
        <f>IF(ISBLANK(Table123[[#This Row],[Odds Spread]]), "", 1)</f>
      </c>
      <c r="P290" s="67"/>
      <c r="Q290" s="67"/>
      <c r="R2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0" s="67"/>
      <c r="T290" s="67"/>
      <c r="U290" s="168" t="str">
        <f>IF(ISBLANK(Table123[[#This Row],[Odds Side - Difference Model]]), "",N290+IF(Q290&lt;0, (N290/(Q290/-100)), N290*(Q290/100)))</f>
      </c>
      <c r="V290" s="169" t="str">
        <f>IFERROR(IF(ISBLANK(Table123[[#This Row],[Odds Side - Win Probability Model]]), "",N290+IF(R290&lt;0, (N290/(R290/-100)), N290*(R290/100))),"")</f>
      </c>
      <c r="W290" s="168" t="str">
        <f t="shared" si="26"/>
      </c>
      <c r="X290" s="169" t="str">
        <f t="shared" si="27"/>
      </c>
      <c r="Y290" s="168" t="str">
        <f>IF(ISBLANK(Table123[[#This Row],[Odds Spread]]), "",O290+IF(S290&lt;0, (O290/(S290/-100)), O290*(S290/100)))</f>
      </c>
      <c r="Z290" s="168" t="str">
        <f t="shared" si="28"/>
      </c>
      <c r="AA290" s="68" t="n">
        <f t="shared" si="29"/>
        <v>0</v>
      </c>
      <c r="AB290" s="68" t="n">
        <f t="shared" si="30"/>
        <v>0</v>
      </c>
      <c r="AC290" s="170" t="e">
        <f>IF('Prediction Log'!#REF!="Y", "W", IF('Prediction Log'!#REF!="N","L",""))</f>
        <v>#REF!</v>
      </c>
      <c r="AD290" s="171" t="e">
        <f>IF('Prediction Log'!#REF!="Y", "W", IF('Prediction Log'!#REF!="N","L",""))</f>
        <v>#REF!</v>
      </c>
      <c r="AE290" s="172" t="str">
        <f>IF(ISBLANK(Table123[[#This Row],[Odds Side - Difference Model]]), "",IF(AC290="W", W290, IF(AC290="L",-N290, "")))</f>
      </c>
      <c r="AF290" s="173" t="str">
        <f>IFERROR((IF(ISERR(Table123[[#This Row],[Potential Payout Side - Win Probability Model]]), "",IF(AD290="W", X290, IF(AD290="L",-N290, "")))), "")</f>
      </c>
      <c r="AG290" s="170" t="e">
        <f>IF('Prediction Log'!#REF!="Y", "W", IF('Prediction Log'!#REF!="N", "L", ""))</f>
        <v>#REF!</v>
      </c>
      <c r="AH290" s="172" t="str">
        <f>IF(ISBLANK(Table123[[#This Row],[Odds Spread]]), "",IF(AG290="W", Z290, IF(AG290="L",-O290, "")))</f>
      </c>
      <c r="AI290" s="184"/>
      <c r="AJ290" s="183" t="str">
        <f t="shared" si="31"/>
      </c>
      <c r="AK2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1">
      <c r="A291" s="65" t="e">
        <f>Games!#REF!</f>
        <v>#REF!</v>
      </c>
      <c r="B291" s="65" t="e">
        <f>IF('Prediction Log'!#REF!=0, "",'Prediction Log'!#REF!)</f>
        <v>#REF!</v>
      </c>
      <c r="C291" s="65" t="e">
        <f>IF('Prediction Log'!#REF!=0, "",'Prediction Log'!#REF!)</f>
        <v>#REF!</v>
      </c>
      <c r="D291" s="65" t="e">
        <f>IF('Prediction Log'!#REF!=0, "",'Prediction Log'!#REF!)</f>
        <v>#REF!</v>
      </c>
      <c r="E291" s="65" t="e">
        <f>IF('Prediction Log'!#REF!=0, "",'Prediction Log'!#REF!)</f>
        <v>#REF!</v>
      </c>
      <c r="F291" s="65" t="e">
        <f>IF('Prediction Log'!#REF!=0, "",'Prediction Log'!#REF!)</f>
        <v>#REF!</v>
      </c>
      <c r="G291" s="64" t="e">
        <f>IF(ISBLANK(Games!#REF!), "",'Prediction Log'!#REF!)</f>
        <v>#REF!</v>
      </c>
      <c r="H291" s="66" t="e">
        <f>'Prediction Log'!#REF!</f>
        <v>#REF!</v>
      </c>
      <c r="I291" s="65" t="e">
        <f>IF(ISBLANK(Games!#REF!), "",IF(AND(Games!#REF!="",Games!#REF!=""),"",IF(ISTEXT(Games!#REF!), "Side",Games!#REF!)))</f>
        <v>#REF!</v>
      </c>
      <c r="J291" s="65" t="e">
        <f>IF(ISBLANK(Games!#REF!), "",IF(Games!#REF!="Y", Games!#REF!, Games!#REF!))</f>
        <v>#REF!</v>
      </c>
      <c r="K291" s="65" t="e">
        <f>Games!#REF!</f>
        <v>#REF!</v>
      </c>
      <c r="L291" s="65" t="e">
        <f>IF(ISBLANK(Games!#REF!), "",Games!#REF!)</f>
        <v>#REF!</v>
      </c>
      <c r="M291" s="65"/>
      <c r="N291" s="167" t="str">
        <f>IF(ISBLANK(Table123[[#This Row],[Odds Side - Difference Model]]), "", 1)</f>
      </c>
      <c r="O291" s="167" t="str">
        <f>IF(ISBLANK(Table123[[#This Row],[Odds Spread]]), "", 1)</f>
      </c>
      <c r="P291" s="67"/>
      <c r="Q291" s="67"/>
      <c r="R2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1" s="67"/>
      <c r="T291" s="67"/>
      <c r="U291" s="168" t="str">
        <f>IF(ISBLANK(Table123[[#This Row],[Odds Side - Difference Model]]), "",N291+IF(Q291&lt;0, (N291/(Q291/-100)), N291*(Q291/100)))</f>
      </c>
      <c r="V291" s="169" t="str">
        <f>IFERROR(IF(ISBLANK(Table123[[#This Row],[Odds Side - Win Probability Model]]), "",N291+IF(R291&lt;0, (N291/(R291/-100)), N291*(R291/100))),"")</f>
      </c>
      <c r="W291" s="168" t="str">
        <f t="shared" si="26"/>
      </c>
      <c r="X291" s="169" t="str">
        <f t="shared" si="27"/>
      </c>
      <c r="Y291" s="168" t="str">
        <f>IF(ISBLANK(Table123[[#This Row],[Odds Spread]]), "",O291+IF(S291&lt;0, (O291/(S291/-100)), O291*(S291/100)))</f>
      </c>
      <c r="Z291" s="168" t="str">
        <f t="shared" si="28"/>
      </c>
      <c r="AA291" s="68" t="n">
        <f t="shared" si="29"/>
        <v>0</v>
      </c>
      <c r="AB291" s="68" t="n">
        <f t="shared" si="30"/>
        <v>0</v>
      </c>
      <c r="AC291" s="170" t="e">
        <f>IF('Prediction Log'!#REF!="Y", "W", IF('Prediction Log'!#REF!="N","L",""))</f>
        <v>#REF!</v>
      </c>
      <c r="AD291" s="171" t="e">
        <f>IF('Prediction Log'!#REF!="Y", "W", IF('Prediction Log'!#REF!="N","L",""))</f>
        <v>#REF!</v>
      </c>
      <c r="AE291" s="172" t="str">
        <f>IF(ISBLANK(Table123[[#This Row],[Odds Side - Difference Model]]), "",IF(AC291="W", W291, IF(AC291="L",-N291, "")))</f>
      </c>
      <c r="AF291" s="173" t="str">
        <f>IFERROR((IF(ISERR(Table123[[#This Row],[Potential Payout Side - Win Probability Model]]), "",IF(AD291="W", X291, IF(AD291="L",-N291, "")))), "")</f>
      </c>
      <c r="AG291" s="170" t="e">
        <f>IF('Prediction Log'!#REF!="Y", "W", IF('Prediction Log'!#REF!="N", "L", ""))</f>
        <v>#REF!</v>
      </c>
      <c r="AH291" s="172" t="str">
        <f>IF(ISBLANK(Table123[[#This Row],[Odds Spread]]), "",IF(AG291="W", Z291, IF(AG291="L",-O291, "")))</f>
      </c>
      <c r="AI291" s="184"/>
      <c r="AJ291" s="183" t="str">
        <f t="shared" si="31"/>
      </c>
      <c r="AK2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2">
      <c r="A292" s="65" t="e">
        <f>Games!#REF!</f>
        <v>#REF!</v>
      </c>
      <c r="B292" s="65" t="e">
        <f>IF('Prediction Log'!#REF!=0, "",'Prediction Log'!#REF!)</f>
        <v>#REF!</v>
      </c>
      <c r="C292" s="65" t="e">
        <f>IF('Prediction Log'!#REF!=0, "",'Prediction Log'!#REF!)</f>
        <v>#REF!</v>
      </c>
      <c r="D292" s="65" t="e">
        <f>IF('Prediction Log'!#REF!=0, "",'Prediction Log'!#REF!)</f>
        <v>#REF!</v>
      </c>
      <c r="E292" s="65" t="e">
        <f>IF('Prediction Log'!#REF!=0, "",'Prediction Log'!#REF!)</f>
        <v>#REF!</v>
      </c>
      <c r="F292" s="65" t="e">
        <f>IF('Prediction Log'!#REF!=0, "",'Prediction Log'!#REF!)</f>
        <v>#REF!</v>
      </c>
      <c r="G292" s="64" t="e">
        <f>IF(ISBLANK(Games!#REF!), "",'Prediction Log'!#REF!)</f>
        <v>#REF!</v>
      </c>
      <c r="H292" s="66" t="e">
        <f>'Prediction Log'!#REF!</f>
        <v>#REF!</v>
      </c>
      <c r="I292" s="65" t="e">
        <f>IF(ISBLANK(Games!#REF!), "",IF(AND(Games!#REF!="",Games!#REF!=""),"",IF(ISTEXT(Games!#REF!), "Side",Games!#REF!)))</f>
        <v>#REF!</v>
      </c>
      <c r="J292" s="65" t="e">
        <f>IF(ISBLANK(Games!#REF!), "",IF(Games!#REF!="Y", Games!#REF!, Games!#REF!))</f>
        <v>#REF!</v>
      </c>
      <c r="K292" s="65" t="e">
        <f>Games!#REF!</f>
        <v>#REF!</v>
      </c>
      <c r="L292" s="65" t="e">
        <f>IF(ISBLANK(Games!#REF!), "",Games!#REF!)</f>
        <v>#REF!</v>
      </c>
      <c r="M292" s="65"/>
      <c r="N292" s="167" t="str">
        <f>IF(ISBLANK(Table123[[#This Row],[Odds Side - Difference Model]]), "", 1)</f>
      </c>
      <c r="O292" s="167" t="str">
        <f>IF(ISBLANK(Table123[[#This Row],[Odds Spread]]), "", 1)</f>
      </c>
      <c r="P292" s="67"/>
      <c r="Q292" s="67"/>
      <c r="R2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2" s="67"/>
      <c r="T292" s="67"/>
      <c r="U292" s="168" t="str">
        <f>IF(ISBLANK(Table123[[#This Row],[Odds Side - Difference Model]]), "",N292+IF(Q292&lt;0, (N292/(Q292/-100)), N292*(Q292/100)))</f>
      </c>
      <c r="V292" s="169" t="str">
        <f>IFERROR(IF(ISBLANK(Table123[[#This Row],[Odds Side - Win Probability Model]]), "",N292+IF(R292&lt;0, (N292/(R292/-100)), N292*(R292/100))),"")</f>
      </c>
      <c r="W292" s="168" t="str">
        <f t="shared" si="26"/>
      </c>
      <c r="X292" s="169" t="str">
        <f t="shared" si="27"/>
      </c>
      <c r="Y292" s="168" t="str">
        <f>IF(ISBLANK(Table123[[#This Row],[Odds Spread]]), "",O292+IF(S292&lt;0, (O292/(S292/-100)), O292*(S292/100)))</f>
      </c>
      <c r="Z292" s="168" t="str">
        <f t="shared" si="28"/>
      </c>
      <c r="AA292" s="68" t="n">
        <f t="shared" si="29"/>
        <v>0</v>
      </c>
      <c r="AB292" s="68" t="n">
        <f t="shared" si="30"/>
        <v>0</v>
      </c>
      <c r="AC292" s="170" t="e">
        <f>IF('Prediction Log'!#REF!="Y", "W", IF('Prediction Log'!#REF!="N","L",""))</f>
        <v>#REF!</v>
      </c>
      <c r="AD292" s="171" t="e">
        <f>IF('Prediction Log'!#REF!="Y", "W", IF('Prediction Log'!#REF!="N","L",""))</f>
        <v>#REF!</v>
      </c>
      <c r="AE292" s="172" t="str">
        <f>IF(ISBLANK(Table123[[#This Row],[Odds Side - Difference Model]]), "",IF(AC292="W", W292, IF(AC292="L",-N292, "")))</f>
      </c>
      <c r="AF292" s="173" t="str">
        <f>IFERROR((IF(ISERR(Table123[[#This Row],[Potential Payout Side - Win Probability Model]]), "",IF(AD292="W", X292, IF(AD292="L",-N292, "")))), "")</f>
      </c>
      <c r="AG292" s="170" t="e">
        <f>IF('Prediction Log'!#REF!="Y", "W", IF('Prediction Log'!#REF!="N", "L", ""))</f>
        <v>#REF!</v>
      </c>
      <c r="AH292" s="172" t="str">
        <f>IF(ISBLANK(Table123[[#This Row],[Odds Spread]]), "",IF(AG292="W", Z292, IF(AG292="L",-O292, "")))</f>
      </c>
      <c r="AI292" s="184"/>
      <c r="AJ292" s="183" t="str">
        <f t="shared" si="31"/>
      </c>
      <c r="AK2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3">
      <c r="A293" s="65" t="e">
        <f>Games!#REF!</f>
        <v>#REF!</v>
      </c>
      <c r="B293" s="65" t="e">
        <f>IF('Prediction Log'!#REF!=0, "",'Prediction Log'!#REF!)</f>
        <v>#REF!</v>
      </c>
      <c r="C293" s="65" t="e">
        <f>IF('Prediction Log'!#REF!=0, "",'Prediction Log'!#REF!)</f>
        <v>#REF!</v>
      </c>
      <c r="D293" s="65" t="e">
        <f>IF('Prediction Log'!#REF!=0, "",'Prediction Log'!#REF!)</f>
        <v>#REF!</v>
      </c>
      <c r="E293" s="65" t="e">
        <f>IF('Prediction Log'!#REF!=0, "",'Prediction Log'!#REF!)</f>
        <v>#REF!</v>
      </c>
      <c r="F293" s="65" t="e">
        <f>IF('Prediction Log'!#REF!=0, "",'Prediction Log'!#REF!)</f>
        <v>#REF!</v>
      </c>
      <c r="G293" s="64" t="e">
        <f>IF(ISBLANK(Games!#REF!), "",'Prediction Log'!#REF!)</f>
        <v>#REF!</v>
      </c>
      <c r="H293" s="66" t="e">
        <f>'Prediction Log'!#REF!</f>
        <v>#REF!</v>
      </c>
      <c r="I293" s="65" t="e">
        <f>IF(ISBLANK(Games!#REF!), "",IF(AND(Games!#REF!="",Games!#REF!=""),"",IF(ISTEXT(Games!#REF!), "Side",Games!#REF!)))</f>
        <v>#REF!</v>
      </c>
      <c r="J293" s="65" t="e">
        <f>IF(ISBLANK(Games!#REF!), "",IF(Games!#REF!="Y", Games!#REF!, Games!#REF!))</f>
        <v>#REF!</v>
      </c>
      <c r="K293" s="65" t="e">
        <f>Games!#REF!</f>
        <v>#REF!</v>
      </c>
      <c r="L293" s="65" t="e">
        <f>IF(ISBLANK(Games!#REF!), "",Games!#REF!)</f>
        <v>#REF!</v>
      </c>
      <c r="M293" s="65"/>
      <c r="N293" s="167" t="str">
        <f>IF(ISBLANK(Table123[[#This Row],[Odds Side - Difference Model]]), "", 1)</f>
      </c>
      <c r="O293" s="167" t="str">
        <f>IF(ISBLANK(Table123[[#This Row],[Odds Spread]]), "", 1)</f>
      </c>
      <c r="P293" s="67"/>
      <c r="Q293" s="67"/>
      <c r="R2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3" s="67"/>
      <c r="T293" s="67"/>
      <c r="U293" s="168" t="str">
        <f>IF(ISBLANK(Table123[[#This Row],[Odds Side - Difference Model]]), "",N293+IF(Q293&lt;0, (N293/(Q293/-100)), N293*(Q293/100)))</f>
      </c>
      <c r="V293" s="169" t="str">
        <f>IFERROR(IF(ISBLANK(Table123[[#This Row],[Odds Side - Win Probability Model]]), "",N293+IF(R293&lt;0, (N293/(R293/-100)), N293*(R293/100))),"")</f>
      </c>
      <c r="W293" s="168" t="str">
        <f t="shared" si="26"/>
      </c>
      <c r="X293" s="169" t="str">
        <f t="shared" si="27"/>
      </c>
      <c r="Y293" s="168" t="str">
        <f>IF(ISBLANK(Table123[[#This Row],[Odds Spread]]), "",O293+IF(S293&lt;0, (O293/(S293/-100)), O293*(S293/100)))</f>
      </c>
      <c r="Z293" s="168" t="str">
        <f t="shared" si="28"/>
      </c>
      <c r="AA293" s="68" t="n">
        <f t="shared" si="29"/>
        <v>0</v>
      </c>
      <c r="AB293" s="68" t="n">
        <f t="shared" si="30"/>
        <v>0</v>
      </c>
      <c r="AC293" s="170" t="e">
        <f>IF('Prediction Log'!#REF!="Y", "W", IF('Prediction Log'!#REF!="N","L",""))</f>
        <v>#REF!</v>
      </c>
      <c r="AD293" s="171" t="e">
        <f>IF('Prediction Log'!#REF!="Y", "W", IF('Prediction Log'!#REF!="N","L",""))</f>
        <v>#REF!</v>
      </c>
      <c r="AE293" s="172" t="str">
        <f>IF(ISBLANK(Table123[[#This Row],[Odds Side - Difference Model]]), "",IF(AC293="W", W293, IF(AC293="L",-N293, "")))</f>
      </c>
      <c r="AF293" s="173" t="str">
        <f>IFERROR((IF(ISERR(Table123[[#This Row],[Potential Payout Side - Win Probability Model]]), "",IF(AD293="W", X293, IF(AD293="L",-N293, "")))), "")</f>
      </c>
      <c r="AG293" s="170" t="e">
        <f>IF('Prediction Log'!#REF!="Y", "W", IF('Prediction Log'!#REF!="N", "L", ""))</f>
        <v>#REF!</v>
      </c>
      <c r="AH293" s="172" t="str">
        <f>IF(ISBLANK(Table123[[#This Row],[Odds Spread]]), "",IF(AG293="W", Z293, IF(AG293="L",-O293, "")))</f>
      </c>
      <c r="AI293" s="184"/>
      <c r="AJ293" s="183" t="str">
        <f t="shared" si="31"/>
      </c>
      <c r="AK2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4">
      <c r="A294" s="65" t="e">
        <f>Games!#REF!</f>
        <v>#REF!</v>
      </c>
      <c r="B294" s="65" t="e">
        <f>IF('Prediction Log'!#REF!=0, "",'Prediction Log'!#REF!)</f>
        <v>#REF!</v>
      </c>
      <c r="C294" s="65" t="e">
        <f>IF('Prediction Log'!#REF!=0, "",'Prediction Log'!#REF!)</f>
        <v>#REF!</v>
      </c>
      <c r="D294" s="65" t="e">
        <f>IF('Prediction Log'!#REF!=0, "",'Prediction Log'!#REF!)</f>
        <v>#REF!</v>
      </c>
      <c r="E294" s="65" t="e">
        <f>IF('Prediction Log'!#REF!=0, "",'Prediction Log'!#REF!)</f>
        <v>#REF!</v>
      </c>
      <c r="F294" s="65" t="e">
        <f>IF('Prediction Log'!#REF!=0, "",'Prediction Log'!#REF!)</f>
        <v>#REF!</v>
      </c>
      <c r="G294" s="64" t="e">
        <f>IF(ISBLANK(Games!#REF!), "",'Prediction Log'!#REF!)</f>
        <v>#REF!</v>
      </c>
      <c r="H294" s="66" t="e">
        <f>'Prediction Log'!#REF!</f>
        <v>#REF!</v>
      </c>
      <c r="I294" s="65" t="e">
        <f>IF(ISBLANK(Games!#REF!), "",IF(AND(Games!#REF!="",Games!#REF!=""),"",IF(ISTEXT(Games!#REF!), "Side",Games!#REF!)))</f>
        <v>#REF!</v>
      </c>
      <c r="J294" s="65" t="e">
        <f>IF(ISBLANK(Games!#REF!), "",IF(Games!#REF!="Y", Games!#REF!, Games!#REF!))</f>
        <v>#REF!</v>
      </c>
      <c r="K294" s="65" t="e">
        <f>Games!#REF!</f>
        <v>#REF!</v>
      </c>
      <c r="L294" s="65" t="e">
        <f>IF(ISBLANK(Games!#REF!), "",Games!#REF!)</f>
        <v>#REF!</v>
      </c>
      <c r="M294" s="65"/>
      <c r="N294" s="167" t="str">
        <f>IF(ISBLANK(Table123[[#This Row],[Odds Side - Difference Model]]), "", 1)</f>
      </c>
      <c r="O294" s="167" t="str">
        <f>IF(ISBLANK(Table123[[#This Row],[Odds Spread]]), "", 1)</f>
      </c>
      <c r="P294" s="67"/>
      <c r="Q294" s="67"/>
      <c r="R2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4" s="67"/>
      <c r="T294" s="67"/>
      <c r="U294" s="168" t="str">
        <f>IF(ISBLANK(Table123[[#This Row],[Odds Side - Difference Model]]), "",N294+IF(Q294&lt;0, (N294/(Q294/-100)), N294*(Q294/100)))</f>
      </c>
      <c r="V294" s="169" t="str">
        <f>IFERROR(IF(ISBLANK(Table123[[#This Row],[Odds Side - Win Probability Model]]), "",N294+IF(R294&lt;0, (N294/(R294/-100)), N294*(R294/100))),"")</f>
      </c>
      <c r="W294" s="168" t="str">
        <f t="shared" si="26"/>
      </c>
      <c r="X294" s="169" t="str">
        <f t="shared" si="27"/>
      </c>
      <c r="Y294" s="168" t="str">
        <f>IF(ISBLANK(Table123[[#This Row],[Odds Spread]]), "",O294+IF(S294&lt;0, (O294/(S294/-100)), O294*(S294/100)))</f>
      </c>
      <c r="Z294" s="168" t="str">
        <f t="shared" si="28"/>
      </c>
      <c r="AA294" s="68" t="n">
        <f t="shared" si="29"/>
        <v>0</v>
      </c>
      <c r="AB294" s="68" t="n">
        <f t="shared" si="30"/>
        <v>0</v>
      </c>
      <c r="AC294" s="170" t="e">
        <f>IF('Prediction Log'!#REF!="Y", "W", IF('Prediction Log'!#REF!="N","L",""))</f>
        <v>#REF!</v>
      </c>
      <c r="AD294" s="171" t="e">
        <f>IF('Prediction Log'!#REF!="Y", "W", IF('Prediction Log'!#REF!="N","L",""))</f>
        <v>#REF!</v>
      </c>
      <c r="AE294" s="172" t="str">
        <f>IF(ISBLANK(Table123[[#This Row],[Odds Side - Difference Model]]), "",IF(AC294="W", W294, IF(AC294="L",-N294, "")))</f>
      </c>
      <c r="AF294" s="173" t="str">
        <f>IFERROR((IF(ISERR(Table123[[#This Row],[Potential Payout Side - Win Probability Model]]), "",IF(AD294="W", X294, IF(AD294="L",-N294, "")))), "")</f>
      </c>
      <c r="AG294" s="170" t="e">
        <f>IF('Prediction Log'!#REF!="Y", "W", IF('Prediction Log'!#REF!="N", "L", ""))</f>
        <v>#REF!</v>
      </c>
      <c r="AH294" s="172" t="str">
        <f>IF(ISBLANK(Table123[[#This Row],[Odds Spread]]), "",IF(AG294="W", Z294, IF(AG294="L",-O294, "")))</f>
      </c>
      <c r="AI294" s="184"/>
      <c r="AJ294" s="183" t="str">
        <f t="shared" si="31"/>
      </c>
      <c r="AK2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5">
      <c r="A295" s="65" t="e">
        <f>Games!#REF!</f>
        <v>#REF!</v>
      </c>
      <c r="B295" s="65" t="e">
        <f>IF('Prediction Log'!#REF!=0, "",'Prediction Log'!#REF!)</f>
        <v>#REF!</v>
      </c>
      <c r="C295" s="65" t="e">
        <f>IF('Prediction Log'!#REF!=0, "",'Prediction Log'!#REF!)</f>
        <v>#REF!</v>
      </c>
      <c r="D295" s="65" t="e">
        <f>IF('Prediction Log'!#REF!=0, "",'Prediction Log'!#REF!)</f>
        <v>#REF!</v>
      </c>
      <c r="E295" s="65" t="e">
        <f>IF('Prediction Log'!#REF!=0, "",'Prediction Log'!#REF!)</f>
        <v>#REF!</v>
      </c>
      <c r="F295" s="65" t="e">
        <f>IF('Prediction Log'!#REF!=0, "",'Prediction Log'!#REF!)</f>
        <v>#REF!</v>
      </c>
      <c r="G295" s="64" t="e">
        <f>IF(ISBLANK(Games!#REF!), "",'Prediction Log'!#REF!)</f>
        <v>#REF!</v>
      </c>
      <c r="H295" s="66" t="e">
        <f>'Prediction Log'!#REF!</f>
        <v>#REF!</v>
      </c>
      <c r="I295" s="65" t="e">
        <f>IF(ISBLANK(Games!#REF!), "",IF(AND(Games!#REF!="",Games!#REF!=""),"",IF(ISTEXT(Games!#REF!), "Side",Games!#REF!)))</f>
        <v>#REF!</v>
      </c>
      <c r="J295" s="65" t="e">
        <f>IF(ISBLANK(Games!#REF!), "",IF(Games!#REF!="Y", Games!#REF!, Games!#REF!))</f>
        <v>#REF!</v>
      </c>
      <c r="K295" s="65" t="e">
        <f>Games!#REF!</f>
        <v>#REF!</v>
      </c>
      <c r="L295" s="65" t="e">
        <f>IF(ISBLANK(Games!#REF!), "",Games!#REF!)</f>
        <v>#REF!</v>
      </c>
      <c r="M295" s="65"/>
      <c r="N295" s="167" t="str">
        <f>IF(ISBLANK(Table123[[#This Row],[Odds Side - Difference Model]]), "", 1)</f>
      </c>
      <c r="O295" s="167" t="str">
        <f>IF(ISBLANK(Table123[[#This Row],[Odds Spread]]), "", 1)</f>
      </c>
      <c r="P295" s="67"/>
      <c r="Q295" s="67"/>
      <c r="R2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5" s="67"/>
      <c r="T295" s="67"/>
      <c r="U295" s="168" t="str">
        <f>IF(ISBLANK(Table123[[#This Row],[Odds Side - Difference Model]]), "",N295+IF(Q295&lt;0, (N295/(Q295/-100)), N295*(Q295/100)))</f>
      </c>
      <c r="V295" s="169" t="str">
        <f>IFERROR(IF(ISBLANK(Table123[[#This Row],[Odds Side - Win Probability Model]]), "",N295+IF(R295&lt;0, (N295/(R295/-100)), N295*(R295/100))),"")</f>
      </c>
      <c r="W295" s="168" t="str">
        <f t="shared" si="26"/>
      </c>
      <c r="X295" s="169" t="str">
        <f t="shared" si="27"/>
      </c>
      <c r="Y295" s="168" t="str">
        <f>IF(ISBLANK(Table123[[#This Row],[Odds Spread]]), "",O295+IF(S295&lt;0, (O295/(S295/-100)), O295*(S295/100)))</f>
      </c>
      <c r="Z295" s="168" t="str">
        <f t="shared" si="28"/>
      </c>
      <c r="AA295" s="68" t="n">
        <f t="shared" si="29"/>
        <v>0</v>
      </c>
      <c r="AB295" s="68" t="n">
        <f t="shared" si="30"/>
        <v>0</v>
      </c>
      <c r="AC295" s="170" t="e">
        <f>IF('Prediction Log'!#REF!="Y", "W", IF('Prediction Log'!#REF!="N","L",""))</f>
        <v>#REF!</v>
      </c>
      <c r="AD295" s="171" t="e">
        <f>IF('Prediction Log'!#REF!="Y", "W", IF('Prediction Log'!#REF!="N","L",""))</f>
        <v>#REF!</v>
      </c>
      <c r="AE295" s="172" t="str">
        <f>IF(ISBLANK(Table123[[#This Row],[Odds Side - Difference Model]]), "",IF(AC295="W", W295, IF(AC295="L",-N295, "")))</f>
      </c>
      <c r="AF295" s="173" t="str">
        <f>IFERROR((IF(ISERR(Table123[[#This Row],[Potential Payout Side - Win Probability Model]]), "",IF(AD295="W", X295, IF(AD295="L",-N295, "")))), "")</f>
      </c>
      <c r="AG295" s="170" t="e">
        <f>IF('Prediction Log'!#REF!="Y", "W", IF('Prediction Log'!#REF!="N", "L", ""))</f>
        <v>#REF!</v>
      </c>
      <c r="AH295" s="172" t="str">
        <f>IF(ISBLANK(Table123[[#This Row],[Odds Spread]]), "",IF(AG295="W", Z295, IF(AG295="L",-O295, "")))</f>
      </c>
      <c r="AI295" s="184"/>
      <c r="AJ295" s="183" t="str">
        <f t="shared" si="31"/>
      </c>
      <c r="AK2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6">
      <c r="A296" s="65" t="e">
        <f>Games!#REF!</f>
        <v>#REF!</v>
      </c>
      <c r="B296" s="65" t="e">
        <f>IF('Prediction Log'!#REF!=0, "",'Prediction Log'!#REF!)</f>
        <v>#REF!</v>
      </c>
      <c r="C296" s="65" t="e">
        <f>IF('Prediction Log'!#REF!=0, "",'Prediction Log'!#REF!)</f>
        <v>#REF!</v>
      </c>
      <c r="D296" s="65" t="e">
        <f>IF('Prediction Log'!#REF!=0, "",'Prediction Log'!#REF!)</f>
        <v>#REF!</v>
      </c>
      <c r="E296" s="65" t="e">
        <f>IF('Prediction Log'!#REF!=0, "",'Prediction Log'!#REF!)</f>
        <v>#REF!</v>
      </c>
      <c r="F296" s="65" t="e">
        <f>IF('Prediction Log'!#REF!=0, "",'Prediction Log'!#REF!)</f>
        <v>#REF!</v>
      </c>
      <c r="G296" s="64" t="e">
        <f>IF(ISBLANK(Games!#REF!), "",'Prediction Log'!#REF!)</f>
        <v>#REF!</v>
      </c>
      <c r="H296" s="66" t="e">
        <f>'Prediction Log'!#REF!</f>
        <v>#REF!</v>
      </c>
      <c r="I296" s="65" t="e">
        <f>IF(ISBLANK(Games!#REF!), "",IF(AND(Games!#REF!="",Games!#REF!=""),"",IF(ISTEXT(Games!#REF!), "Side",Games!#REF!)))</f>
        <v>#REF!</v>
      </c>
      <c r="J296" s="65" t="e">
        <f>IF(ISBLANK(Games!#REF!), "",IF(Games!#REF!="Y", Games!#REF!, Games!#REF!))</f>
        <v>#REF!</v>
      </c>
      <c r="K296" s="65" t="e">
        <f>Games!#REF!</f>
        <v>#REF!</v>
      </c>
      <c r="L296" s="65" t="e">
        <f>IF(ISBLANK(Games!#REF!), "",Games!#REF!)</f>
        <v>#REF!</v>
      </c>
      <c r="M296" s="65"/>
      <c r="N296" s="167" t="str">
        <f>IF(ISBLANK(Table123[[#This Row],[Odds Side - Difference Model]]), "", 1)</f>
      </c>
      <c r="O296" s="167" t="str">
        <f>IF(ISBLANK(Table123[[#This Row],[Odds Spread]]), "", 1)</f>
      </c>
      <c r="P296" s="67"/>
      <c r="Q296" s="67"/>
      <c r="R2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6" s="67"/>
      <c r="T296" s="67"/>
      <c r="U296" s="168" t="str">
        <f>IF(ISBLANK(Table123[[#This Row],[Odds Side - Difference Model]]), "",N296+IF(Q296&lt;0, (N296/(Q296/-100)), N296*(Q296/100)))</f>
      </c>
      <c r="V296" s="169" t="str">
        <f>IFERROR(IF(ISBLANK(Table123[[#This Row],[Odds Side - Win Probability Model]]), "",N296+IF(R296&lt;0, (N296/(R296/-100)), N296*(R296/100))),"")</f>
      </c>
      <c r="W296" s="168" t="str">
        <f t="shared" si="26"/>
      </c>
      <c r="X296" s="169" t="str">
        <f t="shared" si="27"/>
      </c>
      <c r="Y296" s="168" t="str">
        <f>IF(ISBLANK(Table123[[#This Row],[Odds Spread]]), "",O296+IF(S296&lt;0, (O296/(S296/-100)), O296*(S296/100)))</f>
      </c>
      <c r="Z296" s="168" t="str">
        <f t="shared" si="28"/>
      </c>
      <c r="AA296" s="68" t="n">
        <f t="shared" si="29"/>
        <v>0</v>
      </c>
      <c r="AB296" s="68" t="n">
        <f t="shared" si="30"/>
        <v>0</v>
      </c>
      <c r="AC296" s="170" t="e">
        <f>IF('Prediction Log'!#REF!="Y", "W", IF('Prediction Log'!#REF!="N","L",""))</f>
        <v>#REF!</v>
      </c>
      <c r="AD296" s="171" t="e">
        <f>IF('Prediction Log'!#REF!="Y", "W", IF('Prediction Log'!#REF!="N","L",""))</f>
        <v>#REF!</v>
      </c>
      <c r="AE296" s="172" t="str">
        <f>IF(ISBLANK(Table123[[#This Row],[Odds Side - Difference Model]]), "",IF(AC296="W", W296, IF(AC296="L",-N296, "")))</f>
      </c>
      <c r="AF296" s="173" t="str">
        <f>IFERROR((IF(ISERR(Table123[[#This Row],[Potential Payout Side - Win Probability Model]]), "",IF(AD296="W", X296, IF(AD296="L",-N296, "")))), "")</f>
      </c>
      <c r="AG296" s="170" t="e">
        <f>IF('Prediction Log'!#REF!="Y", "W", IF('Prediction Log'!#REF!="N", "L", ""))</f>
        <v>#REF!</v>
      </c>
      <c r="AH296" s="172" t="str">
        <f>IF(ISBLANK(Table123[[#This Row],[Odds Spread]]), "",IF(AG296="W", Z296, IF(AG296="L",-O296, "")))</f>
      </c>
      <c r="AI296" s="184"/>
      <c r="AJ296" s="183" t="str">
        <f t="shared" si="31"/>
      </c>
      <c r="AK2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7">
      <c r="A297" s="65" t="e">
        <f>Games!#REF!</f>
        <v>#REF!</v>
      </c>
      <c r="B297" s="65" t="e">
        <f>IF('Prediction Log'!#REF!=0, "",'Prediction Log'!#REF!)</f>
        <v>#REF!</v>
      </c>
      <c r="C297" s="65" t="e">
        <f>IF('Prediction Log'!#REF!=0, "",'Prediction Log'!#REF!)</f>
        <v>#REF!</v>
      </c>
      <c r="D297" s="65" t="e">
        <f>IF('Prediction Log'!#REF!=0, "",'Prediction Log'!#REF!)</f>
        <v>#REF!</v>
      </c>
      <c r="E297" s="65" t="e">
        <f>IF('Prediction Log'!#REF!=0, "",'Prediction Log'!#REF!)</f>
        <v>#REF!</v>
      </c>
      <c r="F297" s="65" t="e">
        <f>IF('Prediction Log'!#REF!=0, "",'Prediction Log'!#REF!)</f>
        <v>#REF!</v>
      </c>
      <c r="G297" s="64" t="e">
        <f>IF(ISBLANK(Games!#REF!), "",'Prediction Log'!#REF!)</f>
        <v>#REF!</v>
      </c>
      <c r="H297" s="66" t="e">
        <f>'Prediction Log'!#REF!</f>
        <v>#REF!</v>
      </c>
      <c r="I297" s="65" t="e">
        <f>IF(ISBLANK(Games!#REF!), "",IF(AND(Games!#REF!="",Games!#REF!=""),"",IF(ISTEXT(Games!#REF!), "Side",Games!#REF!)))</f>
        <v>#REF!</v>
      </c>
      <c r="J297" s="65" t="e">
        <f>IF(ISBLANK(Games!#REF!), "",IF(Games!#REF!="Y", Games!#REF!, Games!#REF!))</f>
        <v>#REF!</v>
      </c>
      <c r="K297" s="65" t="e">
        <f>Games!#REF!</f>
        <v>#REF!</v>
      </c>
      <c r="L297" s="65" t="e">
        <f>IF(ISBLANK(Games!#REF!), "",Games!#REF!)</f>
        <v>#REF!</v>
      </c>
      <c r="M297" s="65"/>
      <c r="N297" s="167" t="str">
        <f>IF(ISBLANK(Table123[[#This Row],[Odds Side - Difference Model]]), "", 1)</f>
      </c>
      <c r="O297" s="167" t="str">
        <f>IF(ISBLANK(Table123[[#This Row],[Odds Spread]]), "", 1)</f>
      </c>
      <c r="P297" s="67"/>
      <c r="Q297" s="67"/>
      <c r="R2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7" s="67"/>
      <c r="T297" s="67"/>
      <c r="U297" s="168" t="str">
        <f>IF(ISBLANK(Table123[[#This Row],[Odds Side - Difference Model]]), "",N297+IF(Q297&lt;0, (N297/(Q297/-100)), N297*(Q297/100)))</f>
      </c>
      <c r="V297" s="169" t="str">
        <f>IFERROR(IF(ISBLANK(Table123[[#This Row],[Odds Side - Win Probability Model]]), "",N297+IF(R297&lt;0, (N297/(R297/-100)), N297*(R297/100))),"")</f>
      </c>
      <c r="W297" s="168" t="str">
        <f t="shared" si="26"/>
      </c>
      <c r="X297" s="169" t="str">
        <f t="shared" si="27"/>
      </c>
      <c r="Y297" s="168" t="str">
        <f>IF(ISBLANK(Table123[[#This Row],[Odds Spread]]), "",O297+IF(S297&lt;0, (O297/(S297/-100)), O297*(S297/100)))</f>
      </c>
      <c r="Z297" s="168" t="str">
        <f t="shared" si="28"/>
      </c>
      <c r="AA297" s="68" t="n">
        <f t="shared" si="29"/>
        <v>0</v>
      </c>
      <c r="AB297" s="68" t="n">
        <f t="shared" si="30"/>
        <v>0</v>
      </c>
      <c r="AC297" s="170" t="e">
        <f>IF('Prediction Log'!#REF!="Y", "W", IF('Prediction Log'!#REF!="N","L",""))</f>
        <v>#REF!</v>
      </c>
      <c r="AD297" s="171" t="e">
        <f>IF('Prediction Log'!#REF!="Y", "W", IF('Prediction Log'!#REF!="N","L",""))</f>
        <v>#REF!</v>
      </c>
      <c r="AE297" s="172" t="str">
        <f>IF(ISBLANK(Table123[[#This Row],[Odds Side - Difference Model]]), "",IF(AC297="W", W297, IF(AC297="L",-N297, "")))</f>
      </c>
      <c r="AF297" s="173" t="str">
        <f>IFERROR((IF(ISERR(Table123[[#This Row],[Potential Payout Side - Win Probability Model]]), "",IF(AD297="W", X297, IF(AD297="L",-N297, "")))), "")</f>
      </c>
      <c r="AG297" s="170" t="e">
        <f>IF('Prediction Log'!#REF!="Y", "W", IF('Prediction Log'!#REF!="N", "L", ""))</f>
        <v>#REF!</v>
      </c>
      <c r="AH297" s="172" t="str">
        <f>IF(ISBLANK(Table123[[#This Row],[Odds Spread]]), "",IF(AG297="W", Z297, IF(AG297="L",-O297, "")))</f>
      </c>
      <c r="AI297" s="184"/>
      <c r="AJ297" s="183" t="str">
        <f t="shared" si="31"/>
      </c>
      <c r="AK2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8">
      <c r="A298" s="65" t="e">
        <f>Games!#REF!</f>
        <v>#REF!</v>
      </c>
      <c r="B298" s="65" t="e">
        <f>IF('Prediction Log'!#REF!=0, "",'Prediction Log'!#REF!)</f>
        <v>#REF!</v>
      </c>
      <c r="C298" s="65" t="e">
        <f>IF('Prediction Log'!#REF!=0, "",'Prediction Log'!#REF!)</f>
        <v>#REF!</v>
      </c>
      <c r="D298" s="65" t="e">
        <f>IF('Prediction Log'!#REF!=0, "",'Prediction Log'!#REF!)</f>
        <v>#REF!</v>
      </c>
      <c r="E298" s="65" t="e">
        <f>IF('Prediction Log'!#REF!=0, "",'Prediction Log'!#REF!)</f>
        <v>#REF!</v>
      </c>
      <c r="F298" s="65" t="e">
        <f>IF('Prediction Log'!#REF!=0, "",'Prediction Log'!#REF!)</f>
        <v>#REF!</v>
      </c>
      <c r="G298" s="64" t="e">
        <f>IF(ISBLANK(Games!#REF!), "",'Prediction Log'!#REF!)</f>
        <v>#REF!</v>
      </c>
      <c r="H298" s="66" t="e">
        <f>'Prediction Log'!#REF!</f>
        <v>#REF!</v>
      </c>
      <c r="I298" s="65" t="e">
        <f>IF(ISBLANK(Games!#REF!), "",IF(AND(Games!#REF!="",Games!#REF!=""),"",IF(ISTEXT(Games!#REF!), "Side",Games!#REF!)))</f>
        <v>#REF!</v>
      </c>
      <c r="J298" s="65" t="e">
        <f>IF(ISBLANK(Games!#REF!), "",IF(Games!#REF!="Y", Games!#REF!, Games!#REF!))</f>
        <v>#REF!</v>
      </c>
      <c r="K298" s="65" t="e">
        <f>Games!#REF!</f>
        <v>#REF!</v>
      </c>
      <c r="L298" s="65" t="e">
        <f>IF(ISBLANK(Games!#REF!), "",Games!#REF!)</f>
        <v>#REF!</v>
      </c>
      <c r="M298" s="65"/>
      <c r="N298" s="167" t="str">
        <f>IF(ISBLANK(Table123[[#This Row],[Odds Side - Difference Model]]), "", 1)</f>
      </c>
      <c r="O298" s="167" t="str">
        <f>IF(ISBLANK(Table123[[#This Row],[Odds Spread]]), "", 1)</f>
      </c>
      <c r="P298" s="67"/>
      <c r="Q298" s="67"/>
      <c r="R2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8" s="67"/>
      <c r="T298" s="67"/>
      <c r="U298" s="168" t="str">
        <f>IF(ISBLANK(Table123[[#This Row],[Odds Side - Difference Model]]), "",N298+IF(Q298&lt;0, (N298/(Q298/-100)), N298*(Q298/100)))</f>
      </c>
      <c r="V298" s="169" t="str">
        <f>IFERROR(IF(ISBLANK(Table123[[#This Row],[Odds Side - Win Probability Model]]), "",N298+IF(R298&lt;0, (N298/(R298/-100)), N298*(R298/100))),"")</f>
      </c>
      <c r="W298" s="168" t="str">
        <f t="shared" si="26"/>
      </c>
      <c r="X298" s="169" t="str">
        <f t="shared" si="27"/>
      </c>
      <c r="Y298" s="168" t="str">
        <f>IF(ISBLANK(Table123[[#This Row],[Odds Spread]]), "",O298+IF(S298&lt;0, (O298/(S298/-100)), O298*(S298/100)))</f>
      </c>
      <c r="Z298" s="168" t="str">
        <f t="shared" si="28"/>
      </c>
      <c r="AA298" s="68" t="n">
        <f t="shared" si="29"/>
        <v>0</v>
      </c>
      <c r="AB298" s="68" t="n">
        <f t="shared" si="30"/>
        <v>0</v>
      </c>
      <c r="AC298" s="170" t="e">
        <f>IF('Prediction Log'!#REF!="Y", "W", IF('Prediction Log'!#REF!="N","L",""))</f>
        <v>#REF!</v>
      </c>
      <c r="AD298" s="171" t="e">
        <f>IF('Prediction Log'!#REF!="Y", "W", IF('Prediction Log'!#REF!="N","L",""))</f>
        <v>#REF!</v>
      </c>
      <c r="AE298" s="172" t="str">
        <f>IF(ISBLANK(Table123[[#This Row],[Odds Side - Difference Model]]), "",IF(AC298="W", W298, IF(AC298="L",-N298, "")))</f>
      </c>
      <c r="AF298" s="173" t="str">
        <f>IFERROR((IF(ISERR(Table123[[#This Row],[Potential Payout Side - Win Probability Model]]), "",IF(AD298="W", X298, IF(AD298="L",-N298, "")))), "")</f>
      </c>
      <c r="AG298" s="170" t="e">
        <f>IF('Prediction Log'!#REF!="Y", "W", IF('Prediction Log'!#REF!="N", "L", ""))</f>
        <v>#REF!</v>
      </c>
      <c r="AH298" s="172" t="str">
        <f>IF(ISBLANK(Table123[[#This Row],[Odds Spread]]), "",IF(AG298="W", Z298, IF(AG298="L",-O298, "")))</f>
      </c>
      <c r="AI298" s="184"/>
      <c r="AJ298" s="183" t="str">
        <f t="shared" si="31"/>
      </c>
      <c r="AK2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9">
      <c r="A299" s="65" t="e">
        <f>Games!#REF!</f>
        <v>#REF!</v>
      </c>
      <c r="B299" s="65" t="e">
        <f>IF('Prediction Log'!#REF!=0, "",'Prediction Log'!#REF!)</f>
        <v>#REF!</v>
      </c>
      <c r="C299" s="65" t="e">
        <f>IF('Prediction Log'!#REF!=0, "",'Prediction Log'!#REF!)</f>
        <v>#REF!</v>
      </c>
      <c r="D299" s="65" t="e">
        <f>IF('Prediction Log'!#REF!=0, "",'Prediction Log'!#REF!)</f>
        <v>#REF!</v>
      </c>
      <c r="E299" s="65" t="e">
        <f>IF('Prediction Log'!#REF!=0, "",'Prediction Log'!#REF!)</f>
        <v>#REF!</v>
      </c>
      <c r="F299" s="65" t="e">
        <f>IF('Prediction Log'!#REF!=0, "",'Prediction Log'!#REF!)</f>
        <v>#REF!</v>
      </c>
      <c r="G299" s="64" t="e">
        <f>IF(ISBLANK(Games!#REF!), "",'Prediction Log'!#REF!)</f>
        <v>#REF!</v>
      </c>
      <c r="H299" s="66" t="e">
        <f>'Prediction Log'!#REF!</f>
        <v>#REF!</v>
      </c>
      <c r="I299" s="65" t="e">
        <f>IF(ISBLANK(Games!#REF!), "",IF(AND(Games!#REF!="",Games!#REF!=""),"",IF(ISTEXT(Games!#REF!), "Side",Games!#REF!)))</f>
        <v>#REF!</v>
      </c>
      <c r="J299" s="65" t="e">
        <f>IF(ISBLANK(Games!#REF!), "",IF(Games!#REF!="Y", Games!#REF!, Games!#REF!))</f>
        <v>#REF!</v>
      </c>
      <c r="K299" s="65" t="e">
        <f>Games!#REF!</f>
        <v>#REF!</v>
      </c>
      <c r="L299" s="65" t="e">
        <f>IF(ISBLANK(Games!#REF!), "",Games!#REF!)</f>
        <v>#REF!</v>
      </c>
      <c r="M299" s="65"/>
      <c r="N299" s="167" t="str">
        <f>IF(ISBLANK(Table123[[#This Row],[Odds Side - Difference Model]]), "", 1)</f>
      </c>
      <c r="O299" s="167" t="str">
        <f>IF(ISBLANK(Table123[[#This Row],[Odds Spread]]), "", 1)</f>
      </c>
      <c r="P299" s="67"/>
      <c r="Q299" s="67"/>
      <c r="R2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9" s="67"/>
      <c r="T299" s="67"/>
      <c r="U299" s="168" t="str">
        <f>IF(ISBLANK(Table123[[#This Row],[Odds Side - Difference Model]]), "",N299+IF(Q299&lt;0, (N299/(Q299/-100)), N299*(Q299/100)))</f>
      </c>
      <c r="V299" s="169" t="str">
        <f>IFERROR(IF(ISBLANK(Table123[[#This Row],[Odds Side - Win Probability Model]]), "",N299+IF(R299&lt;0, (N299/(R299/-100)), N299*(R299/100))),"")</f>
      </c>
      <c r="W299" s="168" t="str">
        <f t="shared" si="26"/>
      </c>
      <c r="X299" s="169" t="str">
        <f t="shared" si="27"/>
      </c>
      <c r="Y299" s="168" t="str">
        <f>IF(ISBLANK(Table123[[#This Row],[Odds Spread]]), "",O299+IF(S299&lt;0, (O299/(S299/-100)), O299*(S299/100)))</f>
      </c>
      <c r="Z299" s="168" t="str">
        <f t="shared" si="28"/>
      </c>
      <c r="AA299" s="68" t="n">
        <f t="shared" si="29"/>
        <v>0</v>
      </c>
      <c r="AB299" s="68" t="n">
        <f t="shared" si="30"/>
        <v>0</v>
      </c>
      <c r="AC299" s="170" t="e">
        <f>IF('Prediction Log'!#REF!="Y", "W", IF('Prediction Log'!#REF!="N","L",""))</f>
        <v>#REF!</v>
      </c>
      <c r="AD299" s="171" t="e">
        <f>IF('Prediction Log'!#REF!="Y", "W", IF('Prediction Log'!#REF!="N","L",""))</f>
        <v>#REF!</v>
      </c>
      <c r="AE299" s="172" t="str">
        <f>IF(ISBLANK(Table123[[#This Row],[Odds Side - Difference Model]]), "",IF(AC299="W", W299, IF(AC299="L",-N299, "")))</f>
      </c>
      <c r="AF299" s="173" t="str">
        <f>IFERROR((IF(ISERR(Table123[[#This Row],[Potential Payout Side - Win Probability Model]]), "",IF(AD299="W", X299, IF(AD299="L",-N299, "")))), "")</f>
      </c>
      <c r="AG299" s="170" t="e">
        <f>IF('Prediction Log'!#REF!="Y", "W", IF('Prediction Log'!#REF!="N", "L", ""))</f>
        <v>#REF!</v>
      </c>
      <c r="AH299" s="172" t="str">
        <f>IF(ISBLANK(Table123[[#This Row],[Odds Spread]]), "",IF(AG299="W", Z299, IF(AG299="L",-O299, "")))</f>
      </c>
      <c r="AI299" s="184"/>
      <c r="AJ299" s="183" t="str">
        <f t="shared" si="31"/>
      </c>
      <c r="AK2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0">
      <c r="A300" s="65" t="e">
        <f>Games!#REF!</f>
        <v>#REF!</v>
      </c>
      <c r="B300" s="65" t="e">
        <f>IF('Prediction Log'!#REF!=0, "",'Prediction Log'!#REF!)</f>
        <v>#REF!</v>
      </c>
      <c r="C300" s="65" t="e">
        <f>IF('Prediction Log'!#REF!=0, "",'Prediction Log'!#REF!)</f>
        <v>#REF!</v>
      </c>
      <c r="D300" s="65" t="e">
        <f>IF('Prediction Log'!#REF!=0, "",'Prediction Log'!#REF!)</f>
        <v>#REF!</v>
      </c>
      <c r="E300" s="65" t="e">
        <f>IF('Prediction Log'!#REF!=0, "",'Prediction Log'!#REF!)</f>
        <v>#REF!</v>
      </c>
      <c r="F300" s="65" t="e">
        <f>IF('Prediction Log'!#REF!=0, "",'Prediction Log'!#REF!)</f>
        <v>#REF!</v>
      </c>
      <c r="G300" s="64" t="e">
        <f>IF(ISBLANK(Games!#REF!), "",'Prediction Log'!#REF!)</f>
        <v>#REF!</v>
      </c>
      <c r="H300" s="66" t="e">
        <f>'Prediction Log'!#REF!</f>
        <v>#REF!</v>
      </c>
      <c r="I300" s="65" t="e">
        <f>IF(ISBLANK(Games!#REF!), "",IF(AND(Games!#REF!="",Games!#REF!=""),"",IF(ISTEXT(Games!#REF!), "Side",Games!#REF!)))</f>
        <v>#REF!</v>
      </c>
      <c r="J300" s="65" t="e">
        <f>IF(ISBLANK(Games!#REF!), "",IF(Games!#REF!="Y", Games!#REF!, Games!#REF!))</f>
        <v>#REF!</v>
      </c>
      <c r="K300" s="65" t="e">
        <f>Games!#REF!</f>
        <v>#REF!</v>
      </c>
      <c r="L300" s="65" t="e">
        <f>IF(ISBLANK(Games!#REF!), "",Games!#REF!)</f>
        <v>#REF!</v>
      </c>
      <c r="M300" s="65"/>
      <c r="N300" s="167" t="str">
        <f>IF(ISBLANK(Table123[[#This Row],[Odds Side - Difference Model]]), "", 1)</f>
      </c>
      <c r="O300" s="167" t="str">
        <f>IF(ISBLANK(Table123[[#This Row],[Odds Spread]]), "", 1)</f>
      </c>
      <c r="P300" s="67"/>
      <c r="Q300" s="67"/>
      <c r="R3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0" s="67"/>
      <c r="T300" s="67"/>
      <c r="U300" s="168" t="str">
        <f>IF(ISBLANK(Table123[[#This Row],[Odds Side - Difference Model]]), "",N300+IF(Q300&lt;0, (N300/(Q300/-100)), N300*(Q300/100)))</f>
      </c>
      <c r="V300" s="169" t="str">
        <f>IFERROR(IF(ISBLANK(Table123[[#This Row],[Odds Side - Win Probability Model]]), "",N300+IF(R300&lt;0, (N300/(R300/-100)), N300*(R300/100))),"")</f>
      </c>
      <c r="W300" s="168" t="str">
        <f t="shared" si="26"/>
      </c>
      <c r="X300" s="169" t="str">
        <f t="shared" si="27"/>
      </c>
      <c r="Y300" s="168" t="str">
        <f>IF(ISBLANK(Table123[[#This Row],[Odds Spread]]), "",O300+IF(S300&lt;0, (O300/(S300/-100)), O300*(S300/100)))</f>
      </c>
      <c r="Z300" s="168" t="str">
        <f t="shared" si="28"/>
      </c>
      <c r="AA300" s="68" t="n">
        <f t="shared" si="29"/>
        <v>0</v>
      </c>
      <c r="AB300" s="68" t="n">
        <f t="shared" si="30"/>
        <v>0</v>
      </c>
      <c r="AC300" s="170" t="e">
        <f>IF('Prediction Log'!#REF!="Y", "W", IF('Prediction Log'!#REF!="N","L",""))</f>
        <v>#REF!</v>
      </c>
      <c r="AD300" s="171" t="e">
        <f>IF('Prediction Log'!#REF!="Y", "W", IF('Prediction Log'!#REF!="N","L",""))</f>
        <v>#REF!</v>
      </c>
      <c r="AE300" s="172" t="str">
        <f>IF(ISBLANK(Table123[[#This Row],[Odds Side - Difference Model]]), "",IF(AC300="W", W300, IF(AC300="L",-N300, "")))</f>
      </c>
      <c r="AF300" s="173" t="str">
        <f>IFERROR((IF(ISERR(Table123[[#This Row],[Potential Payout Side - Win Probability Model]]), "",IF(AD300="W", X300, IF(AD300="L",-N300, "")))), "")</f>
      </c>
      <c r="AG300" s="170" t="e">
        <f>IF('Prediction Log'!#REF!="Y", "W", IF('Prediction Log'!#REF!="N", "L", ""))</f>
        <v>#REF!</v>
      </c>
      <c r="AH300" s="172" t="str">
        <f>IF(ISBLANK(Table123[[#This Row],[Odds Spread]]), "",IF(AG300="W", Z300, IF(AG300="L",-O300, "")))</f>
      </c>
      <c r="AI300" s="184"/>
      <c r="AJ300" s="183" t="str">
        <f t="shared" si="31"/>
      </c>
      <c r="AK3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1">
      <c r="A301" s="65" t="e">
        <f>Games!#REF!</f>
        <v>#REF!</v>
      </c>
      <c r="B301" s="65" t="e">
        <f>IF('Prediction Log'!#REF!=0, "",'Prediction Log'!#REF!)</f>
        <v>#REF!</v>
      </c>
      <c r="C301" s="65" t="e">
        <f>IF('Prediction Log'!#REF!=0, "",'Prediction Log'!#REF!)</f>
        <v>#REF!</v>
      </c>
      <c r="D301" s="65" t="e">
        <f>IF('Prediction Log'!#REF!=0, "",'Prediction Log'!#REF!)</f>
        <v>#REF!</v>
      </c>
      <c r="E301" s="65" t="e">
        <f>IF('Prediction Log'!#REF!=0, "",'Prediction Log'!#REF!)</f>
        <v>#REF!</v>
      </c>
      <c r="F301" s="65" t="e">
        <f>IF('Prediction Log'!#REF!=0, "",'Prediction Log'!#REF!)</f>
        <v>#REF!</v>
      </c>
      <c r="G301" s="64" t="e">
        <f>IF(ISBLANK(Games!#REF!), "",'Prediction Log'!#REF!)</f>
        <v>#REF!</v>
      </c>
      <c r="H301" s="66" t="e">
        <f>'Prediction Log'!#REF!</f>
        <v>#REF!</v>
      </c>
      <c r="I301" s="65" t="e">
        <f>IF(ISBLANK(Games!#REF!), "",IF(AND(Games!#REF!="",Games!#REF!=""),"",IF(ISTEXT(Games!#REF!), "Side",Games!#REF!)))</f>
        <v>#REF!</v>
      </c>
      <c r="J301" s="65" t="e">
        <f>IF(ISBLANK(Games!#REF!), "",IF(Games!#REF!="Y", Games!#REF!, Games!#REF!))</f>
        <v>#REF!</v>
      </c>
      <c r="K301" s="65" t="e">
        <f>Games!#REF!</f>
        <v>#REF!</v>
      </c>
      <c r="L301" s="65" t="e">
        <f>IF(ISBLANK(Games!#REF!), "",Games!#REF!)</f>
        <v>#REF!</v>
      </c>
      <c r="M301" s="65"/>
      <c r="N301" s="167" t="str">
        <f>IF(ISBLANK(Table123[[#This Row],[Odds Side - Difference Model]]), "", 1)</f>
      </c>
      <c r="O301" s="167" t="str">
        <f>IF(ISBLANK(Table123[[#This Row],[Odds Spread]]), "", 1)</f>
      </c>
      <c r="P301" s="67"/>
      <c r="Q301" s="67"/>
      <c r="R3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1" s="67"/>
      <c r="T301" s="67"/>
      <c r="U301" s="168" t="str">
        <f>IF(ISBLANK(Table123[[#This Row],[Odds Side - Difference Model]]), "",N301+IF(Q301&lt;0, (N301/(Q301/-100)), N301*(Q301/100)))</f>
      </c>
      <c r="V301" s="169" t="str">
        <f>IFERROR(IF(ISBLANK(Table123[[#This Row],[Odds Side - Win Probability Model]]), "",N301+IF(R301&lt;0, (N301/(R301/-100)), N301*(R301/100))),"")</f>
      </c>
      <c r="W301" s="168" t="str">
        <f t="shared" si="26"/>
      </c>
      <c r="X301" s="169" t="str">
        <f t="shared" si="27"/>
      </c>
      <c r="Y301" s="168" t="str">
        <f>IF(ISBLANK(Table123[[#This Row],[Odds Spread]]), "",O301+IF(S301&lt;0, (O301/(S301/-100)), O301*(S301/100)))</f>
      </c>
      <c r="Z301" s="168" t="str">
        <f t="shared" si="28"/>
      </c>
      <c r="AA301" s="68" t="n">
        <f t="shared" si="29"/>
        <v>0</v>
      </c>
      <c r="AB301" s="68" t="n">
        <f t="shared" si="30"/>
        <v>0</v>
      </c>
      <c r="AC301" s="170" t="e">
        <f>IF('Prediction Log'!#REF!="Y", "W", IF('Prediction Log'!#REF!="N","L",""))</f>
        <v>#REF!</v>
      </c>
      <c r="AD301" s="171" t="e">
        <f>IF('Prediction Log'!#REF!="Y", "W", IF('Prediction Log'!#REF!="N","L",""))</f>
        <v>#REF!</v>
      </c>
      <c r="AE301" s="172" t="str">
        <f>IF(ISBLANK(Table123[[#This Row],[Odds Side - Difference Model]]), "",IF(AC301="W", W301, IF(AC301="L",-N301, "")))</f>
      </c>
      <c r="AF301" s="173" t="str">
        <f>IFERROR((IF(ISERR(Table123[[#This Row],[Potential Payout Side - Win Probability Model]]), "",IF(AD301="W", X301, IF(AD301="L",-N301, "")))), "")</f>
      </c>
      <c r="AG301" s="170" t="e">
        <f>IF('Prediction Log'!#REF!="Y", "W", IF('Prediction Log'!#REF!="N", "L", ""))</f>
        <v>#REF!</v>
      </c>
      <c r="AH301" s="172" t="str">
        <f>IF(ISBLANK(Table123[[#This Row],[Odds Spread]]), "",IF(AG301="W", Z301, IF(AG301="L",-O301, "")))</f>
      </c>
      <c r="AI301" s="184"/>
      <c r="AJ301" s="183" t="str">
        <f t="shared" si="31"/>
      </c>
      <c r="AK3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2">
      <c r="A302" s="65" t="e">
        <f>Games!#REF!</f>
        <v>#REF!</v>
      </c>
      <c r="B302" s="65" t="e">
        <f>IF('Prediction Log'!#REF!=0, "",'Prediction Log'!#REF!)</f>
        <v>#REF!</v>
      </c>
      <c r="C302" s="65" t="e">
        <f>IF('Prediction Log'!#REF!=0, "",'Prediction Log'!#REF!)</f>
        <v>#REF!</v>
      </c>
      <c r="D302" s="65" t="e">
        <f>IF('Prediction Log'!#REF!=0, "",'Prediction Log'!#REF!)</f>
        <v>#REF!</v>
      </c>
      <c r="E302" s="65" t="e">
        <f>IF('Prediction Log'!#REF!=0, "",'Prediction Log'!#REF!)</f>
        <v>#REF!</v>
      </c>
      <c r="F302" s="65" t="e">
        <f>IF('Prediction Log'!#REF!=0, "",'Prediction Log'!#REF!)</f>
        <v>#REF!</v>
      </c>
      <c r="G302" s="64" t="e">
        <f>IF(ISBLANK(Games!#REF!), "",'Prediction Log'!#REF!)</f>
        <v>#REF!</v>
      </c>
      <c r="H302" s="66" t="e">
        <f>'Prediction Log'!#REF!</f>
        <v>#REF!</v>
      </c>
      <c r="I302" s="65" t="e">
        <f>IF(ISBLANK(Games!#REF!), "",IF(AND(Games!#REF!="",Games!#REF!=""),"",IF(ISTEXT(Games!#REF!), "Side",Games!#REF!)))</f>
        <v>#REF!</v>
      </c>
      <c r="J302" s="65" t="e">
        <f>IF(ISBLANK(Games!#REF!), "",IF(Games!#REF!="Y", Games!#REF!, Games!#REF!))</f>
        <v>#REF!</v>
      </c>
      <c r="K302" s="65" t="e">
        <f>Games!#REF!</f>
        <v>#REF!</v>
      </c>
      <c r="L302" s="65" t="e">
        <f>IF(ISBLANK(Games!#REF!), "",Games!#REF!)</f>
        <v>#REF!</v>
      </c>
      <c r="M302" s="65"/>
      <c r="N302" s="167" t="str">
        <f>IF(ISBLANK(Table123[[#This Row],[Odds Side - Difference Model]]), "", 1)</f>
      </c>
      <c r="O302" s="167" t="str">
        <f>IF(ISBLANK(Table123[[#This Row],[Odds Spread]]), "", 1)</f>
      </c>
      <c r="P302" s="67"/>
      <c r="Q302" s="67"/>
      <c r="R3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2" s="67"/>
      <c r="T302" s="67"/>
      <c r="U302" s="168" t="str">
        <f>IF(ISBLANK(Table123[[#This Row],[Odds Side - Difference Model]]), "",N302+IF(Q302&lt;0, (N302/(Q302/-100)), N302*(Q302/100)))</f>
      </c>
      <c r="V302" s="169" t="str">
        <f>IFERROR(IF(ISBLANK(Table123[[#This Row],[Odds Side - Win Probability Model]]), "",N302+IF(R302&lt;0, (N302/(R302/-100)), N302*(R302/100))),"")</f>
      </c>
      <c r="W302" s="168" t="str">
        <f t="shared" si="26"/>
      </c>
      <c r="X302" s="169" t="str">
        <f t="shared" si="27"/>
      </c>
      <c r="Y302" s="168" t="str">
        <f>IF(ISBLANK(Table123[[#This Row],[Odds Spread]]), "",O302+IF(S302&lt;0, (O302/(S302/-100)), O302*(S302/100)))</f>
      </c>
      <c r="Z302" s="168" t="str">
        <f t="shared" si="28"/>
      </c>
      <c r="AA302" s="68" t="n">
        <f t="shared" si="29"/>
        <v>0</v>
      </c>
      <c r="AB302" s="68" t="n">
        <f t="shared" si="30"/>
        <v>0</v>
      </c>
      <c r="AC302" s="170" t="e">
        <f>IF('Prediction Log'!#REF!="Y", "W", IF('Prediction Log'!#REF!="N","L",""))</f>
        <v>#REF!</v>
      </c>
      <c r="AD302" s="171" t="e">
        <f>IF('Prediction Log'!#REF!="Y", "W", IF('Prediction Log'!#REF!="N","L",""))</f>
        <v>#REF!</v>
      </c>
      <c r="AE302" s="172" t="str">
        <f>IF(ISBLANK(Table123[[#This Row],[Odds Side - Difference Model]]), "",IF(AC302="W", W302, IF(AC302="L",-N302, "")))</f>
      </c>
      <c r="AF302" s="173" t="str">
        <f>IFERROR((IF(ISERR(Table123[[#This Row],[Potential Payout Side - Win Probability Model]]), "",IF(AD302="W", X302, IF(AD302="L",-N302, "")))), "")</f>
      </c>
      <c r="AG302" s="170" t="e">
        <f>IF('Prediction Log'!#REF!="Y", "W", IF('Prediction Log'!#REF!="N", "L", ""))</f>
        <v>#REF!</v>
      </c>
      <c r="AH302" s="172" t="str">
        <f>IF(ISBLANK(Table123[[#This Row],[Odds Spread]]), "",IF(AG302="W", Z302, IF(AG302="L",-O302, "")))</f>
      </c>
      <c r="AI302" s="184"/>
      <c r="AJ302" s="183" t="str">
        <f t="shared" si="31"/>
      </c>
      <c r="AK3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3">
      <c r="A303" s="65" t="e">
        <f>Games!#REF!</f>
        <v>#REF!</v>
      </c>
      <c r="B303" s="65" t="e">
        <f>IF('Prediction Log'!#REF!=0, "",'Prediction Log'!#REF!)</f>
        <v>#REF!</v>
      </c>
      <c r="C303" s="65" t="e">
        <f>IF('Prediction Log'!#REF!=0, "",'Prediction Log'!#REF!)</f>
        <v>#REF!</v>
      </c>
      <c r="D303" s="65" t="e">
        <f>IF('Prediction Log'!#REF!=0, "",'Prediction Log'!#REF!)</f>
        <v>#REF!</v>
      </c>
      <c r="E303" s="65" t="e">
        <f>IF('Prediction Log'!#REF!=0, "",'Prediction Log'!#REF!)</f>
        <v>#REF!</v>
      </c>
      <c r="F303" s="65" t="e">
        <f>IF('Prediction Log'!#REF!=0, "",'Prediction Log'!#REF!)</f>
        <v>#REF!</v>
      </c>
      <c r="G303" s="64" t="e">
        <f>IF(ISBLANK(Games!#REF!), "",'Prediction Log'!#REF!)</f>
        <v>#REF!</v>
      </c>
      <c r="H303" s="66" t="e">
        <f>'Prediction Log'!#REF!</f>
        <v>#REF!</v>
      </c>
      <c r="I303" s="65" t="e">
        <f>IF(ISBLANK(Games!#REF!), "",IF(AND(Games!#REF!="",Games!#REF!=""),"",IF(ISTEXT(Games!#REF!), "Side",Games!#REF!)))</f>
        <v>#REF!</v>
      </c>
      <c r="J303" s="65" t="e">
        <f>IF(ISBLANK(Games!#REF!), "",IF(Games!#REF!="Y", Games!#REF!, Games!#REF!))</f>
        <v>#REF!</v>
      </c>
      <c r="K303" s="65" t="e">
        <f>Games!#REF!</f>
        <v>#REF!</v>
      </c>
      <c r="L303" s="65" t="e">
        <f>IF(ISBLANK(Games!#REF!), "",Games!#REF!)</f>
        <v>#REF!</v>
      </c>
      <c r="M303" s="65"/>
      <c r="N303" s="167" t="str">
        <f>IF(ISBLANK(Table123[[#This Row],[Odds Side - Difference Model]]), "", 1)</f>
      </c>
      <c r="O303" s="167" t="str">
        <f>IF(ISBLANK(Table123[[#This Row],[Odds Spread]]), "", 1)</f>
      </c>
      <c r="P303" s="67"/>
      <c r="Q303" s="67"/>
      <c r="R3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3" s="67"/>
      <c r="T303" s="67"/>
      <c r="U303" s="168" t="str">
        <f>IF(ISBLANK(Table123[[#This Row],[Odds Side - Difference Model]]), "",N303+IF(Q303&lt;0, (N303/(Q303/-100)), N303*(Q303/100)))</f>
      </c>
      <c r="V303" s="169" t="str">
        <f>IFERROR(IF(ISBLANK(Table123[[#This Row],[Odds Side - Win Probability Model]]), "",N303+IF(R303&lt;0, (N303/(R303/-100)), N303*(R303/100))),"")</f>
      </c>
      <c r="W303" s="168" t="str">
        <f t="shared" si="26"/>
      </c>
      <c r="X303" s="169" t="str">
        <f t="shared" si="27"/>
      </c>
      <c r="Y303" s="168" t="str">
        <f>IF(ISBLANK(Table123[[#This Row],[Odds Spread]]), "",O303+IF(S303&lt;0, (O303/(S303/-100)), O303*(S303/100)))</f>
      </c>
      <c r="Z303" s="168" t="str">
        <f t="shared" si="28"/>
      </c>
      <c r="AA303" s="68" t="n">
        <f t="shared" si="29"/>
        <v>0</v>
      </c>
      <c r="AB303" s="68" t="n">
        <f t="shared" si="30"/>
        <v>0</v>
      </c>
      <c r="AC303" s="170" t="e">
        <f>IF('Prediction Log'!#REF!="Y", "W", IF('Prediction Log'!#REF!="N","L",""))</f>
        <v>#REF!</v>
      </c>
      <c r="AD303" s="171" t="e">
        <f>IF('Prediction Log'!#REF!="Y", "W", IF('Prediction Log'!#REF!="N","L",""))</f>
        <v>#REF!</v>
      </c>
      <c r="AE303" s="172" t="str">
        <f>IF(ISBLANK(Table123[[#This Row],[Odds Side - Difference Model]]), "",IF(AC303="W", W303, IF(AC303="L",-N303, "")))</f>
      </c>
      <c r="AF303" s="173" t="str">
        <f>IFERROR((IF(ISERR(Table123[[#This Row],[Potential Payout Side - Win Probability Model]]), "",IF(AD303="W", X303, IF(AD303="L",-N303, "")))), "")</f>
      </c>
      <c r="AG303" s="170" t="e">
        <f>IF('Prediction Log'!#REF!="Y", "W", IF('Prediction Log'!#REF!="N", "L", ""))</f>
        <v>#REF!</v>
      </c>
      <c r="AH303" s="172" t="str">
        <f>IF(ISBLANK(Table123[[#This Row],[Odds Spread]]), "",IF(AG303="W", Z303, IF(AG303="L",-O303, "")))</f>
      </c>
      <c r="AI303" s="184"/>
      <c r="AJ303" s="183" t="str">
        <f t="shared" si="31"/>
      </c>
      <c r="AK3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4">
      <c r="A304" s="65" t="e">
        <f>Games!#REF!</f>
        <v>#REF!</v>
      </c>
      <c r="B304" s="65" t="e">
        <f>IF('Prediction Log'!#REF!=0, "",'Prediction Log'!#REF!)</f>
        <v>#REF!</v>
      </c>
      <c r="C304" s="65" t="e">
        <f>IF('Prediction Log'!#REF!=0, "",'Prediction Log'!#REF!)</f>
        <v>#REF!</v>
      </c>
      <c r="D304" s="65" t="e">
        <f>IF('Prediction Log'!#REF!=0, "",'Prediction Log'!#REF!)</f>
        <v>#REF!</v>
      </c>
      <c r="E304" s="65" t="e">
        <f>IF('Prediction Log'!#REF!=0, "",'Prediction Log'!#REF!)</f>
        <v>#REF!</v>
      </c>
      <c r="F304" s="65" t="e">
        <f>IF('Prediction Log'!#REF!=0, "",'Prediction Log'!#REF!)</f>
        <v>#REF!</v>
      </c>
      <c r="G304" s="64" t="e">
        <f>IF(ISBLANK(Games!#REF!), "",'Prediction Log'!#REF!)</f>
        <v>#REF!</v>
      </c>
      <c r="H304" s="66" t="e">
        <f>'Prediction Log'!#REF!</f>
        <v>#REF!</v>
      </c>
      <c r="I304" s="65" t="e">
        <f>IF(ISBLANK(Games!#REF!), "",IF(AND(Games!#REF!="",Games!#REF!=""),"",IF(ISTEXT(Games!#REF!), "Side",Games!#REF!)))</f>
        <v>#REF!</v>
      </c>
      <c r="J304" s="65" t="e">
        <f>IF(ISBLANK(Games!#REF!), "",IF(Games!#REF!="Y", Games!#REF!, Games!#REF!))</f>
        <v>#REF!</v>
      </c>
      <c r="K304" s="65" t="e">
        <f>Games!#REF!</f>
        <v>#REF!</v>
      </c>
      <c r="L304" s="65" t="e">
        <f>IF(ISBLANK(Games!#REF!), "",Games!#REF!)</f>
        <v>#REF!</v>
      </c>
      <c r="M304" s="65"/>
      <c r="N304" s="167" t="str">
        <f>IF(ISBLANK(Table123[[#This Row],[Odds Side - Difference Model]]), "", 1)</f>
      </c>
      <c r="O304" s="167" t="str">
        <f>IF(ISBLANK(Table123[[#This Row],[Odds Spread]]), "", 1)</f>
      </c>
      <c r="P304" s="67"/>
      <c r="Q304" s="67"/>
      <c r="R3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4" s="67"/>
      <c r="T304" s="67"/>
      <c r="U304" s="168" t="str">
        <f>IF(ISBLANK(Table123[[#This Row],[Odds Side - Difference Model]]), "",N304+IF(Q304&lt;0, (N304/(Q304/-100)), N304*(Q304/100)))</f>
      </c>
      <c r="V304" s="169" t="str">
        <f>IFERROR(IF(ISBLANK(Table123[[#This Row],[Odds Side - Win Probability Model]]), "",N304+IF(R304&lt;0, (N304/(R304/-100)), N304*(R304/100))),"")</f>
      </c>
      <c r="W304" s="168" t="str">
        <f t="shared" si="26"/>
      </c>
      <c r="X304" s="169" t="str">
        <f t="shared" si="27"/>
      </c>
      <c r="Y304" s="168" t="str">
        <f>IF(ISBLANK(Table123[[#This Row],[Odds Spread]]), "",O304+IF(S304&lt;0, (O304/(S304/-100)), O304*(S304/100)))</f>
      </c>
      <c r="Z304" s="168" t="str">
        <f t="shared" si="28"/>
      </c>
      <c r="AA304" s="68" t="n">
        <f t="shared" si="29"/>
        <v>0</v>
      </c>
      <c r="AB304" s="68" t="n">
        <f t="shared" si="30"/>
        <v>0</v>
      </c>
      <c r="AC304" s="170" t="e">
        <f>IF('Prediction Log'!#REF!="Y", "W", IF('Prediction Log'!#REF!="N","L",""))</f>
        <v>#REF!</v>
      </c>
      <c r="AD304" s="171" t="e">
        <f>IF('Prediction Log'!#REF!="Y", "W", IF('Prediction Log'!#REF!="N","L",""))</f>
        <v>#REF!</v>
      </c>
      <c r="AE304" s="172" t="str">
        <f>IF(ISBLANK(Table123[[#This Row],[Odds Side - Difference Model]]), "",IF(AC304="W", W304, IF(AC304="L",-N304, "")))</f>
      </c>
      <c r="AF304" s="173" t="str">
        <f>IFERROR((IF(ISERR(Table123[[#This Row],[Potential Payout Side - Win Probability Model]]), "",IF(AD304="W", X304, IF(AD304="L",-N304, "")))), "")</f>
      </c>
      <c r="AG304" s="170" t="e">
        <f>IF('Prediction Log'!#REF!="Y", "W", IF('Prediction Log'!#REF!="N", "L", ""))</f>
        <v>#REF!</v>
      </c>
      <c r="AH304" s="172" t="str">
        <f>IF(ISBLANK(Table123[[#This Row],[Odds Spread]]), "",IF(AG304="W", Z304, IF(AG304="L",-O304, "")))</f>
      </c>
      <c r="AI304" s="184"/>
      <c r="AJ304" s="183" t="str">
        <f t="shared" si="31"/>
      </c>
      <c r="AK3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5">
      <c r="A305" s="65" t="e">
        <f>Games!#REF!</f>
        <v>#REF!</v>
      </c>
      <c r="B305" s="65" t="e">
        <f>IF('Prediction Log'!#REF!=0, "",'Prediction Log'!#REF!)</f>
        <v>#REF!</v>
      </c>
      <c r="C305" s="65" t="e">
        <f>IF('Prediction Log'!#REF!=0, "",'Prediction Log'!#REF!)</f>
        <v>#REF!</v>
      </c>
      <c r="D305" s="65" t="e">
        <f>IF('Prediction Log'!#REF!=0, "",'Prediction Log'!#REF!)</f>
        <v>#REF!</v>
      </c>
      <c r="E305" s="65" t="e">
        <f>IF('Prediction Log'!#REF!=0, "",'Prediction Log'!#REF!)</f>
        <v>#REF!</v>
      </c>
      <c r="F305" s="65" t="e">
        <f>IF('Prediction Log'!#REF!=0, "",'Prediction Log'!#REF!)</f>
        <v>#REF!</v>
      </c>
      <c r="G305" s="64" t="e">
        <f>IF(ISBLANK(Games!#REF!), "",'Prediction Log'!#REF!)</f>
        <v>#REF!</v>
      </c>
      <c r="H305" s="66" t="e">
        <f>'Prediction Log'!#REF!</f>
        <v>#REF!</v>
      </c>
      <c r="I305" s="65" t="e">
        <f>IF(ISBLANK(Games!#REF!), "",IF(AND(Games!#REF!="",Games!#REF!=""),"",IF(ISTEXT(Games!#REF!), "Side",Games!#REF!)))</f>
        <v>#REF!</v>
      </c>
      <c r="J305" s="65" t="e">
        <f>IF(ISBLANK(Games!#REF!), "",IF(Games!#REF!="Y", Games!#REF!, Games!#REF!))</f>
        <v>#REF!</v>
      </c>
      <c r="K305" s="65" t="e">
        <f>Games!#REF!</f>
        <v>#REF!</v>
      </c>
      <c r="L305" s="65" t="e">
        <f>IF(ISBLANK(Games!#REF!), "",Games!#REF!)</f>
        <v>#REF!</v>
      </c>
      <c r="M305" s="65"/>
      <c r="N305" s="167" t="str">
        <f>IF(ISBLANK(Table123[[#This Row],[Odds Side - Difference Model]]), "", 1)</f>
      </c>
      <c r="O305" s="167" t="str">
        <f>IF(ISBLANK(Table123[[#This Row],[Odds Spread]]), "", 1)</f>
      </c>
      <c r="P305" s="67"/>
      <c r="Q305" s="67"/>
      <c r="R3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5" s="67"/>
      <c r="T305" s="67"/>
      <c r="U305" s="168" t="str">
        <f>IF(ISBLANK(Table123[[#This Row],[Odds Side - Difference Model]]), "",N305+IF(Q305&lt;0, (N305/(Q305/-100)), N305*(Q305/100)))</f>
      </c>
      <c r="V305" s="169" t="str">
        <f>IFERROR(IF(ISBLANK(Table123[[#This Row],[Odds Side - Win Probability Model]]), "",N305+IF(R305&lt;0, (N305/(R305/-100)), N305*(R305/100))),"")</f>
      </c>
      <c r="W305" s="168" t="str">
        <f t="shared" si="26"/>
      </c>
      <c r="X305" s="169" t="str">
        <f t="shared" si="27"/>
      </c>
      <c r="Y305" s="168" t="str">
        <f>IF(ISBLANK(Table123[[#This Row],[Odds Spread]]), "",O305+IF(S305&lt;0, (O305/(S305/-100)), O305*(S305/100)))</f>
      </c>
      <c r="Z305" s="168" t="str">
        <f t="shared" si="28"/>
      </c>
      <c r="AA305" s="68" t="n">
        <f t="shared" si="29"/>
        <v>0</v>
      </c>
      <c r="AB305" s="68" t="n">
        <f t="shared" si="30"/>
        <v>0</v>
      </c>
      <c r="AC305" s="170" t="e">
        <f>IF('Prediction Log'!#REF!="Y", "W", IF('Prediction Log'!#REF!="N","L",""))</f>
        <v>#REF!</v>
      </c>
      <c r="AD305" s="171" t="e">
        <f>IF('Prediction Log'!#REF!="Y", "W", IF('Prediction Log'!#REF!="N","L",""))</f>
        <v>#REF!</v>
      </c>
      <c r="AE305" s="172" t="str">
        <f>IF(ISBLANK(Table123[[#This Row],[Odds Side - Difference Model]]), "",IF(AC305="W", W305, IF(AC305="L",-N305, "")))</f>
      </c>
      <c r="AF305" s="173" t="str">
        <f>IFERROR((IF(ISERR(Table123[[#This Row],[Potential Payout Side - Win Probability Model]]), "",IF(AD305="W", X305, IF(AD305="L",-N305, "")))), "")</f>
      </c>
      <c r="AG305" s="170" t="e">
        <f>IF('Prediction Log'!#REF!="Y", "W", IF('Prediction Log'!#REF!="N", "L", ""))</f>
        <v>#REF!</v>
      </c>
      <c r="AH305" s="172" t="str">
        <f>IF(ISBLANK(Table123[[#This Row],[Odds Spread]]), "",IF(AG305="W", Z305, IF(AG305="L",-O305, "")))</f>
      </c>
      <c r="AI305" s="184"/>
      <c r="AJ305" s="183" t="str">
        <f t="shared" si="31"/>
      </c>
      <c r="AK3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6">
      <c r="A306" s="65" t="e">
        <f>Games!#REF!</f>
        <v>#REF!</v>
      </c>
      <c r="B306" s="65" t="e">
        <f>IF('Prediction Log'!#REF!=0, "",'Prediction Log'!#REF!)</f>
        <v>#REF!</v>
      </c>
      <c r="C306" s="65" t="e">
        <f>IF('Prediction Log'!#REF!=0, "",'Prediction Log'!#REF!)</f>
        <v>#REF!</v>
      </c>
      <c r="D306" s="65" t="e">
        <f>IF('Prediction Log'!#REF!=0, "",'Prediction Log'!#REF!)</f>
        <v>#REF!</v>
      </c>
      <c r="E306" s="65" t="e">
        <f>IF('Prediction Log'!#REF!=0, "",'Prediction Log'!#REF!)</f>
        <v>#REF!</v>
      </c>
      <c r="F306" s="65" t="e">
        <f>IF('Prediction Log'!#REF!=0, "",'Prediction Log'!#REF!)</f>
        <v>#REF!</v>
      </c>
      <c r="G306" s="64" t="e">
        <f>IF(ISBLANK(Games!#REF!), "",'Prediction Log'!#REF!)</f>
        <v>#REF!</v>
      </c>
      <c r="H306" s="66" t="e">
        <f>'Prediction Log'!#REF!</f>
        <v>#REF!</v>
      </c>
      <c r="I306" s="65" t="e">
        <f>IF(ISBLANK(Games!#REF!), "",IF(AND(Games!#REF!="",Games!#REF!=""),"",IF(ISTEXT(Games!#REF!), "Side",Games!#REF!)))</f>
        <v>#REF!</v>
      </c>
      <c r="J306" s="65" t="e">
        <f>IF(ISBLANK(Games!#REF!), "",IF(Games!#REF!="Y", Games!#REF!, Games!#REF!))</f>
        <v>#REF!</v>
      </c>
      <c r="K306" s="65" t="e">
        <f>Games!#REF!</f>
        <v>#REF!</v>
      </c>
      <c r="L306" s="65" t="e">
        <f>IF(ISBLANK(Games!#REF!), "",Games!#REF!)</f>
        <v>#REF!</v>
      </c>
      <c r="M306" s="65"/>
      <c r="N306" s="167" t="str">
        <f>IF(ISBLANK(Table123[[#This Row],[Odds Side - Difference Model]]), "", 1)</f>
      </c>
      <c r="O306" s="167" t="str">
        <f>IF(ISBLANK(Table123[[#This Row],[Odds Spread]]), "", 1)</f>
      </c>
      <c r="P306" s="67"/>
      <c r="Q306" s="67"/>
      <c r="R3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6" s="67"/>
      <c r="T306" s="67"/>
      <c r="U306" s="168" t="str">
        <f>IF(ISBLANK(Table123[[#This Row],[Odds Side - Difference Model]]), "",N306+IF(Q306&lt;0, (N306/(Q306/-100)), N306*(Q306/100)))</f>
      </c>
      <c r="V306" s="169" t="str">
        <f>IFERROR(IF(ISBLANK(Table123[[#This Row],[Odds Side - Win Probability Model]]), "",N306+IF(R306&lt;0, (N306/(R306/-100)), N306*(R306/100))),"")</f>
      </c>
      <c r="W306" s="168" t="str">
        <f t="shared" si="26"/>
      </c>
      <c r="X306" s="169" t="str">
        <f t="shared" si="27"/>
      </c>
      <c r="Y306" s="168" t="str">
        <f>IF(ISBLANK(Table123[[#This Row],[Odds Spread]]), "",O306+IF(S306&lt;0, (O306/(S306/-100)), O306*(S306/100)))</f>
      </c>
      <c r="Z306" s="168" t="str">
        <f t="shared" si="28"/>
      </c>
      <c r="AA306" s="68" t="n">
        <f t="shared" si="29"/>
        <v>0</v>
      </c>
      <c r="AB306" s="68" t="n">
        <f t="shared" si="30"/>
        <v>0</v>
      </c>
      <c r="AC306" s="170" t="e">
        <f>IF('Prediction Log'!#REF!="Y", "W", IF('Prediction Log'!#REF!="N","L",""))</f>
        <v>#REF!</v>
      </c>
      <c r="AD306" s="171" t="e">
        <f>IF('Prediction Log'!#REF!="Y", "W", IF('Prediction Log'!#REF!="N","L",""))</f>
        <v>#REF!</v>
      </c>
      <c r="AE306" s="172" t="str">
        <f>IF(ISBLANK(Table123[[#This Row],[Odds Side - Difference Model]]), "",IF(AC306="W", W306, IF(AC306="L",-N306, "")))</f>
      </c>
      <c r="AF306" s="173" t="str">
        <f>IFERROR((IF(ISERR(Table123[[#This Row],[Potential Payout Side - Win Probability Model]]), "",IF(AD306="W", X306, IF(AD306="L",-N306, "")))), "")</f>
      </c>
      <c r="AG306" s="170" t="e">
        <f>IF('Prediction Log'!#REF!="Y", "W", IF('Prediction Log'!#REF!="N", "L", ""))</f>
        <v>#REF!</v>
      </c>
      <c r="AH306" s="172" t="str">
        <f>IF(ISBLANK(Table123[[#This Row],[Odds Spread]]), "",IF(AG306="W", Z306, IF(AG306="L",-O306, "")))</f>
      </c>
      <c r="AI306" s="184"/>
      <c r="AJ306" s="183" t="str">
        <f t="shared" si="31"/>
      </c>
      <c r="AK3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7">
      <c r="A307" s="65" t="e">
        <f>Games!#REF!</f>
        <v>#REF!</v>
      </c>
      <c r="B307" s="65" t="e">
        <f>IF('Prediction Log'!#REF!=0, "",'Prediction Log'!#REF!)</f>
        <v>#REF!</v>
      </c>
      <c r="C307" s="65" t="e">
        <f>IF('Prediction Log'!#REF!=0, "",'Prediction Log'!#REF!)</f>
        <v>#REF!</v>
      </c>
      <c r="D307" s="65" t="e">
        <f>IF('Prediction Log'!#REF!=0, "",'Prediction Log'!#REF!)</f>
        <v>#REF!</v>
      </c>
      <c r="E307" s="65" t="e">
        <f>IF('Prediction Log'!#REF!=0, "",'Prediction Log'!#REF!)</f>
        <v>#REF!</v>
      </c>
      <c r="F307" s="65" t="e">
        <f>IF('Prediction Log'!#REF!=0, "",'Prediction Log'!#REF!)</f>
        <v>#REF!</v>
      </c>
      <c r="G307" s="64" t="e">
        <f>IF(ISBLANK(Games!#REF!), "",'Prediction Log'!#REF!)</f>
        <v>#REF!</v>
      </c>
      <c r="H307" s="66" t="e">
        <f>'Prediction Log'!#REF!</f>
        <v>#REF!</v>
      </c>
      <c r="I307" s="65" t="e">
        <f>IF(ISBLANK(Games!#REF!), "",IF(AND(Games!#REF!="",Games!#REF!=""),"",IF(ISTEXT(Games!#REF!), "Side",Games!#REF!)))</f>
        <v>#REF!</v>
      </c>
      <c r="J307" s="65" t="e">
        <f>IF(ISBLANK(Games!#REF!), "",IF(Games!#REF!="Y", Games!#REF!, Games!#REF!))</f>
        <v>#REF!</v>
      </c>
      <c r="K307" s="65" t="e">
        <f>Games!#REF!</f>
        <v>#REF!</v>
      </c>
      <c r="L307" s="65" t="e">
        <f>IF(ISBLANK(Games!#REF!), "",Games!#REF!)</f>
        <v>#REF!</v>
      </c>
      <c r="M307" s="65"/>
      <c r="N307" s="167" t="str">
        <f>IF(ISBLANK(Table123[[#This Row],[Odds Side - Difference Model]]), "", 1)</f>
      </c>
      <c r="O307" s="167" t="str">
        <f>IF(ISBLANK(Table123[[#This Row],[Odds Spread]]), "", 1)</f>
      </c>
      <c r="P307" s="67"/>
      <c r="Q307" s="67"/>
      <c r="R3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7" s="67"/>
      <c r="T307" s="67"/>
      <c r="U307" s="168" t="str">
        <f>IF(ISBLANK(Table123[[#This Row],[Odds Side - Difference Model]]), "",N307+IF(Q307&lt;0, (N307/(Q307/-100)), N307*(Q307/100)))</f>
      </c>
      <c r="V307" s="169" t="str">
        <f>IFERROR(IF(ISBLANK(Table123[[#This Row],[Odds Side - Win Probability Model]]), "",N307+IF(R307&lt;0, (N307/(R307/-100)), N307*(R307/100))),"")</f>
      </c>
      <c r="W307" s="168" t="str">
        <f t="shared" si="26"/>
      </c>
      <c r="X307" s="169" t="str">
        <f t="shared" si="27"/>
      </c>
      <c r="Y307" s="168" t="str">
        <f>IF(ISBLANK(Table123[[#This Row],[Odds Spread]]), "",O307+IF(S307&lt;0, (O307/(S307/-100)), O307*(S307/100)))</f>
      </c>
      <c r="Z307" s="168" t="str">
        <f t="shared" si="28"/>
      </c>
      <c r="AA307" s="68" t="n">
        <f t="shared" si="29"/>
        <v>0</v>
      </c>
      <c r="AB307" s="68" t="n">
        <f t="shared" si="30"/>
        <v>0</v>
      </c>
      <c r="AC307" s="170" t="e">
        <f>IF('Prediction Log'!#REF!="Y", "W", IF('Prediction Log'!#REF!="N","L",""))</f>
        <v>#REF!</v>
      </c>
      <c r="AD307" s="171" t="e">
        <f>IF('Prediction Log'!#REF!="Y", "W", IF('Prediction Log'!#REF!="N","L",""))</f>
        <v>#REF!</v>
      </c>
      <c r="AE307" s="172" t="str">
        <f>IF(ISBLANK(Table123[[#This Row],[Odds Side - Difference Model]]), "",IF(AC307="W", W307, IF(AC307="L",-N307, "")))</f>
      </c>
      <c r="AF307" s="173" t="str">
        <f>IFERROR((IF(ISERR(Table123[[#This Row],[Potential Payout Side - Win Probability Model]]), "",IF(AD307="W", X307, IF(AD307="L",-N307, "")))), "")</f>
      </c>
      <c r="AG307" s="170" t="e">
        <f>IF('Prediction Log'!#REF!="Y", "W", IF('Prediction Log'!#REF!="N", "L", ""))</f>
        <v>#REF!</v>
      </c>
      <c r="AH307" s="172" t="str">
        <f>IF(ISBLANK(Table123[[#This Row],[Odds Spread]]), "",IF(AG307="W", Z307, IF(AG307="L",-O307, "")))</f>
      </c>
      <c r="AI307" s="184"/>
      <c r="AJ307" s="183" t="str">
        <f t="shared" si="31"/>
      </c>
      <c r="AK3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8">
      <c r="A308" s="65" t="e">
        <f>Games!#REF!</f>
        <v>#REF!</v>
      </c>
      <c r="B308" s="65" t="e">
        <f>IF('Prediction Log'!#REF!=0, "",'Prediction Log'!#REF!)</f>
        <v>#REF!</v>
      </c>
      <c r="C308" s="65" t="e">
        <f>IF('Prediction Log'!#REF!=0, "",'Prediction Log'!#REF!)</f>
        <v>#REF!</v>
      </c>
      <c r="D308" s="65" t="e">
        <f>IF('Prediction Log'!#REF!=0, "",'Prediction Log'!#REF!)</f>
        <v>#REF!</v>
      </c>
      <c r="E308" s="65" t="e">
        <f>IF('Prediction Log'!#REF!=0, "",'Prediction Log'!#REF!)</f>
        <v>#REF!</v>
      </c>
      <c r="F308" s="65" t="e">
        <f>IF('Prediction Log'!#REF!=0, "",'Prediction Log'!#REF!)</f>
        <v>#REF!</v>
      </c>
      <c r="G308" s="64" t="e">
        <f>IF(ISBLANK(Games!#REF!), "",'Prediction Log'!#REF!)</f>
        <v>#REF!</v>
      </c>
      <c r="H308" s="66" t="e">
        <f>'Prediction Log'!#REF!</f>
        <v>#REF!</v>
      </c>
      <c r="I308" s="65" t="e">
        <f>IF(ISBLANK(Games!#REF!), "",IF(AND(Games!#REF!="",Games!#REF!=""),"",IF(ISTEXT(Games!#REF!), "Side",Games!#REF!)))</f>
        <v>#REF!</v>
      </c>
      <c r="J308" s="65" t="e">
        <f>IF(ISBLANK(Games!#REF!), "",IF(Games!#REF!="Y", Games!#REF!, Games!#REF!))</f>
        <v>#REF!</v>
      </c>
      <c r="K308" s="65" t="e">
        <f>Games!#REF!</f>
        <v>#REF!</v>
      </c>
      <c r="L308" s="65" t="e">
        <f>IF(ISBLANK(Games!#REF!), "",Games!#REF!)</f>
        <v>#REF!</v>
      </c>
      <c r="M308" s="65"/>
      <c r="N308" s="167" t="str">
        <f>IF(ISBLANK(Table123[[#This Row],[Odds Side - Difference Model]]), "", 1)</f>
      </c>
      <c r="O308" s="167" t="str">
        <f>IF(ISBLANK(Table123[[#This Row],[Odds Spread]]), "", 1)</f>
      </c>
      <c r="P308" s="67"/>
      <c r="Q308" s="67"/>
      <c r="R3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8" s="67"/>
      <c r="T308" s="67"/>
      <c r="U308" s="168" t="str">
        <f>IF(ISBLANK(Table123[[#This Row],[Odds Side - Difference Model]]), "",N308+IF(Q308&lt;0, (N308/(Q308/-100)), N308*(Q308/100)))</f>
      </c>
      <c r="V308" s="169" t="str">
        <f>IFERROR(IF(ISBLANK(Table123[[#This Row],[Odds Side - Win Probability Model]]), "",N308+IF(R308&lt;0, (N308/(R308/-100)), N308*(R308/100))),"")</f>
      </c>
      <c r="W308" s="168" t="str">
        <f t="shared" si="26"/>
      </c>
      <c r="X308" s="169" t="str">
        <f t="shared" si="27"/>
      </c>
      <c r="Y308" s="168" t="str">
        <f>IF(ISBLANK(Table123[[#This Row],[Odds Spread]]), "",O308+IF(S308&lt;0, (O308/(S308/-100)), O308*(S308/100)))</f>
      </c>
      <c r="Z308" s="168" t="str">
        <f t="shared" si="28"/>
      </c>
      <c r="AA308" s="68" t="n">
        <f t="shared" si="29"/>
        <v>0</v>
      </c>
      <c r="AB308" s="68" t="n">
        <f t="shared" si="30"/>
        <v>0</v>
      </c>
      <c r="AC308" s="170" t="e">
        <f>IF('Prediction Log'!#REF!="Y", "W", IF('Prediction Log'!#REF!="N","L",""))</f>
        <v>#REF!</v>
      </c>
      <c r="AD308" s="171" t="e">
        <f>IF('Prediction Log'!#REF!="Y", "W", IF('Prediction Log'!#REF!="N","L",""))</f>
        <v>#REF!</v>
      </c>
      <c r="AE308" s="172" t="str">
        <f>IF(ISBLANK(Table123[[#This Row],[Odds Side - Difference Model]]), "",IF(AC308="W", W308, IF(AC308="L",-N308, "")))</f>
      </c>
      <c r="AF308" s="173" t="str">
        <f>IFERROR((IF(ISERR(Table123[[#This Row],[Potential Payout Side - Win Probability Model]]), "",IF(AD308="W", X308, IF(AD308="L",-N308, "")))), "")</f>
      </c>
      <c r="AG308" s="170" t="e">
        <f>IF('Prediction Log'!#REF!="Y", "W", IF('Prediction Log'!#REF!="N", "L", ""))</f>
        <v>#REF!</v>
      </c>
      <c r="AH308" s="172" t="str">
        <f>IF(ISBLANK(Table123[[#This Row],[Odds Spread]]), "",IF(AG308="W", Z308, IF(AG308="L",-O308, "")))</f>
      </c>
      <c r="AI308" s="184"/>
      <c r="AJ308" s="183" t="str">
        <f t="shared" si="31"/>
      </c>
      <c r="AK3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9">
      <c r="A309" s="65" t="e">
        <f>Games!#REF!</f>
        <v>#REF!</v>
      </c>
      <c r="B309" s="65" t="e">
        <f>IF('Prediction Log'!#REF!=0, "",'Prediction Log'!#REF!)</f>
        <v>#REF!</v>
      </c>
      <c r="C309" s="65" t="e">
        <f>IF('Prediction Log'!#REF!=0, "",'Prediction Log'!#REF!)</f>
        <v>#REF!</v>
      </c>
      <c r="D309" s="65" t="e">
        <f>IF('Prediction Log'!#REF!=0, "",'Prediction Log'!#REF!)</f>
        <v>#REF!</v>
      </c>
      <c r="E309" s="65" t="e">
        <f>IF('Prediction Log'!#REF!=0, "",'Prediction Log'!#REF!)</f>
        <v>#REF!</v>
      </c>
      <c r="F309" s="65" t="e">
        <f>IF('Prediction Log'!#REF!=0, "",'Prediction Log'!#REF!)</f>
        <v>#REF!</v>
      </c>
      <c r="G309" s="64" t="e">
        <f>IF(ISBLANK(Games!#REF!), "",'Prediction Log'!#REF!)</f>
        <v>#REF!</v>
      </c>
      <c r="H309" s="66" t="e">
        <f>'Prediction Log'!#REF!</f>
        <v>#REF!</v>
      </c>
      <c r="I309" s="65" t="e">
        <f>IF(ISBLANK(Games!#REF!), "",IF(AND(Games!#REF!="",Games!#REF!=""),"",IF(ISTEXT(Games!#REF!), "Side",Games!#REF!)))</f>
        <v>#REF!</v>
      </c>
      <c r="J309" s="65" t="e">
        <f>IF(ISBLANK(Games!#REF!), "",IF(Games!#REF!="Y", Games!#REF!, Games!#REF!))</f>
        <v>#REF!</v>
      </c>
      <c r="K309" s="65" t="e">
        <f>Games!#REF!</f>
        <v>#REF!</v>
      </c>
      <c r="L309" s="65" t="e">
        <f>IF(ISBLANK(Games!#REF!), "",Games!#REF!)</f>
        <v>#REF!</v>
      </c>
      <c r="M309" s="65"/>
      <c r="N309" s="167" t="str">
        <f>IF(ISBLANK(Table123[[#This Row],[Odds Side - Difference Model]]), "", 1)</f>
      </c>
      <c r="O309" s="167" t="str">
        <f>IF(ISBLANK(Table123[[#This Row],[Odds Spread]]), "", 1)</f>
      </c>
      <c r="P309" s="67"/>
      <c r="Q309" s="67"/>
      <c r="R3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9" s="67"/>
      <c r="T309" s="67"/>
      <c r="U309" s="168" t="str">
        <f>IF(ISBLANK(Table123[[#This Row],[Odds Side - Difference Model]]), "",N309+IF(Q309&lt;0, (N309/(Q309/-100)), N309*(Q309/100)))</f>
      </c>
      <c r="V309" s="169" t="str">
        <f>IFERROR(IF(ISBLANK(Table123[[#This Row],[Odds Side - Win Probability Model]]), "",N309+IF(R309&lt;0, (N309/(R309/-100)), N309*(R309/100))),"")</f>
      </c>
      <c r="W309" s="168" t="str">
        <f t="shared" si="26"/>
      </c>
      <c r="X309" s="169" t="str">
        <f t="shared" si="27"/>
      </c>
      <c r="Y309" s="168" t="str">
        <f>IF(ISBLANK(Table123[[#This Row],[Odds Spread]]), "",O309+IF(S309&lt;0, (O309/(S309/-100)), O309*(S309/100)))</f>
      </c>
      <c r="Z309" s="168" t="str">
        <f t="shared" si="28"/>
      </c>
      <c r="AA309" s="68" t="n">
        <f t="shared" si="29"/>
        <v>0</v>
      </c>
      <c r="AB309" s="68" t="n">
        <f t="shared" si="30"/>
        <v>0</v>
      </c>
      <c r="AC309" s="170" t="e">
        <f>IF('Prediction Log'!#REF!="Y", "W", IF('Prediction Log'!#REF!="N","L",""))</f>
        <v>#REF!</v>
      </c>
      <c r="AD309" s="171" t="e">
        <f>IF('Prediction Log'!#REF!="Y", "W", IF('Prediction Log'!#REF!="N","L",""))</f>
        <v>#REF!</v>
      </c>
      <c r="AE309" s="172" t="str">
        <f>IF(ISBLANK(Table123[[#This Row],[Odds Side - Difference Model]]), "",IF(AC309="W", W309, IF(AC309="L",-N309, "")))</f>
      </c>
      <c r="AF309" s="173" t="str">
        <f>IFERROR((IF(ISERR(Table123[[#This Row],[Potential Payout Side - Win Probability Model]]), "",IF(AD309="W", X309, IF(AD309="L",-N309, "")))), "")</f>
      </c>
      <c r="AG309" s="170" t="e">
        <f>IF('Prediction Log'!#REF!="Y", "W", IF('Prediction Log'!#REF!="N", "L", ""))</f>
        <v>#REF!</v>
      </c>
      <c r="AH309" s="172" t="str">
        <f>IF(ISBLANK(Table123[[#This Row],[Odds Spread]]), "",IF(AG309="W", Z309, IF(AG309="L",-O309, "")))</f>
      </c>
      <c r="AI309" s="184"/>
      <c r="AJ309" s="183" t="str">
        <f t="shared" si="31"/>
      </c>
      <c r="AK3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0">
      <c r="A310" s="65" t="e">
        <f>Games!#REF!</f>
        <v>#REF!</v>
      </c>
      <c r="B310" s="65" t="e">
        <f>IF('Prediction Log'!#REF!=0, "",'Prediction Log'!#REF!)</f>
        <v>#REF!</v>
      </c>
      <c r="C310" s="65" t="e">
        <f>IF('Prediction Log'!#REF!=0, "",'Prediction Log'!#REF!)</f>
        <v>#REF!</v>
      </c>
      <c r="D310" s="65" t="e">
        <f>IF('Prediction Log'!#REF!=0, "",'Prediction Log'!#REF!)</f>
        <v>#REF!</v>
      </c>
      <c r="E310" s="65" t="e">
        <f>IF('Prediction Log'!#REF!=0, "",'Prediction Log'!#REF!)</f>
        <v>#REF!</v>
      </c>
      <c r="F310" s="65" t="e">
        <f>IF('Prediction Log'!#REF!=0, "",'Prediction Log'!#REF!)</f>
        <v>#REF!</v>
      </c>
      <c r="G310" s="64" t="e">
        <f>IF(ISBLANK(Games!#REF!), "",'Prediction Log'!#REF!)</f>
        <v>#REF!</v>
      </c>
      <c r="H310" s="66" t="e">
        <f>'Prediction Log'!#REF!</f>
        <v>#REF!</v>
      </c>
      <c r="I310" s="65" t="e">
        <f>IF(ISBLANK(Games!#REF!), "",IF(AND(Games!#REF!="",Games!#REF!=""),"",IF(ISTEXT(Games!#REF!), "Side",Games!#REF!)))</f>
        <v>#REF!</v>
      </c>
      <c r="J310" s="65" t="e">
        <f>IF(ISBLANK(Games!#REF!), "",IF(Games!#REF!="Y", Games!#REF!, Games!#REF!))</f>
        <v>#REF!</v>
      </c>
      <c r="K310" s="65" t="e">
        <f>Games!#REF!</f>
        <v>#REF!</v>
      </c>
      <c r="L310" s="65" t="e">
        <f>IF(ISBLANK(Games!#REF!), "",Games!#REF!)</f>
        <v>#REF!</v>
      </c>
      <c r="M310" s="65"/>
      <c r="N310" s="167" t="str">
        <f>IF(ISBLANK(Table123[[#This Row],[Odds Side - Difference Model]]), "", 1)</f>
      </c>
      <c r="O310" s="167" t="str">
        <f>IF(ISBLANK(Table123[[#This Row],[Odds Spread]]), "", 1)</f>
      </c>
      <c r="P310" s="67"/>
      <c r="Q310" s="67"/>
      <c r="R3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0" s="67"/>
      <c r="T310" s="67"/>
      <c r="U310" s="168" t="str">
        <f>IF(ISBLANK(Table123[[#This Row],[Odds Side - Difference Model]]), "",N310+IF(Q310&lt;0, (N310/(Q310/-100)), N310*(Q310/100)))</f>
      </c>
      <c r="V310" s="169" t="str">
        <f>IFERROR(IF(ISBLANK(Table123[[#This Row],[Odds Side - Win Probability Model]]), "",N310+IF(R310&lt;0, (N310/(R310/-100)), N310*(R310/100))),"")</f>
      </c>
      <c r="W310" s="168" t="str">
        <f t="shared" si="26"/>
      </c>
      <c r="X310" s="169" t="str">
        <f t="shared" si="27"/>
      </c>
      <c r="Y310" s="168" t="str">
        <f>IF(ISBLANK(Table123[[#This Row],[Odds Spread]]), "",O310+IF(S310&lt;0, (O310/(S310/-100)), O310*(S310/100)))</f>
      </c>
      <c r="Z310" s="168" t="str">
        <f t="shared" si="28"/>
      </c>
      <c r="AA310" s="68" t="n">
        <f t="shared" si="29"/>
        <v>0</v>
      </c>
      <c r="AB310" s="68" t="n">
        <f t="shared" si="30"/>
        <v>0</v>
      </c>
      <c r="AC310" s="170" t="e">
        <f>IF('Prediction Log'!#REF!="Y", "W", IF('Prediction Log'!#REF!="N","L",""))</f>
        <v>#REF!</v>
      </c>
      <c r="AD310" s="171" t="e">
        <f>IF('Prediction Log'!#REF!="Y", "W", IF('Prediction Log'!#REF!="N","L",""))</f>
        <v>#REF!</v>
      </c>
      <c r="AE310" s="172" t="str">
        <f>IF(ISBLANK(Table123[[#This Row],[Odds Side - Difference Model]]), "",IF(AC310="W", W310, IF(AC310="L",-N310, "")))</f>
      </c>
      <c r="AF310" s="173" t="str">
        <f>IFERROR((IF(ISERR(Table123[[#This Row],[Potential Payout Side - Win Probability Model]]), "",IF(AD310="W", X310, IF(AD310="L",-N310, "")))), "")</f>
      </c>
      <c r="AG310" s="170" t="e">
        <f>IF('Prediction Log'!#REF!="Y", "W", IF('Prediction Log'!#REF!="N", "L", ""))</f>
        <v>#REF!</v>
      </c>
      <c r="AH310" s="172" t="str">
        <f>IF(ISBLANK(Table123[[#This Row],[Odds Spread]]), "",IF(AG310="W", Z310, IF(AG310="L",-O310, "")))</f>
      </c>
      <c r="AI310" s="184"/>
      <c r="AJ310" s="183" t="str">
        <f t="shared" si="31"/>
      </c>
      <c r="AK3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1">
      <c r="A311" s="65" t="e">
        <f>Games!#REF!</f>
        <v>#REF!</v>
      </c>
      <c r="B311" s="65" t="e">
        <f>IF('Prediction Log'!#REF!=0, "",'Prediction Log'!#REF!)</f>
        <v>#REF!</v>
      </c>
      <c r="C311" s="65" t="e">
        <f>IF('Prediction Log'!#REF!=0, "",'Prediction Log'!#REF!)</f>
        <v>#REF!</v>
      </c>
      <c r="D311" s="65" t="e">
        <f>IF('Prediction Log'!#REF!=0, "",'Prediction Log'!#REF!)</f>
        <v>#REF!</v>
      </c>
      <c r="E311" s="65" t="e">
        <f>IF('Prediction Log'!#REF!=0, "",'Prediction Log'!#REF!)</f>
        <v>#REF!</v>
      </c>
      <c r="F311" s="65" t="e">
        <f>IF('Prediction Log'!#REF!=0, "",'Prediction Log'!#REF!)</f>
        <v>#REF!</v>
      </c>
      <c r="G311" s="64" t="e">
        <f>IF(ISBLANK(Games!#REF!), "",'Prediction Log'!#REF!)</f>
        <v>#REF!</v>
      </c>
      <c r="H311" s="66" t="e">
        <f>'Prediction Log'!#REF!</f>
        <v>#REF!</v>
      </c>
      <c r="I311" s="65" t="e">
        <f>IF(ISBLANK(Games!#REF!), "",IF(AND(Games!#REF!="",Games!#REF!=""),"",IF(ISTEXT(Games!#REF!), "Side",Games!#REF!)))</f>
        <v>#REF!</v>
      </c>
      <c r="J311" s="65" t="e">
        <f>IF(ISBLANK(Games!#REF!), "",IF(Games!#REF!="Y", Games!#REF!, Games!#REF!))</f>
        <v>#REF!</v>
      </c>
      <c r="K311" s="65" t="e">
        <f>Games!#REF!</f>
        <v>#REF!</v>
      </c>
      <c r="L311" s="65" t="e">
        <f>IF(ISBLANK(Games!#REF!), "",Games!#REF!)</f>
        <v>#REF!</v>
      </c>
      <c r="M311" s="65"/>
      <c r="N311" s="167" t="str">
        <f>IF(ISBLANK(Table123[[#This Row],[Odds Side - Difference Model]]), "", 1)</f>
      </c>
      <c r="O311" s="167" t="str">
        <f>IF(ISBLANK(Table123[[#This Row],[Odds Spread]]), "", 1)</f>
      </c>
      <c r="P311" s="67"/>
      <c r="Q311" s="67"/>
      <c r="R3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1" s="67"/>
      <c r="T311" s="67"/>
      <c r="U311" s="168" t="str">
        <f>IF(ISBLANK(Table123[[#This Row],[Odds Side - Difference Model]]), "",N311+IF(Q311&lt;0, (N311/(Q311/-100)), N311*(Q311/100)))</f>
      </c>
      <c r="V311" s="169" t="str">
        <f>IFERROR(IF(ISBLANK(Table123[[#This Row],[Odds Side - Win Probability Model]]), "",N311+IF(R311&lt;0, (N311/(R311/-100)), N311*(R311/100))),"")</f>
      </c>
      <c r="W311" s="168" t="str">
        <f t="shared" si="26"/>
      </c>
      <c r="X311" s="169" t="str">
        <f t="shared" si="27"/>
      </c>
      <c r="Y311" s="168" t="str">
        <f>IF(ISBLANK(Table123[[#This Row],[Odds Spread]]), "",O311+IF(S311&lt;0, (O311/(S311/-100)), O311*(S311/100)))</f>
      </c>
      <c r="Z311" s="168" t="str">
        <f t="shared" si="28"/>
      </c>
      <c r="AA311" s="68" t="n">
        <f t="shared" si="29"/>
        <v>0</v>
      </c>
      <c r="AB311" s="68" t="n">
        <f t="shared" si="30"/>
        <v>0</v>
      </c>
      <c r="AC311" s="170" t="e">
        <f>IF('Prediction Log'!#REF!="Y", "W", IF('Prediction Log'!#REF!="N","L",""))</f>
        <v>#REF!</v>
      </c>
      <c r="AD311" s="171" t="e">
        <f>IF('Prediction Log'!#REF!="Y", "W", IF('Prediction Log'!#REF!="N","L",""))</f>
        <v>#REF!</v>
      </c>
      <c r="AE311" s="172" t="str">
        <f>IF(ISBLANK(Table123[[#This Row],[Odds Side - Difference Model]]), "",IF(AC311="W", W311, IF(AC311="L",-N311, "")))</f>
      </c>
      <c r="AF311" s="173" t="str">
        <f>IFERROR((IF(ISERR(Table123[[#This Row],[Potential Payout Side - Win Probability Model]]), "",IF(AD311="W", X311, IF(AD311="L",-N311, "")))), "")</f>
      </c>
      <c r="AG311" s="170" t="e">
        <f>IF('Prediction Log'!#REF!="Y", "W", IF('Prediction Log'!#REF!="N", "L", ""))</f>
        <v>#REF!</v>
      </c>
      <c r="AH311" s="172" t="str">
        <f>IF(ISBLANK(Table123[[#This Row],[Odds Spread]]), "",IF(AG311="W", Z311, IF(AG311="L",-O311, "")))</f>
      </c>
      <c r="AI311" s="184"/>
      <c r="AJ311" s="183" t="str">
        <f t="shared" si="31"/>
      </c>
      <c r="AK3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2">
      <c r="A312" s="65" t="e">
        <f>Games!#REF!</f>
        <v>#REF!</v>
      </c>
      <c r="B312" s="65" t="e">
        <f>IF('Prediction Log'!#REF!=0, "",'Prediction Log'!#REF!)</f>
        <v>#REF!</v>
      </c>
      <c r="C312" s="65" t="e">
        <f>IF('Prediction Log'!#REF!=0, "",'Prediction Log'!#REF!)</f>
        <v>#REF!</v>
      </c>
      <c r="D312" s="65" t="e">
        <f>IF('Prediction Log'!#REF!=0, "",'Prediction Log'!#REF!)</f>
        <v>#REF!</v>
      </c>
      <c r="E312" s="65" t="e">
        <f>IF('Prediction Log'!#REF!=0, "",'Prediction Log'!#REF!)</f>
        <v>#REF!</v>
      </c>
      <c r="F312" s="65" t="e">
        <f>IF('Prediction Log'!#REF!=0, "",'Prediction Log'!#REF!)</f>
        <v>#REF!</v>
      </c>
      <c r="G312" s="64" t="e">
        <f>IF(ISBLANK(Games!#REF!), "",'Prediction Log'!#REF!)</f>
        <v>#REF!</v>
      </c>
      <c r="H312" s="66" t="e">
        <f>'Prediction Log'!#REF!</f>
        <v>#REF!</v>
      </c>
      <c r="I312" s="65" t="e">
        <f>IF(ISBLANK(Games!#REF!), "",IF(AND(Games!#REF!="",Games!#REF!=""),"",IF(ISTEXT(Games!#REF!), "Side",Games!#REF!)))</f>
        <v>#REF!</v>
      </c>
      <c r="J312" s="65" t="e">
        <f>IF(ISBLANK(Games!#REF!), "",IF(Games!#REF!="Y", Games!#REF!, Games!#REF!))</f>
        <v>#REF!</v>
      </c>
      <c r="K312" s="65" t="e">
        <f>Games!#REF!</f>
        <v>#REF!</v>
      </c>
      <c r="L312" s="65" t="e">
        <f>IF(ISBLANK(Games!#REF!), "",Games!#REF!)</f>
        <v>#REF!</v>
      </c>
      <c r="M312" s="65"/>
      <c r="N312" s="167" t="str">
        <f>IF(ISBLANK(Table123[[#This Row],[Odds Side - Difference Model]]), "", 1)</f>
      </c>
      <c r="O312" s="167" t="str">
        <f>IF(ISBLANK(Table123[[#This Row],[Odds Spread]]), "", 1)</f>
      </c>
      <c r="P312" s="67"/>
      <c r="Q312" s="67"/>
      <c r="R3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2" s="67"/>
      <c r="T312" s="67"/>
      <c r="U312" s="168" t="str">
        <f>IF(ISBLANK(Table123[[#This Row],[Odds Side - Difference Model]]), "",N312+IF(Q312&lt;0, (N312/(Q312/-100)), N312*(Q312/100)))</f>
      </c>
      <c r="V312" s="169" t="str">
        <f>IFERROR(IF(ISBLANK(Table123[[#This Row],[Odds Side - Win Probability Model]]), "",N312+IF(R312&lt;0, (N312/(R312/-100)), N312*(R312/100))),"")</f>
      </c>
      <c r="W312" s="168" t="str">
        <f t="shared" si="26"/>
      </c>
      <c r="X312" s="169" t="str">
        <f t="shared" si="27"/>
      </c>
      <c r="Y312" s="168" t="str">
        <f>IF(ISBLANK(Table123[[#This Row],[Odds Spread]]), "",O312+IF(S312&lt;0, (O312/(S312/-100)), O312*(S312/100)))</f>
      </c>
      <c r="Z312" s="168" t="str">
        <f t="shared" si="28"/>
      </c>
      <c r="AA312" s="68" t="n">
        <f t="shared" si="29"/>
        <v>0</v>
      </c>
      <c r="AB312" s="68" t="n">
        <f t="shared" si="30"/>
        <v>0</v>
      </c>
      <c r="AC312" s="170" t="e">
        <f>IF('Prediction Log'!#REF!="Y", "W", IF('Prediction Log'!#REF!="N","L",""))</f>
        <v>#REF!</v>
      </c>
      <c r="AD312" s="171" t="e">
        <f>IF('Prediction Log'!#REF!="Y", "W", IF('Prediction Log'!#REF!="N","L",""))</f>
        <v>#REF!</v>
      </c>
      <c r="AE312" s="172" t="str">
        <f>IF(ISBLANK(Table123[[#This Row],[Odds Side - Difference Model]]), "",IF(AC312="W", W312, IF(AC312="L",-N312, "")))</f>
      </c>
      <c r="AF312" s="173" t="str">
        <f>IFERROR((IF(ISERR(Table123[[#This Row],[Potential Payout Side - Win Probability Model]]), "",IF(AD312="W", X312, IF(AD312="L",-N312, "")))), "")</f>
      </c>
      <c r="AG312" s="170" t="e">
        <f>IF('Prediction Log'!#REF!="Y", "W", IF('Prediction Log'!#REF!="N", "L", ""))</f>
        <v>#REF!</v>
      </c>
      <c r="AH312" s="172" t="str">
        <f>IF(ISBLANK(Table123[[#This Row],[Odds Spread]]), "",IF(AG312="W", Z312, IF(AG312="L",-O312, "")))</f>
      </c>
      <c r="AI312" s="184"/>
      <c r="AJ312" s="183" t="str">
        <f t="shared" si="31"/>
      </c>
      <c r="AK3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3">
      <c r="A313" s="65" t="e">
        <f>Games!#REF!</f>
        <v>#REF!</v>
      </c>
      <c r="B313" s="65" t="e">
        <f>IF('Prediction Log'!#REF!=0, "",'Prediction Log'!#REF!)</f>
        <v>#REF!</v>
      </c>
      <c r="C313" s="65" t="e">
        <f>IF('Prediction Log'!#REF!=0, "",'Prediction Log'!#REF!)</f>
        <v>#REF!</v>
      </c>
      <c r="D313" s="65" t="e">
        <f>IF('Prediction Log'!#REF!=0, "",'Prediction Log'!#REF!)</f>
        <v>#REF!</v>
      </c>
      <c r="E313" s="65" t="e">
        <f>IF('Prediction Log'!#REF!=0, "",'Prediction Log'!#REF!)</f>
        <v>#REF!</v>
      </c>
      <c r="F313" s="65" t="e">
        <f>IF('Prediction Log'!#REF!=0, "",'Prediction Log'!#REF!)</f>
        <v>#REF!</v>
      </c>
      <c r="G313" s="64" t="e">
        <f>IF(ISBLANK(Games!#REF!), "",'Prediction Log'!#REF!)</f>
        <v>#REF!</v>
      </c>
      <c r="H313" s="66" t="e">
        <f>'Prediction Log'!#REF!</f>
        <v>#REF!</v>
      </c>
      <c r="I313" s="65" t="e">
        <f>IF(ISBLANK(Games!#REF!), "",IF(AND(Games!#REF!="",Games!#REF!=""),"",IF(ISTEXT(Games!#REF!), "Side",Games!#REF!)))</f>
        <v>#REF!</v>
      </c>
      <c r="J313" s="65" t="e">
        <f>IF(ISBLANK(Games!#REF!), "",IF(Games!#REF!="Y", Games!#REF!, Games!#REF!))</f>
        <v>#REF!</v>
      </c>
      <c r="K313" s="65" t="e">
        <f>Games!#REF!</f>
        <v>#REF!</v>
      </c>
      <c r="L313" s="65" t="e">
        <f>IF(ISBLANK(Games!#REF!), "",Games!#REF!)</f>
        <v>#REF!</v>
      </c>
      <c r="M313" s="65"/>
      <c r="N313" s="167" t="str">
        <f>IF(ISBLANK(Table123[[#This Row],[Odds Side - Difference Model]]), "", 1)</f>
      </c>
      <c r="O313" s="167" t="str">
        <f>IF(ISBLANK(Table123[[#This Row],[Odds Spread]]), "", 1)</f>
      </c>
      <c r="P313" s="67"/>
      <c r="Q313" s="67"/>
      <c r="R3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3" s="67"/>
      <c r="T313" s="67"/>
      <c r="U313" s="168" t="str">
        <f>IF(ISBLANK(Table123[[#This Row],[Odds Side - Difference Model]]), "",N313+IF(Q313&lt;0, (N313/(Q313/-100)), N313*(Q313/100)))</f>
      </c>
      <c r="V313" s="169" t="str">
        <f>IFERROR(IF(ISBLANK(Table123[[#This Row],[Odds Side - Win Probability Model]]), "",N313+IF(R313&lt;0, (N313/(R313/-100)), N313*(R313/100))),"")</f>
      </c>
      <c r="W313" s="168" t="str">
        <f t="shared" si="26"/>
      </c>
      <c r="X313" s="169" t="str">
        <f t="shared" si="27"/>
      </c>
      <c r="Y313" s="168" t="str">
        <f>IF(ISBLANK(Table123[[#This Row],[Odds Spread]]), "",O313+IF(S313&lt;0, (O313/(S313/-100)), O313*(S313/100)))</f>
      </c>
      <c r="Z313" s="168" t="str">
        <f t="shared" si="28"/>
      </c>
      <c r="AA313" s="68" t="n">
        <f t="shared" si="29"/>
        <v>0</v>
      </c>
      <c r="AB313" s="68" t="n">
        <f t="shared" si="30"/>
        <v>0</v>
      </c>
      <c r="AC313" s="170" t="e">
        <f>IF('Prediction Log'!#REF!="Y", "W", IF('Prediction Log'!#REF!="N","L",""))</f>
        <v>#REF!</v>
      </c>
      <c r="AD313" s="171" t="e">
        <f>IF('Prediction Log'!#REF!="Y", "W", IF('Prediction Log'!#REF!="N","L",""))</f>
        <v>#REF!</v>
      </c>
      <c r="AE313" s="172" t="str">
        <f>IF(ISBLANK(Table123[[#This Row],[Odds Side - Difference Model]]), "",IF(AC313="W", W313, IF(AC313="L",-N313, "")))</f>
      </c>
      <c r="AF313" s="173" t="str">
        <f>IFERROR((IF(ISERR(Table123[[#This Row],[Potential Payout Side - Win Probability Model]]), "",IF(AD313="W", X313, IF(AD313="L",-N313, "")))), "")</f>
      </c>
      <c r="AG313" s="170" t="e">
        <f>IF('Prediction Log'!#REF!="Y", "W", IF('Prediction Log'!#REF!="N", "L", ""))</f>
        <v>#REF!</v>
      </c>
      <c r="AH313" s="172" t="str">
        <f>IF(ISBLANK(Table123[[#This Row],[Odds Spread]]), "",IF(AG313="W", Z313, IF(AG313="L",-O313, "")))</f>
      </c>
      <c r="AI313" s="184"/>
      <c r="AJ313" s="183" t="str">
        <f t="shared" si="31"/>
      </c>
      <c r="AK3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4">
      <c r="A314" s="65" t="e">
        <f>Games!#REF!</f>
        <v>#REF!</v>
      </c>
      <c r="B314" s="65" t="e">
        <f>IF('Prediction Log'!#REF!=0, "",'Prediction Log'!#REF!)</f>
        <v>#REF!</v>
      </c>
      <c r="C314" s="65" t="e">
        <f>IF('Prediction Log'!#REF!=0, "",'Prediction Log'!#REF!)</f>
        <v>#REF!</v>
      </c>
      <c r="D314" s="65" t="e">
        <f>IF('Prediction Log'!#REF!=0, "",'Prediction Log'!#REF!)</f>
        <v>#REF!</v>
      </c>
      <c r="E314" s="65" t="e">
        <f>IF('Prediction Log'!#REF!=0, "",'Prediction Log'!#REF!)</f>
        <v>#REF!</v>
      </c>
      <c r="F314" s="65" t="e">
        <f>IF('Prediction Log'!#REF!=0, "",'Prediction Log'!#REF!)</f>
        <v>#REF!</v>
      </c>
      <c r="G314" s="64" t="e">
        <f>IF(ISBLANK(Games!#REF!), "",'Prediction Log'!#REF!)</f>
        <v>#REF!</v>
      </c>
      <c r="H314" s="66" t="e">
        <f>'Prediction Log'!#REF!</f>
        <v>#REF!</v>
      </c>
      <c r="I314" s="65" t="e">
        <f>IF(ISBLANK(Games!#REF!), "",IF(AND(Games!#REF!="",Games!#REF!=""),"",IF(ISTEXT(Games!#REF!), "Side",Games!#REF!)))</f>
        <v>#REF!</v>
      </c>
      <c r="J314" s="65" t="e">
        <f>IF(ISBLANK(Games!#REF!), "",IF(Games!#REF!="Y", Games!#REF!, Games!#REF!))</f>
        <v>#REF!</v>
      </c>
      <c r="K314" s="65" t="e">
        <f>Games!#REF!</f>
        <v>#REF!</v>
      </c>
      <c r="L314" s="65" t="e">
        <f>IF(ISBLANK(Games!#REF!), "",Games!#REF!)</f>
        <v>#REF!</v>
      </c>
      <c r="M314" s="65"/>
      <c r="N314" s="167" t="str">
        <f>IF(ISBLANK(Table123[[#This Row],[Odds Side - Difference Model]]), "", 1)</f>
      </c>
      <c r="O314" s="167" t="str">
        <f>IF(ISBLANK(Table123[[#This Row],[Odds Spread]]), "", 1)</f>
      </c>
      <c r="P314" s="67"/>
      <c r="Q314" s="67"/>
      <c r="R3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4" s="67"/>
      <c r="T314" s="67"/>
      <c r="U314" s="168" t="str">
        <f>IF(ISBLANK(Table123[[#This Row],[Odds Side - Difference Model]]), "",N314+IF(Q314&lt;0, (N314/(Q314/-100)), N314*(Q314/100)))</f>
      </c>
      <c r="V314" s="169" t="str">
        <f>IFERROR(IF(ISBLANK(Table123[[#This Row],[Odds Side - Win Probability Model]]), "",N314+IF(R314&lt;0, (N314/(R314/-100)), N314*(R314/100))),"")</f>
      </c>
      <c r="W314" s="168" t="str">
        <f t="shared" si="26"/>
      </c>
      <c r="X314" s="169" t="str">
        <f t="shared" si="27"/>
      </c>
      <c r="Y314" s="168" t="str">
        <f>IF(ISBLANK(Table123[[#This Row],[Odds Spread]]), "",O314+IF(S314&lt;0, (O314/(S314/-100)), O314*(S314/100)))</f>
      </c>
      <c r="Z314" s="168" t="str">
        <f t="shared" si="28"/>
      </c>
      <c r="AA314" s="68" t="n">
        <f t="shared" si="29"/>
        <v>0</v>
      </c>
      <c r="AB314" s="68" t="n">
        <f t="shared" si="30"/>
        <v>0</v>
      </c>
      <c r="AC314" s="170" t="e">
        <f>IF('Prediction Log'!#REF!="Y", "W", IF('Prediction Log'!#REF!="N","L",""))</f>
        <v>#REF!</v>
      </c>
      <c r="AD314" s="171" t="e">
        <f>IF('Prediction Log'!#REF!="Y", "W", IF('Prediction Log'!#REF!="N","L",""))</f>
        <v>#REF!</v>
      </c>
      <c r="AE314" s="172" t="str">
        <f>IF(ISBLANK(Table123[[#This Row],[Odds Side - Difference Model]]), "",IF(AC314="W", W314, IF(AC314="L",-N314, "")))</f>
      </c>
      <c r="AF314" s="173" t="str">
        <f>IFERROR((IF(ISERR(Table123[[#This Row],[Potential Payout Side - Win Probability Model]]), "",IF(AD314="W", X314, IF(AD314="L",-N314, "")))), "")</f>
      </c>
      <c r="AG314" s="170" t="e">
        <f>IF('Prediction Log'!#REF!="Y", "W", IF('Prediction Log'!#REF!="N", "L", ""))</f>
        <v>#REF!</v>
      </c>
      <c r="AH314" s="172" t="str">
        <f>IF(ISBLANK(Table123[[#This Row],[Odds Spread]]), "",IF(AG314="W", Z314, IF(AG314="L",-O314, "")))</f>
      </c>
      <c r="AI314" s="184"/>
      <c r="AJ314" s="183" t="str">
        <f t="shared" si="31"/>
      </c>
      <c r="AK3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5">
      <c r="A315" s="65" t="e">
        <f>Games!#REF!</f>
        <v>#REF!</v>
      </c>
      <c r="B315" s="65" t="e">
        <f>IF('Prediction Log'!#REF!=0, "",'Prediction Log'!#REF!)</f>
        <v>#REF!</v>
      </c>
      <c r="C315" s="65" t="e">
        <f>IF('Prediction Log'!#REF!=0, "",'Prediction Log'!#REF!)</f>
        <v>#REF!</v>
      </c>
      <c r="D315" s="65" t="e">
        <f>IF('Prediction Log'!#REF!=0, "",'Prediction Log'!#REF!)</f>
        <v>#REF!</v>
      </c>
      <c r="E315" s="65" t="e">
        <f>IF('Prediction Log'!#REF!=0, "",'Prediction Log'!#REF!)</f>
        <v>#REF!</v>
      </c>
      <c r="F315" s="65" t="e">
        <f>IF('Prediction Log'!#REF!=0, "",'Prediction Log'!#REF!)</f>
        <v>#REF!</v>
      </c>
      <c r="G315" s="64" t="e">
        <f>IF(ISBLANK(Games!#REF!), "",'Prediction Log'!#REF!)</f>
        <v>#REF!</v>
      </c>
      <c r="H315" s="66" t="e">
        <f>'Prediction Log'!#REF!</f>
        <v>#REF!</v>
      </c>
      <c r="I315" s="65" t="e">
        <f>IF(ISBLANK(Games!#REF!), "",IF(AND(Games!#REF!="",Games!#REF!=""),"",IF(ISTEXT(Games!#REF!), "Side",Games!#REF!)))</f>
        <v>#REF!</v>
      </c>
      <c r="J315" s="65" t="e">
        <f>IF(ISBLANK(Games!#REF!), "",IF(Games!#REF!="Y", Games!#REF!, Games!#REF!))</f>
        <v>#REF!</v>
      </c>
      <c r="K315" s="65" t="e">
        <f>Games!#REF!</f>
        <v>#REF!</v>
      </c>
      <c r="L315" s="65" t="e">
        <f>IF(ISBLANK(Games!#REF!), "",Games!#REF!)</f>
        <v>#REF!</v>
      </c>
      <c r="M315" s="65"/>
      <c r="N315" s="167" t="str">
        <f>IF(ISBLANK(Table123[[#This Row],[Odds Side - Difference Model]]), "", 1)</f>
      </c>
      <c r="O315" s="167" t="str">
        <f>IF(ISBLANK(Table123[[#This Row],[Odds Spread]]), "", 1)</f>
      </c>
      <c r="P315" s="67"/>
      <c r="Q315" s="67"/>
      <c r="R3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5" s="67"/>
      <c r="T315" s="67"/>
      <c r="U315" s="168" t="str">
        <f>IF(ISBLANK(Table123[[#This Row],[Odds Side - Difference Model]]), "",N315+IF(Q315&lt;0, (N315/(Q315/-100)), N315*(Q315/100)))</f>
      </c>
      <c r="V315" s="169" t="str">
        <f>IFERROR(IF(ISBLANK(Table123[[#This Row],[Odds Side - Win Probability Model]]), "",N315+IF(R315&lt;0, (N315/(R315/-100)), N315*(R315/100))),"")</f>
      </c>
      <c r="W315" s="168" t="str">
        <f t="shared" si="26"/>
      </c>
      <c r="X315" s="169" t="str">
        <f t="shared" si="27"/>
      </c>
      <c r="Y315" s="168" t="str">
        <f>IF(ISBLANK(Table123[[#This Row],[Odds Spread]]), "",O315+IF(S315&lt;0, (O315/(S315/-100)), O315*(S315/100)))</f>
      </c>
      <c r="Z315" s="168" t="str">
        <f t="shared" si="28"/>
      </c>
      <c r="AA315" s="68" t="n">
        <f t="shared" si="29"/>
        <v>0</v>
      </c>
      <c r="AB315" s="68" t="n">
        <f t="shared" si="30"/>
        <v>0</v>
      </c>
      <c r="AC315" s="170" t="e">
        <f>IF('Prediction Log'!#REF!="Y", "W", IF('Prediction Log'!#REF!="N","L",""))</f>
        <v>#REF!</v>
      </c>
      <c r="AD315" s="171" t="e">
        <f>IF('Prediction Log'!#REF!="Y", "W", IF('Prediction Log'!#REF!="N","L",""))</f>
        <v>#REF!</v>
      </c>
      <c r="AE315" s="172" t="str">
        <f>IF(ISBLANK(Table123[[#This Row],[Odds Side - Difference Model]]), "",IF(AC315="W", W315, IF(AC315="L",-N315, "")))</f>
      </c>
      <c r="AF315" s="173" t="str">
        <f>IFERROR((IF(ISERR(Table123[[#This Row],[Potential Payout Side - Win Probability Model]]), "",IF(AD315="W", X315, IF(AD315="L",-N315, "")))), "")</f>
      </c>
      <c r="AG315" s="170" t="e">
        <f>IF('Prediction Log'!#REF!="Y", "W", IF('Prediction Log'!#REF!="N", "L", ""))</f>
        <v>#REF!</v>
      </c>
      <c r="AH315" s="172" t="str">
        <f>IF(ISBLANK(Table123[[#This Row],[Odds Spread]]), "",IF(AG315="W", Z315, IF(AG315="L",-O315, "")))</f>
      </c>
      <c r="AI315" s="184"/>
      <c r="AJ315" s="183" t="str">
        <f t="shared" si="31"/>
      </c>
      <c r="AK3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6">
      <c r="A316" s="65" t="e">
        <f>Games!#REF!</f>
        <v>#REF!</v>
      </c>
      <c r="B316" s="65" t="e">
        <f>IF('Prediction Log'!#REF!=0, "",'Prediction Log'!#REF!)</f>
        <v>#REF!</v>
      </c>
      <c r="C316" s="65" t="e">
        <f>IF('Prediction Log'!#REF!=0, "",'Prediction Log'!#REF!)</f>
        <v>#REF!</v>
      </c>
      <c r="D316" s="65" t="e">
        <f>IF('Prediction Log'!#REF!=0, "",'Prediction Log'!#REF!)</f>
        <v>#REF!</v>
      </c>
      <c r="E316" s="65" t="e">
        <f>IF('Prediction Log'!#REF!=0, "",'Prediction Log'!#REF!)</f>
        <v>#REF!</v>
      </c>
      <c r="F316" s="65" t="e">
        <f>IF('Prediction Log'!#REF!=0, "",'Prediction Log'!#REF!)</f>
        <v>#REF!</v>
      </c>
      <c r="G316" s="64" t="e">
        <f>IF(ISBLANK(Games!#REF!), "",'Prediction Log'!#REF!)</f>
        <v>#REF!</v>
      </c>
      <c r="H316" s="66" t="e">
        <f>'Prediction Log'!#REF!</f>
        <v>#REF!</v>
      </c>
      <c r="I316" s="65" t="e">
        <f>IF(ISBLANK(Games!#REF!), "",IF(AND(Games!#REF!="",Games!#REF!=""),"",IF(ISTEXT(Games!#REF!), "Side",Games!#REF!)))</f>
        <v>#REF!</v>
      </c>
      <c r="J316" s="65" t="e">
        <f>IF(ISBLANK(Games!#REF!), "",IF(Games!#REF!="Y", Games!#REF!, Games!#REF!))</f>
        <v>#REF!</v>
      </c>
      <c r="K316" s="65" t="e">
        <f>Games!#REF!</f>
        <v>#REF!</v>
      </c>
      <c r="L316" s="65" t="e">
        <f>IF(ISBLANK(Games!#REF!), "",Games!#REF!)</f>
        <v>#REF!</v>
      </c>
      <c r="M316" s="65"/>
      <c r="N316" s="167" t="str">
        <f>IF(ISBLANK(Table123[[#This Row],[Odds Side - Difference Model]]), "", 1)</f>
      </c>
      <c r="O316" s="167" t="str">
        <f>IF(ISBLANK(Table123[[#This Row],[Odds Spread]]), "", 1)</f>
      </c>
      <c r="P316" s="67"/>
      <c r="Q316" s="67"/>
      <c r="R3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6" s="67"/>
      <c r="T316" s="67"/>
      <c r="U316" s="168" t="str">
        <f>IF(ISBLANK(Table123[[#This Row],[Odds Side - Difference Model]]), "",N316+IF(Q316&lt;0, (N316/(Q316/-100)), N316*(Q316/100)))</f>
      </c>
      <c r="V316" s="169" t="str">
        <f>IFERROR(IF(ISBLANK(Table123[[#This Row],[Odds Side - Win Probability Model]]), "",N316+IF(R316&lt;0, (N316/(R316/-100)), N316*(R316/100))),"")</f>
      </c>
      <c r="W316" s="168" t="str">
        <f t="shared" si="26"/>
      </c>
      <c r="X316" s="169" t="str">
        <f t="shared" si="27"/>
      </c>
      <c r="Y316" s="168" t="str">
        <f>IF(ISBLANK(Table123[[#This Row],[Odds Spread]]), "",O316+IF(S316&lt;0, (O316/(S316/-100)), O316*(S316/100)))</f>
      </c>
      <c r="Z316" s="168" t="str">
        <f t="shared" si="28"/>
      </c>
      <c r="AA316" s="68" t="n">
        <f t="shared" si="29"/>
        <v>0</v>
      </c>
      <c r="AB316" s="68" t="n">
        <f t="shared" si="30"/>
        <v>0</v>
      </c>
      <c r="AC316" s="170" t="e">
        <f>IF('Prediction Log'!#REF!="Y", "W", IF('Prediction Log'!#REF!="N","L",""))</f>
        <v>#REF!</v>
      </c>
      <c r="AD316" s="171" t="e">
        <f>IF('Prediction Log'!#REF!="Y", "W", IF('Prediction Log'!#REF!="N","L",""))</f>
        <v>#REF!</v>
      </c>
      <c r="AE316" s="172" t="str">
        <f>IF(ISBLANK(Table123[[#This Row],[Odds Side - Difference Model]]), "",IF(AC316="W", W316, IF(AC316="L",-N316, "")))</f>
      </c>
      <c r="AF316" s="173" t="str">
        <f>IFERROR((IF(ISERR(Table123[[#This Row],[Potential Payout Side - Win Probability Model]]), "",IF(AD316="W", X316, IF(AD316="L",-N316, "")))), "")</f>
      </c>
      <c r="AG316" s="170" t="e">
        <f>IF('Prediction Log'!#REF!="Y", "W", IF('Prediction Log'!#REF!="N", "L", ""))</f>
        <v>#REF!</v>
      </c>
      <c r="AH316" s="172" t="str">
        <f>IF(ISBLANK(Table123[[#This Row],[Odds Spread]]), "",IF(AG316="W", Z316, IF(AG316="L",-O316, "")))</f>
      </c>
      <c r="AI316" s="184"/>
      <c r="AJ316" s="183" t="str">
        <f t="shared" si="31"/>
      </c>
      <c r="AK3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7">
      <c r="A317" s="65" t="e">
        <f>Games!#REF!</f>
        <v>#REF!</v>
      </c>
      <c r="B317" s="65" t="e">
        <f>IF('Prediction Log'!#REF!=0, "",'Prediction Log'!#REF!)</f>
        <v>#REF!</v>
      </c>
      <c r="C317" s="65" t="e">
        <f>IF('Prediction Log'!#REF!=0, "",'Prediction Log'!#REF!)</f>
        <v>#REF!</v>
      </c>
      <c r="D317" s="65" t="e">
        <f>IF('Prediction Log'!#REF!=0, "",'Prediction Log'!#REF!)</f>
        <v>#REF!</v>
      </c>
      <c r="E317" s="65" t="e">
        <f>IF('Prediction Log'!#REF!=0, "",'Prediction Log'!#REF!)</f>
        <v>#REF!</v>
      </c>
      <c r="F317" s="65" t="e">
        <f>IF('Prediction Log'!#REF!=0, "",'Prediction Log'!#REF!)</f>
        <v>#REF!</v>
      </c>
      <c r="G317" s="64" t="e">
        <f>IF(ISBLANK(Games!#REF!), "",'Prediction Log'!#REF!)</f>
        <v>#REF!</v>
      </c>
      <c r="H317" s="66" t="e">
        <f>'Prediction Log'!#REF!</f>
        <v>#REF!</v>
      </c>
      <c r="I317" s="65" t="e">
        <f>IF(ISBLANK(Games!#REF!), "",IF(AND(Games!#REF!="",Games!#REF!=""),"",IF(ISTEXT(Games!#REF!), "Side",Games!#REF!)))</f>
        <v>#REF!</v>
      </c>
      <c r="J317" s="65" t="e">
        <f>IF(ISBLANK(Games!#REF!), "",IF(Games!#REF!="Y", Games!#REF!, Games!#REF!))</f>
        <v>#REF!</v>
      </c>
      <c r="K317" s="65" t="e">
        <f>Games!#REF!</f>
        <v>#REF!</v>
      </c>
      <c r="L317" s="65" t="e">
        <f>IF(ISBLANK(Games!#REF!), "",Games!#REF!)</f>
        <v>#REF!</v>
      </c>
      <c r="M317" s="65"/>
      <c r="N317" s="167" t="str">
        <f>IF(ISBLANK(Table123[[#This Row],[Odds Side - Difference Model]]), "", 1)</f>
      </c>
      <c r="O317" s="167" t="str">
        <f>IF(ISBLANK(Table123[[#This Row],[Odds Spread]]), "", 1)</f>
      </c>
      <c r="P317" s="67"/>
      <c r="Q317" s="67"/>
      <c r="R3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7" s="67"/>
      <c r="T317" s="67"/>
      <c r="U317" s="168" t="str">
        <f>IF(ISBLANK(Table123[[#This Row],[Odds Side - Difference Model]]), "",N317+IF(Q317&lt;0, (N317/(Q317/-100)), N317*(Q317/100)))</f>
      </c>
      <c r="V317" s="169" t="str">
        <f>IFERROR(IF(ISBLANK(Table123[[#This Row],[Odds Side - Win Probability Model]]), "",N317+IF(R317&lt;0, (N317/(R317/-100)), N317*(R317/100))),"")</f>
      </c>
      <c r="W317" s="168" t="str">
        <f t="shared" si="26"/>
      </c>
      <c r="X317" s="169" t="str">
        <f t="shared" si="27"/>
      </c>
      <c r="Y317" s="168" t="str">
        <f>IF(ISBLANK(Table123[[#This Row],[Odds Spread]]), "",O317+IF(S317&lt;0, (O317/(S317/-100)), O317*(S317/100)))</f>
      </c>
      <c r="Z317" s="168" t="str">
        <f t="shared" si="28"/>
      </c>
      <c r="AA317" s="68" t="n">
        <f t="shared" si="29"/>
        <v>0</v>
      </c>
      <c r="AB317" s="68" t="n">
        <f t="shared" si="30"/>
        <v>0</v>
      </c>
      <c r="AC317" s="170" t="e">
        <f>IF('Prediction Log'!#REF!="Y", "W", IF('Prediction Log'!#REF!="N","L",""))</f>
        <v>#REF!</v>
      </c>
      <c r="AD317" s="171" t="e">
        <f>IF('Prediction Log'!#REF!="Y", "W", IF('Prediction Log'!#REF!="N","L",""))</f>
        <v>#REF!</v>
      </c>
      <c r="AE317" s="172" t="str">
        <f>IF(ISBLANK(Table123[[#This Row],[Odds Side - Difference Model]]), "",IF(AC317="W", W317, IF(AC317="L",-N317, "")))</f>
      </c>
      <c r="AF317" s="173" t="str">
        <f>IFERROR((IF(ISERR(Table123[[#This Row],[Potential Payout Side - Win Probability Model]]), "",IF(AD317="W", X317, IF(AD317="L",-N317, "")))), "")</f>
      </c>
      <c r="AG317" s="170" t="e">
        <f>IF('Prediction Log'!#REF!="Y", "W", IF('Prediction Log'!#REF!="N", "L", ""))</f>
        <v>#REF!</v>
      </c>
      <c r="AH317" s="172" t="str">
        <f>IF(ISBLANK(Table123[[#This Row],[Odds Spread]]), "",IF(AG317="W", Z317, IF(AG317="L",-O317, "")))</f>
      </c>
      <c r="AI317" s="184"/>
      <c r="AJ317" s="183" t="str">
        <f t="shared" si="31"/>
      </c>
      <c r="AK3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8">
      <c r="A318" s="65" t="e">
        <f>Games!#REF!</f>
        <v>#REF!</v>
      </c>
      <c r="B318" s="65" t="e">
        <f>IF('Prediction Log'!#REF!=0, "",'Prediction Log'!#REF!)</f>
        <v>#REF!</v>
      </c>
      <c r="C318" s="65" t="e">
        <f>IF('Prediction Log'!#REF!=0, "",'Prediction Log'!#REF!)</f>
        <v>#REF!</v>
      </c>
      <c r="D318" s="65" t="e">
        <f>IF('Prediction Log'!#REF!=0, "",'Prediction Log'!#REF!)</f>
        <v>#REF!</v>
      </c>
      <c r="E318" s="65" t="e">
        <f>IF('Prediction Log'!#REF!=0, "",'Prediction Log'!#REF!)</f>
        <v>#REF!</v>
      </c>
      <c r="F318" s="65" t="e">
        <f>IF('Prediction Log'!#REF!=0, "",'Prediction Log'!#REF!)</f>
        <v>#REF!</v>
      </c>
      <c r="G318" s="64" t="e">
        <f>IF(ISBLANK(Games!#REF!), "",'Prediction Log'!#REF!)</f>
        <v>#REF!</v>
      </c>
      <c r="H318" s="66" t="e">
        <f>'Prediction Log'!#REF!</f>
        <v>#REF!</v>
      </c>
      <c r="I318" s="65" t="e">
        <f>IF(ISBLANK(Games!#REF!), "",IF(AND(Games!#REF!="",Games!#REF!=""),"",IF(ISTEXT(Games!#REF!), "Side",Games!#REF!)))</f>
        <v>#REF!</v>
      </c>
      <c r="J318" s="65" t="e">
        <f>IF(ISBLANK(Games!#REF!), "",IF(Games!#REF!="Y", Games!#REF!, Games!#REF!))</f>
        <v>#REF!</v>
      </c>
      <c r="K318" s="65" t="e">
        <f>Games!#REF!</f>
        <v>#REF!</v>
      </c>
      <c r="L318" s="65" t="e">
        <f>IF(ISBLANK(Games!#REF!), "",Games!#REF!)</f>
        <v>#REF!</v>
      </c>
      <c r="M318" s="65"/>
      <c r="N318" s="167" t="str">
        <f>IF(ISBLANK(Table123[[#This Row],[Odds Side - Difference Model]]), "", 1)</f>
      </c>
      <c r="O318" s="167" t="str">
        <f>IF(ISBLANK(Table123[[#This Row],[Odds Spread]]), "", 1)</f>
      </c>
      <c r="P318" s="67"/>
      <c r="Q318" s="67"/>
      <c r="R3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8" s="67"/>
      <c r="T318" s="67"/>
      <c r="U318" s="168" t="str">
        <f>IF(ISBLANK(Table123[[#This Row],[Odds Side - Difference Model]]), "",N318+IF(Q318&lt;0, (N318/(Q318/-100)), N318*(Q318/100)))</f>
      </c>
      <c r="V318" s="169" t="str">
        <f>IFERROR(IF(ISBLANK(Table123[[#This Row],[Odds Side - Win Probability Model]]), "",N318+IF(R318&lt;0, (N318/(R318/-100)), N318*(R318/100))),"")</f>
      </c>
      <c r="W318" s="168" t="str">
        <f t="shared" si="26"/>
      </c>
      <c r="X318" s="169" t="str">
        <f t="shared" si="27"/>
      </c>
      <c r="Y318" s="168" t="str">
        <f>IF(ISBLANK(Table123[[#This Row],[Odds Spread]]), "",O318+IF(S318&lt;0, (O318/(S318/-100)), O318*(S318/100)))</f>
      </c>
      <c r="Z318" s="168" t="str">
        <f t="shared" si="28"/>
      </c>
      <c r="AA318" s="68" t="n">
        <f t="shared" si="29"/>
        <v>0</v>
      </c>
      <c r="AB318" s="68" t="n">
        <f t="shared" si="30"/>
        <v>0</v>
      </c>
      <c r="AC318" s="170" t="e">
        <f>IF('Prediction Log'!#REF!="Y", "W", IF('Prediction Log'!#REF!="N","L",""))</f>
        <v>#REF!</v>
      </c>
      <c r="AD318" s="171" t="e">
        <f>IF('Prediction Log'!#REF!="Y", "W", IF('Prediction Log'!#REF!="N","L",""))</f>
        <v>#REF!</v>
      </c>
      <c r="AE318" s="172" t="str">
        <f>IF(ISBLANK(Table123[[#This Row],[Odds Side - Difference Model]]), "",IF(AC318="W", W318, IF(AC318="L",-N318, "")))</f>
      </c>
      <c r="AF318" s="173" t="str">
        <f>IFERROR((IF(ISERR(Table123[[#This Row],[Potential Payout Side - Win Probability Model]]), "",IF(AD318="W", X318, IF(AD318="L",-N318, "")))), "")</f>
      </c>
      <c r="AG318" s="170" t="e">
        <f>IF('Prediction Log'!#REF!="Y", "W", IF('Prediction Log'!#REF!="N", "L", ""))</f>
        <v>#REF!</v>
      </c>
      <c r="AH318" s="172" t="str">
        <f>IF(ISBLANK(Table123[[#This Row],[Odds Spread]]), "",IF(AG318="W", Z318, IF(AG318="L",-O318, "")))</f>
      </c>
      <c r="AI318" s="184"/>
      <c r="AJ318" s="183" t="str">
        <f t="shared" si="31"/>
      </c>
      <c r="AK3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9">
      <c r="A319" s="65" t="e">
        <f>Games!#REF!</f>
        <v>#REF!</v>
      </c>
      <c r="B319" s="65" t="e">
        <f>IF('Prediction Log'!#REF!=0, "",'Prediction Log'!#REF!)</f>
        <v>#REF!</v>
      </c>
      <c r="C319" s="65" t="e">
        <f>IF('Prediction Log'!#REF!=0, "",'Prediction Log'!#REF!)</f>
        <v>#REF!</v>
      </c>
      <c r="D319" s="65" t="e">
        <f>IF('Prediction Log'!#REF!=0, "",'Prediction Log'!#REF!)</f>
        <v>#REF!</v>
      </c>
      <c r="E319" s="65" t="e">
        <f>IF('Prediction Log'!#REF!=0, "",'Prediction Log'!#REF!)</f>
        <v>#REF!</v>
      </c>
      <c r="F319" s="65" t="e">
        <f>IF('Prediction Log'!#REF!=0, "",'Prediction Log'!#REF!)</f>
        <v>#REF!</v>
      </c>
      <c r="G319" s="64" t="e">
        <f>IF(ISBLANK(Games!#REF!), "",'Prediction Log'!#REF!)</f>
        <v>#REF!</v>
      </c>
      <c r="H319" s="66" t="e">
        <f>'Prediction Log'!#REF!</f>
        <v>#REF!</v>
      </c>
      <c r="I319" s="65" t="e">
        <f>IF(ISBLANK(Games!#REF!), "",IF(AND(Games!#REF!="",Games!#REF!=""),"",IF(ISTEXT(Games!#REF!), "Side",Games!#REF!)))</f>
        <v>#REF!</v>
      </c>
      <c r="J319" s="65" t="e">
        <f>IF(ISBLANK(Games!#REF!), "",IF(Games!#REF!="Y", Games!#REF!, Games!#REF!))</f>
        <v>#REF!</v>
      </c>
      <c r="K319" s="65" t="e">
        <f>Games!#REF!</f>
        <v>#REF!</v>
      </c>
      <c r="L319" s="65" t="e">
        <f>IF(ISBLANK(Games!#REF!), "",Games!#REF!)</f>
        <v>#REF!</v>
      </c>
      <c r="M319" s="65"/>
      <c r="N319" s="167" t="str">
        <f>IF(ISBLANK(Table123[[#This Row],[Odds Side - Difference Model]]), "", 1)</f>
      </c>
      <c r="O319" s="167" t="str">
        <f>IF(ISBLANK(Table123[[#This Row],[Odds Spread]]), "", 1)</f>
      </c>
      <c r="P319" s="67"/>
      <c r="Q319" s="67"/>
      <c r="R3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9" s="67"/>
      <c r="T319" s="67"/>
      <c r="U319" s="168" t="str">
        <f>IF(ISBLANK(Table123[[#This Row],[Odds Side - Difference Model]]), "",N319+IF(Q319&lt;0, (N319/(Q319/-100)), N319*(Q319/100)))</f>
      </c>
      <c r="V319" s="169" t="str">
        <f>IFERROR(IF(ISBLANK(Table123[[#This Row],[Odds Side - Win Probability Model]]), "",N319+IF(R319&lt;0, (N319/(R319/-100)), N319*(R319/100))),"")</f>
      </c>
      <c r="W319" s="168" t="str">
        <f t="shared" si="26"/>
      </c>
      <c r="X319" s="169" t="str">
        <f t="shared" si="27"/>
      </c>
      <c r="Y319" s="168" t="str">
        <f>IF(ISBLANK(Table123[[#This Row],[Odds Spread]]), "",O319+IF(S319&lt;0, (O319/(S319/-100)), O319*(S319/100)))</f>
      </c>
      <c r="Z319" s="168" t="str">
        <f t="shared" si="28"/>
      </c>
      <c r="AA319" s="68" t="n">
        <f t="shared" si="29"/>
        <v>0</v>
      </c>
      <c r="AB319" s="68" t="n">
        <f t="shared" si="30"/>
        <v>0</v>
      </c>
      <c r="AC319" s="170" t="e">
        <f>IF('Prediction Log'!#REF!="Y", "W", IF('Prediction Log'!#REF!="N","L",""))</f>
        <v>#REF!</v>
      </c>
      <c r="AD319" s="171" t="e">
        <f>IF('Prediction Log'!#REF!="Y", "W", IF('Prediction Log'!#REF!="N","L",""))</f>
        <v>#REF!</v>
      </c>
      <c r="AE319" s="172" t="str">
        <f>IF(ISBLANK(Table123[[#This Row],[Odds Side - Difference Model]]), "",IF(AC319="W", W319, IF(AC319="L",-N319, "")))</f>
      </c>
      <c r="AF319" s="173" t="str">
        <f>IFERROR((IF(ISERR(Table123[[#This Row],[Potential Payout Side - Win Probability Model]]), "",IF(AD319="W", X319, IF(AD319="L",-N319, "")))), "")</f>
      </c>
      <c r="AG319" s="170" t="e">
        <f>IF('Prediction Log'!#REF!="Y", "W", IF('Prediction Log'!#REF!="N", "L", ""))</f>
        <v>#REF!</v>
      </c>
      <c r="AH319" s="172" t="str">
        <f>IF(ISBLANK(Table123[[#This Row],[Odds Spread]]), "",IF(AG319="W", Z319, IF(AG319="L",-O319, "")))</f>
      </c>
      <c r="AI319" s="184"/>
      <c r="AJ319" s="183" t="str">
        <f t="shared" si="31"/>
      </c>
      <c r="AK3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0">
      <c r="A320" s="65" t="e">
        <f>Games!#REF!</f>
        <v>#REF!</v>
      </c>
      <c r="B320" s="65" t="e">
        <f>IF('Prediction Log'!#REF!=0, "",'Prediction Log'!#REF!)</f>
        <v>#REF!</v>
      </c>
      <c r="C320" s="65" t="e">
        <f>IF('Prediction Log'!#REF!=0, "",'Prediction Log'!#REF!)</f>
        <v>#REF!</v>
      </c>
      <c r="D320" s="65" t="e">
        <f>IF('Prediction Log'!#REF!=0, "",'Prediction Log'!#REF!)</f>
        <v>#REF!</v>
      </c>
      <c r="E320" s="65" t="e">
        <f>IF('Prediction Log'!#REF!=0, "",'Prediction Log'!#REF!)</f>
        <v>#REF!</v>
      </c>
      <c r="F320" s="65" t="e">
        <f>IF('Prediction Log'!#REF!=0, "",'Prediction Log'!#REF!)</f>
        <v>#REF!</v>
      </c>
      <c r="G320" s="64" t="e">
        <f>IF(ISBLANK(Games!#REF!), "",'Prediction Log'!#REF!)</f>
        <v>#REF!</v>
      </c>
      <c r="H320" s="66" t="e">
        <f>'Prediction Log'!#REF!</f>
        <v>#REF!</v>
      </c>
      <c r="I320" s="65" t="e">
        <f>IF(ISBLANK(Games!#REF!), "",IF(AND(Games!#REF!="",Games!#REF!=""),"",IF(ISTEXT(Games!#REF!), "Side",Games!#REF!)))</f>
        <v>#REF!</v>
      </c>
      <c r="J320" s="65" t="e">
        <f>IF(ISBLANK(Games!#REF!), "",IF(Games!#REF!="Y", Games!#REF!, Games!#REF!))</f>
        <v>#REF!</v>
      </c>
      <c r="K320" s="65" t="e">
        <f>Games!#REF!</f>
        <v>#REF!</v>
      </c>
      <c r="L320" s="65" t="e">
        <f>IF(ISBLANK(Games!#REF!), "",Games!#REF!)</f>
        <v>#REF!</v>
      </c>
      <c r="M320" s="65"/>
      <c r="N320" s="167" t="str">
        <f>IF(ISBLANK(Table123[[#This Row],[Odds Side - Difference Model]]), "", 1)</f>
      </c>
      <c r="O320" s="167" t="str">
        <f>IF(ISBLANK(Table123[[#This Row],[Odds Spread]]), "", 1)</f>
      </c>
      <c r="P320" s="67"/>
      <c r="Q320" s="67"/>
      <c r="R3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0" s="67"/>
      <c r="T320" s="67"/>
      <c r="U320" s="168" t="str">
        <f>IF(ISBLANK(Table123[[#This Row],[Odds Side - Difference Model]]), "",N320+IF(Q320&lt;0, (N320/(Q320/-100)), N320*(Q320/100)))</f>
      </c>
      <c r="V320" s="169" t="str">
        <f>IFERROR(IF(ISBLANK(Table123[[#This Row],[Odds Side - Win Probability Model]]), "",N320+IF(R320&lt;0, (N320/(R320/-100)), N320*(R320/100))),"")</f>
      </c>
      <c r="W320" s="168" t="str">
        <f t="shared" si="26"/>
      </c>
      <c r="X320" s="169" t="str">
        <f t="shared" si="27"/>
      </c>
      <c r="Y320" s="168" t="str">
        <f>IF(ISBLANK(Table123[[#This Row],[Odds Spread]]), "",O320+IF(S320&lt;0, (O320/(S320/-100)), O320*(S320/100)))</f>
      </c>
      <c r="Z320" s="168" t="str">
        <f t="shared" si="28"/>
      </c>
      <c r="AA320" s="68" t="n">
        <f t="shared" si="29"/>
        <v>0</v>
      </c>
      <c r="AB320" s="68" t="n">
        <f t="shared" si="30"/>
        <v>0</v>
      </c>
      <c r="AC320" s="170" t="e">
        <f>IF('Prediction Log'!#REF!="Y", "W", IF('Prediction Log'!#REF!="N","L",""))</f>
        <v>#REF!</v>
      </c>
      <c r="AD320" s="171" t="e">
        <f>IF('Prediction Log'!#REF!="Y", "W", IF('Prediction Log'!#REF!="N","L",""))</f>
        <v>#REF!</v>
      </c>
      <c r="AE320" s="172" t="str">
        <f>IF(ISBLANK(Table123[[#This Row],[Odds Side - Difference Model]]), "",IF(AC320="W", W320, IF(AC320="L",-N320, "")))</f>
      </c>
      <c r="AF320" s="173" t="str">
        <f>IFERROR((IF(ISERR(Table123[[#This Row],[Potential Payout Side - Win Probability Model]]), "",IF(AD320="W", X320, IF(AD320="L",-N320, "")))), "")</f>
      </c>
      <c r="AG320" s="170" t="e">
        <f>IF('Prediction Log'!#REF!="Y", "W", IF('Prediction Log'!#REF!="N", "L", ""))</f>
        <v>#REF!</v>
      </c>
      <c r="AH320" s="172" t="str">
        <f>IF(ISBLANK(Table123[[#This Row],[Odds Spread]]), "",IF(AG320="W", Z320, IF(AG320="L",-O320, "")))</f>
      </c>
      <c r="AI320" s="184"/>
      <c r="AJ320" s="183" t="str">
        <f t="shared" si="31"/>
      </c>
      <c r="AK3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1">
      <c r="A321" s="65" t="e">
        <f>Games!#REF!</f>
        <v>#REF!</v>
      </c>
      <c r="B321" s="65" t="e">
        <f>IF('Prediction Log'!#REF!=0, "",'Prediction Log'!#REF!)</f>
        <v>#REF!</v>
      </c>
      <c r="C321" s="65" t="e">
        <f>IF('Prediction Log'!#REF!=0, "",'Prediction Log'!#REF!)</f>
        <v>#REF!</v>
      </c>
      <c r="D321" s="65" t="e">
        <f>IF('Prediction Log'!#REF!=0, "",'Prediction Log'!#REF!)</f>
        <v>#REF!</v>
      </c>
      <c r="E321" s="65" t="e">
        <f>IF('Prediction Log'!#REF!=0, "",'Prediction Log'!#REF!)</f>
        <v>#REF!</v>
      </c>
      <c r="F321" s="65" t="e">
        <f>IF('Prediction Log'!#REF!=0, "",'Prediction Log'!#REF!)</f>
        <v>#REF!</v>
      </c>
      <c r="G321" s="64" t="e">
        <f>IF(ISBLANK(Games!#REF!), "",'Prediction Log'!#REF!)</f>
        <v>#REF!</v>
      </c>
      <c r="H321" s="66" t="e">
        <f>'Prediction Log'!#REF!</f>
        <v>#REF!</v>
      </c>
      <c r="I321" s="65" t="e">
        <f>IF(ISBLANK(Games!#REF!), "",IF(AND(Games!#REF!="",Games!#REF!=""),"",IF(ISTEXT(Games!#REF!), "Side",Games!#REF!)))</f>
        <v>#REF!</v>
      </c>
      <c r="J321" s="65" t="e">
        <f>IF(ISBLANK(Games!#REF!), "",IF(Games!#REF!="Y", Games!#REF!, Games!#REF!))</f>
        <v>#REF!</v>
      </c>
      <c r="K321" s="65" t="e">
        <f>Games!#REF!</f>
        <v>#REF!</v>
      </c>
      <c r="L321" s="65" t="e">
        <f>IF(ISBLANK(Games!#REF!), "",Games!#REF!)</f>
        <v>#REF!</v>
      </c>
      <c r="M321" s="65"/>
      <c r="N321" s="167" t="str">
        <f>IF(ISBLANK(Table123[[#This Row],[Odds Side - Difference Model]]), "", 1)</f>
      </c>
      <c r="O321" s="167" t="str">
        <f>IF(ISBLANK(Table123[[#This Row],[Odds Spread]]), "", 1)</f>
      </c>
      <c r="P321" s="67"/>
      <c r="Q321" s="67"/>
      <c r="R3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1" s="67"/>
      <c r="T321" s="67"/>
      <c r="U321" s="168" t="str">
        <f>IF(ISBLANK(Table123[[#This Row],[Odds Side - Difference Model]]), "",N321+IF(Q321&lt;0, (N321/(Q321/-100)), N321*(Q321/100)))</f>
      </c>
      <c r="V321" s="169" t="str">
        <f>IFERROR(IF(ISBLANK(Table123[[#This Row],[Odds Side - Win Probability Model]]), "",N321+IF(R321&lt;0, (N321/(R321/-100)), N321*(R321/100))),"")</f>
      </c>
      <c r="W321" s="168" t="str">
        <f t="shared" si="26"/>
      </c>
      <c r="X321" s="169" t="str">
        <f t="shared" si="27"/>
      </c>
      <c r="Y321" s="168" t="str">
        <f>IF(ISBLANK(Table123[[#This Row],[Odds Spread]]), "",O321+IF(S321&lt;0, (O321/(S321/-100)), O321*(S321/100)))</f>
      </c>
      <c r="Z321" s="168" t="str">
        <f t="shared" si="28"/>
      </c>
      <c r="AA321" s="68" t="n">
        <f t="shared" si="29"/>
        <v>0</v>
      </c>
      <c r="AB321" s="68" t="n">
        <f t="shared" si="30"/>
        <v>0</v>
      </c>
      <c r="AC321" s="170" t="e">
        <f>IF('Prediction Log'!#REF!="Y", "W", IF('Prediction Log'!#REF!="N","L",""))</f>
        <v>#REF!</v>
      </c>
      <c r="AD321" s="171" t="e">
        <f>IF('Prediction Log'!#REF!="Y", "W", IF('Prediction Log'!#REF!="N","L",""))</f>
        <v>#REF!</v>
      </c>
      <c r="AE321" s="172" t="str">
        <f>IF(ISBLANK(Table123[[#This Row],[Odds Side - Difference Model]]), "",IF(AC321="W", W321, IF(AC321="L",-N321, "")))</f>
      </c>
      <c r="AF321" s="173" t="str">
        <f>IFERROR((IF(ISERR(Table123[[#This Row],[Potential Payout Side - Win Probability Model]]), "",IF(AD321="W", X321, IF(AD321="L",-N321, "")))), "")</f>
      </c>
      <c r="AG321" s="170" t="e">
        <f>IF('Prediction Log'!#REF!="Y", "W", IF('Prediction Log'!#REF!="N", "L", ""))</f>
        <v>#REF!</v>
      </c>
      <c r="AH321" s="172" t="str">
        <f>IF(ISBLANK(Table123[[#This Row],[Odds Spread]]), "",IF(AG321="W", Z321, IF(AG321="L",-O321, "")))</f>
      </c>
      <c r="AI321" s="184"/>
      <c r="AJ321" s="183" t="str">
        <f t="shared" si="31"/>
      </c>
      <c r="AK3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2">
      <c r="A322" s="65" t="e">
        <f>Games!#REF!</f>
        <v>#REF!</v>
      </c>
      <c r="B322" s="65" t="e">
        <f>IF('Prediction Log'!#REF!=0, "",'Prediction Log'!#REF!)</f>
        <v>#REF!</v>
      </c>
      <c r="C322" s="65" t="e">
        <f>IF('Prediction Log'!#REF!=0, "",'Prediction Log'!#REF!)</f>
        <v>#REF!</v>
      </c>
      <c r="D322" s="65" t="e">
        <f>IF('Prediction Log'!#REF!=0, "",'Prediction Log'!#REF!)</f>
        <v>#REF!</v>
      </c>
      <c r="E322" s="65" t="e">
        <f>IF('Prediction Log'!#REF!=0, "",'Prediction Log'!#REF!)</f>
        <v>#REF!</v>
      </c>
      <c r="F322" s="65" t="e">
        <f>IF('Prediction Log'!#REF!=0, "",'Prediction Log'!#REF!)</f>
        <v>#REF!</v>
      </c>
      <c r="G322" s="64" t="e">
        <f>IF(ISBLANK(Games!#REF!), "",'Prediction Log'!#REF!)</f>
        <v>#REF!</v>
      </c>
      <c r="H322" s="66" t="e">
        <f>'Prediction Log'!#REF!</f>
        <v>#REF!</v>
      </c>
      <c r="I322" s="65" t="e">
        <f>IF(ISBLANK(Games!#REF!), "",IF(AND(Games!#REF!="",Games!#REF!=""),"",IF(ISTEXT(Games!#REF!), "Side",Games!#REF!)))</f>
        <v>#REF!</v>
      </c>
      <c r="J322" s="65" t="e">
        <f>IF(ISBLANK(Games!#REF!), "",IF(Games!#REF!="Y", Games!#REF!, Games!#REF!))</f>
        <v>#REF!</v>
      </c>
      <c r="K322" s="65" t="e">
        <f>Games!#REF!</f>
        <v>#REF!</v>
      </c>
      <c r="L322" s="65" t="e">
        <f>IF(ISBLANK(Games!#REF!), "",Games!#REF!)</f>
        <v>#REF!</v>
      </c>
      <c r="M322" s="65"/>
      <c r="N322" s="167" t="str">
        <f>IF(ISBLANK(Table123[[#This Row],[Odds Side - Difference Model]]), "", 1)</f>
      </c>
      <c r="O322" s="167" t="str">
        <f>IF(ISBLANK(Table123[[#This Row],[Odds Spread]]), "", 1)</f>
      </c>
      <c r="P322" s="67"/>
      <c r="Q322" s="67"/>
      <c r="R3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2" s="67"/>
      <c r="T322" s="67"/>
      <c r="U322" s="168" t="str">
        <f>IF(ISBLANK(Table123[[#This Row],[Odds Side - Difference Model]]), "",N322+IF(Q322&lt;0, (N322/(Q322/-100)), N322*(Q322/100)))</f>
      </c>
      <c r="V322" s="169" t="str">
        <f>IFERROR(IF(ISBLANK(Table123[[#This Row],[Odds Side - Win Probability Model]]), "",N322+IF(R322&lt;0, (N322/(R322/-100)), N322*(R322/100))),"")</f>
      </c>
      <c r="W322" s="168" t="str">
        <f t="shared" si="26"/>
      </c>
      <c r="X322" s="169" t="str">
        <f t="shared" si="27"/>
      </c>
      <c r="Y322" s="168" t="str">
        <f>IF(ISBLANK(Table123[[#This Row],[Odds Spread]]), "",O322+IF(S322&lt;0, (O322/(S322/-100)), O322*(S322/100)))</f>
      </c>
      <c r="Z322" s="168" t="str">
        <f t="shared" si="28"/>
      </c>
      <c r="AA322" s="68" t="n">
        <f t="shared" si="29"/>
        <v>0</v>
      </c>
      <c r="AB322" s="68" t="n">
        <f t="shared" si="30"/>
        <v>0</v>
      </c>
      <c r="AC322" s="170" t="e">
        <f>IF('Prediction Log'!#REF!="Y", "W", IF('Prediction Log'!#REF!="N","L",""))</f>
        <v>#REF!</v>
      </c>
      <c r="AD322" s="171" t="e">
        <f>IF('Prediction Log'!#REF!="Y", "W", IF('Prediction Log'!#REF!="N","L",""))</f>
        <v>#REF!</v>
      </c>
      <c r="AE322" s="172" t="str">
        <f>IF(ISBLANK(Table123[[#This Row],[Odds Side - Difference Model]]), "",IF(AC322="W", W322, IF(AC322="L",-N322, "")))</f>
      </c>
      <c r="AF322" s="173" t="str">
        <f>IFERROR((IF(ISERR(Table123[[#This Row],[Potential Payout Side - Win Probability Model]]), "",IF(AD322="W", X322, IF(AD322="L",-N322, "")))), "")</f>
      </c>
      <c r="AG322" s="170" t="e">
        <f>IF('Prediction Log'!#REF!="Y", "W", IF('Prediction Log'!#REF!="N", "L", ""))</f>
        <v>#REF!</v>
      </c>
      <c r="AH322" s="172" t="str">
        <f>IF(ISBLANK(Table123[[#This Row],[Odds Spread]]), "",IF(AG322="W", Z322, IF(AG322="L",-O322, "")))</f>
      </c>
      <c r="AI322" s="184"/>
      <c r="AJ322" s="183" t="str">
        <f t="shared" si="31"/>
      </c>
      <c r="AK3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3">
      <c r="A323" s="65" t="e">
        <f>Games!#REF!</f>
        <v>#REF!</v>
      </c>
      <c r="B323" s="65" t="e">
        <f>IF('Prediction Log'!#REF!=0, "",'Prediction Log'!#REF!)</f>
        <v>#REF!</v>
      </c>
      <c r="C323" s="65" t="e">
        <f>IF('Prediction Log'!#REF!=0, "",'Prediction Log'!#REF!)</f>
        <v>#REF!</v>
      </c>
      <c r="D323" s="65" t="e">
        <f>IF('Prediction Log'!#REF!=0, "",'Prediction Log'!#REF!)</f>
        <v>#REF!</v>
      </c>
      <c r="E323" s="65" t="e">
        <f>IF('Prediction Log'!#REF!=0, "",'Prediction Log'!#REF!)</f>
        <v>#REF!</v>
      </c>
      <c r="F323" s="65" t="e">
        <f>IF('Prediction Log'!#REF!=0, "",'Prediction Log'!#REF!)</f>
        <v>#REF!</v>
      </c>
      <c r="G323" s="64" t="e">
        <f>IF(ISBLANK(Games!#REF!), "",'Prediction Log'!#REF!)</f>
        <v>#REF!</v>
      </c>
      <c r="H323" s="66" t="e">
        <f>'Prediction Log'!#REF!</f>
        <v>#REF!</v>
      </c>
      <c r="I323" s="65" t="e">
        <f>IF(ISBLANK(Games!#REF!), "",IF(AND(Games!#REF!="",Games!#REF!=""),"",IF(ISTEXT(Games!#REF!), "Side",Games!#REF!)))</f>
        <v>#REF!</v>
      </c>
      <c r="J323" s="65" t="e">
        <f>IF(ISBLANK(Games!#REF!), "",IF(Games!#REF!="Y", Games!#REF!, Games!#REF!))</f>
        <v>#REF!</v>
      </c>
      <c r="K323" s="65" t="e">
        <f>Games!#REF!</f>
        <v>#REF!</v>
      </c>
      <c r="L323" s="65" t="e">
        <f>IF(ISBLANK(Games!#REF!), "",Games!#REF!)</f>
        <v>#REF!</v>
      </c>
      <c r="M323" s="65"/>
      <c r="N323" s="167" t="str">
        <f>IF(ISBLANK(Table123[[#This Row],[Odds Side - Difference Model]]), "", 1)</f>
      </c>
      <c r="O323" s="167" t="str">
        <f>IF(ISBLANK(Table123[[#This Row],[Odds Spread]]), "", 1)</f>
      </c>
      <c r="P323" s="67"/>
      <c r="Q323" s="67"/>
      <c r="R3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3" s="67"/>
      <c r="T323" s="67"/>
      <c r="U323" s="168" t="str">
        <f>IF(ISBLANK(Table123[[#This Row],[Odds Side - Difference Model]]), "",N323+IF(Q323&lt;0, (N323/(Q323/-100)), N323*(Q323/100)))</f>
      </c>
      <c r="V323" s="169" t="str">
        <f>IFERROR(IF(ISBLANK(Table123[[#This Row],[Odds Side - Win Probability Model]]), "",N323+IF(R323&lt;0, (N323/(R323/-100)), N323*(R323/100))),"")</f>
      </c>
      <c r="W323" s="168" t="str">
        <f t="shared" ref="W323:W383" si="32">IFERROR(U323-N323, "")</f>
      </c>
      <c r="X323" s="169" t="str">
        <f t="shared" ref="X323:X383" si="33">IFERROR(V323-N323, "")</f>
      </c>
      <c r="Y323" s="168" t="str">
        <f>IF(ISBLANK(Table123[[#This Row],[Odds Spread]]), "",O323+IF(S323&lt;0, (O323/(S323/-100)), O323*(S323/100)))</f>
      </c>
      <c r="Z323" s="168" t="str">
        <f t="shared" ref="Z323:Z383" si="34">IFERROR(Y323-O323, "")</f>
      </c>
      <c r="AA323" s="68" t="n">
        <f t="shared" ref="AA323:AA383" si="35">P323+IF(T323&lt;0, (P323/(T323/-100)), P323*(T323/100))</f>
        <v>0</v>
      </c>
      <c r="AB323" s="68" t="n">
        <f t="shared" ref="AB323:AB383" si="36">T323-P323</f>
        <v>0</v>
      </c>
      <c r="AC323" s="170" t="e">
        <f>IF('Prediction Log'!#REF!="Y", "W", IF('Prediction Log'!#REF!="N","L",""))</f>
        <v>#REF!</v>
      </c>
      <c r="AD323" s="171" t="e">
        <f>IF('Prediction Log'!#REF!="Y", "W", IF('Prediction Log'!#REF!="N","L",""))</f>
        <v>#REF!</v>
      </c>
      <c r="AE323" s="172" t="str">
        <f>IF(ISBLANK(Table123[[#This Row],[Odds Side - Difference Model]]), "",IF(AC323="W", W323, IF(AC323="L",-N323, "")))</f>
      </c>
      <c r="AF323" s="173" t="str">
        <f>IFERROR((IF(ISERR(Table123[[#This Row],[Potential Payout Side - Win Probability Model]]), "",IF(AD323="W", X323, IF(AD323="L",-N323, "")))), "")</f>
      </c>
      <c r="AG323" s="170" t="e">
        <f>IF('Prediction Log'!#REF!="Y", "W", IF('Prediction Log'!#REF!="N", "L", ""))</f>
        <v>#REF!</v>
      </c>
      <c r="AH323" s="172" t="str">
        <f>IF(ISBLANK(Table123[[#This Row],[Odds Spread]]), "",IF(AG323="W", Z323, IF(AG323="L",-O323, "")))</f>
      </c>
      <c r="AI323" s="184"/>
      <c r="AJ323" s="183" t="str">
        <f t="shared" ref="AJ323:AJ386" si="37">IF(AI323="W", AB323, IF(AI323="L",-S323, ""))</f>
      </c>
      <c r="AK3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4">
      <c r="A324" s="65" t="e">
        <f>Games!#REF!</f>
        <v>#REF!</v>
      </c>
      <c r="B324" s="65" t="e">
        <f>IF('Prediction Log'!#REF!=0, "",'Prediction Log'!#REF!)</f>
        <v>#REF!</v>
      </c>
      <c r="C324" s="65" t="e">
        <f>IF('Prediction Log'!#REF!=0, "",'Prediction Log'!#REF!)</f>
        <v>#REF!</v>
      </c>
      <c r="D324" s="65" t="e">
        <f>IF('Prediction Log'!#REF!=0, "",'Prediction Log'!#REF!)</f>
        <v>#REF!</v>
      </c>
      <c r="E324" s="65" t="e">
        <f>IF('Prediction Log'!#REF!=0, "",'Prediction Log'!#REF!)</f>
        <v>#REF!</v>
      </c>
      <c r="F324" s="65" t="e">
        <f>IF('Prediction Log'!#REF!=0, "",'Prediction Log'!#REF!)</f>
        <v>#REF!</v>
      </c>
      <c r="G324" s="64" t="e">
        <f>IF(ISBLANK(Games!#REF!), "",'Prediction Log'!#REF!)</f>
        <v>#REF!</v>
      </c>
      <c r="H324" s="66" t="e">
        <f>'Prediction Log'!#REF!</f>
        <v>#REF!</v>
      </c>
      <c r="I324" s="65" t="e">
        <f>IF(ISBLANK(Games!#REF!), "",IF(AND(Games!#REF!="",Games!#REF!=""),"",IF(ISTEXT(Games!#REF!), "Side",Games!#REF!)))</f>
        <v>#REF!</v>
      </c>
      <c r="J324" s="65" t="e">
        <f>IF(ISBLANK(Games!#REF!), "",IF(Games!#REF!="Y", Games!#REF!, Games!#REF!))</f>
        <v>#REF!</v>
      </c>
      <c r="K324" s="65" t="e">
        <f>Games!#REF!</f>
        <v>#REF!</v>
      </c>
      <c r="L324" s="65" t="e">
        <f>IF(ISBLANK(Games!#REF!), "",Games!#REF!)</f>
        <v>#REF!</v>
      </c>
      <c r="M324" s="65"/>
      <c r="N324" s="167" t="str">
        <f>IF(ISBLANK(Table123[[#This Row],[Odds Side - Difference Model]]), "", 1)</f>
      </c>
      <c r="O324" s="167" t="str">
        <f>IF(ISBLANK(Table123[[#This Row],[Odds Spread]]), "", 1)</f>
      </c>
      <c r="P324" s="67"/>
      <c r="Q324" s="67"/>
      <c r="R3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4" s="67"/>
      <c r="T324" s="67"/>
      <c r="U324" s="168" t="str">
        <f>IF(ISBLANK(Table123[[#This Row],[Odds Side - Difference Model]]), "",N324+IF(Q324&lt;0, (N324/(Q324/-100)), N324*(Q324/100)))</f>
      </c>
      <c r="V324" s="169" t="str">
        <f>IFERROR(IF(ISBLANK(Table123[[#This Row],[Odds Side - Win Probability Model]]), "",N324+IF(R324&lt;0, (N324/(R324/-100)), N324*(R324/100))),"")</f>
      </c>
      <c r="W324" s="168" t="str">
        <f t="shared" si="32"/>
      </c>
      <c r="X324" s="169" t="str">
        <f t="shared" si="33"/>
      </c>
      <c r="Y324" s="168" t="str">
        <f>IF(ISBLANK(Table123[[#This Row],[Odds Spread]]), "",O324+IF(S324&lt;0, (O324/(S324/-100)), O324*(S324/100)))</f>
      </c>
      <c r="Z324" s="168" t="str">
        <f t="shared" si="34"/>
      </c>
      <c r="AA324" s="68" t="n">
        <f t="shared" si="35"/>
        <v>0</v>
      </c>
      <c r="AB324" s="68" t="n">
        <f t="shared" si="36"/>
        <v>0</v>
      </c>
      <c r="AC324" s="170" t="e">
        <f>IF('Prediction Log'!#REF!="Y", "W", IF('Prediction Log'!#REF!="N","L",""))</f>
        <v>#REF!</v>
      </c>
      <c r="AD324" s="171" t="e">
        <f>IF('Prediction Log'!#REF!="Y", "W", IF('Prediction Log'!#REF!="N","L",""))</f>
        <v>#REF!</v>
      </c>
      <c r="AE324" s="172" t="str">
        <f>IF(ISBLANK(Table123[[#This Row],[Odds Side - Difference Model]]), "",IF(AC324="W", W324, IF(AC324="L",-N324, "")))</f>
      </c>
      <c r="AF324" s="173" t="str">
        <f>IFERROR((IF(ISERR(Table123[[#This Row],[Potential Payout Side - Win Probability Model]]), "",IF(AD324="W", X324, IF(AD324="L",-N324, "")))), "")</f>
      </c>
      <c r="AG324" s="170" t="e">
        <f>IF('Prediction Log'!#REF!="Y", "W", IF('Prediction Log'!#REF!="N", "L", ""))</f>
        <v>#REF!</v>
      </c>
      <c r="AH324" s="172" t="str">
        <f>IF(ISBLANK(Table123[[#This Row],[Odds Spread]]), "",IF(AG324="W", Z324, IF(AG324="L",-O324, "")))</f>
      </c>
      <c r="AI324" s="184"/>
      <c r="AJ324" s="183" t="str">
        <f t="shared" si="37"/>
      </c>
      <c r="AK3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5">
      <c r="A325" s="65" t="e">
        <f>Games!#REF!</f>
        <v>#REF!</v>
      </c>
      <c r="B325" s="65" t="e">
        <f>IF('Prediction Log'!#REF!=0, "",'Prediction Log'!#REF!)</f>
        <v>#REF!</v>
      </c>
      <c r="C325" s="65" t="e">
        <f>IF('Prediction Log'!#REF!=0, "",'Prediction Log'!#REF!)</f>
        <v>#REF!</v>
      </c>
      <c r="D325" s="65" t="e">
        <f>IF('Prediction Log'!#REF!=0, "",'Prediction Log'!#REF!)</f>
        <v>#REF!</v>
      </c>
      <c r="E325" s="65" t="e">
        <f>IF('Prediction Log'!#REF!=0, "",'Prediction Log'!#REF!)</f>
        <v>#REF!</v>
      </c>
      <c r="F325" s="65" t="e">
        <f>IF('Prediction Log'!#REF!=0, "",'Prediction Log'!#REF!)</f>
        <v>#REF!</v>
      </c>
      <c r="G325" s="64" t="e">
        <f>IF(ISBLANK(Games!#REF!), "",'Prediction Log'!#REF!)</f>
        <v>#REF!</v>
      </c>
      <c r="H325" s="66" t="e">
        <f>'Prediction Log'!#REF!</f>
        <v>#REF!</v>
      </c>
      <c r="I325" s="65" t="e">
        <f>IF(ISBLANK(Games!#REF!), "",IF(AND(Games!#REF!="",Games!#REF!=""),"",IF(ISTEXT(Games!#REF!), "Side",Games!#REF!)))</f>
        <v>#REF!</v>
      </c>
      <c r="J325" s="65" t="e">
        <f>IF(ISBLANK(Games!#REF!), "",IF(Games!#REF!="Y", Games!#REF!, Games!#REF!))</f>
        <v>#REF!</v>
      </c>
      <c r="K325" s="65" t="e">
        <f>Games!#REF!</f>
        <v>#REF!</v>
      </c>
      <c r="L325" s="65" t="e">
        <f>IF(ISBLANK(Games!#REF!), "",Games!#REF!)</f>
        <v>#REF!</v>
      </c>
      <c r="M325" s="65"/>
      <c r="N325" s="167" t="str">
        <f>IF(ISBLANK(Table123[[#This Row],[Odds Side - Difference Model]]), "", 1)</f>
      </c>
      <c r="O325" s="167" t="str">
        <f>IF(ISBLANK(Table123[[#This Row],[Odds Spread]]), "", 1)</f>
      </c>
      <c r="P325" s="67"/>
      <c r="Q325" s="67"/>
      <c r="R3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5" s="67"/>
      <c r="T325" s="67"/>
      <c r="U325" s="168" t="str">
        <f>IF(ISBLANK(Table123[[#This Row],[Odds Side - Difference Model]]), "",N325+IF(Q325&lt;0, (N325/(Q325/-100)), N325*(Q325/100)))</f>
      </c>
      <c r="V325" s="169" t="str">
        <f>IFERROR(IF(ISBLANK(Table123[[#This Row],[Odds Side - Win Probability Model]]), "",N325+IF(R325&lt;0, (N325/(R325/-100)), N325*(R325/100))),"")</f>
      </c>
      <c r="W325" s="168" t="str">
        <f t="shared" si="32"/>
      </c>
      <c r="X325" s="169" t="str">
        <f t="shared" si="33"/>
      </c>
      <c r="Y325" s="168" t="str">
        <f>IF(ISBLANK(Table123[[#This Row],[Odds Spread]]), "",O325+IF(S325&lt;0, (O325/(S325/-100)), O325*(S325/100)))</f>
      </c>
      <c r="Z325" s="168" t="str">
        <f t="shared" si="34"/>
      </c>
      <c r="AA325" s="68" t="n">
        <f t="shared" si="35"/>
        <v>0</v>
      </c>
      <c r="AB325" s="68" t="n">
        <f t="shared" si="36"/>
        <v>0</v>
      </c>
      <c r="AC325" s="170" t="e">
        <f>IF('Prediction Log'!#REF!="Y", "W", IF('Prediction Log'!#REF!="N","L",""))</f>
        <v>#REF!</v>
      </c>
      <c r="AD325" s="171" t="e">
        <f>IF('Prediction Log'!#REF!="Y", "W", IF('Prediction Log'!#REF!="N","L",""))</f>
        <v>#REF!</v>
      </c>
      <c r="AE325" s="172" t="str">
        <f>IF(ISBLANK(Table123[[#This Row],[Odds Side - Difference Model]]), "",IF(AC325="W", W325, IF(AC325="L",-N325, "")))</f>
      </c>
      <c r="AF325" s="173" t="str">
        <f>IFERROR((IF(ISERR(Table123[[#This Row],[Potential Payout Side - Win Probability Model]]), "",IF(AD325="W", X325, IF(AD325="L",-N325, "")))), "")</f>
      </c>
      <c r="AG325" s="170" t="e">
        <f>IF('Prediction Log'!#REF!="Y", "W", IF('Prediction Log'!#REF!="N", "L", ""))</f>
        <v>#REF!</v>
      </c>
      <c r="AH325" s="172" t="str">
        <f>IF(ISBLANK(Table123[[#This Row],[Odds Spread]]), "",IF(AG325="W", Z325, IF(AG325="L",-O325, "")))</f>
      </c>
      <c r="AI325" s="184"/>
      <c r="AJ325" s="183" t="str">
        <f t="shared" si="37"/>
      </c>
      <c r="AK3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6">
      <c r="A326" s="65" t="e">
        <f>Games!#REF!</f>
        <v>#REF!</v>
      </c>
      <c r="B326" s="65" t="e">
        <f>IF('Prediction Log'!#REF!=0, "",'Prediction Log'!#REF!)</f>
        <v>#REF!</v>
      </c>
      <c r="C326" s="65" t="e">
        <f>IF('Prediction Log'!#REF!=0, "",'Prediction Log'!#REF!)</f>
        <v>#REF!</v>
      </c>
      <c r="D326" s="65" t="e">
        <f>IF('Prediction Log'!#REF!=0, "",'Prediction Log'!#REF!)</f>
        <v>#REF!</v>
      </c>
      <c r="E326" s="65" t="e">
        <f>IF('Prediction Log'!#REF!=0, "",'Prediction Log'!#REF!)</f>
        <v>#REF!</v>
      </c>
      <c r="F326" s="65" t="e">
        <f>IF('Prediction Log'!#REF!=0, "",'Prediction Log'!#REF!)</f>
        <v>#REF!</v>
      </c>
      <c r="G326" s="64" t="e">
        <f>IF(ISBLANK(Games!#REF!), "",'Prediction Log'!#REF!)</f>
        <v>#REF!</v>
      </c>
      <c r="H326" s="66" t="e">
        <f>'Prediction Log'!#REF!</f>
        <v>#REF!</v>
      </c>
      <c r="I326" s="65" t="e">
        <f>IF(ISBLANK(Games!#REF!), "",IF(AND(Games!#REF!="",Games!#REF!=""),"",IF(ISTEXT(Games!#REF!), "Side",Games!#REF!)))</f>
        <v>#REF!</v>
      </c>
      <c r="J326" s="65" t="e">
        <f>IF(ISBLANK(Games!#REF!), "",IF(Games!#REF!="Y", Games!#REF!, Games!#REF!))</f>
        <v>#REF!</v>
      </c>
      <c r="K326" s="65" t="e">
        <f>Games!#REF!</f>
        <v>#REF!</v>
      </c>
      <c r="L326" s="65" t="e">
        <f>IF(ISBLANK(Games!#REF!), "",Games!#REF!)</f>
        <v>#REF!</v>
      </c>
      <c r="M326" s="65"/>
      <c r="N326" s="167" t="str">
        <f>IF(ISBLANK(Table123[[#This Row],[Odds Side - Difference Model]]), "", 1)</f>
      </c>
      <c r="O326" s="167" t="str">
        <f>IF(ISBLANK(Table123[[#This Row],[Odds Spread]]), "", 1)</f>
      </c>
      <c r="P326" s="67"/>
      <c r="Q326" s="67"/>
      <c r="R3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6" s="67"/>
      <c r="T326" s="67"/>
      <c r="U326" s="168" t="str">
        <f>IF(ISBLANK(Table123[[#This Row],[Odds Side - Difference Model]]), "",N326+IF(Q326&lt;0, (N326/(Q326/-100)), N326*(Q326/100)))</f>
      </c>
      <c r="V326" s="169" t="str">
        <f>IFERROR(IF(ISBLANK(Table123[[#This Row],[Odds Side - Win Probability Model]]), "",N326+IF(R326&lt;0, (N326/(R326/-100)), N326*(R326/100))),"")</f>
      </c>
      <c r="W326" s="168" t="str">
        <f t="shared" si="32"/>
      </c>
      <c r="X326" s="169" t="str">
        <f t="shared" si="33"/>
      </c>
      <c r="Y326" s="168" t="str">
        <f>IF(ISBLANK(Table123[[#This Row],[Odds Spread]]), "",O326+IF(S326&lt;0, (O326/(S326/-100)), O326*(S326/100)))</f>
      </c>
      <c r="Z326" s="168" t="str">
        <f t="shared" si="34"/>
      </c>
      <c r="AA326" s="68" t="n">
        <f t="shared" si="35"/>
        <v>0</v>
      </c>
      <c r="AB326" s="68" t="n">
        <f t="shared" si="36"/>
        <v>0</v>
      </c>
      <c r="AC326" s="170" t="e">
        <f>IF('Prediction Log'!#REF!="Y", "W", IF('Prediction Log'!#REF!="N","L",""))</f>
        <v>#REF!</v>
      </c>
      <c r="AD326" s="171" t="e">
        <f>IF('Prediction Log'!#REF!="Y", "W", IF('Prediction Log'!#REF!="N","L",""))</f>
        <v>#REF!</v>
      </c>
      <c r="AE326" s="172" t="str">
        <f>IF(ISBLANK(Table123[[#This Row],[Odds Side - Difference Model]]), "",IF(AC326="W", W326, IF(AC326="L",-N326, "")))</f>
      </c>
      <c r="AF326" s="173" t="str">
        <f>IFERROR((IF(ISERR(Table123[[#This Row],[Potential Payout Side - Win Probability Model]]), "",IF(AD326="W", X326, IF(AD326="L",-N326, "")))), "")</f>
      </c>
      <c r="AG326" s="170" t="e">
        <f>IF('Prediction Log'!#REF!="Y", "W", IF('Prediction Log'!#REF!="N", "L", ""))</f>
        <v>#REF!</v>
      </c>
      <c r="AH326" s="172" t="str">
        <f>IF(ISBLANK(Table123[[#This Row],[Odds Spread]]), "",IF(AG326="W", Z326, IF(AG326="L",-O326, "")))</f>
      </c>
      <c r="AI326" s="184"/>
      <c r="AJ326" s="183" t="str">
        <f t="shared" si="37"/>
      </c>
      <c r="AK3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7">
      <c r="A327" s="65" t="e">
        <f>Games!#REF!</f>
        <v>#REF!</v>
      </c>
      <c r="B327" s="65" t="e">
        <f>IF('Prediction Log'!#REF!=0, "",'Prediction Log'!#REF!)</f>
        <v>#REF!</v>
      </c>
      <c r="C327" s="65" t="e">
        <f>IF('Prediction Log'!#REF!=0, "",'Prediction Log'!#REF!)</f>
        <v>#REF!</v>
      </c>
      <c r="D327" s="65" t="e">
        <f>IF('Prediction Log'!#REF!=0, "",'Prediction Log'!#REF!)</f>
        <v>#REF!</v>
      </c>
      <c r="E327" s="65" t="e">
        <f>IF('Prediction Log'!#REF!=0, "",'Prediction Log'!#REF!)</f>
        <v>#REF!</v>
      </c>
      <c r="F327" s="65" t="e">
        <f>IF('Prediction Log'!#REF!=0, "",'Prediction Log'!#REF!)</f>
        <v>#REF!</v>
      </c>
      <c r="G327" s="64" t="e">
        <f>IF(ISBLANK(Games!#REF!), "",'Prediction Log'!#REF!)</f>
        <v>#REF!</v>
      </c>
      <c r="H327" s="66" t="e">
        <f>'Prediction Log'!#REF!</f>
        <v>#REF!</v>
      </c>
      <c r="I327" s="65" t="e">
        <f>IF(ISBLANK(Games!#REF!), "",IF(AND(Games!#REF!="",Games!#REF!=""),"",IF(ISTEXT(Games!#REF!), "Side",Games!#REF!)))</f>
        <v>#REF!</v>
      </c>
      <c r="J327" s="65" t="e">
        <f>IF(ISBLANK(Games!#REF!), "",IF(Games!#REF!="Y", Games!#REF!, Games!#REF!))</f>
        <v>#REF!</v>
      </c>
      <c r="K327" s="65" t="e">
        <f>Games!#REF!</f>
        <v>#REF!</v>
      </c>
      <c r="L327" s="65" t="e">
        <f>IF(ISBLANK(Games!#REF!), "",Games!#REF!)</f>
        <v>#REF!</v>
      </c>
      <c r="M327" s="65"/>
      <c r="N327" s="167" t="str">
        <f>IF(ISBLANK(Table123[[#This Row],[Odds Side - Difference Model]]), "", 1)</f>
      </c>
      <c r="O327" s="167" t="str">
        <f>IF(ISBLANK(Table123[[#This Row],[Odds Spread]]), "", 1)</f>
      </c>
      <c r="P327" s="67"/>
      <c r="Q327" s="67"/>
      <c r="R3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7" s="67"/>
      <c r="T327" s="67"/>
      <c r="U327" s="168" t="str">
        <f>IF(ISBLANK(Table123[[#This Row],[Odds Side - Difference Model]]), "",N327+IF(Q327&lt;0, (N327/(Q327/-100)), N327*(Q327/100)))</f>
      </c>
      <c r="V327" s="169" t="str">
        <f>IFERROR(IF(ISBLANK(Table123[[#This Row],[Odds Side - Win Probability Model]]), "",N327+IF(R327&lt;0, (N327/(R327/-100)), N327*(R327/100))),"")</f>
      </c>
      <c r="W327" s="168" t="str">
        <f t="shared" si="32"/>
      </c>
      <c r="X327" s="169" t="str">
        <f t="shared" si="33"/>
      </c>
      <c r="Y327" s="168" t="str">
        <f>IF(ISBLANK(Table123[[#This Row],[Odds Spread]]), "",O327+IF(S327&lt;0, (O327/(S327/-100)), O327*(S327/100)))</f>
      </c>
      <c r="Z327" s="168" t="str">
        <f t="shared" si="34"/>
      </c>
      <c r="AA327" s="68" t="n">
        <f t="shared" si="35"/>
        <v>0</v>
      </c>
      <c r="AB327" s="68" t="n">
        <f t="shared" si="36"/>
        <v>0</v>
      </c>
      <c r="AC327" s="170" t="e">
        <f>IF('Prediction Log'!#REF!="Y", "W", IF('Prediction Log'!#REF!="N","L",""))</f>
        <v>#REF!</v>
      </c>
      <c r="AD327" s="171" t="e">
        <f>IF('Prediction Log'!#REF!="Y", "W", IF('Prediction Log'!#REF!="N","L",""))</f>
        <v>#REF!</v>
      </c>
      <c r="AE327" s="172" t="str">
        <f>IF(ISBLANK(Table123[[#This Row],[Odds Side - Difference Model]]), "",IF(AC327="W", W327, IF(AC327="L",-N327, "")))</f>
      </c>
      <c r="AF327" s="173" t="str">
        <f>IFERROR((IF(ISERR(Table123[[#This Row],[Potential Payout Side - Win Probability Model]]), "",IF(AD327="W", X327, IF(AD327="L",-N327, "")))), "")</f>
      </c>
      <c r="AG327" s="170" t="e">
        <f>IF('Prediction Log'!#REF!="Y", "W", IF('Prediction Log'!#REF!="N", "L", ""))</f>
        <v>#REF!</v>
      </c>
      <c r="AH327" s="172" t="str">
        <f>IF(ISBLANK(Table123[[#This Row],[Odds Spread]]), "",IF(AG327="W", Z327, IF(AG327="L",-O327, "")))</f>
      </c>
      <c r="AI327" s="184"/>
      <c r="AJ327" s="183" t="str">
        <f t="shared" si="37"/>
      </c>
      <c r="AK3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8">
      <c r="A328" s="65" t="e">
        <f>Games!#REF!</f>
        <v>#REF!</v>
      </c>
      <c r="B328" s="65" t="e">
        <f>IF('Prediction Log'!#REF!=0, "",'Prediction Log'!#REF!)</f>
        <v>#REF!</v>
      </c>
      <c r="C328" s="65" t="e">
        <f>IF('Prediction Log'!#REF!=0, "",'Prediction Log'!#REF!)</f>
        <v>#REF!</v>
      </c>
      <c r="D328" s="65" t="e">
        <f>IF('Prediction Log'!#REF!=0, "",'Prediction Log'!#REF!)</f>
        <v>#REF!</v>
      </c>
      <c r="E328" s="65" t="e">
        <f>IF('Prediction Log'!#REF!=0, "",'Prediction Log'!#REF!)</f>
        <v>#REF!</v>
      </c>
      <c r="F328" s="65" t="e">
        <f>IF('Prediction Log'!#REF!=0, "",'Prediction Log'!#REF!)</f>
        <v>#REF!</v>
      </c>
      <c r="G328" s="64" t="e">
        <f>IF(ISBLANK(Games!#REF!), "",'Prediction Log'!#REF!)</f>
        <v>#REF!</v>
      </c>
      <c r="H328" s="66" t="e">
        <f>'Prediction Log'!#REF!</f>
        <v>#REF!</v>
      </c>
      <c r="I328" s="65" t="e">
        <f>IF(ISBLANK(Games!#REF!), "",IF(AND(Games!#REF!="",Games!#REF!=""),"",IF(ISTEXT(Games!#REF!), "Side",Games!#REF!)))</f>
        <v>#REF!</v>
      </c>
      <c r="J328" s="65" t="e">
        <f>IF(ISBLANK(Games!#REF!), "",IF(Games!#REF!="Y", Games!#REF!, Games!#REF!))</f>
        <v>#REF!</v>
      </c>
      <c r="K328" s="65" t="e">
        <f>Games!#REF!</f>
        <v>#REF!</v>
      </c>
      <c r="L328" s="65" t="e">
        <f>IF(ISBLANK(Games!#REF!), "",Games!#REF!)</f>
        <v>#REF!</v>
      </c>
      <c r="M328" s="65"/>
      <c r="N328" s="167" t="str">
        <f>IF(ISBLANK(Table123[[#This Row],[Odds Side - Difference Model]]), "", 1)</f>
      </c>
      <c r="O328" s="167" t="str">
        <f>IF(ISBLANK(Table123[[#This Row],[Odds Spread]]), "", 1)</f>
      </c>
      <c r="P328" s="67"/>
      <c r="Q328" s="67"/>
      <c r="R3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8" s="67"/>
      <c r="T328" s="67"/>
      <c r="U328" s="168" t="str">
        <f>IF(ISBLANK(Table123[[#This Row],[Odds Side - Difference Model]]), "",N328+IF(Q328&lt;0, (N328/(Q328/-100)), N328*(Q328/100)))</f>
      </c>
      <c r="V328" s="169" t="str">
        <f>IFERROR(IF(ISBLANK(Table123[[#This Row],[Odds Side - Win Probability Model]]), "",N328+IF(R328&lt;0, (N328/(R328/-100)), N328*(R328/100))),"")</f>
      </c>
      <c r="W328" s="168" t="str">
        <f t="shared" si="32"/>
      </c>
      <c r="X328" s="169" t="str">
        <f t="shared" si="33"/>
      </c>
      <c r="Y328" s="168" t="str">
        <f>IF(ISBLANK(Table123[[#This Row],[Odds Spread]]), "",O328+IF(S328&lt;0, (O328/(S328/-100)), O328*(S328/100)))</f>
      </c>
      <c r="Z328" s="168" t="str">
        <f t="shared" si="34"/>
      </c>
      <c r="AA328" s="68" t="n">
        <f t="shared" si="35"/>
        <v>0</v>
      </c>
      <c r="AB328" s="68" t="n">
        <f t="shared" si="36"/>
        <v>0</v>
      </c>
      <c r="AC328" s="170" t="e">
        <f>IF('Prediction Log'!#REF!="Y", "W", IF('Prediction Log'!#REF!="N","L",""))</f>
        <v>#REF!</v>
      </c>
      <c r="AD328" s="171" t="e">
        <f>IF('Prediction Log'!#REF!="Y", "W", IF('Prediction Log'!#REF!="N","L",""))</f>
        <v>#REF!</v>
      </c>
      <c r="AE328" s="172" t="str">
        <f>IF(ISBLANK(Table123[[#This Row],[Odds Side - Difference Model]]), "",IF(AC328="W", W328, IF(AC328="L",-N328, "")))</f>
      </c>
      <c r="AF328" s="173" t="str">
        <f>IFERROR((IF(ISERR(Table123[[#This Row],[Potential Payout Side - Win Probability Model]]), "",IF(AD328="W", X328, IF(AD328="L",-N328, "")))), "")</f>
      </c>
      <c r="AG328" s="170" t="e">
        <f>IF('Prediction Log'!#REF!="Y", "W", IF('Prediction Log'!#REF!="N", "L", ""))</f>
        <v>#REF!</v>
      </c>
      <c r="AH328" s="172" t="str">
        <f>IF(ISBLANK(Table123[[#This Row],[Odds Spread]]), "",IF(AG328="W", Z328, IF(AG328="L",-O328, "")))</f>
      </c>
      <c r="AI328" s="184"/>
      <c r="AJ328" s="183" t="str">
        <f t="shared" si="37"/>
      </c>
      <c r="AK3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9">
      <c r="A329" s="65" t="e">
        <f>Games!#REF!</f>
        <v>#REF!</v>
      </c>
      <c r="B329" s="65" t="e">
        <f>IF('Prediction Log'!#REF!=0, "",'Prediction Log'!#REF!)</f>
        <v>#REF!</v>
      </c>
      <c r="C329" s="65" t="e">
        <f>IF('Prediction Log'!#REF!=0, "",'Prediction Log'!#REF!)</f>
        <v>#REF!</v>
      </c>
      <c r="D329" s="65" t="e">
        <f>IF('Prediction Log'!#REF!=0, "",'Prediction Log'!#REF!)</f>
        <v>#REF!</v>
      </c>
      <c r="E329" s="65" t="e">
        <f>IF('Prediction Log'!#REF!=0, "",'Prediction Log'!#REF!)</f>
        <v>#REF!</v>
      </c>
      <c r="F329" s="65" t="e">
        <f>IF('Prediction Log'!#REF!=0, "",'Prediction Log'!#REF!)</f>
        <v>#REF!</v>
      </c>
      <c r="G329" s="64" t="e">
        <f>IF(ISBLANK(Games!#REF!), "",'Prediction Log'!#REF!)</f>
        <v>#REF!</v>
      </c>
      <c r="H329" s="66" t="e">
        <f>'Prediction Log'!#REF!</f>
        <v>#REF!</v>
      </c>
      <c r="I329" s="65" t="e">
        <f>IF(ISBLANK(Games!#REF!), "",IF(AND(Games!#REF!="",Games!#REF!=""),"",IF(ISTEXT(Games!#REF!), "Side",Games!#REF!)))</f>
        <v>#REF!</v>
      </c>
      <c r="J329" s="65" t="e">
        <f>IF(ISBLANK(Games!#REF!), "",IF(Games!#REF!="Y", Games!#REF!, Games!#REF!))</f>
        <v>#REF!</v>
      </c>
      <c r="K329" s="65" t="e">
        <f>Games!#REF!</f>
        <v>#REF!</v>
      </c>
      <c r="L329" s="65" t="e">
        <f>IF(ISBLANK(Games!#REF!), "",Games!#REF!)</f>
        <v>#REF!</v>
      </c>
      <c r="M329" s="65"/>
      <c r="N329" s="167" t="str">
        <f>IF(ISBLANK(Table123[[#This Row],[Odds Side - Difference Model]]), "", 1)</f>
      </c>
      <c r="O329" s="167" t="str">
        <f>IF(ISBLANK(Table123[[#This Row],[Odds Spread]]), "", 1)</f>
      </c>
      <c r="P329" s="67"/>
      <c r="Q329" s="67"/>
      <c r="R3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9" s="67"/>
      <c r="T329" s="67"/>
      <c r="U329" s="168" t="str">
        <f>IF(ISBLANK(Table123[[#This Row],[Odds Side - Difference Model]]), "",N329+IF(Q329&lt;0, (N329/(Q329/-100)), N329*(Q329/100)))</f>
      </c>
      <c r="V329" s="169" t="str">
        <f>IFERROR(IF(ISBLANK(Table123[[#This Row],[Odds Side - Win Probability Model]]), "",N329+IF(R329&lt;0, (N329/(R329/-100)), N329*(R329/100))),"")</f>
      </c>
      <c r="W329" s="168" t="str">
        <f t="shared" si="32"/>
      </c>
      <c r="X329" s="169" t="str">
        <f t="shared" si="33"/>
      </c>
      <c r="Y329" s="168" t="str">
        <f>IF(ISBLANK(Table123[[#This Row],[Odds Spread]]), "",O329+IF(S329&lt;0, (O329/(S329/-100)), O329*(S329/100)))</f>
      </c>
      <c r="Z329" s="168" t="str">
        <f t="shared" si="34"/>
      </c>
      <c r="AA329" s="68" t="n">
        <f t="shared" si="35"/>
        <v>0</v>
      </c>
      <c r="AB329" s="68" t="n">
        <f t="shared" si="36"/>
        <v>0</v>
      </c>
      <c r="AC329" s="170" t="e">
        <f>IF('Prediction Log'!#REF!="Y", "W", IF('Prediction Log'!#REF!="N","L",""))</f>
        <v>#REF!</v>
      </c>
      <c r="AD329" s="171" t="e">
        <f>IF('Prediction Log'!#REF!="Y", "W", IF('Prediction Log'!#REF!="N","L",""))</f>
        <v>#REF!</v>
      </c>
      <c r="AE329" s="172" t="str">
        <f>IF(ISBLANK(Table123[[#This Row],[Odds Side - Difference Model]]), "",IF(AC329="W", W329, IF(AC329="L",-N329, "")))</f>
      </c>
      <c r="AF329" s="173" t="str">
        <f>IFERROR((IF(ISERR(Table123[[#This Row],[Potential Payout Side - Win Probability Model]]), "",IF(AD329="W", X329, IF(AD329="L",-N329, "")))), "")</f>
      </c>
      <c r="AG329" s="170" t="e">
        <f>IF('Prediction Log'!#REF!="Y", "W", IF('Prediction Log'!#REF!="N", "L", ""))</f>
        <v>#REF!</v>
      </c>
      <c r="AH329" s="172" t="str">
        <f>IF(ISBLANK(Table123[[#This Row],[Odds Spread]]), "",IF(AG329="W", Z329, IF(AG329="L",-O329, "")))</f>
      </c>
      <c r="AI329" s="184"/>
      <c r="AJ329" s="183" t="str">
        <f t="shared" si="37"/>
      </c>
      <c r="AK3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0">
      <c r="A330" s="65" t="e">
        <f>Games!#REF!</f>
        <v>#REF!</v>
      </c>
      <c r="B330" s="65" t="e">
        <f>IF('Prediction Log'!#REF!=0, "",'Prediction Log'!#REF!)</f>
        <v>#REF!</v>
      </c>
      <c r="C330" s="65" t="e">
        <f>IF('Prediction Log'!#REF!=0, "",'Prediction Log'!#REF!)</f>
        <v>#REF!</v>
      </c>
      <c r="D330" s="65" t="e">
        <f>IF('Prediction Log'!#REF!=0, "",'Prediction Log'!#REF!)</f>
        <v>#REF!</v>
      </c>
      <c r="E330" s="65" t="e">
        <f>IF('Prediction Log'!#REF!=0, "",'Prediction Log'!#REF!)</f>
        <v>#REF!</v>
      </c>
      <c r="F330" s="65" t="e">
        <f>IF('Prediction Log'!#REF!=0, "",'Prediction Log'!#REF!)</f>
        <v>#REF!</v>
      </c>
      <c r="G330" s="64" t="e">
        <f>IF(ISBLANK(Games!#REF!), "",'Prediction Log'!#REF!)</f>
        <v>#REF!</v>
      </c>
      <c r="H330" s="66" t="e">
        <f>'Prediction Log'!#REF!</f>
        <v>#REF!</v>
      </c>
      <c r="I330" s="65" t="e">
        <f>IF(ISBLANK(Games!#REF!), "",IF(AND(Games!#REF!="",Games!#REF!=""),"",IF(ISTEXT(Games!#REF!), "Side",Games!#REF!)))</f>
        <v>#REF!</v>
      </c>
      <c r="J330" s="65" t="e">
        <f>IF(ISBLANK(Games!#REF!), "",IF(Games!#REF!="Y", Games!#REF!, Games!#REF!))</f>
        <v>#REF!</v>
      </c>
      <c r="K330" s="65" t="e">
        <f>Games!#REF!</f>
        <v>#REF!</v>
      </c>
      <c r="L330" s="65" t="e">
        <f>IF(ISBLANK(Games!#REF!), "",Games!#REF!)</f>
        <v>#REF!</v>
      </c>
      <c r="M330" s="65"/>
      <c r="N330" s="167" t="str">
        <f>IF(ISBLANK(Table123[[#This Row],[Odds Side - Difference Model]]), "", 1)</f>
      </c>
      <c r="O330" s="167" t="str">
        <f>IF(ISBLANK(Table123[[#This Row],[Odds Spread]]), "", 1)</f>
      </c>
      <c r="P330" s="67"/>
      <c r="Q330" s="67"/>
      <c r="R3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0" s="67"/>
      <c r="T330" s="67"/>
      <c r="U330" s="168" t="str">
        <f>IF(ISBLANK(Table123[[#This Row],[Odds Side - Difference Model]]), "",N330+IF(Q330&lt;0, (N330/(Q330/-100)), N330*(Q330/100)))</f>
      </c>
      <c r="V330" s="169" t="str">
        <f>IFERROR(IF(ISBLANK(Table123[[#This Row],[Odds Side - Win Probability Model]]), "",N330+IF(R330&lt;0, (N330/(R330/-100)), N330*(R330/100))),"")</f>
      </c>
      <c r="W330" s="168" t="str">
        <f t="shared" si="32"/>
      </c>
      <c r="X330" s="169" t="str">
        <f t="shared" si="33"/>
      </c>
      <c r="Y330" s="168" t="str">
        <f>IF(ISBLANK(Table123[[#This Row],[Odds Spread]]), "",O330+IF(S330&lt;0, (O330/(S330/-100)), O330*(S330/100)))</f>
      </c>
      <c r="Z330" s="168" t="str">
        <f t="shared" si="34"/>
      </c>
      <c r="AA330" s="68" t="n">
        <f t="shared" si="35"/>
        <v>0</v>
      </c>
      <c r="AB330" s="68" t="n">
        <f t="shared" si="36"/>
        <v>0</v>
      </c>
      <c r="AC330" s="170" t="e">
        <f>IF('Prediction Log'!#REF!="Y", "W", IF('Prediction Log'!#REF!="N","L",""))</f>
        <v>#REF!</v>
      </c>
      <c r="AD330" s="171" t="e">
        <f>IF('Prediction Log'!#REF!="Y", "W", IF('Prediction Log'!#REF!="N","L",""))</f>
        <v>#REF!</v>
      </c>
      <c r="AE330" s="172" t="str">
        <f>IF(ISBLANK(Table123[[#This Row],[Odds Side - Difference Model]]), "",IF(AC330="W", W330, IF(AC330="L",-N330, "")))</f>
      </c>
      <c r="AF330" s="173" t="str">
        <f>IFERROR((IF(ISERR(Table123[[#This Row],[Potential Payout Side - Win Probability Model]]), "",IF(AD330="W", X330, IF(AD330="L",-N330, "")))), "")</f>
      </c>
      <c r="AG330" s="170" t="e">
        <f>IF('Prediction Log'!#REF!="Y", "W", IF('Prediction Log'!#REF!="N", "L", ""))</f>
        <v>#REF!</v>
      </c>
      <c r="AH330" s="172" t="str">
        <f>IF(ISBLANK(Table123[[#This Row],[Odds Spread]]), "",IF(AG330="W", Z330, IF(AG330="L",-O330, "")))</f>
      </c>
      <c r="AI330" s="184"/>
      <c r="AJ330" s="183" t="str">
        <f t="shared" si="37"/>
      </c>
      <c r="AK3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1">
      <c r="A331" s="65" t="e">
        <f>Games!#REF!</f>
        <v>#REF!</v>
      </c>
      <c r="B331" s="65" t="e">
        <f>IF('Prediction Log'!#REF!=0, "",'Prediction Log'!#REF!)</f>
        <v>#REF!</v>
      </c>
      <c r="C331" s="65" t="e">
        <f>IF('Prediction Log'!#REF!=0, "",'Prediction Log'!#REF!)</f>
        <v>#REF!</v>
      </c>
      <c r="D331" s="65" t="e">
        <f>IF('Prediction Log'!#REF!=0, "",'Prediction Log'!#REF!)</f>
        <v>#REF!</v>
      </c>
      <c r="E331" s="65" t="e">
        <f>IF('Prediction Log'!#REF!=0, "",'Prediction Log'!#REF!)</f>
        <v>#REF!</v>
      </c>
      <c r="F331" s="65" t="e">
        <f>IF('Prediction Log'!#REF!=0, "",'Prediction Log'!#REF!)</f>
        <v>#REF!</v>
      </c>
      <c r="G331" s="64" t="e">
        <f>IF(ISBLANK(Games!#REF!), "",'Prediction Log'!#REF!)</f>
        <v>#REF!</v>
      </c>
      <c r="H331" s="66" t="e">
        <f>'Prediction Log'!#REF!</f>
        <v>#REF!</v>
      </c>
      <c r="I331" s="65" t="e">
        <f>IF(ISBLANK(Games!#REF!), "",IF(AND(Games!#REF!="",Games!#REF!=""),"",IF(ISTEXT(Games!#REF!), "Side",Games!#REF!)))</f>
        <v>#REF!</v>
      </c>
      <c r="J331" s="65" t="e">
        <f>IF(ISBLANK(Games!#REF!), "",IF(Games!#REF!="Y", Games!#REF!, Games!#REF!))</f>
        <v>#REF!</v>
      </c>
      <c r="K331" s="65" t="e">
        <f>Games!#REF!</f>
        <v>#REF!</v>
      </c>
      <c r="L331" s="65" t="e">
        <f>IF(ISBLANK(Games!#REF!), "",Games!#REF!)</f>
        <v>#REF!</v>
      </c>
      <c r="M331" s="65"/>
      <c r="N331" s="167" t="str">
        <f>IF(ISBLANK(Table123[[#This Row],[Odds Side - Difference Model]]), "", 1)</f>
      </c>
      <c r="O331" s="167" t="str">
        <f>IF(ISBLANK(Table123[[#This Row],[Odds Spread]]), "", 1)</f>
      </c>
      <c r="P331" s="67"/>
      <c r="Q331" s="67"/>
      <c r="R3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1" s="67"/>
      <c r="T331" s="67"/>
      <c r="U331" s="168" t="str">
        <f>IF(ISBLANK(Table123[[#This Row],[Odds Side - Difference Model]]), "",N331+IF(Q331&lt;0, (N331/(Q331/-100)), N331*(Q331/100)))</f>
      </c>
      <c r="V331" s="169" t="str">
        <f>IFERROR(IF(ISBLANK(Table123[[#This Row],[Odds Side - Win Probability Model]]), "",N331+IF(R331&lt;0, (N331/(R331/-100)), N331*(R331/100))),"")</f>
      </c>
      <c r="W331" s="168" t="str">
        <f t="shared" si="32"/>
      </c>
      <c r="X331" s="169" t="str">
        <f t="shared" si="33"/>
      </c>
      <c r="Y331" s="168" t="str">
        <f>IF(ISBLANK(Table123[[#This Row],[Odds Spread]]), "",O331+IF(S331&lt;0, (O331/(S331/-100)), O331*(S331/100)))</f>
      </c>
      <c r="Z331" s="168" t="str">
        <f t="shared" si="34"/>
      </c>
      <c r="AA331" s="68" t="n">
        <f t="shared" si="35"/>
        <v>0</v>
      </c>
      <c r="AB331" s="68" t="n">
        <f t="shared" si="36"/>
        <v>0</v>
      </c>
      <c r="AC331" s="170" t="e">
        <f>IF('Prediction Log'!#REF!="Y", "W", IF('Prediction Log'!#REF!="N","L",""))</f>
        <v>#REF!</v>
      </c>
      <c r="AD331" s="171" t="e">
        <f>IF('Prediction Log'!#REF!="Y", "W", IF('Prediction Log'!#REF!="N","L",""))</f>
        <v>#REF!</v>
      </c>
      <c r="AE331" s="172" t="str">
        <f>IF(ISBLANK(Table123[[#This Row],[Odds Side - Difference Model]]), "",IF(AC331="W", W331, IF(AC331="L",-N331, "")))</f>
      </c>
      <c r="AF331" s="173" t="str">
        <f>IFERROR((IF(ISERR(Table123[[#This Row],[Potential Payout Side - Win Probability Model]]), "",IF(AD331="W", X331, IF(AD331="L",-N331, "")))), "")</f>
      </c>
      <c r="AG331" s="170" t="e">
        <f>IF('Prediction Log'!#REF!="Y", "W", IF('Prediction Log'!#REF!="N", "L", ""))</f>
        <v>#REF!</v>
      </c>
      <c r="AH331" s="172" t="str">
        <f>IF(ISBLANK(Table123[[#This Row],[Odds Spread]]), "",IF(AG331="W", Z331, IF(AG331="L",-O331, "")))</f>
      </c>
      <c r="AI331" s="184"/>
      <c r="AJ331" s="183" t="str">
        <f t="shared" si="37"/>
      </c>
      <c r="AK3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2">
      <c r="A332" s="65" t="e">
        <f>Games!#REF!</f>
        <v>#REF!</v>
      </c>
      <c r="B332" s="65" t="e">
        <f>IF('Prediction Log'!#REF!=0, "",'Prediction Log'!#REF!)</f>
        <v>#REF!</v>
      </c>
      <c r="C332" s="65" t="e">
        <f>IF('Prediction Log'!#REF!=0, "",'Prediction Log'!#REF!)</f>
        <v>#REF!</v>
      </c>
      <c r="D332" s="65" t="e">
        <f>IF('Prediction Log'!#REF!=0, "",'Prediction Log'!#REF!)</f>
        <v>#REF!</v>
      </c>
      <c r="E332" s="65" t="e">
        <f>IF('Prediction Log'!#REF!=0, "",'Prediction Log'!#REF!)</f>
        <v>#REF!</v>
      </c>
      <c r="F332" s="65" t="e">
        <f>IF('Prediction Log'!#REF!=0, "",'Prediction Log'!#REF!)</f>
        <v>#REF!</v>
      </c>
      <c r="G332" s="64" t="e">
        <f>IF(ISBLANK(Games!#REF!), "",'Prediction Log'!#REF!)</f>
        <v>#REF!</v>
      </c>
      <c r="H332" s="66" t="e">
        <f>'Prediction Log'!#REF!</f>
        <v>#REF!</v>
      </c>
      <c r="I332" s="65" t="e">
        <f>IF(ISBLANK(Games!#REF!), "",IF(AND(Games!#REF!="",Games!#REF!=""),"",IF(ISTEXT(Games!#REF!), "Side",Games!#REF!)))</f>
        <v>#REF!</v>
      </c>
      <c r="J332" s="65" t="e">
        <f>IF(ISBLANK(Games!#REF!), "",IF(Games!#REF!="Y", Games!#REF!, Games!#REF!))</f>
        <v>#REF!</v>
      </c>
      <c r="K332" s="65" t="e">
        <f>Games!#REF!</f>
        <v>#REF!</v>
      </c>
      <c r="L332" s="65" t="e">
        <f>IF(ISBLANK(Games!#REF!), "",Games!#REF!)</f>
        <v>#REF!</v>
      </c>
      <c r="M332" s="65"/>
      <c r="N332" s="167" t="str">
        <f>IF(ISBLANK(Table123[[#This Row],[Odds Side - Difference Model]]), "", 1)</f>
      </c>
      <c r="O332" s="167" t="str">
        <f>IF(ISBLANK(Table123[[#This Row],[Odds Spread]]), "", 1)</f>
      </c>
      <c r="P332" s="67"/>
      <c r="Q332" s="67"/>
      <c r="R3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2" s="67"/>
      <c r="T332" s="67"/>
      <c r="U332" s="168" t="str">
        <f>IF(ISBLANK(Table123[[#This Row],[Odds Side - Difference Model]]), "",N332+IF(Q332&lt;0, (N332/(Q332/-100)), N332*(Q332/100)))</f>
      </c>
      <c r="V332" s="169" t="str">
        <f>IFERROR(IF(ISBLANK(Table123[[#This Row],[Odds Side - Win Probability Model]]), "",N332+IF(R332&lt;0, (N332/(R332/-100)), N332*(R332/100))),"")</f>
      </c>
      <c r="W332" s="168" t="str">
        <f t="shared" si="32"/>
      </c>
      <c r="X332" s="169" t="str">
        <f t="shared" si="33"/>
      </c>
      <c r="Y332" s="168" t="str">
        <f>IF(ISBLANK(Table123[[#This Row],[Odds Spread]]), "",O332+IF(S332&lt;0, (O332/(S332/-100)), O332*(S332/100)))</f>
      </c>
      <c r="Z332" s="168" t="str">
        <f t="shared" si="34"/>
      </c>
      <c r="AA332" s="68" t="n">
        <f t="shared" si="35"/>
        <v>0</v>
      </c>
      <c r="AB332" s="68" t="n">
        <f t="shared" si="36"/>
        <v>0</v>
      </c>
      <c r="AC332" s="170" t="e">
        <f>IF('Prediction Log'!#REF!="Y", "W", IF('Prediction Log'!#REF!="N","L",""))</f>
        <v>#REF!</v>
      </c>
      <c r="AD332" s="171" t="e">
        <f>IF('Prediction Log'!#REF!="Y", "W", IF('Prediction Log'!#REF!="N","L",""))</f>
        <v>#REF!</v>
      </c>
      <c r="AE332" s="172" t="str">
        <f>IF(ISBLANK(Table123[[#This Row],[Odds Side - Difference Model]]), "",IF(AC332="W", W332, IF(AC332="L",-N332, "")))</f>
      </c>
      <c r="AF332" s="173" t="str">
        <f>IFERROR((IF(ISERR(Table123[[#This Row],[Potential Payout Side - Win Probability Model]]), "",IF(AD332="W", X332, IF(AD332="L",-N332, "")))), "")</f>
      </c>
      <c r="AG332" s="170" t="e">
        <f>IF('Prediction Log'!#REF!="Y", "W", IF('Prediction Log'!#REF!="N", "L", ""))</f>
        <v>#REF!</v>
      </c>
      <c r="AH332" s="172" t="str">
        <f>IF(ISBLANK(Table123[[#This Row],[Odds Spread]]), "",IF(AG332="W", Z332, IF(AG332="L",-O332, "")))</f>
      </c>
      <c r="AI332" s="184"/>
      <c r="AJ332" s="183" t="str">
        <f t="shared" si="37"/>
      </c>
      <c r="AK3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3">
      <c r="A333" s="65" t="e">
        <f>Games!#REF!</f>
        <v>#REF!</v>
      </c>
      <c r="B333" s="65" t="e">
        <f>IF('Prediction Log'!#REF!=0, "",'Prediction Log'!#REF!)</f>
        <v>#REF!</v>
      </c>
      <c r="C333" s="65" t="e">
        <f>IF('Prediction Log'!#REF!=0, "",'Prediction Log'!#REF!)</f>
        <v>#REF!</v>
      </c>
      <c r="D333" s="65" t="e">
        <f>IF('Prediction Log'!#REF!=0, "",'Prediction Log'!#REF!)</f>
        <v>#REF!</v>
      </c>
      <c r="E333" s="65" t="e">
        <f>IF('Prediction Log'!#REF!=0, "",'Prediction Log'!#REF!)</f>
        <v>#REF!</v>
      </c>
      <c r="F333" s="65" t="e">
        <f>IF('Prediction Log'!#REF!=0, "",'Prediction Log'!#REF!)</f>
        <v>#REF!</v>
      </c>
      <c r="G333" s="64" t="e">
        <f>IF(ISBLANK(Games!#REF!), "",'Prediction Log'!#REF!)</f>
        <v>#REF!</v>
      </c>
      <c r="H333" s="66" t="e">
        <f>'Prediction Log'!#REF!</f>
        <v>#REF!</v>
      </c>
      <c r="I333" s="65" t="e">
        <f>IF(ISBLANK(Games!#REF!), "",IF(AND(Games!#REF!="",Games!#REF!=""),"",IF(ISTEXT(Games!#REF!), "Side",Games!#REF!)))</f>
        <v>#REF!</v>
      </c>
      <c r="J333" s="65" t="e">
        <f>IF(ISBLANK(Games!#REF!), "",IF(Games!#REF!="Y", Games!#REF!, Games!#REF!))</f>
        <v>#REF!</v>
      </c>
      <c r="K333" s="65" t="e">
        <f>Games!#REF!</f>
        <v>#REF!</v>
      </c>
      <c r="L333" s="65" t="e">
        <f>IF(ISBLANK(Games!#REF!), "",Games!#REF!)</f>
        <v>#REF!</v>
      </c>
      <c r="M333" s="65"/>
      <c r="N333" s="167" t="str">
        <f>IF(ISBLANK(Table123[[#This Row],[Odds Side - Difference Model]]), "", 1)</f>
      </c>
      <c r="O333" s="167" t="str">
        <f>IF(ISBLANK(Table123[[#This Row],[Odds Spread]]), "", 1)</f>
      </c>
      <c r="P333" s="67"/>
      <c r="Q333" s="67"/>
      <c r="R3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3" s="67"/>
      <c r="T333" s="67"/>
      <c r="U333" s="168" t="str">
        <f>IF(ISBLANK(Table123[[#This Row],[Odds Side - Difference Model]]), "",N333+IF(Q333&lt;0, (N333/(Q333/-100)), N333*(Q333/100)))</f>
      </c>
      <c r="V333" s="169" t="str">
        <f>IFERROR(IF(ISBLANK(Table123[[#This Row],[Odds Side - Win Probability Model]]), "",N333+IF(R333&lt;0, (N333/(R333/-100)), N333*(R333/100))),"")</f>
      </c>
      <c r="W333" s="168" t="str">
        <f t="shared" si="32"/>
      </c>
      <c r="X333" s="169" t="str">
        <f t="shared" si="33"/>
      </c>
      <c r="Y333" s="168" t="str">
        <f>IF(ISBLANK(Table123[[#This Row],[Odds Spread]]), "",O333+IF(S333&lt;0, (O333/(S333/-100)), O333*(S333/100)))</f>
      </c>
      <c r="Z333" s="168" t="str">
        <f t="shared" si="34"/>
      </c>
      <c r="AA333" s="68" t="n">
        <f t="shared" si="35"/>
        <v>0</v>
      </c>
      <c r="AB333" s="68" t="n">
        <f t="shared" si="36"/>
        <v>0</v>
      </c>
      <c r="AC333" s="170" t="e">
        <f>IF('Prediction Log'!#REF!="Y", "W", IF('Prediction Log'!#REF!="N","L",""))</f>
        <v>#REF!</v>
      </c>
      <c r="AD333" s="171" t="e">
        <f>IF('Prediction Log'!#REF!="Y", "W", IF('Prediction Log'!#REF!="N","L",""))</f>
        <v>#REF!</v>
      </c>
      <c r="AE333" s="172" t="str">
        <f>IF(ISBLANK(Table123[[#This Row],[Odds Side - Difference Model]]), "",IF(AC333="W", W333, IF(AC333="L",-N333, "")))</f>
      </c>
      <c r="AF333" s="173" t="str">
        <f>IFERROR((IF(ISERR(Table123[[#This Row],[Potential Payout Side - Win Probability Model]]), "",IF(AD333="W", X333, IF(AD333="L",-N333, "")))), "")</f>
      </c>
      <c r="AG333" s="170" t="e">
        <f>IF('Prediction Log'!#REF!="Y", "W", IF('Prediction Log'!#REF!="N", "L", ""))</f>
        <v>#REF!</v>
      </c>
      <c r="AH333" s="172" t="str">
        <f>IF(ISBLANK(Table123[[#This Row],[Odds Spread]]), "",IF(AG333="W", Z333, IF(AG333="L",-O333, "")))</f>
      </c>
      <c r="AI333" s="184"/>
      <c r="AJ333" s="183" t="str">
        <f t="shared" si="37"/>
      </c>
      <c r="AK3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4">
      <c r="A334" s="65" t="e">
        <f>Games!#REF!</f>
        <v>#REF!</v>
      </c>
      <c r="B334" s="65" t="e">
        <f>IF('Prediction Log'!#REF!=0, "",'Prediction Log'!#REF!)</f>
        <v>#REF!</v>
      </c>
      <c r="C334" s="65" t="e">
        <f>IF('Prediction Log'!#REF!=0, "",'Prediction Log'!#REF!)</f>
        <v>#REF!</v>
      </c>
      <c r="D334" s="65" t="e">
        <f>IF('Prediction Log'!#REF!=0, "",'Prediction Log'!#REF!)</f>
        <v>#REF!</v>
      </c>
      <c r="E334" s="65" t="e">
        <f>IF('Prediction Log'!#REF!=0, "",'Prediction Log'!#REF!)</f>
        <v>#REF!</v>
      </c>
      <c r="F334" s="65" t="e">
        <f>IF('Prediction Log'!#REF!=0, "",'Prediction Log'!#REF!)</f>
        <v>#REF!</v>
      </c>
      <c r="G334" s="64" t="e">
        <f>IF(ISBLANK(Games!#REF!), "",'Prediction Log'!#REF!)</f>
        <v>#REF!</v>
      </c>
      <c r="H334" s="66" t="e">
        <f>'Prediction Log'!#REF!</f>
        <v>#REF!</v>
      </c>
      <c r="I334" s="65" t="e">
        <f>IF(ISBLANK(Games!#REF!), "",IF(AND(Games!#REF!="",Games!#REF!=""),"",IF(ISTEXT(Games!#REF!), "Side",Games!#REF!)))</f>
        <v>#REF!</v>
      </c>
      <c r="J334" s="65" t="e">
        <f>IF(ISBLANK(Games!#REF!), "",IF(Games!#REF!="Y", Games!#REF!, Games!#REF!))</f>
        <v>#REF!</v>
      </c>
      <c r="K334" s="65" t="e">
        <f>Games!#REF!</f>
        <v>#REF!</v>
      </c>
      <c r="L334" s="65" t="e">
        <f>IF(ISBLANK(Games!#REF!), "",Games!#REF!)</f>
        <v>#REF!</v>
      </c>
      <c r="M334" s="65"/>
      <c r="N334" s="167" t="str">
        <f>IF(ISBLANK(Table123[[#This Row],[Odds Side - Difference Model]]), "", 1)</f>
      </c>
      <c r="O334" s="167" t="str">
        <f>IF(ISBLANK(Table123[[#This Row],[Odds Spread]]), "", 1)</f>
      </c>
      <c r="P334" s="67"/>
      <c r="Q334" s="67"/>
      <c r="R3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4" s="67"/>
      <c r="T334" s="67"/>
      <c r="U334" s="168" t="str">
        <f>IF(ISBLANK(Table123[[#This Row],[Odds Side - Difference Model]]), "",N334+IF(Q334&lt;0, (N334/(Q334/-100)), N334*(Q334/100)))</f>
      </c>
      <c r="V334" s="169" t="str">
        <f>IFERROR(IF(ISBLANK(Table123[[#This Row],[Odds Side - Win Probability Model]]), "",N334+IF(R334&lt;0, (N334/(R334/-100)), N334*(R334/100))),"")</f>
      </c>
      <c r="W334" s="168" t="str">
        <f t="shared" si="32"/>
      </c>
      <c r="X334" s="169" t="str">
        <f t="shared" si="33"/>
      </c>
      <c r="Y334" s="168" t="str">
        <f>IF(ISBLANK(Table123[[#This Row],[Odds Spread]]), "",O334+IF(S334&lt;0, (O334/(S334/-100)), O334*(S334/100)))</f>
      </c>
      <c r="Z334" s="168" t="str">
        <f t="shared" si="34"/>
      </c>
      <c r="AA334" s="68" t="n">
        <f t="shared" si="35"/>
        <v>0</v>
      </c>
      <c r="AB334" s="68" t="n">
        <f t="shared" si="36"/>
        <v>0</v>
      </c>
      <c r="AC334" s="170" t="e">
        <f>IF('Prediction Log'!#REF!="Y", "W", IF('Prediction Log'!#REF!="N","L",""))</f>
        <v>#REF!</v>
      </c>
      <c r="AD334" s="171" t="e">
        <f>IF('Prediction Log'!#REF!="Y", "W", IF('Prediction Log'!#REF!="N","L",""))</f>
        <v>#REF!</v>
      </c>
      <c r="AE334" s="172" t="str">
        <f>IF(ISBLANK(Table123[[#This Row],[Odds Side - Difference Model]]), "",IF(AC334="W", W334, IF(AC334="L",-N334, "")))</f>
      </c>
      <c r="AF334" s="173" t="str">
        <f>IFERROR((IF(ISERR(Table123[[#This Row],[Potential Payout Side - Win Probability Model]]), "",IF(AD334="W", X334, IF(AD334="L",-N334, "")))), "")</f>
      </c>
      <c r="AG334" s="170" t="e">
        <f>IF('Prediction Log'!#REF!="Y", "W", IF('Prediction Log'!#REF!="N", "L", ""))</f>
        <v>#REF!</v>
      </c>
      <c r="AH334" s="172" t="str">
        <f>IF(ISBLANK(Table123[[#This Row],[Odds Spread]]), "",IF(AG334="W", Z334, IF(AG334="L",-O334, "")))</f>
      </c>
      <c r="AI334" s="184"/>
      <c r="AJ334" s="183" t="str">
        <f t="shared" si="37"/>
      </c>
      <c r="AK3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5">
      <c r="A335" s="65" t="e">
        <f>Games!#REF!</f>
        <v>#REF!</v>
      </c>
      <c r="B335" s="65" t="e">
        <f>IF('Prediction Log'!#REF!=0, "",'Prediction Log'!#REF!)</f>
        <v>#REF!</v>
      </c>
      <c r="C335" s="65" t="e">
        <f>IF('Prediction Log'!#REF!=0, "",'Prediction Log'!#REF!)</f>
        <v>#REF!</v>
      </c>
      <c r="D335" s="65" t="e">
        <f>IF('Prediction Log'!#REF!=0, "",'Prediction Log'!#REF!)</f>
        <v>#REF!</v>
      </c>
      <c r="E335" s="65" t="e">
        <f>IF('Prediction Log'!#REF!=0, "",'Prediction Log'!#REF!)</f>
        <v>#REF!</v>
      </c>
      <c r="F335" s="65" t="e">
        <f>IF('Prediction Log'!#REF!=0, "",'Prediction Log'!#REF!)</f>
        <v>#REF!</v>
      </c>
      <c r="G335" s="64" t="e">
        <f>IF(ISBLANK(Games!#REF!), "",'Prediction Log'!#REF!)</f>
        <v>#REF!</v>
      </c>
      <c r="H335" s="66" t="e">
        <f>'Prediction Log'!#REF!</f>
        <v>#REF!</v>
      </c>
      <c r="I335" s="65" t="e">
        <f>IF(ISBLANK(Games!#REF!), "",IF(AND(Games!#REF!="",Games!#REF!=""),"",IF(ISTEXT(Games!#REF!), "Side",Games!#REF!)))</f>
        <v>#REF!</v>
      </c>
      <c r="J335" s="65" t="e">
        <f>IF(ISBLANK(Games!#REF!), "",IF(Games!#REF!="Y", Games!#REF!, Games!#REF!))</f>
        <v>#REF!</v>
      </c>
      <c r="K335" s="65" t="e">
        <f>Games!#REF!</f>
        <v>#REF!</v>
      </c>
      <c r="L335" s="65" t="e">
        <f>IF(ISBLANK(Games!#REF!), "",Games!#REF!)</f>
        <v>#REF!</v>
      </c>
      <c r="M335" s="65"/>
      <c r="N335" s="167" t="str">
        <f>IF(ISBLANK(Table123[[#This Row],[Odds Side - Difference Model]]), "", 1)</f>
      </c>
      <c r="O335" s="167" t="str">
        <f>IF(ISBLANK(Table123[[#This Row],[Odds Spread]]), "", 1)</f>
      </c>
      <c r="P335" s="67"/>
      <c r="Q335" s="67"/>
      <c r="R3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5" s="67"/>
      <c r="T335" s="67"/>
      <c r="U335" s="168" t="str">
        <f>IF(ISBLANK(Table123[[#This Row],[Odds Side - Difference Model]]), "",N335+IF(Q335&lt;0, (N335/(Q335/-100)), N335*(Q335/100)))</f>
      </c>
      <c r="V335" s="169" t="str">
        <f>IFERROR(IF(ISBLANK(Table123[[#This Row],[Odds Side - Win Probability Model]]), "",N335+IF(R335&lt;0, (N335/(R335/-100)), N335*(R335/100))),"")</f>
      </c>
      <c r="W335" s="168" t="str">
        <f t="shared" si="32"/>
      </c>
      <c r="X335" s="169" t="str">
        <f t="shared" si="33"/>
      </c>
      <c r="Y335" s="168" t="str">
        <f>IF(ISBLANK(Table123[[#This Row],[Odds Spread]]), "",O335+IF(S335&lt;0, (O335/(S335/-100)), O335*(S335/100)))</f>
      </c>
      <c r="Z335" s="168" t="str">
        <f t="shared" si="34"/>
      </c>
      <c r="AA335" s="68" t="n">
        <f t="shared" si="35"/>
        <v>0</v>
      </c>
      <c r="AB335" s="68" t="n">
        <f t="shared" si="36"/>
        <v>0</v>
      </c>
      <c r="AC335" s="170" t="e">
        <f>IF('Prediction Log'!#REF!="Y", "W", IF('Prediction Log'!#REF!="N","L",""))</f>
        <v>#REF!</v>
      </c>
      <c r="AD335" s="171" t="e">
        <f>IF('Prediction Log'!#REF!="Y", "W", IF('Prediction Log'!#REF!="N","L",""))</f>
        <v>#REF!</v>
      </c>
      <c r="AE335" s="172" t="str">
        <f>IF(ISBLANK(Table123[[#This Row],[Odds Side - Difference Model]]), "",IF(AC335="W", W335, IF(AC335="L",-N335, "")))</f>
      </c>
      <c r="AF335" s="173" t="str">
        <f>IFERROR((IF(ISERR(Table123[[#This Row],[Potential Payout Side - Win Probability Model]]), "",IF(AD335="W", X335, IF(AD335="L",-N335, "")))), "")</f>
      </c>
      <c r="AG335" s="170" t="e">
        <f>IF('Prediction Log'!#REF!="Y", "W", IF('Prediction Log'!#REF!="N", "L", ""))</f>
        <v>#REF!</v>
      </c>
      <c r="AH335" s="172" t="str">
        <f>IF(ISBLANK(Table123[[#This Row],[Odds Spread]]), "",IF(AG335="W", Z335, IF(AG335="L",-O335, "")))</f>
      </c>
      <c r="AI335" s="184"/>
      <c r="AJ335" s="183" t="str">
        <f t="shared" si="37"/>
      </c>
      <c r="AK3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6">
      <c r="A336" s="65" t="e">
        <f>Games!#REF!</f>
        <v>#REF!</v>
      </c>
      <c r="B336" s="65" t="e">
        <f>IF('Prediction Log'!#REF!=0, "",'Prediction Log'!#REF!)</f>
        <v>#REF!</v>
      </c>
      <c r="C336" s="65" t="e">
        <f>IF('Prediction Log'!#REF!=0, "",'Prediction Log'!#REF!)</f>
        <v>#REF!</v>
      </c>
      <c r="D336" s="65" t="e">
        <f>IF('Prediction Log'!#REF!=0, "",'Prediction Log'!#REF!)</f>
        <v>#REF!</v>
      </c>
      <c r="E336" s="65" t="e">
        <f>IF('Prediction Log'!#REF!=0, "",'Prediction Log'!#REF!)</f>
        <v>#REF!</v>
      </c>
      <c r="F336" s="65" t="e">
        <f>IF('Prediction Log'!#REF!=0, "",'Prediction Log'!#REF!)</f>
        <v>#REF!</v>
      </c>
      <c r="G336" s="64" t="e">
        <f>IF(ISBLANK(Games!#REF!), "",'Prediction Log'!#REF!)</f>
        <v>#REF!</v>
      </c>
      <c r="H336" s="66" t="e">
        <f>'Prediction Log'!#REF!</f>
        <v>#REF!</v>
      </c>
      <c r="I336" s="65" t="e">
        <f>IF(ISBLANK(Games!#REF!), "",IF(AND(Games!#REF!="",Games!#REF!=""),"",IF(ISTEXT(Games!#REF!), "Side",Games!#REF!)))</f>
        <v>#REF!</v>
      </c>
      <c r="J336" s="65" t="e">
        <f>IF(ISBLANK(Games!#REF!), "",IF(Games!#REF!="Y", Games!#REF!, Games!#REF!))</f>
        <v>#REF!</v>
      </c>
      <c r="K336" s="65" t="e">
        <f>Games!#REF!</f>
        <v>#REF!</v>
      </c>
      <c r="L336" s="65" t="e">
        <f>IF(ISBLANK(Games!#REF!), "",Games!#REF!)</f>
        <v>#REF!</v>
      </c>
      <c r="M336" s="65"/>
      <c r="N336" s="167" t="str">
        <f>IF(ISBLANK(Table123[[#This Row],[Odds Side - Difference Model]]), "", 1)</f>
      </c>
      <c r="O336" s="167" t="str">
        <f>IF(ISBLANK(Table123[[#This Row],[Odds Spread]]), "", 1)</f>
      </c>
      <c r="P336" s="67"/>
      <c r="Q336" s="67"/>
      <c r="R3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6" s="67"/>
      <c r="T336" s="67"/>
      <c r="U336" s="168" t="str">
        <f>IF(ISBLANK(Table123[[#This Row],[Odds Side - Difference Model]]), "",N336+IF(Q336&lt;0, (N336/(Q336/-100)), N336*(Q336/100)))</f>
      </c>
      <c r="V336" s="169" t="str">
        <f>IFERROR(IF(ISBLANK(Table123[[#This Row],[Odds Side - Win Probability Model]]), "",N336+IF(R336&lt;0, (N336/(R336/-100)), N336*(R336/100))),"")</f>
      </c>
      <c r="W336" s="168" t="str">
        <f t="shared" si="32"/>
      </c>
      <c r="X336" s="169" t="str">
        <f t="shared" si="33"/>
      </c>
      <c r="Y336" s="168" t="str">
        <f>IF(ISBLANK(Table123[[#This Row],[Odds Spread]]), "",O336+IF(S336&lt;0, (O336/(S336/-100)), O336*(S336/100)))</f>
      </c>
      <c r="Z336" s="168" t="str">
        <f t="shared" si="34"/>
      </c>
      <c r="AA336" s="68" t="n">
        <f t="shared" si="35"/>
        <v>0</v>
      </c>
      <c r="AB336" s="68" t="n">
        <f t="shared" si="36"/>
        <v>0</v>
      </c>
      <c r="AC336" s="170" t="e">
        <f>IF('Prediction Log'!#REF!="Y", "W", IF('Prediction Log'!#REF!="N","L",""))</f>
        <v>#REF!</v>
      </c>
      <c r="AD336" s="171" t="e">
        <f>IF('Prediction Log'!#REF!="Y", "W", IF('Prediction Log'!#REF!="N","L",""))</f>
        <v>#REF!</v>
      </c>
      <c r="AE336" s="172" t="str">
        <f>IF(ISBLANK(Table123[[#This Row],[Odds Side - Difference Model]]), "",IF(AC336="W", W336, IF(AC336="L",-N336, "")))</f>
      </c>
      <c r="AF336" s="173" t="str">
        <f>IFERROR((IF(ISERR(Table123[[#This Row],[Potential Payout Side - Win Probability Model]]), "",IF(AD336="W", X336, IF(AD336="L",-N336, "")))), "")</f>
      </c>
      <c r="AG336" s="170" t="e">
        <f>IF('Prediction Log'!#REF!="Y", "W", IF('Prediction Log'!#REF!="N", "L", ""))</f>
        <v>#REF!</v>
      </c>
      <c r="AH336" s="172" t="str">
        <f>IF(ISBLANK(Table123[[#This Row],[Odds Spread]]), "",IF(AG336="W", Z336, IF(AG336="L",-O336, "")))</f>
      </c>
      <c r="AI336" s="184"/>
      <c r="AJ336" s="183" t="str">
        <f t="shared" si="37"/>
      </c>
      <c r="AK3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7">
      <c r="A337" s="65" t="e">
        <f>Games!#REF!</f>
        <v>#REF!</v>
      </c>
      <c r="B337" s="65" t="e">
        <f>IF('Prediction Log'!#REF!=0, "",'Prediction Log'!#REF!)</f>
        <v>#REF!</v>
      </c>
      <c r="C337" s="65" t="e">
        <f>IF('Prediction Log'!#REF!=0, "",'Prediction Log'!#REF!)</f>
        <v>#REF!</v>
      </c>
      <c r="D337" s="65" t="e">
        <f>IF('Prediction Log'!#REF!=0, "",'Prediction Log'!#REF!)</f>
        <v>#REF!</v>
      </c>
      <c r="E337" s="65" t="e">
        <f>IF('Prediction Log'!#REF!=0, "",'Prediction Log'!#REF!)</f>
        <v>#REF!</v>
      </c>
      <c r="F337" s="65" t="e">
        <f>IF('Prediction Log'!#REF!=0, "",'Prediction Log'!#REF!)</f>
        <v>#REF!</v>
      </c>
      <c r="G337" s="64" t="e">
        <f>IF(ISBLANK(Games!#REF!), "",'Prediction Log'!#REF!)</f>
        <v>#REF!</v>
      </c>
      <c r="H337" s="66" t="e">
        <f>'Prediction Log'!#REF!</f>
        <v>#REF!</v>
      </c>
      <c r="I337" s="65" t="e">
        <f>IF(ISBLANK(Games!#REF!), "",IF(AND(Games!#REF!="",Games!#REF!=""),"",IF(ISTEXT(Games!#REF!), "Side",Games!#REF!)))</f>
        <v>#REF!</v>
      </c>
      <c r="J337" s="65" t="e">
        <f>IF(ISBLANK(Games!#REF!), "",IF(Games!#REF!="Y", Games!#REF!, Games!#REF!))</f>
        <v>#REF!</v>
      </c>
      <c r="K337" s="65" t="e">
        <f>Games!#REF!</f>
        <v>#REF!</v>
      </c>
      <c r="L337" s="65" t="e">
        <f>IF(ISBLANK(Games!#REF!), "",Games!#REF!)</f>
        <v>#REF!</v>
      </c>
      <c r="M337" s="65"/>
      <c r="N337" s="167" t="str">
        <f>IF(ISBLANK(Table123[[#This Row],[Odds Side - Difference Model]]), "", 1)</f>
      </c>
      <c r="O337" s="167" t="str">
        <f>IF(ISBLANK(Table123[[#This Row],[Odds Spread]]), "", 1)</f>
      </c>
      <c r="P337" s="67"/>
      <c r="Q337" s="67"/>
      <c r="R3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7" s="67"/>
      <c r="T337" s="67"/>
      <c r="U337" s="168" t="str">
        <f>IF(ISBLANK(Table123[[#This Row],[Odds Side - Difference Model]]), "",N337+IF(Q337&lt;0, (N337/(Q337/-100)), N337*(Q337/100)))</f>
      </c>
      <c r="V337" s="169" t="str">
        <f>IFERROR(IF(ISBLANK(Table123[[#This Row],[Odds Side - Win Probability Model]]), "",N337+IF(R337&lt;0, (N337/(R337/-100)), N337*(R337/100))),"")</f>
      </c>
      <c r="W337" s="168" t="str">
        <f t="shared" si="32"/>
      </c>
      <c r="X337" s="169" t="str">
        <f t="shared" si="33"/>
      </c>
      <c r="Y337" s="168" t="str">
        <f>IF(ISBLANK(Table123[[#This Row],[Odds Spread]]), "",O337+IF(S337&lt;0, (O337/(S337/-100)), O337*(S337/100)))</f>
      </c>
      <c r="Z337" s="168" t="str">
        <f t="shared" si="34"/>
      </c>
      <c r="AA337" s="68" t="n">
        <f t="shared" si="35"/>
        <v>0</v>
      </c>
      <c r="AB337" s="68" t="n">
        <f t="shared" si="36"/>
        <v>0</v>
      </c>
      <c r="AC337" s="170" t="e">
        <f>IF('Prediction Log'!#REF!="Y", "W", IF('Prediction Log'!#REF!="N","L",""))</f>
        <v>#REF!</v>
      </c>
      <c r="AD337" s="171" t="e">
        <f>IF('Prediction Log'!#REF!="Y", "W", IF('Prediction Log'!#REF!="N","L",""))</f>
        <v>#REF!</v>
      </c>
      <c r="AE337" s="172" t="str">
        <f>IF(ISBLANK(Table123[[#This Row],[Odds Side - Difference Model]]), "",IF(AC337="W", W337, IF(AC337="L",-N337, "")))</f>
      </c>
      <c r="AF337" s="173" t="str">
        <f>IFERROR((IF(ISERR(Table123[[#This Row],[Potential Payout Side - Win Probability Model]]), "",IF(AD337="W", X337, IF(AD337="L",-N337, "")))), "")</f>
      </c>
      <c r="AG337" s="170" t="e">
        <f>IF('Prediction Log'!#REF!="Y", "W", IF('Prediction Log'!#REF!="N", "L", ""))</f>
        <v>#REF!</v>
      </c>
      <c r="AH337" s="172" t="str">
        <f>IF(ISBLANK(Table123[[#This Row],[Odds Spread]]), "",IF(AG337="W", Z337, IF(AG337="L",-O337, "")))</f>
      </c>
      <c r="AI337" s="184"/>
      <c r="AJ337" s="183" t="str">
        <f t="shared" si="37"/>
      </c>
      <c r="AK3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8">
      <c r="A338" s="65" t="e">
        <f>Games!#REF!</f>
        <v>#REF!</v>
      </c>
      <c r="B338" s="65" t="e">
        <f>IF('Prediction Log'!#REF!=0, "",'Prediction Log'!#REF!)</f>
        <v>#REF!</v>
      </c>
      <c r="C338" s="65" t="e">
        <f>IF('Prediction Log'!#REF!=0, "",'Prediction Log'!#REF!)</f>
        <v>#REF!</v>
      </c>
      <c r="D338" s="65" t="e">
        <f>IF('Prediction Log'!#REF!=0, "",'Prediction Log'!#REF!)</f>
        <v>#REF!</v>
      </c>
      <c r="E338" s="65" t="e">
        <f>IF('Prediction Log'!#REF!=0, "",'Prediction Log'!#REF!)</f>
        <v>#REF!</v>
      </c>
      <c r="F338" s="65" t="e">
        <f>IF('Prediction Log'!#REF!=0, "",'Prediction Log'!#REF!)</f>
        <v>#REF!</v>
      </c>
      <c r="G338" s="64" t="e">
        <f>IF(ISBLANK(Games!#REF!), "",'Prediction Log'!#REF!)</f>
        <v>#REF!</v>
      </c>
      <c r="H338" s="66" t="e">
        <f>'Prediction Log'!#REF!</f>
        <v>#REF!</v>
      </c>
      <c r="I338" s="65" t="e">
        <f>IF(ISBLANK(Games!#REF!), "",IF(AND(Games!#REF!="",Games!#REF!=""),"",IF(ISTEXT(Games!#REF!), "Side",Games!#REF!)))</f>
        <v>#REF!</v>
      </c>
      <c r="J338" s="65" t="e">
        <f>IF(ISBLANK(Games!#REF!), "",IF(Games!#REF!="Y", Games!#REF!, Games!#REF!))</f>
        <v>#REF!</v>
      </c>
      <c r="K338" s="65" t="e">
        <f>Games!#REF!</f>
        <v>#REF!</v>
      </c>
      <c r="L338" s="65" t="e">
        <f>IF(ISBLANK(Games!#REF!), "",Games!#REF!)</f>
        <v>#REF!</v>
      </c>
      <c r="M338" s="65"/>
      <c r="N338" s="167" t="str">
        <f>IF(ISBLANK(Table123[[#This Row],[Odds Side - Difference Model]]), "", 1)</f>
      </c>
      <c r="O338" s="167" t="str">
        <f>IF(ISBLANK(Table123[[#This Row],[Odds Spread]]), "", 1)</f>
      </c>
      <c r="P338" s="67"/>
      <c r="Q338" s="67"/>
      <c r="R3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8" s="67"/>
      <c r="T338" s="67"/>
      <c r="U338" s="168" t="str">
        <f>IF(ISBLANK(Table123[[#This Row],[Odds Side - Difference Model]]), "",N338+IF(Q338&lt;0, (N338/(Q338/-100)), N338*(Q338/100)))</f>
      </c>
      <c r="V338" s="169" t="str">
        <f>IFERROR(IF(ISBLANK(Table123[[#This Row],[Odds Side - Win Probability Model]]), "",N338+IF(R338&lt;0, (N338/(R338/-100)), N338*(R338/100))),"")</f>
      </c>
      <c r="W338" s="168" t="str">
        <f t="shared" si="32"/>
      </c>
      <c r="X338" s="169" t="str">
        <f t="shared" si="33"/>
      </c>
      <c r="Y338" s="168" t="str">
        <f>IF(ISBLANK(Table123[[#This Row],[Odds Spread]]), "",O338+IF(S338&lt;0, (O338/(S338/-100)), O338*(S338/100)))</f>
      </c>
      <c r="Z338" s="168" t="str">
        <f t="shared" si="34"/>
      </c>
      <c r="AA338" s="68" t="n">
        <f t="shared" si="35"/>
        <v>0</v>
      </c>
      <c r="AB338" s="68" t="n">
        <f t="shared" si="36"/>
        <v>0</v>
      </c>
      <c r="AC338" s="170" t="e">
        <f>IF('Prediction Log'!#REF!="Y", "W", IF('Prediction Log'!#REF!="N","L",""))</f>
        <v>#REF!</v>
      </c>
      <c r="AD338" s="171" t="e">
        <f>IF('Prediction Log'!#REF!="Y", "W", IF('Prediction Log'!#REF!="N","L",""))</f>
        <v>#REF!</v>
      </c>
      <c r="AE338" s="172" t="str">
        <f>IF(ISBLANK(Table123[[#This Row],[Odds Side - Difference Model]]), "",IF(AC338="W", W338, IF(AC338="L",-N338, "")))</f>
      </c>
      <c r="AF338" s="173" t="str">
        <f>IFERROR((IF(ISERR(Table123[[#This Row],[Potential Payout Side - Win Probability Model]]), "",IF(AD338="W", X338, IF(AD338="L",-N338, "")))), "")</f>
      </c>
      <c r="AG338" s="170" t="e">
        <f>IF('Prediction Log'!#REF!="Y", "W", IF('Prediction Log'!#REF!="N", "L", ""))</f>
        <v>#REF!</v>
      </c>
      <c r="AH338" s="172" t="str">
        <f>IF(ISBLANK(Table123[[#This Row],[Odds Spread]]), "",IF(AG338="W", Z338, IF(AG338="L",-O338, "")))</f>
      </c>
      <c r="AI338" s="184"/>
      <c r="AJ338" s="183" t="str">
        <f t="shared" si="37"/>
      </c>
      <c r="AK3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9">
      <c r="A339" s="65" t="e">
        <f>Games!#REF!</f>
        <v>#REF!</v>
      </c>
      <c r="B339" s="65" t="e">
        <f>IF('Prediction Log'!#REF!=0, "",'Prediction Log'!#REF!)</f>
        <v>#REF!</v>
      </c>
      <c r="C339" s="65" t="e">
        <f>IF('Prediction Log'!#REF!=0, "",'Prediction Log'!#REF!)</f>
        <v>#REF!</v>
      </c>
      <c r="D339" s="65" t="e">
        <f>IF('Prediction Log'!#REF!=0, "",'Prediction Log'!#REF!)</f>
        <v>#REF!</v>
      </c>
      <c r="E339" s="65" t="e">
        <f>IF('Prediction Log'!#REF!=0, "",'Prediction Log'!#REF!)</f>
        <v>#REF!</v>
      </c>
      <c r="F339" s="65" t="e">
        <f>IF('Prediction Log'!#REF!=0, "",'Prediction Log'!#REF!)</f>
        <v>#REF!</v>
      </c>
      <c r="G339" s="64" t="e">
        <f>IF(ISBLANK(Games!#REF!), "",'Prediction Log'!#REF!)</f>
        <v>#REF!</v>
      </c>
      <c r="H339" s="66" t="e">
        <f>'Prediction Log'!#REF!</f>
        <v>#REF!</v>
      </c>
      <c r="I339" s="65" t="e">
        <f>IF(ISBLANK(Games!#REF!), "",IF(AND(Games!#REF!="",Games!#REF!=""),"",IF(ISTEXT(Games!#REF!), "Side",Games!#REF!)))</f>
        <v>#REF!</v>
      </c>
      <c r="J339" s="65" t="e">
        <f>IF(ISBLANK(Games!#REF!), "",IF(Games!#REF!="Y", Games!#REF!, Games!#REF!))</f>
        <v>#REF!</v>
      </c>
      <c r="K339" s="65" t="e">
        <f>Games!#REF!</f>
        <v>#REF!</v>
      </c>
      <c r="L339" s="65" t="e">
        <f>IF(ISBLANK(Games!#REF!), "",Games!#REF!)</f>
        <v>#REF!</v>
      </c>
      <c r="M339" s="65"/>
      <c r="N339" s="167" t="str">
        <f>IF(ISBLANK(Table123[[#This Row],[Odds Side - Difference Model]]), "", 1)</f>
      </c>
      <c r="O339" s="167" t="str">
        <f>IF(ISBLANK(Table123[[#This Row],[Odds Spread]]), "", 1)</f>
      </c>
      <c r="P339" s="67"/>
      <c r="Q339" s="67"/>
      <c r="R3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9" s="67"/>
      <c r="T339" s="67"/>
      <c r="U339" s="168" t="str">
        <f>IF(ISBLANK(Table123[[#This Row],[Odds Side - Difference Model]]), "",N339+IF(Q339&lt;0, (N339/(Q339/-100)), N339*(Q339/100)))</f>
      </c>
      <c r="V339" s="169" t="str">
        <f>IFERROR(IF(ISBLANK(Table123[[#This Row],[Odds Side - Win Probability Model]]), "",N339+IF(R339&lt;0, (N339/(R339/-100)), N339*(R339/100))),"")</f>
      </c>
      <c r="W339" s="168" t="str">
        <f t="shared" si="32"/>
      </c>
      <c r="X339" s="169" t="str">
        <f t="shared" si="33"/>
      </c>
      <c r="Y339" s="168" t="str">
        <f>IF(ISBLANK(Table123[[#This Row],[Odds Spread]]), "",O339+IF(S339&lt;0, (O339/(S339/-100)), O339*(S339/100)))</f>
      </c>
      <c r="Z339" s="168" t="str">
        <f t="shared" si="34"/>
      </c>
      <c r="AA339" s="68" t="n">
        <f t="shared" si="35"/>
        <v>0</v>
      </c>
      <c r="AB339" s="68" t="n">
        <f t="shared" si="36"/>
        <v>0</v>
      </c>
      <c r="AC339" s="170" t="e">
        <f>IF('Prediction Log'!#REF!="Y", "W", IF('Prediction Log'!#REF!="N","L",""))</f>
        <v>#REF!</v>
      </c>
      <c r="AD339" s="171" t="e">
        <f>IF('Prediction Log'!#REF!="Y", "W", IF('Prediction Log'!#REF!="N","L",""))</f>
        <v>#REF!</v>
      </c>
      <c r="AE339" s="172" t="str">
        <f>IF(ISBLANK(Table123[[#This Row],[Odds Side - Difference Model]]), "",IF(AC339="W", W339, IF(AC339="L",-N339, "")))</f>
      </c>
      <c r="AF339" s="173" t="str">
        <f>IFERROR((IF(ISERR(Table123[[#This Row],[Potential Payout Side - Win Probability Model]]), "",IF(AD339="W", X339, IF(AD339="L",-N339, "")))), "")</f>
      </c>
      <c r="AG339" s="170" t="e">
        <f>IF('Prediction Log'!#REF!="Y", "W", IF('Prediction Log'!#REF!="N", "L", ""))</f>
        <v>#REF!</v>
      </c>
      <c r="AH339" s="172" t="str">
        <f>IF(ISBLANK(Table123[[#This Row],[Odds Spread]]), "",IF(AG339="W", Z339, IF(AG339="L",-O339, "")))</f>
      </c>
      <c r="AI339" s="184"/>
      <c r="AJ339" s="183" t="str">
        <f t="shared" si="37"/>
      </c>
      <c r="AK3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0">
      <c r="A340" s="65" t="e">
        <f>Games!#REF!</f>
        <v>#REF!</v>
      </c>
      <c r="B340" s="65" t="e">
        <f>IF('Prediction Log'!#REF!=0, "",'Prediction Log'!#REF!)</f>
        <v>#REF!</v>
      </c>
      <c r="C340" s="65" t="e">
        <f>IF('Prediction Log'!#REF!=0, "",'Prediction Log'!#REF!)</f>
        <v>#REF!</v>
      </c>
      <c r="D340" s="65" t="e">
        <f>IF('Prediction Log'!#REF!=0, "",'Prediction Log'!#REF!)</f>
        <v>#REF!</v>
      </c>
      <c r="E340" s="65" t="e">
        <f>IF('Prediction Log'!#REF!=0, "",'Prediction Log'!#REF!)</f>
        <v>#REF!</v>
      </c>
      <c r="F340" s="65" t="e">
        <f>IF('Prediction Log'!#REF!=0, "",'Prediction Log'!#REF!)</f>
        <v>#REF!</v>
      </c>
      <c r="G340" s="64" t="e">
        <f>IF(ISBLANK(Games!#REF!), "",'Prediction Log'!#REF!)</f>
        <v>#REF!</v>
      </c>
      <c r="H340" s="66" t="e">
        <f>'Prediction Log'!#REF!</f>
        <v>#REF!</v>
      </c>
      <c r="I340" s="65" t="e">
        <f>IF(ISBLANK(Games!#REF!), "",IF(AND(Games!#REF!="",Games!#REF!=""),"",IF(ISTEXT(Games!#REF!), "Side",Games!#REF!)))</f>
        <v>#REF!</v>
      </c>
      <c r="J340" s="65" t="e">
        <f>IF(ISBLANK(Games!#REF!), "",IF(Games!#REF!="Y", Games!#REF!, Games!#REF!))</f>
        <v>#REF!</v>
      </c>
      <c r="K340" s="65" t="e">
        <f>Games!#REF!</f>
        <v>#REF!</v>
      </c>
      <c r="L340" s="65" t="e">
        <f>IF(ISBLANK(Games!#REF!), "",Games!#REF!)</f>
        <v>#REF!</v>
      </c>
      <c r="M340" s="65"/>
      <c r="N340" s="167" t="str">
        <f>IF(ISBLANK(Table123[[#This Row],[Odds Side - Difference Model]]), "", 1)</f>
      </c>
      <c r="O340" s="167" t="str">
        <f>IF(ISBLANK(Table123[[#This Row],[Odds Spread]]), "", 1)</f>
      </c>
      <c r="P340" s="67"/>
      <c r="Q340" s="67"/>
      <c r="R3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0" s="67"/>
      <c r="T340" s="67"/>
      <c r="U340" s="168" t="str">
        <f>IF(ISBLANK(Table123[[#This Row],[Odds Side - Difference Model]]), "",N340+IF(Q340&lt;0, (N340/(Q340/-100)), N340*(Q340/100)))</f>
      </c>
      <c r="V340" s="169" t="str">
        <f>IFERROR(IF(ISBLANK(Table123[[#This Row],[Odds Side - Win Probability Model]]), "",N340+IF(R340&lt;0, (N340/(R340/-100)), N340*(R340/100))),"")</f>
      </c>
      <c r="W340" s="168" t="str">
        <f t="shared" si="32"/>
      </c>
      <c r="X340" s="169" t="str">
        <f t="shared" si="33"/>
      </c>
      <c r="Y340" s="168" t="str">
        <f>IF(ISBLANK(Table123[[#This Row],[Odds Spread]]), "",O340+IF(S340&lt;0, (O340/(S340/-100)), O340*(S340/100)))</f>
      </c>
      <c r="Z340" s="168" t="str">
        <f t="shared" si="34"/>
      </c>
      <c r="AA340" s="68" t="n">
        <f t="shared" si="35"/>
        <v>0</v>
      </c>
      <c r="AB340" s="68" t="n">
        <f t="shared" si="36"/>
        <v>0</v>
      </c>
      <c r="AC340" s="170" t="e">
        <f>IF('Prediction Log'!#REF!="Y", "W", IF('Prediction Log'!#REF!="N","L",""))</f>
        <v>#REF!</v>
      </c>
      <c r="AD340" s="171" t="e">
        <f>IF('Prediction Log'!#REF!="Y", "W", IF('Prediction Log'!#REF!="N","L",""))</f>
        <v>#REF!</v>
      </c>
      <c r="AE340" s="172" t="str">
        <f>IF(ISBLANK(Table123[[#This Row],[Odds Side - Difference Model]]), "",IF(AC340="W", W340, IF(AC340="L",-N340, "")))</f>
      </c>
      <c r="AF340" s="173" t="str">
        <f>IFERROR((IF(ISERR(Table123[[#This Row],[Potential Payout Side - Win Probability Model]]), "",IF(AD340="W", X340, IF(AD340="L",-N340, "")))), "")</f>
      </c>
      <c r="AG340" s="170" t="e">
        <f>IF('Prediction Log'!#REF!="Y", "W", IF('Prediction Log'!#REF!="N", "L", ""))</f>
        <v>#REF!</v>
      </c>
      <c r="AH340" s="172" t="str">
        <f>IF(ISBLANK(Table123[[#This Row],[Odds Spread]]), "",IF(AG340="W", Z340, IF(AG340="L",-O340, "")))</f>
      </c>
      <c r="AI340" s="184"/>
      <c r="AJ340" s="183" t="str">
        <f t="shared" si="37"/>
      </c>
      <c r="AK3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1">
      <c r="A341" s="65" t="e">
        <f>Games!#REF!</f>
        <v>#REF!</v>
      </c>
      <c r="B341" s="65" t="e">
        <f>IF('Prediction Log'!#REF!=0, "",'Prediction Log'!#REF!)</f>
        <v>#REF!</v>
      </c>
      <c r="C341" s="65" t="e">
        <f>IF('Prediction Log'!#REF!=0, "",'Prediction Log'!#REF!)</f>
        <v>#REF!</v>
      </c>
      <c r="D341" s="65" t="e">
        <f>IF('Prediction Log'!#REF!=0, "",'Prediction Log'!#REF!)</f>
        <v>#REF!</v>
      </c>
      <c r="E341" s="65" t="e">
        <f>IF('Prediction Log'!#REF!=0, "",'Prediction Log'!#REF!)</f>
        <v>#REF!</v>
      </c>
      <c r="F341" s="65" t="e">
        <f>IF('Prediction Log'!#REF!=0, "",'Prediction Log'!#REF!)</f>
        <v>#REF!</v>
      </c>
      <c r="G341" s="64" t="e">
        <f>IF(ISBLANK(Games!#REF!), "",'Prediction Log'!#REF!)</f>
        <v>#REF!</v>
      </c>
      <c r="H341" s="66" t="e">
        <f>'Prediction Log'!#REF!</f>
        <v>#REF!</v>
      </c>
      <c r="I341" s="65" t="e">
        <f>IF(ISBLANK(Games!#REF!), "",IF(AND(Games!#REF!="",Games!#REF!=""),"",IF(ISTEXT(Games!#REF!), "Side",Games!#REF!)))</f>
        <v>#REF!</v>
      </c>
      <c r="J341" s="65" t="e">
        <f>IF(ISBLANK(Games!#REF!), "",IF(Games!#REF!="Y", Games!#REF!, Games!#REF!))</f>
        <v>#REF!</v>
      </c>
      <c r="K341" s="65" t="e">
        <f>Games!#REF!</f>
        <v>#REF!</v>
      </c>
      <c r="L341" s="65" t="e">
        <f>IF(ISBLANK(Games!#REF!), "",Games!#REF!)</f>
        <v>#REF!</v>
      </c>
      <c r="M341" s="65"/>
      <c r="N341" s="167" t="str">
        <f>IF(ISBLANK(Table123[[#This Row],[Odds Side - Difference Model]]), "", 1)</f>
      </c>
      <c r="O341" s="167" t="str">
        <f>IF(ISBLANK(Table123[[#This Row],[Odds Spread]]), "", 1)</f>
      </c>
      <c r="P341" s="67"/>
      <c r="Q341" s="67"/>
      <c r="R3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1" s="67"/>
      <c r="T341" s="67"/>
      <c r="U341" s="168" t="str">
        <f>IF(ISBLANK(Table123[[#This Row],[Odds Side - Difference Model]]), "",N341+IF(Q341&lt;0, (N341/(Q341/-100)), N341*(Q341/100)))</f>
      </c>
      <c r="V341" s="169" t="str">
        <f>IFERROR(IF(ISBLANK(Table123[[#This Row],[Odds Side - Win Probability Model]]), "",N341+IF(R341&lt;0, (N341/(R341/-100)), N341*(R341/100))),"")</f>
      </c>
      <c r="W341" s="168" t="str">
        <f t="shared" si="32"/>
      </c>
      <c r="X341" s="169" t="str">
        <f t="shared" si="33"/>
      </c>
      <c r="Y341" s="168" t="str">
        <f>IF(ISBLANK(Table123[[#This Row],[Odds Spread]]), "",O341+IF(S341&lt;0, (O341/(S341/-100)), O341*(S341/100)))</f>
      </c>
      <c r="Z341" s="168" t="str">
        <f t="shared" si="34"/>
      </c>
      <c r="AA341" s="68" t="n">
        <f t="shared" si="35"/>
        <v>0</v>
      </c>
      <c r="AB341" s="68" t="n">
        <f t="shared" si="36"/>
        <v>0</v>
      </c>
      <c r="AC341" s="170" t="e">
        <f>IF('Prediction Log'!#REF!="Y", "W", IF('Prediction Log'!#REF!="N","L",""))</f>
        <v>#REF!</v>
      </c>
      <c r="AD341" s="171" t="e">
        <f>IF('Prediction Log'!#REF!="Y", "W", IF('Prediction Log'!#REF!="N","L",""))</f>
        <v>#REF!</v>
      </c>
      <c r="AE341" s="172" t="str">
        <f>IF(ISBLANK(Table123[[#This Row],[Odds Side - Difference Model]]), "",IF(AC341="W", W341, IF(AC341="L",-N341, "")))</f>
      </c>
      <c r="AF341" s="173" t="str">
        <f>IFERROR((IF(ISERR(Table123[[#This Row],[Potential Payout Side - Win Probability Model]]), "",IF(AD341="W", X341, IF(AD341="L",-N341, "")))), "")</f>
      </c>
      <c r="AG341" s="170" t="e">
        <f>IF('Prediction Log'!#REF!="Y", "W", IF('Prediction Log'!#REF!="N", "L", ""))</f>
        <v>#REF!</v>
      </c>
      <c r="AH341" s="172" t="str">
        <f>IF(ISBLANK(Table123[[#This Row],[Odds Spread]]), "",IF(AG341="W", Z341, IF(AG341="L",-O341, "")))</f>
      </c>
      <c r="AI341" s="184"/>
      <c r="AJ341" s="183" t="str">
        <f t="shared" si="37"/>
      </c>
      <c r="AK3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2">
      <c r="A342" s="65" t="e">
        <f>Games!#REF!</f>
        <v>#REF!</v>
      </c>
      <c r="B342" s="65" t="e">
        <f>IF('Prediction Log'!#REF!=0, "",'Prediction Log'!#REF!)</f>
        <v>#REF!</v>
      </c>
      <c r="C342" s="65" t="e">
        <f>IF('Prediction Log'!#REF!=0, "",'Prediction Log'!#REF!)</f>
        <v>#REF!</v>
      </c>
      <c r="D342" s="65" t="e">
        <f>IF('Prediction Log'!#REF!=0, "",'Prediction Log'!#REF!)</f>
        <v>#REF!</v>
      </c>
      <c r="E342" s="65" t="e">
        <f>IF('Prediction Log'!#REF!=0, "",'Prediction Log'!#REF!)</f>
        <v>#REF!</v>
      </c>
      <c r="F342" s="65" t="e">
        <f>IF('Prediction Log'!#REF!=0, "",'Prediction Log'!#REF!)</f>
        <v>#REF!</v>
      </c>
      <c r="G342" s="64" t="e">
        <f>IF(ISBLANK(Games!#REF!), "",'Prediction Log'!#REF!)</f>
        <v>#REF!</v>
      </c>
      <c r="H342" s="66" t="e">
        <f>'Prediction Log'!#REF!</f>
        <v>#REF!</v>
      </c>
      <c r="I342" s="65" t="e">
        <f>IF(ISBLANK(Games!#REF!), "",IF(AND(Games!#REF!="",Games!#REF!=""),"",IF(ISTEXT(Games!#REF!), "Side",Games!#REF!)))</f>
        <v>#REF!</v>
      </c>
      <c r="J342" s="65" t="e">
        <f>IF(ISBLANK(Games!#REF!), "",IF(Games!#REF!="Y", Games!#REF!, Games!#REF!))</f>
        <v>#REF!</v>
      </c>
      <c r="K342" s="65" t="e">
        <f>Games!#REF!</f>
        <v>#REF!</v>
      </c>
      <c r="L342" s="65" t="e">
        <f>IF(ISBLANK(Games!#REF!), "",Games!#REF!)</f>
        <v>#REF!</v>
      </c>
      <c r="M342" s="65"/>
      <c r="N342" s="167" t="str">
        <f>IF(ISBLANK(Table123[[#This Row],[Odds Side - Difference Model]]), "", 1)</f>
      </c>
      <c r="O342" s="167" t="str">
        <f>IF(ISBLANK(Table123[[#This Row],[Odds Spread]]), "", 1)</f>
      </c>
      <c r="P342" s="67"/>
      <c r="Q342" s="67"/>
      <c r="R3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2" s="67"/>
      <c r="T342" s="67"/>
      <c r="U342" s="168" t="str">
        <f>IF(ISBLANK(Table123[[#This Row],[Odds Side - Difference Model]]), "",N342+IF(Q342&lt;0, (N342/(Q342/-100)), N342*(Q342/100)))</f>
      </c>
      <c r="V342" s="169" t="str">
        <f>IFERROR(IF(ISBLANK(Table123[[#This Row],[Odds Side - Win Probability Model]]), "",N342+IF(R342&lt;0, (N342/(R342/-100)), N342*(R342/100))),"")</f>
      </c>
      <c r="W342" s="168" t="str">
        <f t="shared" si="32"/>
      </c>
      <c r="X342" s="169" t="str">
        <f t="shared" si="33"/>
      </c>
      <c r="Y342" s="168" t="str">
        <f>IF(ISBLANK(Table123[[#This Row],[Odds Spread]]), "",O342+IF(S342&lt;0, (O342/(S342/-100)), O342*(S342/100)))</f>
      </c>
      <c r="Z342" s="168" t="str">
        <f t="shared" si="34"/>
      </c>
      <c r="AA342" s="68" t="n">
        <f t="shared" si="35"/>
        <v>0</v>
      </c>
      <c r="AB342" s="68" t="n">
        <f t="shared" si="36"/>
        <v>0</v>
      </c>
      <c r="AC342" s="170" t="e">
        <f>IF('Prediction Log'!#REF!="Y", "W", IF('Prediction Log'!#REF!="N","L",""))</f>
        <v>#REF!</v>
      </c>
      <c r="AD342" s="171" t="e">
        <f>IF('Prediction Log'!#REF!="Y", "W", IF('Prediction Log'!#REF!="N","L",""))</f>
        <v>#REF!</v>
      </c>
      <c r="AE342" s="172" t="str">
        <f>IF(ISBLANK(Table123[[#This Row],[Odds Side - Difference Model]]), "",IF(AC342="W", W342, IF(AC342="L",-N342, "")))</f>
      </c>
      <c r="AF342" s="173" t="str">
        <f>IFERROR((IF(ISERR(Table123[[#This Row],[Potential Payout Side - Win Probability Model]]), "",IF(AD342="W", X342, IF(AD342="L",-N342, "")))), "")</f>
      </c>
      <c r="AG342" s="170" t="e">
        <f>IF('Prediction Log'!#REF!="Y", "W", IF('Prediction Log'!#REF!="N", "L", ""))</f>
        <v>#REF!</v>
      </c>
      <c r="AH342" s="172" t="str">
        <f>IF(ISBLANK(Table123[[#This Row],[Odds Spread]]), "",IF(AG342="W", Z342, IF(AG342="L",-O342, "")))</f>
      </c>
      <c r="AI342" s="184"/>
      <c r="AJ342" s="183" t="str">
        <f t="shared" si="37"/>
      </c>
      <c r="AK3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3">
      <c r="A343" s="65" t="e">
        <f>Games!#REF!</f>
        <v>#REF!</v>
      </c>
      <c r="B343" s="65" t="e">
        <f>IF('Prediction Log'!#REF!=0, "",'Prediction Log'!#REF!)</f>
        <v>#REF!</v>
      </c>
      <c r="C343" s="65" t="e">
        <f>IF('Prediction Log'!#REF!=0, "",'Prediction Log'!#REF!)</f>
        <v>#REF!</v>
      </c>
      <c r="D343" s="65" t="e">
        <f>IF('Prediction Log'!#REF!=0, "",'Prediction Log'!#REF!)</f>
        <v>#REF!</v>
      </c>
      <c r="E343" s="65" t="e">
        <f>IF('Prediction Log'!#REF!=0, "",'Prediction Log'!#REF!)</f>
        <v>#REF!</v>
      </c>
      <c r="F343" s="65" t="e">
        <f>IF('Prediction Log'!#REF!=0, "",'Prediction Log'!#REF!)</f>
        <v>#REF!</v>
      </c>
      <c r="G343" s="64" t="e">
        <f>IF(ISBLANK(Games!#REF!), "",'Prediction Log'!#REF!)</f>
        <v>#REF!</v>
      </c>
      <c r="H343" s="66" t="e">
        <f>'Prediction Log'!#REF!</f>
        <v>#REF!</v>
      </c>
      <c r="I343" s="65" t="e">
        <f>IF(ISBLANK(Games!#REF!), "",IF(AND(Games!#REF!="",Games!#REF!=""),"",IF(ISTEXT(Games!#REF!), "Side",Games!#REF!)))</f>
        <v>#REF!</v>
      </c>
      <c r="J343" s="65" t="e">
        <f>IF(ISBLANK(Games!#REF!), "",IF(Games!#REF!="Y", Games!#REF!, Games!#REF!))</f>
        <v>#REF!</v>
      </c>
      <c r="K343" s="65" t="e">
        <f>Games!#REF!</f>
        <v>#REF!</v>
      </c>
      <c r="L343" s="65" t="e">
        <f>IF(ISBLANK(Games!#REF!), "",Games!#REF!)</f>
        <v>#REF!</v>
      </c>
      <c r="M343" s="65"/>
      <c r="N343" s="167" t="str">
        <f>IF(ISBLANK(Table123[[#This Row],[Odds Side - Difference Model]]), "", 1)</f>
      </c>
      <c r="O343" s="167" t="str">
        <f>IF(ISBLANK(Table123[[#This Row],[Odds Spread]]), "", 1)</f>
      </c>
      <c r="P343" s="67"/>
      <c r="Q343" s="67"/>
      <c r="R3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3" s="67"/>
      <c r="T343" s="67"/>
      <c r="U343" s="168" t="str">
        <f>IF(ISBLANK(Table123[[#This Row],[Odds Side - Difference Model]]), "",N343+IF(Q343&lt;0, (N343/(Q343/-100)), N343*(Q343/100)))</f>
      </c>
      <c r="V343" s="169" t="str">
        <f>IFERROR(IF(ISBLANK(Table123[[#This Row],[Odds Side - Win Probability Model]]), "",N343+IF(R343&lt;0, (N343/(R343/-100)), N343*(R343/100))),"")</f>
      </c>
      <c r="W343" s="168" t="str">
        <f t="shared" si="32"/>
      </c>
      <c r="X343" s="169" t="str">
        <f t="shared" si="33"/>
      </c>
      <c r="Y343" s="168" t="str">
        <f>IF(ISBLANK(Table123[[#This Row],[Odds Spread]]), "",O343+IF(S343&lt;0, (O343/(S343/-100)), O343*(S343/100)))</f>
      </c>
      <c r="Z343" s="168" t="str">
        <f t="shared" si="34"/>
      </c>
      <c r="AA343" s="68" t="n">
        <f t="shared" si="35"/>
        <v>0</v>
      </c>
      <c r="AB343" s="68" t="n">
        <f t="shared" si="36"/>
        <v>0</v>
      </c>
      <c r="AC343" s="170" t="e">
        <f>IF('Prediction Log'!#REF!="Y", "W", IF('Prediction Log'!#REF!="N","L",""))</f>
        <v>#REF!</v>
      </c>
      <c r="AD343" s="171" t="e">
        <f>IF('Prediction Log'!#REF!="Y", "W", IF('Prediction Log'!#REF!="N","L",""))</f>
        <v>#REF!</v>
      </c>
      <c r="AE343" s="172" t="str">
        <f>IF(ISBLANK(Table123[[#This Row],[Odds Side - Difference Model]]), "",IF(AC343="W", W343, IF(AC343="L",-N343, "")))</f>
      </c>
      <c r="AF343" s="173" t="str">
        <f>IFERROR((IF(ISERR(Table123[[#This Row],[Potential Payout Side - Win Probability Model]]), "",IF(AD343="W", X343, IF(AD343="L",-N343, "")))), "")</f>
      </c>
      <c r="AG343" s="170" t="e">
        <f>IF('Prediction Log'!#REF!="Y", "W", IF('Prediction Log'!#REF!="N", "L", ""))</f>
        <v>#REF!</v>
      </c>
      <c r="AH343" s="172" t="str">
        <f>IF(ISBLANK(Table123[[#This Row],[Odds Spread]]), "",IF(AG343="W", Z343, IF(AG343="L",-O343, "")))</f>
      </c>
      <c r="AI343" s="184"/>
      <c r="AJ343" s="183" t="str">
        <f t="shared" si="37"/>
      </c>
      <c r="AK3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4">
      <c r="A344" s="65" t="e">
        <f>Games!#REF!</f>
        <v>#REF!</v>
      </c>
      <c r="B344" s="65" t="e">
        <f>IF('Prediction Log'!#REF!=0, "",'Prediction Log'!#REF!)</f>
        <v>#REF!</v>
      </c>
      <c r="C344" s="65" t="e">
        <f>IF('Prediction Log'!#REF!=0, "",'Prediction Log'!#REF!)</f>
        <v>#REF!</v>
      </c>
      <c r="D344" s="65" t="e">
        <f>IF('Prediction Log'!#REF!=0, "",'Prediction Log'!#REF!)</f>
        <v>#REF!</v>
      </c>
      <c r="E344" s="65" t="e">
        <f>IF('Prediction Log'!#REF!=0, "",'Prediction Log'!#REF!)</f>
        <v>#REF!</v>
      </c>
      <c r="F344" s="65" t="e">
        <f>IF('Prediction Log'!#REF!=0, "",'Prediction Log'!#REF!)</f>
        <v>#REF!</v>
      </c>
      <c r="G344" s="64" t="e">
        <f>IF(ISBLANK(Games!#REF!), "",'Prediction Log'!#REF!)</f>
        <v>#REF!</v>
      </c>
      <c r="H344" s="66" t="e">
        <f>'Prediction Log'!#REF!</f>
        <v>#REF!</v>
      </c>
      <c r="I344" s="65" t="e">
        <f>IF(ISBLANK(Games!#REF!), "",IF(AND(Games!#REF!="",Games!#REF!=""),"",IF(ISTEXT(Games!#REF!), "Side",Games!#REF!)))</f>
        <v>#REF!</v>
      </c>
      <c r="J344" s="65" t="e">
        <f>IF(ISBLANK(Games!#REF!), "",IF(Games!#REF!="Y", Games!#REF!, Games!#REF!))</f>
        <v>#REF!</v>
      </c>
      <c r="K344" s="65" t="e">
        <f>Games!#REF!</f>
        <v>#REF!</v>
      </c>
      <c r="L344" s="65" t="e">
        <f>IF(ISBLANK(Games!#REF!), "",Games!#REF!)</f>
        <v>#REF!</v>
      </c>
      <c r="M344" s="65"/>
      <c r="N344" s="167" t="str">
        <f>IF(ISBLANK(Table123[[#This Row],[Odds Side - Difference Model]]), "", 1)</f>
      </c>
      <c r="O344" s="167" t="str">
        <f>IF(ISBLANK(Table123[[#This Row],[Odds Spread]]), "", 1)</f>
      </c>
      <c r="P344" s="67"/>
      <c r="Q344" s="67"/>
      <c r="R3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4" s="67"/>
      <c r="T344" s="67"/>
      <c r="U344" s="168" t="str">
        <f>IF(ISBLANK(Table123[[#This Row],[Odds Side - Difference Model]]), "",N344+IF(Q344&lt;0, (N344/(Q344/-100)), N344*(Q344/100)))</f>
      </c>
      <c r="V344" s="169" t="str">
        <f>IFERROR(IF(ISBLANK(Table123[[#This Row],[Odds Side - Win Probability Model]]), "",N344+IF(R344&lt;0, (N344/(R344/-100)), N344*(R344/100))),"")</f>
      </c>
      <c r="W344" s="168" t="str">
        <f t="shared" si="32"/>
      </c>
      <c r="X344" s="169" t="str">
        <f t="shared" si="33"/>
      </c>
      <c r="Y344" s="168" t="str">
        <f>IF(ISBLANK(Table123[[#This Row],[Odds Spread]]), "",O344+IF(S344&lt;0, (O344/(S344/-100)), O344*(S344/100)))</f>
      </c>
      <c r="Z344" s="168" t="str">
        <f t="shared" si="34"/>
      </c>
      <c r="AA344" s="68" t="n">
        <f t="shared" si="35"/>
        <v>0</v>
      </c>
      <c r="AB344" s="68" t="n">
        <f t="shared" si="36"/>
        <v>0</v>
      </c>
      <c r="AC344" s="170" t="e">
        <f>IF('Prediction Log'!#REF!="Y", "W", IF('Prediction Log'!#REF!="N","L",""))</f>
        <v>#REF!</v>
      </c>
      <c r="AD344" s="171" t="e">
        <f>IF('Prediction Log'!#REF!="Y", "W", IF('Prediction Log'!#REF!="N","L",""))</f>
        <v>#REF!</v>
      </c>
      <c r="AE344" s="172" t="str">
        <f>IF(ISBLANK(Table123[[#This Row],[Odds Side - Difference Model]]), "",IF(AC344="W", W344, IF(AC344="L",-N344, "")))</f>
      </c>
      <c r="AF344" s="173" t="str">
        <f>IFERROR((IF(ISERR(Table123[[#This Row],[Potential Payout Side - Win Probability Model]]), "",IF(AD344="W", X344, IF(AD344="L",-N344, "")))), "")</f>
      </c>
      <c r="AG344" s="170" t="e">
        <f>IF('Prediction Log'!#REF!="Y", "W", IF('Prediction Log'!#REF!="N", "L", ""))</f>
        <v>#REF!</v>
      </c>
      <c r="AH344" s="172" t="str">
        <f>IF(ISBLANK(Table123[[#This Row],[Odds Spread]]), "",IF(AG344="W", Z344, IF(AG344="L",-O344, "")))</f>
      </c>
      <c r="AI344" s="184"/>
      <c r="AJ344" s="183" t="str">
        <f t="shared" si="37"/>
      </c>
      <c r="AK3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5">
      <c r="A345" s="65" t="e">
        <f>Games!#REF!</f>
        <v>#REF!</v>
      </c>
      <c r="B345" s="65" t="e">
        <f>IF('Prediction Log'!#REF!=0, "",'Prediction Log'!#REF!)</f>
        <v>#REF!</v>
      </c>
      <c r="C345" s="65" t="e">
        <f>IF('Prediction Log'!#REF!=0, "",'Prediction Log'!#REF!)</f>
        <v>#REF!</v>
      </c>
      <c r="D345" s="65" t="e">
        <f>IF('Prediction Log'!#REF!=0, "",'Prediction Log'!#REF!)</f>
        <v>#REF!</v>
      </c>
      <c r="E345" s="65" t="e">
        <f>IF('Prediction Log'!#REF!=0, "",'Prediction Log'!#REF!)</f>
        <v>#REF!</v>
      </c>
      <c r="F345" s="65" t="e">
        <f>IF('Prediction Log'!#REF!=0, "",'Prediction Log'!#REF!)</f>
        <v>#REF!</v>
      </c>
      <c r="G345" s="64" t="e">
        <f>IF(ISBLANK(Games!#REF!), "",'Prediction Log'!#REF!)</f>
        <v>#REF!</v>
      </c>
      <c r="H345" s="66" t="e">
        <f>'Prediction Log'!#REF!</f>
        <v>#REF!</v>
      </c>
      <c r="I345" s="65" t="e">
        <f>IF(ISBLANK(Games!#REF!), "",IF(AND(Games!#REF!="",Games!#REF!=""),"",IF(ISTEXT(Games!#REF!), "Side",Games!#REF!)))</f>
        <v>#REF!</v>
      </c>
      <c r="J345" s="65" t="e">
        <f>IF(ISBLANK(Games!#REF!), "",IF(Games!#REF!="Y", Games!#REF!, Games!#REF!))</f>
        <v>#REF!</v>
      </c>
      <c r="K345" s="65" t="e">
        <f>Games!#REF!</f>
        <v>#REF!</v>
      </c>
      <c r="L345" s="65" t="e">
        <f>IF(ISBLANK(Games!#REF!), "",Games!#REF!)</f>
        <v>#REF!</v>
      </c>
      <c r="M345" s="65"/>
      <c r="N345" s="167" t="str">
        <f>IF(ISBLANK(Table123[[#This Row],[Odds Side - Difference Model]]), "", 1)</f>
      </c>
      <c r="O345" s="167" t="str">
        <f>IF(ISBLANK(Table123[[#This Row],[Odds Spread]]), "", 1)</f>
      </c>
      <c r="P345" s="67"/>
      <c r="Q345" s="67"/>
      <c r="R3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5" s="67"/>
      <c r="T345" s="67"/>
      <c r="U345" s="168" t="str">
        <f>IF(ISBLANK(Table123[[#This Row],[Odds Side - Difference Model]]), "",N345+IF(Q345&lt;0, (N345/(Q345/-100)), N345*(Q345/100)))</f>
      </c>
      <c r="V345" s="169" t="str">
        <f>IFERROR(IF(ISBLANK(Table123[[#This Row],[Odds Side - Win Probability Model]]), "",N345+IF(R345&lt;0, (N345/(R345/-100)), N345*(R345/100))),"")</f>
      </c>
      <c r="W345" s="168" t="str">
        <f t="shared" si="32"/>
      </c>
      <c r="X345" s="169" t="str">
        <f t="shared" si="33"/>
      </c>
      <c r="Y345" s="168" t="str">
        <f>IF(ISBLANK(Table123[[#This Row],[Odds Spread]]), "",O345+IF(S345&lt;0, (O345/(S345/-100)), O345*(S345/100)))</f>
      </c>
      <c r="Z345" s="168" t="str">
        <f t="shared" si="34"/>
      </c>
      <c r="AA345" s="68" t="n">
        <f t="shared" si="35"/>
        <v>0</v>
      </c>
      <c r="AB345" s="68" t="n">
        <f t="shared" si="36"/>
        <v>0</v>
      </c>
      <c r="AC345" s="170" t="e">
        <f>IF('Prediction Log'!#REF!="Y", "W", IF('Prediction Log'!#REF!="N","L",""))</f>
        <v>#REF!</v>
      </c>
      <c r="AD345" s="171" t="e">
        <f>IF('Prediction Log'!#REF!="Y", "W", IF('Prediction Log'!#REF!="N","L",""))</f>
        <v>#REF!</v>
      </c>
      <c r="AE345" s="172" t="str">
        <f>IF(ISBLANK(Table123[[#This Row],[Odds Side - Difference Model]]), "",IF(AC345="W", W345, IF(AC345="L",-N345, "")))</f>
      </c>
      <c r="AF345" s="173" t="str">
        <f>IFERROR((IF(ISERR(Table123[[#This Row],[Potential Payout Side - Win Probability Model]]), "",IF(AD345="W", X345, IF(AD345="L",-N345, "")))), "")</f>
      </c>
      <c r="AG345" s="170" t="e">
        <f>IF('Prediction Log'!#REF!="Y", "W", IF('Prediction Log'!#REF!="N", "L", ""))</f>
        <v>#REF!</v>
      </c>
      <c r="AH345" s="172" t="str">
        <f>IF(ISBLANK(Table123[[#This Row],[Odds Spread]]), "",IF(AG345="W", Z345, IF(AG345="L",-O345, "")))</f>
      </c>
      <c r="AI345" s="184"/>
      <c r="AJ345" s="183" t="str">
        <f t="shared" si="37"/>
      </c>
      <c r="AK3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6">
      <c r="A346" s="65" t="e">
        <f>Games!#REF!</f>
        <v>#REF!</v>
      </c>
      <c r="B346" s="65" t="e">
        <f>IF('Prediction Log'!#REF!=0, "",'Prediction Log'!#REF!)</f>
        <v>#REF!</v>
      </c>
      <c r="C346" s="65" t="e">
        <f>IF('Prediction Log'!#REF!=0, "",'Prediction Log'!#REF!)</f>
        <v>#REF!</v>
      </c>
      <c r="D346" s="65" t="e">
        <f>IF('Prediction Log'!#REF!=0, "",'Prediction Log'!#REF!)</f>
        <v>#REF!</v>
      </c>
      <c r="E346" s="65" t="e">
        <f>IF('Prediction Log'!#REF!=0, "",'Prediction Log'!#REF!)</f>
        <v>#REF!</v>
      </c>
      <c r="F346" s="65" t="e">
        <f>IF('Prediction Log'!#REF!=0, "",'Prediction Log'!#REF!)</f>
        <v>#REF!</v>
      </c>
      <c r="G346" s="64" t="e">
        <f>IF(ISBLANK(Games!#REF!), "",'Prediction Log'!#REF!)</f>
        <v>#REF!</v>
      </c>
      <c r="H346" s="66" t="e">
        <f>'Prediction Log'!#REF!</f>
        <v>#REF!</v>
      </c>
      <c r="I346" s="65" t="e">
        <f>IF(ISBLANK(Games!#REF!), "",IF(AND(Games!#REF!="",Games!#REF!=""),"",IF(ISTEXT(Games!#REF!), "Side",Games!#REF!)))</f>
        <v>#REF!</v>
      </c>
      <c r="J346" s="65" t="e">
        <f>IF(ISBLANK(Games!#REF!), "",IF(Games!#REF!="Y", Games!#REF!, Games!#REF!))</f>
        <v>#REF!</v>
      </c>
      <c r="K346" s="65" t="e">
        <f>Games!#REF!</f>
        <v>#REF!</v>
      </c>
      <c r="L346" s="65" t="e">
        <f>IF(ISBLANK(Games!#REF!), "",Games!#REF!)</f>
        <v>#REF!</v>
      </c>
      <c r="M346" s="65"/>
      <c r="N346" s="167" t="str">
        <f>IF(ISBLANK(Table123[[#This Row],[Odds Side - Difference Model]]), "", 1)</f>
      </c>
      <c r="O346" s="167" t="str">
        <f>IF(ISBLANK(Table123[[#This Row],[Odds Spread]]), "", 1)</f>
      </c>
      <c r="P346" s="67"/>
      <c r="Q346" s="67"/>
      <c r="R3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6" s="67"/>
      <c r="T346" s="67"/>
      <c r="U346" s="168" t="str">
        <f>IF(ISBLANK(Table123[[#This Row],[Odds Side - Difference Model]]), "",N346+IF(Q346&lt;0, (N346/(Q346/-100)), N346*(Q346/100)))</f>
      </c>
      <c r="V346" s="169" t="str">
        <f>IFERROR(IF(ISBLANK(Table123[[#This Row],[Odds Side - Win Probability Model]]), "",N346+IF(R346&lt;0, (N346/(R346/-100)), N346*(R346/100))),"")</f>
      </c>
      <c r="W346" s="168" t="str">
        <f t="shared" si="32"/>
      </c>
      <c r="X346" s="169" t="str">
        <f t="shared" si="33"/>
      </c>
      <c r="Y346" s="168" t="str">
        <f>IF(ISBLANK(Table123[[#This Row],[Odds Spread]]), "",O346+IF(S346&lt;0, (O346/(S346/-100)), O346*(S346/100)))</f>
      </c>
      <c r="Z346" s="168" t="str">
        <f t="shared" si="34"/>
      </c>
      <c r="AA346" s="68" t="n">
        <f t="shared" si="35"/>
        <v>0</v>
      </c>
      <c r="AB346" s="68" t="n">
        <f t="shared" si="36"/>
        <v>0</v>
      </c>
      <c r="AC346" s="170" t="e">
        <f>IF('Prediction Log'!#REF!="Y", "W", IF('Prediction Log'!#REF!="N","L",""))</f>
        <v>#REF!</v>
      </c>
      <c r="AD346" s="171" t="e">
        <f>IF('Prediction Log'!#REF!="Y", "W", IF('Prediction Log'!#REF!="N","L",""))</f>
        <v>#REF!</v>
      </c>
      <c r="AE346" s="172" t="str">
        <f>IF(ISBLANK(Table123[[#This Row],[Odds Side - Difference Model]]), "",IF(AC346="W", W346, IF(AC346="L",-N346, "")))</f>
      </c>
      <c r="AF346" s="173" t="str">
        <f>IFERROR((IF(ISERR(Table123[[#This Row],[Potential Payout Side - Win Probability Model]]), "",IF(AD346="W", X346, IF(AD346="L",-N346, "")))), "")</f>
      </c>
      <c r="AG346" s="170" t="e">
        <f>IF('Prediction Log'!#REF!="Y", "W", IF('Prediction Log'!#REF!="N", "L", ""))</f>
        <v>#REF!</v>
      </c>
      <c r="AH346" s="172" t="str">
        <f>IF(ISBLANK(Table123[[#This Row],[Odds Spread]]), "",IF(AG346="W", Z346, IF(AG346="L",-O346, "")))</f>
      </c>
      <c r="AI346" s="184"/>
      <c r="AJ346" s="183" t="str">
        <f t="shared" si="37"/>
      </c>
      <c r="AK3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7">
      <c r="A347" s="65" t="e">
        <f>Games!#REF!</f>
        <v>#REF!</v>
      </c>
      <c r="B347" s="65" t="e">
        <f>IF('Prediction Log'!#REF!=0, "",'Prediction Log'!#REF!)</f>
        <v>#REF!</v>
      </c>
      <c r="C347" s="65" t="e">
        <f>IF('Prediction Log'!#REF!=0, "",'Prediction Log'!#REF!)</f>
        <v>#REF!</v>
      </c>
      <c r="D347" s="65" t="e">
        <f>IF('Prediction Log'!#REF!=0, "",'Prediction Log'!#REF!)</f>
        <v>#REF!</v>
      </c>
      <c r="E347" s="65" t="e">
        <f>IF('Prediction Log'!#REF!=0, "",'Prediction Log'!#REF!)</f>
        <v>#REF!</v>
      </c>
      <c r="F347" s="65" t="e">
        <f>IF('Prediction Log'!#REF!=0, "",'Prediction Log'!#REF!)</f>
        <v>#REF!</v>
      </c>
      <c r="G347" s="64" t="e">
        <f>IF(ISBLANK(Games!#REF!), "",'Prediction Log'!#REF!)</f>
        <v>#REF!</v>
      </c>
      <c r="H347" s="66" t="e">
        <f>'Prediction Log'!#REF!</f>
        <v>#REF!</v>
      </c>
      <c r="I347" s="65" t="e">
        <f>IF(ISBLANK(Games!#REF!), "",IF(AND(Games!#REF!="",Games!#REF!=""),"",IF(ISTEXT(Games!#REF!), "Side",Games!#REF!)))</f>
        <v>#REF!</v>
      </c>
      <c r="J347" s="65" t="e">
        <f>IF(ISBLANK(Games!#REF!), "",IF(Games!#REF!="Y", Games!#REF!, Games!#REF!))</f>
        <v>#REF!</v>
      </c>
      <c r="K347" s="65" t="e">
        <f>Games!#REF!</f>
        <v>#REF!</v>
      </c>
      <c r="L347" s="65" t="e">
        <f>IF(ISBLANK(Games!#REF!), "",Games!#REF!)</f>
        <v>#REF!</v>
      </c>
      <c r="M347" s="65"/>
      <c r="N347" s="167" t="str">
        <f>IF(ISBLANK(Table123[[#This Row],[Odds Side - Difference Model]]), "", 1)</f>
      </c>
      <c r="O347" s="167" t="str">
        <f>IF(ISBLANK(Table123[[#This Row],[Odds Spread]]), "", 1)</f>
      </c>
      <c r="P347" s="67"/>
      <c r="Q347" s="67"/>
      <c r="R3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7" s="67"/>
      <c r="T347" s="67"/>
      <c r="U347" s="168" t="str">
        <f>IF(ISBLANK(Table123[[#This Row],[Odds Side - Difference Model]]), "",N347+IF(Q347&lt;0, (N347/(Q347/-100)), N347*(Q347/100)))</f>
      </c>
      <c r="V347" s="169" t="str">
        <f>IFERROR(IF(ISBLANK(Table123[[#This Row],[Odds Side - Win Probability Model]]), "",N347+IF(R347&lt;0, (N347/(R347/-100)), N347*(R347/100))),"")</f>
      </c>
      <c r="W347" s="168" t="str">
        <f t="shared" si="32"/>
      </c>
      <c r="X347" s="169" t="str">
        <f t="shared" si="33"/>
      </c>
      <c r="Y347" s="168" t="str">
        <f>IF(ISBLANK(Table123[[#This Row],[Odds Spread]]), "",O347+IF(S347&lt;0, (O347/(S347/-100)), O347*(S347/100)))</f>
      </c>
      <c r="Z347" s="168" t="str">
        <f t="shared" si="34"/>
      </c>
      <c r="AA347" s="68" t="n">
        <f t="shared" si="35"/>
        <v>0</v>
      </c>
      <c r="AB347" s="68" t="n">
        <f t="shared" si="36"/>
        <v>0</v>
      </c>
      <c r="AC347" s="170" t="e">
        <f>IF('Prediction Log'!#REF!="Y", "W", IF('Prediction Log'!#REF!="N","L",""))</f>
        <v>#REF!</v>
      </c>
      <c r="AD347" s="171" t="e">
        <f>IF('Prediction Log'!#REF!="Y", "W", IF('Prediction Log'!#REF!="N","L",""))</f>
        <v>#REF!</v>
      </c>
      <c r="AE347" s="172" t="str">
        <f>IF(ISBLANK(Table123[[#This Row],[Odds Side - Difference Model]]), "",IF(AC347="W", W347, IF(AC347="L",-N347, "")))</f>
      </c>
      <c r="AF347" s="173" t="str">
        <f>IFERROR((IF(ISERR(Table123[[#This Row],[Potential Payout Side - Win Probability Model]]), "",IF(AD347="W", X347, IF(AD347="L",-N347, "")))), "")</f>
      </c>
      <c r="AG347" s="170" t="e">
        <f>IF('Prediction Log'!#REF!="Y", "W", IF('Prediction Log'!#REF!="N", "L", ""))</f>
        <v>#REF!</v>
      </c>
      <c r="AH347" s="172" t="str">
        <f>IF(ISBLANK(Table123[[#This Row],[Odds Spread]]), "",IF(AG347="W", Z347, IF(AG347="L",-O347, "")))</f>
      </c>
      <c r="AI347" s="184"/>
      <c r="AJ347" s="183" t="str">
        <f t="shared" si="37"/>
      </c>
      <c r="AK3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8">
      <c r="A348" s="65" t="e">
        <f>Games!#REF!</f>
        <v>#REF!</v>
      </c>
      <c r="B348" s="65" t="e">
        <f>IF('Prediction Log'!#REF!=0, "",'Prediction Log'!#REF!)</f>
        <v>#REF!</v>
      </c>
      <c r="C348" s="65" t="e">
        <f>IF('Prediction Log'!#REF!=0, "",'Prediction Log'!#REF!)</f>
        <v>#REF!</v>
      </c>
      <c r="D348" s="65" t="e">
        <f>IF('Prediction Log'!#REF!=0, "",'Prediction Log'!#REF!)</f>
        <v>#REF!</v>
      </c>
      <c r="E348" s="65" t="e">
        <f>IF('Prediction Log'!#REF!=0, "",'Prediction Log'!#REF!)</f>
        <v>#REF!</v>
      </c>
      <c r="F348" s="65" t="e">
        <f>IF('Prediction Log'!#REF!=0, "",'Prediction Log'!#REF!)</f>
        <v>#REF!</v>
      </c>
      <c r="G348" s="64" t="e">
        <f>IF(ISBLANK(Games!#REF!), "",'Prediction Log'!#REF!)</f>
        <v>#REF!</v>
      </c>
      <c r="H348" s="66" t="e">
        <f>'Prediction Log'!#REF!</f>
        <v>#REF!</v>
      </c>
      <c r="I348" s="65" t="e">
        <f>IF(ISBLANK(Games!#REF!), "",IF(AND(Games!#REF!="",Games!#REF!=""),"",IF(ISTEXT(Games!#REF!), "Side",Games!#REF!)))</f>
        <v>#REF!</v>
      </c>
      <c r="J348" s="65" t="e">
        <f>IF(ISBLANK(Games!#REF!), "",IF(Games!#REF!="Y", Games!#REF!, Games!#REF!))</f>
        <v>#REF!</v>
      </c>
      <c r="K348" s="65" t="e">
        <f>Games!#REF!</f>
        <v>#REF!</v>
      </c>
      <c r="L348" s="65" t="e">
        <f>IF(ISBLANK(Games!#REF!), "",Games!#REF!)</f>
        <v>#REF!</v>
      </c>
      <c r="M348" s="65"/>
      <c r="N348" s="167" t="str">
        <f>IF(ISBLANK(Table123[[#This Row],[Odds Side - Difference Model]]), "", 1)</f>
      </c>
      <c r="O348" s="167" t="str">
        <f>IF(ISBLANK(Table123[[#This Row],[Odds Spread]]), "", 1)</f>
      </c>
      <c r="P348" s="67"/>
      <c r="Q348" s="67"/>
      <c r="R3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8" s="67"/>
      <c r="T348" s="67"/>
      <c r="U348" s="168" t="str">
        <f>IF(ISBLANK(Table123[[#This Row],[Odds Side - Difference Model]]), "",N348+IF(Q348&lt;0, (N348/(Q348/-100)), N348*(Q348/100)))</f>
      </c>
      <c r="V348" s="169" t="str">
        <f>IFERROR(IF(ISBLANK(Table123[[#This Row],[Odds Side - Win Probability Model]]), "",N348+IF(R348&lt;0, (N348/(R348/-100)), N348*(R348/100))),"")</f>
      </c>
      <c r="W348" s="168" t="str">
        <f t="shared" si="32"/>
      </c>
      <c r="X348" s="169" t="str">
        <f t="shared" si="33"/>
      </c>
      <c r="Y348" s="168" t="str">
        <f>IF(ISBLANK(Table123[[#This Row],[Odds Spread]]), "",O348+IF(S348&lt;0, (O348/(S348/-100)), O348*(S348/100)))</f>
      </c>
      <c r="Z348" s="168" t="str">
        <f t="shared" si="34"/>
      </c>
      <c r="AA348" s="68" t="n">
        <f t="shared" si="35"/>
        <v>0</v>
      </c>
      <c r="AB348" s="68" t="n">
        <f t="shared" si="36"/>
        <v>0</v>
      </c>
      <c r="AC348" s="170" t="e">
        <f>IF('Prediction Log'!#REF!="Y", "W", IF('Prediction Log'!#REF!="N","L",""))</f>
        <v>#REF!</v>
      </c>
      <c r="AD348" s="171" t="e">
        <f>IF('Prediction Log'!#REF!="Y", "W", IF('Prediction Log'!#REF!="N","L",""))</f>
        <v>#REF!</v>
      </c>
      <c r="AE348" s="172" t="str">
        <f>IF(ISBLANK(Table123[[#This Row],[Odds Side - Difference Model]]), "",IF(AC348="W", W348, IF(AC348="L",-N348, "")))</f>
      </c>
      <c r="AF348" s="173" t="str">
        <f>IFERROR((IF(ISERR(Table123[[#This Row],[Potential Payout Side - Win Probability Model]]), "",IF(AD348="W", X348, IF(AD348="L",-N348, "")))), "")</f>
      </c>
      <c r="AG348" s="170" t="e">
        <f>IF('Prediction Log'!#REF!="Y", "W", IF('Prediction Log'!#REF!="N", "L", ""))</f>
        <v>#REF!</v>
      </c>
      <c r="AH348" s="172" t="str">
        <f>IF(ISBLANK(Table123[[#This Row],[Odds Spread]]), "",IF(AG348="W", Z348, IF(AG348="L",-O348, "")))</f>
      </c>
      <c r="AI348" s="184"/>
      <c r="AJ348" s="183" t="str">
        <f t="shared" si="37"/>
      </c>
      <c r="AK3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9">
      <c r="A349" s="65" t="e">
        <f>Games!#REF!</f>
        <v>#REF!</v>
      </c>
      <c r="B349" s="65" t="e">
        <f>IF('Prediction Log'!#REF!=0, "",'Prediction Log'!#REF!)</f>
        <v>#REF!</v>
      </c>
      <c r="C349" s="65" t="e">
        <f>IF('Prediction Log'!#REF!=0, "",'Prediction Log'!#REF!)</f>
        <v>#REF!</v>
      </c>
      <c r="D349" s="65" t="e">
        <f>IF('Prediction Log'!#REF!=0, "",'Prediction Log'!#REF!)</f>
        <v>#REF!</v>
      </c>
      <c r="E349" s="65" t="e">
        <f>IF('Prediction Log'!#REF!=0, "",'Prediction Log'!#REF!)</f>
        <v>#REF!</v>
      </c>
      <c r="F349" s="65" t="e">
        <f>IF('Prediction Log'!#REF!=0, "",'Prediction Log'!#REF!)</f>
        <v>#REF!</v>
      </c>
      <c r="G349" s="64" t="e">
        <f>IF(ISBLANK(Games!#REF!), "",'Prediction Log'!#REF!)</f>
        <v>#REF!</v>
      </c>
      <c r="H349" s="66" t="e">
        <f>'Prediction Log'!#REF!</f>
        <v>#REF!</v>
      </c>
      <c r="I349" s="65" t="e">
        <f>IF(ISBLANK(Games!#REF!), "",IF(AND(Games!#REF!="",Games!#REF!=""),"",IF(ISTEXT(Games!#REF!), "Side",Games!#REF!)))</f>
        <v>#REF!</v>
      </c>
      <c r="J349" s="65" t="e">
        <f>IF(ISBLANK(Games!#REF!), "",IF(Games!#REF!="Y", Games!#REF!, Games!#REF!))</f>
        <v>#REF!</v>
      </c>
      <c r="K349" s="65" t="e">
        <f>Games!#REF!</f>
        <v>#REF!</v>
      </c>
      <c r="L349" s="65" t="e">
        <f>IF(ISBLANK(Games!#REF!), "",Games!#REF!)</f>
        <v>#REF!</v>
      </c>
      <c r="M349" s="65"/>
      <c r="N349" s="167" t="str">
        <f>IF(ISBLANK(Table123[[#This Row],[Odds Side - Difference Model]]), "", 1)</f>
      </c>
      <c r="O349" s="167" t="str">
        <f>IF(ISBLANK(Table123[[#This Row],[Odds Spread]]), "", 1)</f>
      </c>
      <c r="P349" s="67"/>
      <c r="Q349" s="67"/>
      <c r="R3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9" s="67"/>
      <c r="T349" s="67"/>
      <c r="U349" s="168" t="str">
        <f>IF(ISBLANK(Table123[[#This Row],[Odds Side - Difference Model]]), "",N349+IF(Q349&lt;0, (N349/(Q349/-100)), N349*(Q349/100)))</f>
      </c>
      <c r="V349" s="169" t="str">
        <f>IFERROR(IF(ISBLANK(Table123[[#This Row],[Odds Side - Win Probability Model]]), "",N349+IF(R349&lt;0, (N349/(R349/-100)), N349*(R349/100))),"")</f>
      </c>
      <c r="W349" s="168" t="str">
        <f t="shared" si="32"/>
      </c>
      <c r="X349" s="169" t="str">
        <f t="shared" si="33"/>
      </c>
      <c r="Y349" s="168" t="str">
        <f>IF(ISBLANK(Table123[[#This Row],[Odds Spread]]), "",O349+IF(S349&lt;0, (O349/(S349/-100)), O349*(S349/100)))</f>
      </c>
      <c r="Z349" s="168" t="str">
        <f t="shared" si="34"/>
      </c>
      <c r="AA349" s="68" t="n">
        <f t="shared" si="35"/>
        <v>0</v>
      </c>
      <c r="AB349" s="68" t="n">
        <f t="shared" si="36"/>
        <v>0</v>
      </c>
      <c r="AC349" s="170" t="e">
        <f>IF('Prediction Log'!#REF!="Y", "W", IF('Prediction Log'!#REF!="N","L",""))</f>
        <v>#REF!</v>
      </c>
      <c r="AD349" s="171" t="e">
        <f>IF('Prediction Log'!#REF!="Y", "W", IF('Prediction Log'!#REF!="N","L",""))</f>
        <v>#REF!</v>
      </c>
      <c r="AE349" s="172" t="str">
        <f>IF(ISBLANK(Table123[[#This Row],[Odds Side - Difference Model]]), "",IF(AC349="W", W349, IF(AC349="L",-N349, "")))</f>
      </c>
      <c r="AF349" s="173" t="str">
        <f>IFERROR((IF(ISERR(Table123[[#This Row],[Potential Payout Side - Win Probability Model]]), "",IF(AD349="W", X349, IF(AD349="L",-N349, "")))), "")</f>
      </c>
      <c r="AG349" s="170" t="e">
        <f>IF('Prediction Log'!#REF!="Y", "W", IF('Prediction Log'!#REF!="N", "L", ""))</f>
        <v>#REF!</v>
      </c>
      <c r="AH349" s="172" t="str">
        <f>IF(ISBLANK(Table123[[#This Row],[Odds Spread]]), "",IF(AG349="W", Z349, IF(AG349="L",-O349, "")))</f>
      </c>
      <c r="AI349" s="184"/>
      <c r="AJ349" s="183" t="str">
        <f t="shared" si="37"/>
      </c>
      <c r="AK3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0">
      <c r="A350" s="65" t="e">
        <f>Games!#REF!</f>
        <v>#REF!</v>
      </c>
      <c r="B350" s="65" t="e">
        <f>IF('Prediction Log'!#REF!=0, "",'Prediction Log'!#REF!)</f>
        <v>#REF!</v>
      </c>
      <c r="C350" s="65" t="e">
        <f>IF('Prediction Log'!#REF!=0, "",'Prediction Log'!#REF!)</f>
        <v>#REF!</v>
      </c>
      <c r="D350" s="65" t="e">
        <f>IF('Prediction Log'!#REF!=0, "",'Prediction Log'!#REF!)</f>
        <v>#REF!</v>
      </c>
      <c r="E350" s="65" t="e">
        <f>IF('Prediction Log'!#REF!=0, "",'Prediction Log'!#REF!)</f>
        <v>#REF!</v>
      </c>
      <c r="F350" s="65" t="e">
        <f>IF('Prediction Log'!#REF!=0, "",'Prediction Log'!#REF!)</f>
        <v>#REF!</v>
      </c>
      <c r="G350" s="64" t="e">
        <f>IF(ISBLANK(Games!#REF!), "",'Prediction Log'!#REF!)</f>
        <v>#REF!</v>
      </c>
      <c r="H350" s="66" t="e">
        <f>'Prediction Log'!#REF!</f>
        <v>#REF!</v>
      </c>
      <c r="I350" s="65" t="e">
        <f>IF(ISBLANK(Games!#REF!), "",IF(AND(Games!#REF!="",Games!#REF!=""),"",IF(ISTEXT(Games!#REF!), "Side",Games!#REF!)))</f>
        <v>#REF!</v>
      </c>
      <c r="J350" s="65" t="e">
        <f>IF(ISBLANK(Games!#REF!), "",IF(Games!#REF!="Y", Games!#REF!, Games!#REF!))</f>
        <v>#REF!</v>
      </c>
      <c r="K350" s="65" t="e">
        <f>Games!#REF!</f>
        <v>#REF!</v>
      </c>
      <c r="L350" s="65" t="e">
        <f>IF(ISBLANK(Games!#REF!), "",Games!#REF!)</f>
        <v>#REF!</v>
      </c>
      <c r="M350" s="65"/>
      <c r="N350" s="167" t="str">
        <f>IF(ISBLANK(Table123[[#This Row],[Odds Side - Difference Model]]), "", 1)</f>
      </c>
      <c r="O350" s="167" t="str">
        <f>IF(ISBLANK(Table123[[#This Row],[Odds Spread]]), "", 1)</f>
      </c>
      <c r="P350" s="67"/>
      <c r="Q350" s="67"/>
      <c r="R3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0" s="67"/>
      <c r="T350" s="67"/>
      <c r="U350" s="168" t="str">
        <f>IF(ISBLANK(Table123[[#This Row],[Odds Side - Difference Model]]), "",N350+IF(Q350&lt;0, (N350/(Q350/-100)), N350*(Q350/100)))</f>
      </c>
      <c r="V350" s="169" t="str">
        <f>IFERROR(IF(ISBLANK(Table123[[#This Row],[Odds Side - Win Probability Model]]), "",N350+IF(R350&lt;0, (N350/(R350/-100)), N350*(R350/100))),"")</f>
      </c>
      <c r="W350" s="168" t="str">
        <f t="shared" si="32"/>
      </c>
      <c r="X350" s="169" t="str">
        <f t="shared" si="33"/>
      </c>
      <c r="Y350" s="168" t="str">
        <f>IF(ISBLANK(Table123[[#This Row],[Odds Spread]]), "",O350+IF(S350&lt;0, (O350/(S350/-100)), O350*(S350/100)))</f>
      </c>
      <c r="Z350" s="168" t="str">
        <f t="shared" si="34"/>
      </c>
      <c r="AA350" s="68" t="n">
        <f t="shared" si="35"/>
        <v>0</v>
      </c>
      <c r="AB350" s="68" t="n">
        <f t="shared" si="36"/>
        <v>0</v>
      </c>
      <c r="AC350" s="170" t="e">
        <f>IF('Prediction Log'!#REF!="Y", "W", IF('Prediction Log'!#REF!="N","L",""))</f>
        <v>#REF!</v>
      </c>
      <c r="AD350" s="171" t="e">
        <f>IF('Prediction Log'!#REF!="Y", "W", IF('Prediction Log'!#REF!="N","L",""))</f>
        <v>#REF!</v>
      </c>
      <c r="AE350" s="172" t="str">
        <f>IF(ISBLANK(Table123[[#This Row],[Odds Side - Difference Model]]), "",IF(AC350="W", W350, IF(AC350="L",-N350, "")))</f>
      </c>
      <c r="AF350" s="173" t="str">
        <f>IFERROR((IF(ISERR(Table123[[#This Row],[Potential Payout Side - Win Probability Model]]), "",IF(AD350="W", X350, IF(AD350="L",-N350, "")))), "")</f>
      </c>
      <c r="AG350" s="170" t="e">
        <f>IF('Prediction Log'!#REF!="Y", "W", IF('Prediction Log'!#REF!="N", "L", ""))</f>
        <v>#REF!</v>
      </c>
      <c r="AH350" s="172" t="str">
        <f>IF(ISBLANK(Table123[[#This Row],[Odds Spread]]), "",IF(AG350="W", Z350, IF(AG350="L",-O350, "")))</f>
      </c>
      <c r="AI350" s="184"/>
      <c r="AJ350" s="183" t="str">
        <f t="shared" si="37"/>
      </c>
      <c r="AK3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1">
      <c r="A351" s="65" t="e">
        <f>Games!#REF!</f>
        <v>#REF!</v>
      </c>
      <c r="B351" s="65" t="e">
        <f>IF('Prediction Log'!#REF!=0, "",'Prediction Log'!#REF!)</f>
        <v>#REF!</v>
      </c>
      <c r="C351" s="65" t="e">
        <f>IF('Prediction Log'!#REF!=0, "",'Prediction Log'!#REF!)</f>
        <v>#REF!</v>
      </c>
      <c r="D351" s="65" t="e">
        <f>IF('Prediction Log'!#REF!=0, "",'Prediction Log'!#REF!)</f>
        <v>#REF!</v>
      </c>
      <c r="E351" s="65" t="e">
        <f>IF('Prediction Log'!#REF!=0, "",'Prediction Log'!#REF!)</f>
        <v>#REF!</v>
      </c>
      <c r="F351" s="65" t="e">
        <f>IF('Prediction Log'!#REF!=0, "",'Prediction Log'!#REF!)</f>
        <v>#REF!</v>
      </c>
      <c r="G351" s="64" t="e">
        <f>IF(ISBLANK(Games!#REF!), "",'Prediction Log'!#REF!)</f>
        <v>#REF!</v>
      </c>
      <c r="H351" s="66" t="e">
        <f>'Prediction Log'!#REF!</f>
        <v>#REF!</v>
      </c>
      <c r="I351" s="65" t="e">
        <f>IF(ISBLANK(Games!#REF!), "",IF(AND(Games!#REF!="",Games!#REF!=""),"",IF(ISTEXT(Games!#REF!), "Side",Games!#REF!)))</f>
        <v>#REF!</v>
      </c>
      <c r="J351" s="65" t="e">
        <f>IF(ISBLANK(Games!#REF!), "",IF(Games!#REF!="Y", Games!#REF!, Games!#REF!))</f>
        <v>#REF!</v>
      </c>
      <c r="K351" s="65" t="e">
        <f>Games!#REF!</f>
        <v>#REF!</v>
      </c>
      <c r="L351" s="65" t="e">
        <f>IF(ISBLANK(Games!#REF!), "",Games!#REF!)</f>
        <v>#REF!</v>
      </c>
      <c r="M351" s="65"/>
      <c r="N351" s="167" t="str">
        <f>IF(ISBLANK(Table123[[#This Row],[Odds Side - Difference Model]]), "", 1)</f>
      </c>
      <c r="O351" s="167" t="str">
        <f>IF(ISBLANK(Table123[[#This Row],[Odds Spread]]), "", 1)</f>
      </c>
      <c r="P351" s="67"/>
      <c r="Q351" s="67"/>
      <c r="R3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1" s="67"/>
      <c r="T351" s="67"/>
      <c r="U351" s="168" t="str">
        <f>IF(ISBLANK(Table123[[#This Row],[Odds Side - Difference Model]]), "",N351+IF(Q351&lt;0, (N351/(Q351/-100)), N351*(Q351/100)))</f>
      </c>
      <c r="V351" s="169" t="str">
        <f>IFERROR(IF(ISBLANK(Table123[[#This Row],[Odds Side - Win Probability Model]]), "",N351+IF(R351&lt;0, (N351/(R351/-100)), N351*(R351/100))),"")</f>
      </c>
      <c r="W351" s="168" t="str">
        <f t="shared" si="32"/>
      </c>
      <c r="X351" s="169" t="str">
        <f t="shared" si="33"/>
      </c>
      <c r="Y351" s="168" t="str">
        <f>IF(ISBLANK(Table123[[#This Row],[Odds Spread]]), "",O351+IF(S351&lt;0, (O351/(S351/-100)), O351*(S351/100)))</f>
      </c>
      <c r="Z351" s="168" t="str">
        <f t="shared" si="34"/>
      </c>
      <c r="AA351" s="68" t="n">
        <f t="shared" si="35"/>
        <v>0</v>
      </c>
      <c r="AB351" s="68" t="n">
        <f t="shared" si="36"/>
        <v>0</v>
      </c>
      <c r="AC351" s="170" t="e">
        <f>IF('Prediction Log'!#REF!="Y", "W", IF('Prediction Log'!#REF!="N","L",""))</f>
        <v>#REF!</v>
      </c>
      <c r="AD351" s="171" t="e">
        <f>IF('Prediction Log'!#REF!="Y", "W", IF('Prediction Log'!#REF!="N","L",""))</f>
        <v>#REF!</v>
      </c>
      <c r="AE351" s="172" t="str">
        <f>IF(ISBLANK(Table123[[#This Row],[Odds Side - Difference Model]]), "",IF(AC351="W", W351, IF(AC351="L",-N351, "")))</f>
      </c>
      <c r="AF351" s="173" t="str">
        <f>IFERROR((IF(ISERR(Table123[[#This Row],[Potential Payout Side - Win Probability Model]]), "",IF(AD351="W", X351, IF(AD351="L",-N351, "")))), "")</f>
      </c>
      <c r="AG351" s="170" t="e">
        <f>IF('Prediction Log'!#REF!="Y", "W", IF('Prediction Log'!#REF!="N", "L", ""))</f>
        <v>#REF!</v>
      </c>
      <c r="AH351" s="172" t="str">
        <f>IF(ISBLANK(Table123[[#This Row],[Odds Spread]]), "",IF(AG351="W", Z351, IF(AG351="L",-O351, "")))</f>
      </c>
      <c r="AI351" s="184"/>
      <c r="AJ351" s="183" t="str">
        <f t="shared" si="37"/>
      </c>
      <c r="AK3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2">
      <c r="A352" s="65" t="e">
        <f>Games!#REF!</f>
        <v>#REF!</v>
      </c>
      <c r="B352" s="65" t="e">
        <f>IF('Prediction Log'!#REF!=0, "",'Prediction Log'!#REF!)</f>
        <v>#REF!</v>
      </c>
      <c r="C352" s="65" t="e">
        <f>IF('Prediction Log'!#REF!=0, "",'Prediction Log'!#REF!)</f>
        <v>#REF!</v>
      </c>
      <c r="D352" s="65" t="e">
        <f>IF('Prediction Log'!#REF!=0, "",'Prediction Log'!#REF!)</f>
        <v>#REF!</v>
      </c>
      <c r="E352" s="65" t="e">
        <f>IF('Prediction Log'!#REF!=0, "",'Prediction Log'!#REF!)</f>
        <v>#REF!</v>
      </c>
      <c r="F352" s="65" t="e">
        <f>IF('Prediction Log'!#REF!=0, "",'Prediction Log'!#REF!)</f>
        <v>#REF!</v>
      </c>
      <c r="G352" s="64" t="e">
        <f>IF(ISBLANK(Games!#REF!), "",'Prediction Log'!#REF!)</f>
        <v>#REF!</v>
      </c>
      <c r="H352" s="66" t="e">
        <f>'Prediction Log'!#REF!</f>
        <v>#REF!</v>
      </c>
      <c r="I352" s="65" t="e">
        <f>IF(ISBLANK(Games!#REF!), "",IF(AND(Games!#REF!="",Games!#REF!=""),"",IF(ISTEXT(Games!#REF!), "Side",Games!#REF!)))</f>
        <v>#REF!</v>
      </c>
      <c r="J352" s="65" t="e">
        <f>IF(ISBLANK(Games!#REF!), "",IF(Games!#REF!="Y", Games!#REF!, Games!#REF!))</f>
        <v>#REF!</v>
      </c>
      <c r="K352" s="65" t="e">
        <f>Games!#REF!</f>
        <v>#REF!</v>
      </c>
      <c r="L352" s="65" t="e">
        <f>IF(ISBLANK(Games!#REF!), "",Games!#REF!)</f>
        <v>#REF!</v>
      </c>
      <c r="M352" s="65"/>
      <c r="N352" s="167" t="str">
        <f>IF(ISBLANK(Table123[[#This Row],[Odds Side - Difference Model]]), "", 1)</f>
      </c>
      <c r="O352" s="167" t="str">
        <f>IF(ISBLANK(Table123[[#This Row],[Odds Spread]]), "", 1)</f>
      </c>
      <c r="P352" s="67"/>
      <c r="Q352" s="67"/>
      <c r="R3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2" s="67"/>
      <c r="T352" s="67"/>
      <c r="U352" s="168" t="str">
        <f>IF(ISBLANK(Table123[[#This Row],[Odds Side - Difference Model]]), "",N352+IF(Q352&lt;0, (N352/(Q352/-100)), N352*(Q352/100)))</f>
      </c>
      <c r="V352" s="169" t="str">
        <f>IFERROR(IF(ISBLANK(Table123[[#This Row],[Odds Side - Win Probability Model]]), "",N352+IF(R352&lt;0, (N352/(R352/-100)), N352*(R352/100))),"")</f>
      </c>
      <c r="W352" s="168" t="str">
        <f t="shared" si="32"/>
      </c>
      <c r="X352" s="169" t="str">
        <f t="shared" si="33"/>
      </c>
      <c r="Y352" s="168" t="str">
        <f>IF(ISBLANK(Table123[[#This Row],[Odds Spread]]), "",O352+IF(S352&lt;0, (O352/(S352/-100)), O352*(S352/100)))</f>
      </c>
      <c r="Z352" s="168" t="str">
        <f t="shared" si="34"/>
      </c>
      <c r="AA352" s="68" t="n">
        <f t="shared" si="35"/>
        <v>0</v>
      </c>
      <c r="AB352" s="68" t="n">
        <f t="shared" si="36"/>
        <v>0</v>
      </c>
      <c r="AC352" s="170" t="e">
        <f>IF('Prediction Log'!#REF!="Y", "W", IF('Prediction Log'!#REF!="N","L",""))</f>
        <v>#REF!</v>
      </c>
      <c r="AD352" s="171" t="e">
        <f>IF('Prediction Log'!#REF!="Y", "W", IF('Prediction Log'!#REF!="N","L",""))</f>
        <v>#REF!</v>
      </c>
      <c r="AE352" s="172" t="str">
        <f>IF(ISBLANK(Table123[[#This Row],[Odds Side - Difference Model]]), "",IF(AC352="W", W352, IF(AC352="L",-N352, "")))</f>
      </c>
      <c r="AF352" s="173" t="str">
        <f>IFERROR((IF(ISERR(Table123[[#This Row],[Potential Payout Side - Win Probability Model]]), "",IF(AD352="W", X352, IF(AD352="L",-N352, "")))), "")</f>
      </c>
      <c r="AG352" s="170" t="e">
        <f>IF('Prediction Log'!#REF!="Y", "W", IF('Prediction Log'!#REF!="N", "L", ""))</f>
        <v>#REF!</v>
      </c>
      <c r="AH352" s="172" t="str">
        <f>IF(ISBLANK(Table123[[#This Row],[Odds Spread]]), "",IF(AG352="W", Z352, IF(AG352="L",-O352, "")))</f>
      </c>
      <c r="AI352" s="184"/>
      <c r="AJ352" s="183" t="str">
        <f t="shared" si="37"/>
      </c>
      <c r="AK3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3">
      <c r="A353" s="65" t="e">
        <f>Games!#REF!</f>
        <v>#REF!</v>
      </c>
      <c r="B353" s="65" t="e">
        <f>IF('Prediction Log'!#REF!=0, "",'Prediction Log'!#REF!)</f>
        <v>#REF!</v>
      </c>
      <c r="C353" s="65" t="e">
        <f>IF('Prediction Log'!#REF!=0, "",'Prediction Log'!#REF!)</f>
        <v>#REF!</v>
      </c>
      <c r="D353" s="65" t="e">
        <f>IF('Prediction Log'!#REF!=0, "",'Prediction Log'!#REF!)</f>
        <v>#REF!</v>
      </c>
      <c r="E353" s="65" t="e">
        <f>IF('Prediction Log'!#REF!=0, "",'Prediction Log'!#REF!)</f>
        <v>#REF!</v>
      </c>
      <c r="F353" s="65" t="e">
        <f>IF('Prediction Log'!#REF!=0, "",'Prediction Log'!#REF!)</f>
        <v>#REF!</v>
      </c>
      <c r="G353" s="64" t="e">
        <f>IF(ISBLANK(Games!#REF!), "",'Prediction Log'!#REF!)</f>
        <v>#REF!</v>
      </c>
      <c r="H353" s="66" t="e">
        <f>'Prediction Log'!#REF!</f>
        <v>#REF!</v>
      </c>
      <c r="I353" s="65" t="e">
        <f>IF(ISBLANK(Games!#REF!), "",IF(AND(Games!#REF!="",Games!#REF!=""),"",IF(ISTEXT(Games!#REF!), "Side",Games!#REF!)))</f>
        <v>#REF!</v>
      </c>
      <c r="J353" s="65" t="e">
        <f>IF(ISBLANK(Games!#REF!), "",IF(Games!#REF!="Y", Games!#REF!, Games!#REF!))</f>
        <v>#REF!</v>
      </c>
      <c r="K353" s="65" t="e">
        <f>Games!#REF!</f>
        <v>#REF!</v>
      </c>
      <c r="L353" s="65" t="e">
        <f>IF(ISBLANK(Games!#REF!), "",Games!#REF!)</f>
        <v>#REF!</v>
      </c>
      <c r="M353" s="65"/>
      <c r="N353" s="167" t="str">
        <f>IF(ISBLANK(Table123[[#This Row],[Odds Side - Difference Model]]), "", 1)</f>
      </c>
      <c r="O353" s="167" t="str">
        <f>IF(ISBLANK(Table123[[#This Row],[Odds Spread]]), "", 1)</f>
      </c>
      <c r="P353" s="67"/>
      <c r="Q353" s="67"/>
      <c r="R3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3" s="67"/>
      <c r="T353" s="67"/>
      <c r="U353" s="168" t="str">
        <f>IF(ISBLANK(Table123[[#This Row],[Odds Side - Difference Model]]), "",N353+IF(Q353&lt;0, (N353/(Q353/-100)), N353*(Q353/100)))</f>
      </c>
      <c r="V353" s="169" t="str">
        <f>IFERROR(IF(ISBLANK(Table123[[#This Row],[Odds Side - Win Probability Model]]), "",N353+IF(R353&lt;0, (N353/(R353/-100)), N353*(R353/100))),"")</f>
      </c>
      <c r="W353" s="168" t="str">
        <f t="shared" si="32"/>
      </c>
      <c r="X353" s="169" t="str">
        <f t="shared" si="33"/>
      </c>
      <c r="Y353" s="168" t="str">
        <f>IF(ISBLANK(Table123[[#This Row],[Odds Spread]]), "",O353+IF(S353&lt;0, (O353/(S353/-100)), O353*(S353/100)))</f>
      </c>
      <c r="Z353" s="168" t="str">
        <f t="shared" si="34"/>
      </c>
      <c r="AA353" s="68" t="n">
        <f t="shared" si="35"/>
        <v>0</v>
      </c>
      <c r="AB353" s="68" t="n">
        <f t="shared" si="36"/>
        <v>0</v>
      </c>
      <c r="AC353" s="170" t="e">
        <f>IF('Prediction Log'!#REF!="Y", "W", IF('Prediction Log'!#REF!="N","L",""))</f>
        <v>#REF!</v>
      </c>
      <c r="AD353" s="171" t="e">
        <f>IF('Prediction Log'!#REF!="Y", "W", IF('Prediction Log'!#REF!="N","L",""))</f>
        <v>#REF!</v>
      </c>
      <c r="AE353" s="172" t="str">
        <f>IF(ISBLANK(Table123[[#This Row],[Odds Side - Difference Model]]), "",IF(AC353="W", W353, IF(AC353="L",-N353, "")))</f>
      </c>
      <c r="AF353" s="173" t="str">
        <f>IFERROR((IF(ISERR(Table123[[#This Row],[Potential Payout Side - Win Probability Model]]), "",IF(AD353="W", X353, IF(AD353="L",-N353, "")))), "")</f>
      </c>
      <c r="AG353" s="170" t="e">
        <f>IF('Prediction Log'!#REF!="Y", "W", IF('Prediction Log'!#REF!="N", "L", ""))</f>
        <v>#REF!</v>
      </c>
      <c r="AH353" s="172" t="str">
        <f>IF(ISBLANK(Table123[[#This Row],[Odds Spread]]), "",IF(AG353="W", Z353, IF(AG353="L",-O353, "")))</f>
      </c>
      <c r="AI353" s="184"/>
      <c r="AJ353" s="183" t="str">
        <f t="shared" si="37"/>
      </c>
      <c r="AK3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4">
      <c r="A354" s="65" t="e">
        <f>Games!#REF!</f>
        <v>#REF!</v>
      </c>
      <c r="B354" s="65" t="e">
        <f>IF('Prediction Log'!#REF!=0, "",'Prediction Log'!#REF!)</f>
        <v>#REF!</v>
      </c>
      <c r="C354" s="65" t="e">
        <f>IF('Prediction Log'!#REF!=0, "",'Prediction Log'!#REF!)</f>
        <v>#REF!</v>
      </c>
      <c r="D354" s="65" t="e">
        <f>IF('Prediction Log'!#REF!=0, "",'Prediction Log'!#REF!)</f>
        <v>#REF!</v>
      </c>
      <c r="E354" s="65" t="e">
        <f>IF('Prediction Log'!#REF!=0, "",'Prediction Log'!#REF!)</f>
        <v>#REF!</v>
      </c>
      <c r="F354" s="65" t="e">
        <f>IF('Prediction Log'!#REF!=0, "",'Prediction Log'!#REF!)</f>
        <v>#REF!</v>
      </c>
      <c r="G354" s="64" t="e">
        <f>IF(ISBLANK(Games!#REF!), "",'Prediction Log'!#REF!)</f>
        <v>#REF!</v>
      </c>
      <c r="H354" s="66" t="e">
        <f>'Prediction Log'!#REF!</f>
        <v>#REF!</v>
      </c>
      <c r="I354" s="65" t="e">
        <f>IF(ISBLANK(Games!#REF!), "",IF(AND(Games!#REF!="",Games!#REF!=""),"",IF(ISTEXT(Games!#REF!), "Side",Games!#REF!)))</f>
        <v>#REF!</v>
      </c>
      <c r="J354" s="65" t="e">
        <f>IF(ISBLANK(Games!#REF!), "",IF(Games!#REF!="Y", Games!#REF!, Games!#REF!))</f>
        <v>#REF!</v>
      </c>
      <c r="K354" s="65" t="e">
        <f>Games!#REF!</f>
        <v>#REF!</v>
      </c>
      <c r="L354" s="65" t="e">
        <f>IF(ISBLANK(Games!#REF!), "",Games!#REF!)</f>
        <v>#REF!</v>
      </c>
      <c r="M354" s="65"/>
      <c r="N354" s="167" t="str">
        <f>IF(ISBLANK(Table123[[#This Row],[Odds Side - Difference Model]]), "", 1)</f>
      </c>
      <c r="O354" s="167" t="str">
        <f>IF(ISBLANK(Table123[[#This Row],[Odds Spread]]), "", 1)</f>
      </c>
      <c r="P354" s="67"/>
      <c r="Q354" s="67"/>
      <c r="R3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4" s="67"/>
      <c r="T354" s="67"/>
      <c r="U354" s="168" t="str">
        <f>IF(ISBLANK(Table123[[#This Row],[Odds Side - Difference Model]]), "",N354+IF(Q354&lt;0, (N354/(Q354/-100)), N354*(Q354/100)))</f>
      </c>
      <c r="V354" s="169" t="str">
        <f>IFERROR(IF(ISBLANK(Table123[[#This Row],[Odds Side - Win Probability Model]]), "",N354+IF(R354&lt;0, (N354/(R354/-100)), N354*(R354/100))),"")</f>
      </c>
      <c r="W354" s="168" t="str">
        <f t="shared" si="32"/>
      </c>
      <c r="X354" s="169" t="str">
        <f t="shared" si="33"/>
      </c>
      <c r="Y354" s="168" t="str">
        <f>IF(ISBLANK(Table123[[#This Row],[Odds Spread]]), "",O354+IF(S354&lt;0, (O354/(S354/-100)), O354*(S354/100)))</f>
      </c>
      <c r="Z354" s="168" t="str">
        <f t="shared" si="34"/>
      </c>
      <c r="AA354" s="68" t="n">
        <f t="shared" si="35"/>
        <v>0</v>
      </c>
      <c r="AB354" s="68" t="n">
        <f t="shared" si="36"/>
        <v>0</v>
      </c>
      <c r="AC354" s="170" t="e">
        <f>IF('Prediction Log'!#REF!="Y", "W", IF('Prediction Log'!#REF!="N","L",""))</f>
        <v>#REF!</v>
      </c>
      <c r="AD354" s="171" t="e">
        <f>IF('Prediction Log'!#REF!="Y", "W", IF('Prediction Log'!#REF!="N","L",""))</f>
        <v>#REF!</v>
      </c>
      <c r="AE354" s="172" t="str">
        <f>IF(ISBLANK(Table123[[#This Row],[Odds Side - Difference Model]]), "",IF(AC354="W", W354, IF(AC354="L",-N354, "")))</f>
      </c>
      <c r="AF354" s="173" t="str">
        <f>IFERROR((IF(ISERR(Table123[[#This Row],[Potential Payout Side - Win Probability Model]]), "",IF(AD354="W", X354, IF(AD354="L",-N354, "")))), "")</f>
      </c>
      <c r="AG354" s="170" t="e">
        <f>IF('Prediction Log'!#REF!="Y", "W", IF('Prediction Log'!#REF!="N", "L", ""))</f>
        <v>#REF!</v>
      </c>
      <c r="AH354" s="172" t="str">
        <f>IF(ISBLANK(Table123[[#This Row],[Odds Spread]]), "",IF(AG354="W", Z354, IF(AG354="L",-O354, "")))</f>
      </c>
      <c r="AI354" s="184"/>
      <c r="AJ354" s="183" t="str">
        <f t="shared" si="37"/>
      </c>
      <c r="AK3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5">
      <c r="A355" s="65" t="e">
        <f>Games!#REF!</f>
        <v>#REF!</v>
      </c>
      <c r="B355" s="65" t="e">
        <f>IF('Prediction Log'!#REF!=0, "",'Prediction Log'!#REF!)</f>
        <v>#REF!</v>
      </c>
      <c r="C355" s="65" t="e">
        <f>IF('Prediction Log'!#REF!=0, "",'Prediction Log'!#REF!)</f>
        <v>#REF!</v>
      </c>
      <c r="D355" s="65" t="e">
        <f>IF('Prediction Log'!#REF!=0, "",'Prediction Log'!#REF!)</f>
        <v>#REF!</v>
      </c>
      <c r="E355" s="65" t="e">
        <f>IF('Prediction Log'!#REF!=0, "",'Prediction Log'!#REF!)</f>
        <v>#REF!</v>
      </c>
      <c r="F355" s="65" t="e">
        <f>IF('Prediction Log'!#REF!=0, "",'Prediction Log'!#REF!)</f>
        <v>#REF!</v>
      </c>
      <c r="G355" s="64" t="e">
        <f>IF(ISBLANK(Games!#REF!), "",'Prediction Log'!#REF!)</f>
        <v>#REF!</v>
      </c>
      <c r="H355" s="66" t="e">
        <f>'Prediction Log'!#REF!</f>
        <v>#REF!</v>
      </c>
      <c r="I355" s="65" t="e">
        <f>IF(ISBLANK(Games!#REF!), "",IF(AND(Games!#REF!="",Games!#REF!=""),"",IF(ISTEXT(Games!#REF!), "Side",Games!#REF!)))</f>
        <v>#REF!</v>
      </c>
      <c r="J355" s="65" t="e">
        <f>IF(ISBLANK(Games!#REF!), "",IF(Games!#REF!="Y", Games!#REF!, Games!#REF!))</f>
        <v>#REF!</v>
      </c>
      <c r="K355" s="65" t="e">
        <f>Games!#REF!</f>
        <v>#REF!</v>
      </c>
      <c r="L355" s="65" t="e">
        <f>IF(ISBLANK(Games!#REF!), "",Games!#REF!)</f>
        <v>#REF!</v>
      </c>
      <c r="M355" s="65"/>
      <c r="N355" s="167" t="str">
        <f>IF(ISBLANK(Table123[[#This Row],[Odds Side - Difference Model]]), "", 1)</f>
      </c>
      <c r="O355" s="167" t="str">
        <f>IF(ISBLANK(Table123[[#This Row],[Odds Spread]]), "", 1)</f>
      </c>
      <c r="P355" s="67"/>
      <c r="Q355" s="67"/>
      <c r="R3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5" s="67"/>
      <c r="T355" s="67"/>
      <c r="U355" s="168" t="str">
        <f>IF(ISBLANK(Table123[[#This Row],[Odds Side - Difference Model]]), "",N355+IF(Q355&lt;0, (N355/(Q355/-100)), N355*(Q355/100)))</f>
      </c>
      <c r="V355" s="169" t="str">
        <f>IFERROR(IF(ISBLANK(Table123[[#This Row],[Odds Side - Win Probability Model]]), "",N355+IF(R355&lt;0, (N355/(R355/-100)), N355*(R355/100))),"")</f>
      </c>
      <c r="W355" s="168" t="str">
        <f t="shared" si="32"/>
      </c>
      <c r="X355" s="169" t="str">
        <f t="shared" si="33"/>
      </c>
      <c r="Y355" s="168" t="str">
        <f>IF(ISBLANK(Table123[[#This Row],[Odds Spread]]), "",O355+IF(S355&lt;0, (O355/(S355/-100)), O355*(S355/100)))</f>
      </c>
      <c r="Z355" s="168" t="str">
        <f t="shared" si="34"/>
      </c>
      <c r="AA355" s="68" t="n">
        <f t="shared" si="35"/>
        <v>0</v>
      </c>
      <c r="AB355" s="68" t="n">
        <f t="shared" si="36"/>
        <v>0</v>
      </c>
      <c r="AC355" s="170" t="e">
        <f>IF('Prediction Log'!#REF!="Y", "W", IF('Prediction Log'!#REF!="N","L",""))</f>
        <v>#REF!</v>
      </c>
      <c r="AD355" s="171" t="e">
        <f>IF('Prediction Log'!#REF!="Y", "W", IF('Prediction Log'!#REF!="N","L",""))</f>
        <v>#REF!</v>
      </c>
      <c r="AE355" s="172" t="str">
        <f>IF(ISBLANK(Table123[[#This Row],[Odds Side - Difference Model]]), "",IF(AC355="W", W355, IF(AC355="L",-N355, "")))</f>
      </c>
      <c r="AF355" s="173" t="str">
        <f>IFERROR((IF(ISERR(Table123[[#This Row],[Potential Payout Side - Win Probability Model]]), "",IF(AD355="W", X355, IF(AD355="L",-N355, "")))), "")</f>
      </c>
      <c r="AG355" s="170" t="e">
        <f>IF('Prediction Log'!#REF!="Y", "W", IF('Prediction Log'!#REF!="N", "L", ""))</f>
        <v>#REF!</v>
      </c>
      <c r="AH355" s="172" t="str">
        <f>IF(ISBLANK(Table123[[#This Row],[Odds Spread]]), "",IF(AG355="W", Z355, IF(AG355="L",-O355, "")))</f>
      </c>
      <c r="AI355" s="184"/>
      <c r="AJ355" s="183" t="str">
        <f t="shared" si="37"/>
      </c>
      <c r="AK3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6">
      <c r="A356" s="65" t="e">
        <f>Games!#REF!</f>
        <v>#REF!</v>
      </c>
      <c r="B356" s="65" t="e">
        <f>IF('Prediction Log'!#REF!=0, "",'Prediction Log'!#REF!)</f>
        <v>#REF!</v>
      </c>
      <c r="C356" s="65" t="e">
        <f>IF('Prediction Log'!#REF!=0, "",'Prediction Log'!#REF!)</f>
        <v>#REF!</v>
      </c>
      <c r="D356" s="65" t="e">
        <f>IF('Prediction Log'!#REF!=0, "",'Prediction Log'!#REF!)</f>
        <v>#REF!</v>
      </c>
      <c r="E356" s="65" t="e">
        <f>IF('Prediction Log'!#REF!=0, "",'Prediction Log'!#REF!)</f>
        <v>#REF!</v>
      </c>
      <c r="F356" s="65" t="e">
        <f>IF('Prediction Log'!#REF!=0, "",'Prediction Log'!#REF!)</f>
        <v>#REF!</v>
      </c>
      <c r="G356" s="64" t="e">
        <f>IF(ISBLANK(Games!#REF!), "",'Prediction Log'!#REF!)</f>
        <v>#REF!</v>
      </c>
      <c r="H356" s="66" t="e">
        <f>'Prediction Log'!#REF!</f>
        <v>#REF!</v>
      </c>
      <c r="I356" s="65" t="e">
        <f>IF(ISBLANK(Games!#REF!), "",IF(AND(Games!#REF!="",Games!#REF!=""),"",IF(ISTEXT(Games!#REF!), "Side",Games!#REF!)))</f>
        <v>#REF!</v>
      </c>
      <c r="J356" s="65" t="e">
        <f>IF(ISBLANK(Games!#REF!), "",IF(Games!#REF!="Y", Games!#REF!, Games!#REF!))</f>
        <v>#REF!</v>
      </c>
      <c r="K356" s="65" t="e">
        <f>Games!#REF!</f>
        <v>#REF!</v>
      </c>
      <c r="L356" s="65" t="e">
        <f>IF(ISBLANK(Games!#REF!), "",Games!#REF!)</f>
        <v>#REF!</v>
      </c>
      <c r="M356" s="65"/>
      <c r="N356" s="167" t="str">
        <f>IF(ISBLANK(Table123[[#This Row],[Odds Side - Difference Model]]), "", 1)</f>
      </c>
      <c r="O356" s="167" t="str">
        <f>IF(ISBLANK(Table123[[#This Row],[Odds Spread]]), "", 1)</f>
      </c>
      <c r="P356" s="67"/>
      <c r="Q356" s="67"/>
      <c r="R3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6" s="67"/>
      <c r="T356" s="67"/>
      <c r="U356" s="168" t="str">
        <f>IF(ISBLANK(Table123[[#This Row],[Odds Side - Difference Model]]), "",N356+IF(Q356&lt;0, (N356/(Q356/-100)), N356*(Q356/100)))</f>
      </c>
      <c r="V356" s="169" t="str">
        <f>IFERROR(IF(ISBLANK(Table123[[#This Row],[Odds Side - Win Probability Model]]), "",N356+IF(R356&lt;0, (N356/(R356/-100)), N356*(R356/100))),"")</f>
      </c>
      <c r="W356" s="168" t="str">
        <f t="shared" si="32"/>
      </c>
      <c r="X356" s="169" t="str">
        <f t="shared" si="33"/>
      </c>
      <c r="Y356" s="168" t="str">
        <f>IF(ISBLANK(Table123[[#This Row],[Odds Spread]]), "",O356+IF(S356&lt;0, (O356/(S356/-100)), O356*(S356/100)))</f>
      </c>
      <c r="Z356" s="168" t="str">
        <f t="shared" si="34"/>
      </c>
      <c r="AA356" s="68" t="n">
        <f t="shared" si="35"/>
        <v>0</v>
      </c>
      <c r="AB356" s="68" t="n">
        <f t="shared" si="36"/>
        <v>0</v>
      </c>
      <c r="AC356" s="170" t="e">
        <f>IF('Prediction Log'!#REF!="Y", "W", IF('Prediction Log'!#REF!="N","L",""))</f>
        <v>#REF!</v>
      </c>
      <c r="AD356" s="171" t="e">
        <f>IF('Prediction Log'!#REF!="Y", "W", IF('Prediction Log'!#REF!="N","L",""))</f>
        <v>#REF!</v>
      </c>
      <c r="AE356" s="172" t="str">
        <f>IF(ISBLANK(Table123[[#This Row],[Odds Side - Difference Model]]), "",IF(AC356="W", W356, IF(AC356="L",-N356, "")))</f>
      </c>
      <c r="AF356" s="173" t="str">
        <f>IFERROR((IF(ISERR(Table123[[#This Row],[Potential Payout Side - Win Probability Model]]), "",IF(AD356="W", X356, IF(AD356="L",-N356, "")))), "")</f>
      </c>
      <c r="AG356" s="170" t="e">
        <f>IF('Prediction Log'!#REF!="Y", "W", IF('Prediction Log'!#REF!="N", "L", ""))</f>
        <v>#REF!</v>
      </c>
      <c r="AH356" s="172" t="str">
        <f>IF(ISBLANK(Table123[[#This Row],[Odds Spread]]), "",IF(AG356="W", Z356, IF(AG356="L",-O356, "")))</f>
      </c>
      <c r="AI356" s="184"/>
      <c r="AJ356" s="183" t="str">
        <f t="shared" si="37"/>
      </c>
      <c r="AK3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7">
      <c r="A357" s="65" t="e">
        <f>Games!#REF!</f>
        <v>#REF!</v>
      </c>
      <c r="B357" s="65" t="e">
        <f>IF('Prediction Log'!#REF!=0, "",'Prediction Log'!#REF!)</f>
        <v>#REF!</v>
      </c>
      <c r="C357" s="65" t="e">
        <f>IF('Prediction Log'!#REF!=0, "",'Prediction Log'!#REF!)</f>
        <v>#REF!</v>
      </c>
      <c r="D357" s="65" t="e">
        <f>IF('Prediction Log'!#REF!=0, "",'Prediction Log'!#REF!)</f>
        <v>#REF!</v>
      </c>
      <c r="E357" s="65" t="e">
        <f>IF('Prediction Log'!#REF!=0, "",'Prediction Log'!#REF!)</f>
        <v>#REF!</v>
      </c>
      <c r="F357" s="65" t="e">
        <f>IF('Prediction Log'!#REF!=0, "",'Prediction Log'!#REF!)</f>
        <v>#REF!</v>
      </c>
      <c r="G357" s="64" t="e">
        <f>IF(ISBLANK(Games!#REF!), "",'Prediction Log'!#REF!)</f>
        <v>#REF!</v>
      </c>
      <c r="H357" s="66" t="e">
        <f>'Prediction Log'!#REF!</f>
        <v>#REF!</v>
      </c>
      <c r="I357" s="65" t="e">
        <f>IF(ISBLANK(Games!#REF!), "",IF(AND(Games!#REF!="",Games!#REF!=""),"",IF(ISTEXT(Games!#REF!), "Side",Games!#REF!)))</f>
        <v>#REF!</v>
      </c>
      <c r="J357" s="65" t="e">
        <f>IF(ISBLANK(Games!#REF!), "",IF(Games!#REF!="Y", Games!#REF!, Games!#REF!))</f>
        <v>#REF!</v>
      </c>
      <c r="K357" s="65" t="e">
        <f>Games!#REF!</f>
        <v>#REF!</v>
      </c>
      <c r="L357" s="65" t="e">
        <f>IF(ISBLANK(Games!#REF!), "",Games!#REF!)</f>
        <v>#REF!</v>
      </c>
      <c r="M357" s="65"/>
      <c r="N357" s="167" t="str">
        <f>IF(ISBLANK(Table123[[#This Row],[Odds Side - Difference Model]]), "", 1)</f>
      </c>
      <c r="O357" s="167" t="str">
        <f>IF(ISBLANK(Table123[[#This Row],[Odds Spread]]), "", 1)</f>
      </c>
      <c r="P357" s="67"/>
      <c r="Q357" s="67"/>
      <c r="R3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7" s="67"/>
      <c r="T357" s="67"/>
      <c r="U357" s="168" t="str">
        <f>IF(ISBLANK(Table123[[#This Row],[Odds Side - Difference Model]]), "",N357+IF(Q357&lt;0, (N357/(Q357/-100)), N357*(Q357/100)))</f>
      </c>
      <c r="V357" s="169" t="str">
        <f>IFERROR(IF(ISBLANK(Table123[[#This Row],[Odds Side - Win Probability Model]]), "",N357+IF(R357&lt;0, (N357/(R357/-100)), N357*(R357/100))),"")</f>
      </c>
      <c r="W357" s="168" t="str">
        <f t="shared" si="32"/>
      </c>
      <c r="X357" s="169" t="str">
        <f t="shared" si="33"/>
      </c>
      <c r="Y357" s="168" t="str">
        <f>IF(ISBLANK(Table123[[#This Row],[Odds Spread]]), "",O357+IF(S357&lt;0, (O357/(S357/-100)), O357*(S357/100)))</f>
      </c>
      <c r="Z357" s="168" t="str">
        <f t="shared" si="34"/>
      </c>
      <c r="AA357" s="68" t="n">
        <f t="shared" si="35"/>
        <v>0</v>
      </c>
      <c r="AB357" s="68" t="n">
        <f t="shared" si="36"/>
        <v>0</v>
      </c>
      <c r="AC357" s="170" t="e">
        <f>IF('Prediction Log'!#REF!="Y", "W", IF('Prediction Log'!#REF!="N","L",""))</f>
        <v>#REF!</v>
      </c>
      <c r="AD357" s="171" t="e">
        <f>IF('Prediction Log'!#REF!="Y", "W", IF('Prediction Log'!#REF!="N","L",""))</f>
        <v>#REF!</v>
      </c>
      <c r="AE357" s="172" t="str">
        <f>IF(ISBLANK(Table123[[#This Row],[Odds Side - Difference Model]]), "",IF(AC357="W", W357, IF(AC357="L",-N357, "")))</f>
      </c>
      <c r="AF357" s="173" t="str">
        <f>IFERROR((IF(ISERR(Table123[[#This Row],[Potential Payout Side - Win Probability Model]]), "",IF(AD357="W", X357, IF(AD357="L",-N357, "")))), "")</f>
      </c>
      <c r="AG357" s="170" t="e">
        <f>IF('Prediction Log'!#REF!="Y", "W", IF('Prediction Log'!#REF!="N", "L", ""))</f>
        <v>#REF!</v>
      </c>
      <c r="AH357" s="172" t="str">
        <f>IF(ISBLANK(Table123[[#This Row],[Odds Spread]]), "",IF(AG357="W", Z357, IF(AG357="L",-O357, "")))</f>
      </c>
      <c r="AI357" s="184"/>
      <c r="AJ357" s="183" t="str">
        <f t="shared" si="37"/>
      </c>
      <c r="AK3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8">
      <c r="A358" s="65" t="e">
        <f>Games!#REF!</f>
        <v>#REF!</v>
      </c>
      <c r="B358" s="65" t="e">
        <f>IF('Prediction Log'!#REF!=0, "",'Prediction Log'!#REF!)</f>
        <v>#REF!</v>
      </c>
      <c r="C358" s="65" t="e">
        <f>IF('Prediction Log'!#REF!=0, "",'Prediction Log'!#REF!)</f>
        <v>#REF!</v>
      </c>
      <c r="D358" s="65" t="e">
        <f>IF('Prediction Log'!#REF!=0, "",'Prediction Log'!#REF!)</f>
        <v>#REF!</v>
      </c>
      <c r="E358" s="65" t="e">
        <f>IF('Prediction Log'!#REF!=0, "",'Prediction Log'!#REF!)</f>
        <v>#REF!</v>
      </c>
      <c r="F358" s="65" t="e">
        <f>IF('Prediction Log'!#REF!=0, "",'Prediction Log'!#REF!)</f>
        <v>#REF!</v>
      </c>
      <c r="G358" s="64" t="e">
        <f>IF(ISBLANK(Games!#REF!), "",'Prediction Log'!#REF!)</f>
        <v>#REF!</v>
      </c>
      <c r="H358" s="66" t="e">
        <f>'Prediction Log'!#REF!</f>
        <v>#REF!</v>
      </c>
      <c r="I358" s="65" t="e">
        <f>IF(ISBLANK(Games!#REF!), "",IF(AND(Games!#REF!="",Games!#REF!=""),"",IF(ISTEXT(Games!#REF!), "Side",Games!#REF!)))</f>
        <v>#REF!</v>
      </c>
      <c r="J358" s="65" t="e">
        <f>IF(ISBLANK(Games!#REF!), "",IF(Games!#REF!="Y", Games!#REF!, Games!#REF!))</f>
        <v>#REF!</v>
      </c>
      <c r="K358" s="65" t="e">
        <f>Games!#REF!</f>
        <v>#REF!</v>
      </c>
      <c r="L358" s="65" t="e">
        <f>IF(ISBLANK(Games!#REF!), "",Games!#REF!)</f>
        <v>#REF!</v>
      </c>
      <c r="M358" s="65"/>
      <c r="N358" s="167" t="str">
        <f>IF(ISBLANK(Table123[[#This Row],[Odds Side - Difference Model]]), "", 1)</f>
      </c>
      <c r="O358" s="167" t="str">
        <f>IF(ISBLANK(Table123[[#This Row],[Odds Spread]]), "", 1)</f>
      </c>
      <c r="P358" s="67"/>
      <c r="Q358" s="67"/>
      <c r="R3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8" s="67"/>
      <c r="T358" s="67"/>
      <c r="U358" s="168" t="str">
        <f>IF(ISBLANK(Table123[[#This Row],[Odds Side - Difference Model]]), "",N358+IF(Q358&lt;0, (N358/(Q358/-100)), N358*(Q358/100)))</f>
      </c>
      <c r="V358" s="169" t="str">
        <f>IFERROR(IF(ISBLANK(Table123[[#This Row],[Odds Side - Win Probability Model]]), "",N358+IF(R358&lt;0, (N358/(R358/-100)), N358*(R358/100))),"")</f>
      </c>
      <c r="W358" s="168" t="str">
        <f t="shared" si="32"/>
      </c>
      <c r="X358" s="169" t="str">
        <f t="shared" si="33"/>
      </c>
      <c r="Y358" s="168" t="str">
        <f>IF(ISBLANK(Table123[[#This Row],[Odds Spread]]), "",O358+IF(S358&lt;0, (O358/(S358/-100)), O358*(S358/100)))</f>
      </c>
      <c r="Z358" s="168" t="str">
        <f t="shared" si="34"/>
      </c>
      <c r="AA358" s="68" t="n">
        <f t="shared" si="35"/>
        <v>0</v>
      </c>
      <c r="AB358" s="68" t="n">
        <f t="shared" si="36"/>
        <v>0</v>
      </c>
      <c r="AC358" s="170" t="e">
        <f>IF('Prediction Log'!#REF!="Y", "W", IF('Prediction Log'!#REF!="N","L",""))</f>
        <v>#REF!</v>
      </c>
      <c r="AD358" s="171" t="e">
        <f>IF('Prediction Log'!#REF!="Y", "W", IF('Prediction Log'!#REF!="N","L",""))</f>
        <v>#REF!</v>
      </c>
      <c r="AE358" s="172" t="str">
        <f>IF(ISBLANK(Table123[[#This Row],[Odds Side - Difference Model]]), "",IF(AC358="W", W358, IF(AC358="L",-N358, "")))</f>
      </c>
      <c r="AF358" s="173" t="str">
        <f>IFERROR((IF(ISERR(Table123[[#This Row],[Potential Payout Side - Win Probability Model]]), "",IF(AD358="W", X358, IF(AD358="L",-N358, "")))), "")</f>
      </c>
      <c r="AG358" s="170" t="e">
        <f>IF('Prediction Log'!#REF!="Y", "W", IF('Prediction Log'!#REF!="N", "L", ""))</f>
        <v>#REF!</v>
      </c>
      <c r="AH358" s="172" t="str">
        <f>IF(ISBLANK(Table123[[#This Row],[Odds Spread]]), "",IF(AG358="W", Z358, IF(AG358="L",-O358, "")))</f>
      </c>
      <c r="AI358" s="184"/>
      <c r="AJ358" s="183" t="str">
        <f t="shared" si="37"/>
      </c>
      <c r="AK3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9">
      <c r="A359" s="65" t="e">
        <f>Games!#REF!</f>
        <v>#REF!</v>
      </c>
      <c r="B359" s="65" t="e">
        <f>IF('Prediction Log'!#REF!=0, "",'Prediction Log'!#REF!)</f>
        <v>#REF!</v>
      </c>
      <c r="C359" s="65" t="e">
        <f>IF('Prediction Log'!#REF!=0, "",'Prediction Log'!#REF!)</f>
        <v>#REF!</v>
      </c>
      <c r="D359" s="65" t="e">
        <f>IF('Prediction Log'!#REF!=0, "",'Prediction Log'!#REF!)</f>
        <v>#REF!</v>
      </c>
      <c r="E359" s="65" t="e">
        <f>IF('Prediction Log'!#REF!=0, "",'Prediction Log'!#REF!)</f>
        <v>#REF!</v>
      </c>
      <c r="F359" s="65" t="e">
        <f>IF('Prediction Log'!#REF!=0, "",'Prediction Log'!#REF!)</f>
        <v>#REF!</v>
      </c>
      <c r="G359" s="64" t="e">
        <f>IF(ISBLANK(Games!#REF!), "",'Prediction Log'!#REF!)</f>
        <v>#REF!</v>
      </c>
      <c r="H359" s="66" t="e">
        <f>'Prediction Log'!#REF!</f>
        <v>#REF!</v>
      </c>
      <c r="I359" s="65" t="e">
        <f>IF(ISBLANK(Games!#REF!), "",IF(AND(Games!#REF!="",Games!#REF!=""),"",IF(ISTEXT(Games!#REF!), "Side",Games!#REF!)))</f>
        <v>#REF!</v>
      </c>
      <c r="J359" s="65" t="e">
        <f>IF(ISBLANK(Games!#REF!), "",IF(Games!#REF!="Y", Games!#REF!, Games!#REF!))</f>
        <v>#REF!</v>
      </c>
      <c r="K359" s="65" t="e">
        <f>Games!#REF!</f>
        <v>#REF!</v>
      </c>
      <c r="L359" s="65" t="e">
        <f>IF(ISBLANK(Games!#REF!), "",Games!#REF!)</f>
        <v>#REF!</v>
      </c>
      <c r="M359" s="65"/>
      <c r="N359" s="167" t="str">
        <f>IF(ISBLANK(Table123[[#This Row],[Odds Side - Difference Model]]), "", 1)</f>
      </c>
      <c r="O359" s="167" t="str">
        <f>IF(ISBLANK(Table123[[#This Row],[Odds Spread]]), "", 1)</f>
      </c>
      <c r="P359" s="67"/>
      <c r="Q359" s="67"/>
      <c r="R3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9" s="67"/>
      <c r="T359" s="67"/>
      <c r="U359" s="168" t="str">
        <f>IF(ISBLANK(Table123[[#This Row],[Odds Side - Difference Model]]), "",N359+IF(Q359&lt;0, (N359/(Q359/-100)), N359*(Q359/100)))</f>
      </c>
      <c r="V359" s="169" t="str">
        <f>IFERROR(IF(ISBLANK(Table123[[#This Row],[Odds Side - Win Probability Model]]), "",N359+IF(R359&lt;0, (N359/(R359/-100)), N359*(R359/100))),"")</f>
      </c>
      <c r="W359" s="168" t="str">
        <f t="shared" si="32"/>
      </c>
      <c r="X359" s="169" t="str">
        <f t="shared" si="33"/>
      </c>
      <c r="Y359" s="168" t="str">
        <f>IF(ISBLANK(Table123[[#This Row],[Odds Spread]]), "",O359+IF(S359&lt;0, (O359/(S359/-100)), O359*(S359/100)))</f>
      </c>
      <c r="Z359" s="168" t="str">
        <f t="shared" si="34"/>
      </c>
      <c r="AA359" s="68" t="n">
        <f t="shared" si="35"/>
        <v>0</v>
      </c>
      <c r="AB359" s="68" t="n">
        <f t="shared" si="36"/>
        <v>0</v>
      </c>
      <c r="AC359" s="170" t="e">
        <f>IF('Prediction Log'!#REF!="Y", "W", IF('Prediction Log'!#REF!="N","L",""))</f>
        <v>#REF!</v>
      </c>
      <c r="AD359" s="171" t="e">
        <f>IF('Prediction Log'!#REF!="Y", "W", IF('Prediction Log'!#REF!="N","L",""))</f>
        <v>#REF!</v>
      </c>
      <c r="AE359" s="172" t="str">
        <f>IF(ISBLANK(Table123[[#This Row],[Odds Side - Difference Model]]), "",IF(AC359="W", W359, IF(AC359="L",-N359, "")))</f>
      </c>
      <c r="AF359" s="173" t="str">
        <f>IFERROR((IF(ISERR(Table123[[#This Row],[Potential Payout Side - Win Probability Model]]), "",IF(AD359="W", X359, IF(AD359="L",-N359, "")))), "")</f>
      </c>
      <c r="AG359" s="170" t="e">
        <f>IF('Prediction Log'!#REF!="Y", "W", IF('Prediction Log'!#REF!="N", "L", ""))</f>
        <v>#REF!</v>
      </c>
      <c r="AH359" s="172" t="str">
        <f>IF(ISBLANK(Table123[[#This Row],[Odds Spread]]), "",IF(AG359="W", Z359, IF(AG359="L",-O359, "")))</f>
      </c>
      <c r="AI359" s="184"/>
      <c r="AJ359" s="183" t="str">
        <f t="shared" si="37"/>
      </c>
      <c r="AK3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0">
      <c r="A360" s="65" t="e">
        <f>Games!#REF!</f>
        <v>#REF!</v>
      </c>
      <c r="B360" s="65" t="e">
        <f>IF('Prediction Log'!#REF!=0, "",'Prediction Log'!#REF!)</f>
        <v>#REF!</v>
      </c>
      <c r="C360" s="65" t="e">
        <f>IF('Prediction Log'!#REF!=0, "",'Prediction Log'!#REF!)</f>
        <v>#REF!</v>
      </c>
      <c r="D360" s="65" t="e">
        <f>IF('Prediction Log'!#REF!=0, "",'Prediction Log'!#REF!)</f>
        <v>#REF!</v>
      </c>
      <c r="E360" s="65" t="e">
        <f>IF('Prediction Log'!#REF!=0, "",'Prediction Log'!#REF!)</f>
        <v>#REF!</v>
      </c>
      <c r="F360" s="65" t="e">
        <f>IF('Prediction Log'!#REF!=0, "",'Prediction Log'!#REF!)</f>
        <v>#REF!</v>
      </c>
      <c r="G360" s="64" t="e">
        <f>IF(ISBLANK(Games!#REF!), "",'Prediction Log'!#REF!)</f>
        <v>#REF!</v>
      </c>
      <c r="H360" s="66" t="e">
        <f>'Prediction Log'!#REF!</f>
        <v>#REF!</v>
      </c>
      <c r="I360" s="65" t="e">
        <f>IF(ISBLANK(Games!#REF!), "",IF(AND(Games!#REF!="",Games!#REF!=""),"",IF(ISTEXT(Games!#REF!), "Side",Games!#REF!)))</f>
        <v>#REF!</v>
      </c>
      <c r="J360" s="65" t="e">
        <f>IF(ISBLANK(Games!#REF!), "",IF(Games!#REF!="Y", Games!#REF!, Games!#REF!))</f>
        <v>#REF!</v>
      </c>
      <c r="K360" s="65" t="e">
        <f>Games!#REF!</f>
        <v>#REF!</v>
      </c>
      <c r="L360" s="65" t="e">
        <f>IF(ISBLANK(Games!#REF!), "",Games!#REF!)</f>
        <v>#REF!</v>
      </c>
      <c r="M360" s="65"/>
      <c r="N360" s="167" t="str">
        <f>IF(ISBLANK(Table123[[#This Row],[Odds Side - Difference Model]]), "", 1)</f>
      </c>
      <c r="O360" s="167" t="str">
        <f>IF(ISBLANK(Table123[[#This Row],[Odds Spread]]), "", 1)</f>
      </c>
      <c r="P360" s="67"/>
      <c r="Q360" s="67"/>
      <c r="R3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0" s="67"/>
      <c r="T360" s="67"/>
      <c r="U360" s="168" t="str">
        <f>IF(ISBLANK(Table123[[#This Row],[Odds Side - Difference Model]]), "",N360+IF(Q360&lt;0, (N360/(Q360/-100)), N360*(Q360/100)))</f>
      </c>
      <c r="V360" s="169" t="str">
        <f>IFERROR(IF(ISBLANK(Table123[[#This Row],[Odds Side - Win Probability Model]]), "",N360+IF(R360&lt;0, (N360/(R360/-100)), N360*(R360/100))),"")</f>
      </c>
      <c r="W360" s="168" t="str">
        <f t="shared" si="32"/>
      </c>
      <c r="X360" s="169" t="str">
        <f t="shared" si="33"/>
      </c>
      <c r="Y360" s="168" t="str">
        <f>IF(ISBLANK(Table123[[#This Row],[Odds Spread]]), "",O360+IF(S360&lt;0, (O360/(S360/-100)), O360*(S360/100)))</f>
      </c>
      <c r="Z360" s="168" t="str">
        <f t="shared" si="34"/>
      </c>
      <c r="AA360" s="68" t="n">
        <f t="shared" si="35"/>
        <v>0</v>
      </c>
      <c r="AB360" s="68" t="n">
        <f t="shared" si="36"/>
        <v>0</v>
      </c>
      <c r="AC360" s="170" t="e">
        <f>IF('Prediction Log'!#REF!="Y", "W", IF('Prediction Log'!#REF!="N","L",""))</f>
        <v>#REF!</v>
      </c>
      <c r="AD360" s="171" t="e">
        <f>IF('Prediction Log'!#REF!="Y", "W", IF('Prediction Log'!#REF!="N","L",""))</f>
        <v>#REF!</v>
      </c>
      <c r="AE360" s="172" t="str">
        <f>IF(ISBLANK(Table123[[#This Row],[Odds Side - Difference Model]]), "",IF(AC360="W", W360, IF(AC360="L",-N360, "")))</f>
      </c>
      <c r="AF360" s="173" t="str">
        <f>IFERROR((IF(ISERR(Table123[[#This Row],[Potential Payout Side - Win Probability Model]]), "",IF(AD360="W", X360, IF(AD360="L",-N360, "")))), "")</f>
      </c>
      <c r="AG360" s="170" t="e">
        <f>IF('Prediction Log'!#REF!="Y", "W", IF('Prediction Log'!#REF!="N", "L", ""))</f>
        <v>#REF!</v>
      </c>
      <c r="AH360" s="172" t="str">
        <f>IF(ISBLANK(Table123[[#This Row],[Odds Spread]]), "",IF(AG360="W", Z360, IF(AG360="L",-O360, "")))</f>
      </c>
      <c r="AI360" s="184"/>
      <c r="AJ360" s="183" t="str">
        <f t="shared" si="37"/>
      </c>
      <c r="AK3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1">
      <c r="A361" s="65" t="e">
        <f>Games!#REF!</f>
        <v>#REF!</v>
      </c>
      <c r="B361" s="65" t="e">
        <f>IF('Prediction Log'!#REF!=0, "",'Prediction Log'!#REF!)</f>
        <v>#REF!</v>
      </c>
      <c r="C361" s="65" t="e">
        <f>IF('Prediction Log'!#REF!=0, "",'Prediction Log'!#REF!)</f>
        <v>#REF!</v>
      </c>
      <c r="D361" s="65" t="e">
        <f>IF('Prediction Log'!#REF!=0, "",'Prediction Log'!#REF!)</f>
        <v>#REF!</v>
      </c>
      <c r="E361" s="65" t="e">
        <f>IF('Prediction Log'!#REF!=0, "",'Prediction Log'!#REF!)</f>
        <v>#REF!</v>
      </c>
      <c r="F361" s="65" t="e">
        <f>IF('Prediction Log'!#REF!=0, "",'Prediction Log'!#REF!)</f>
        <v>#REF!</v>
      </c>
      <c r="G361" s="64" t="e">
        <f>IF(ISBLANK(Games!#REF!), "",'Prediction Log'!#REF!)</f>
        <v>#REF!</v>
      </c>
      <c r="H361" s="66" t="e">
        <f>'Prediction Log'!#REF!</f>
        <v>#REF!</v>
      </c>
      <c r="I361" s="65" t="e">
        <f>IF(ISBLANK(Games!#REF!), "",IF(AND(Games!#REF!="",Games!#REF!=""),"",IF(ISTEXT(Games!#REF!), "Side",Games!#REF!)))</f>
        <v>#REF!</v>
      </c>
      <c r="J361" s="65" t="e">
        <f>IF(ISBLANK(Games!#REF!), "",IF(Games!#REF!="Y", Games!#REF!, Games!#REF!))</f>
        <v>#REF!</v>
      </c>
      <c r="K361" s="65" t="e">
        <f>Games!#REF!</f>
        <v>#REF!</v>
      </c>
      <c r="L361" s="65" t="e">
        <f>IF(ISBLANK(Games!#REF!), "",Games!#REF!)</f>
        <v>#REF!</v>
      </c>
      <c r="M361" s="65"/>
      <c r="N361" s="167" t="str">
        <f>IF(ISBLANK(Table123[[#This Row],[Odds Side - Difference Model]]), "", 1)</f>
      </c>
      <c r="O361" s="167" t="str">
        <f>IF(ISBLANK(Table123[[#This Row],[Odds Spread]]), "", 1)</f>
      </c>
      <c r="P361" s="67"/>
      <c r="Q361" s="67"/>
      <c r="R3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1" s="67"/>
      <c r="T361" s="67"/>
      <c r="U361" s="168" t="str">
        <f>IF(ISBLANK(Table123[[#This Row],[Odds Side - Difference Model]]), "",N361+IF(Q361&lt;0, (N361/(Q361/-100)), N361*(Q361/100)))</f>
      </c>
      <c r="V361" s="169" t="str">
        <f>IFERROR(IF(ISBLANK(Table123[[#This Row],[Odds Side - Win Probability Model]]), "",N361+IF(R361&lt;0, (N361/(R361/-100)), N361*(R361/100))),"")</f>
      </c>
      <c r="W361" s="168" t="str">
        <f t="shared" si="32"/>
      </c>
      <c r="X361" s="169" t="str">
        <f t="shared" si="33"/>
      </c>
      <c r="Y361" s="168" t="str">
        <f>IF(ISBLANK(Table123[[#This Row],[Odds Spread]]), "",O361+IF(S361&lt;0, (O361/(S361/-100)), O361*(S361/100)))</f>
      </c>
      <c r="Z361" s="168" t="str">
        <f t="shared" si="34"/>
      </c>
      <c r="AA361" s="68" t="n">
        <f t="shared" si="35"/>
        <v>0</v>
      </c>
      <c r="AB361" s="68" t="n">
        <f t="shared" si="36"/>
        <v>0</v>
      </c>
      <c r="AC361" s="170" t="e">
        <f>IF('Prediction Log'!#REF!="Y", "W", IF('Prediction Log'!#REF!="N","L",""))</f>
        <v>#REF!</v>
      </c>
      <c r="AD361" s="171" t="e">
        <f>IF('Prediction Log'!#REF!="Y", "W", IF('Prediction Log'!#REF!="N","L",""))</f>
        <v>#REF!</v>
      </c>
      <c r="AE361" s="172" t="str">
        <f>IF(ISBLANK(Table123[[#This Row],[Odds Side - Difference Model]]), "",IF(AC361="W", W361, IF(AC361="L",-N361, "")))</f>
      </c>
      <c r="AF361" s="173" t="str">
        <f>IFERROR((IF(ISERR(Table123[[#This Row],[Potential Payout Side - Win Probability Model]]), "",IF(AD361="W", X361, IF(AD361="L",-N361, "")))), "")</f>
      </c>
      <c r="AG361" s="170" t="e">
        <f>IF('Prediction Log'!#REF!="Y", "W", IF('Prediction Log'!#REF!="N", "L", ""))</f>
        <v>#REF!</v>
      </c>
      <c r="AH361" s="172" t="str">
        <f>IF(ISBLANK(Table123[[#This Row],[Odds Spread]]), "",IF(AG361="W", Z361, IF(AG361="L",-O361, "")))</f>
      </c>
      <c r="AI361" s="184"/>
      <c r="AJ361" s="183" t="str">
        <f t="shared" si="37"/>
      </c>
      <c r="AK3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2">
      <c r="A362" s="65" t="e">
        <f>Games!#REF!</f>
        <v>#REF!</v>
      </c>
      <c r="B362" s="65" t="e">
        <f>IF('Prediction Log'!#REF!=0, "",'Prediction Log'!#REF!)</f>
        <v>#REF!</v>
      </c>
      <c r="C362" s="65" t="e">
        <f>IF('Prediction Log'!#REF!=0, "",'Prediction Log'!#REF!)</f>
        <v>#REF!</v>
      </c>
      <c r="D362" s="65" t="e">
        <f>IF('Prediction Log'!#REF!=0, "",'Prediction Log'!#REF!)</f>
        <v>#REF!</v>
      </c>
      <c r="E362" s="65" t="e">
        <f>IF('Prediction Log'!#REF!=0, "",'Prediction Log'!#REF!)</f>
        <v>#REF!</v>
      </c>
      <c r="F362" s="65" t="e">
        <f>IF('Prediction Log'!#REF!=0, "",'Prediction Log'!#REF!)</f>
        <v>#REF!</v>
      </c>
      <c r="G362" s="64" t="e">
        <f>IF(ISBLANK(Games!#REF!), "",'Prediction Log'!#REF!)</f>
        <v>#REF!</v>
      </c>
      <c r="H362" s="66" t="e">
        <f>'Prediction Log'!#REF!</f>
        <v>#REF!</v>
      </c>
      <c r="I362" s="65" t="e">
        <f>IF(ISBLANK(Games!#REF!), "",IF(AND(Games!#REF!="",Games!#REF!=""),"",IF(ISTEXT(Games!#REF!), "Side",Games!#REF!)))</f>
        <v>#REF!</v>
      </c>
      <c r="J362" s="65" t="e">
        <f>IF(ISBLANK(Games!#REF!), "",IF(Games!#REF!="Y", Games!#REF!, Games!#REF!))</f>
        <v>#REF!</v>
      </c>
      <c r="K362" s="65" t="e">
        <f>Games!#REF!</f>
        <v>#REF!</v>
      </c>
      <c r="L362" s="65" t="e">
        <f>IF(ISBLANK(Games!#REF!), "",Games!#REF!)</f>
        <v>#REF!</v>
      </c>
      <c r="M362" s="65"/>
      <c r="N362" s="167" t="str">
        <f>IF(ISBLANK(Table123[[#This Row],[Odds Side - Difference Model]]), "", 1)</f>
      </c>
      <c r="O362" s="167" t="str">
        <f>IF(ISBLANK(Table123[[#This Row],[Odds Spread]]), "", 1)</f>
      </c>
      <c r="P362" s="67"/>
      <c r="Q362" s="67"/>
      <c r="R3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2" s="67"/>
      <c r="T362" s="67"/>
      <c r="U362" s="168" t="str">
        <f>IF(ISBLANK(Table123[[#This Row],[Odds Side - Difference Model]]), "",N362+IF(Q362&lt;0, (N362/(Q362/-100)), N362*(Q362/100)))</f>
      </c>
      <c r="V362" s="169" t="str">
        <f>IFERROR(IF(ISBLANK(Table123[[#This Row],[Odds Side - Win Probability Model]]), "",N362+IF(R362&lt;0, (N362/(R362/-100)), N362*(R362/100))),"")</f>
      </c>
      <c r="W362" s="168" t="str">
        <f t="shared" si="32"/>
      </c>
      <c r="X362" s="169" t="str">
        <f t="shared" si="33"/>
      </c>
      <c r="Y362" s="168" t="str">
        <f>IF(ISBLANK(Table123[[#This Row],[Odds Spread]]), "",O362+IF(S362&lt;0, (O362/(S362/-100)), O362*(S362/100)))</f>
      </c>
      <c r="Z362" s="168" t="str">
        <f t="shared" si="34"/>
      </c>
      <c r="AA362" s="68" t="n">
        <f t="shared" si="35"/>
        <v>0</v>
      </c>
      <c r="AB362" s="68" t="n">
        <f t="shared" si="36"/>
        <v>0</v>
      </c>
      <c r="AC362" s="170" t="e">
        <f>IF('Prediction Log'!#REF!="Y", "W", IF('Prediction Log'!#REF!="N","L",""))</f>
        <v>#REF!</v>
      </c>
      <c r="AD362" s="171" t="e">
        <f>IF('Prediction Log'!#REF!="Y", "W", IF('Prediction Log'!#REF!="N","L",""))</f>
        <v>#REF!</v>
      </c>
      <c r="AE362" s="172" t="str">
        <f>IF(ISBLANK(Table123[[#This Row],[Odds Side - Difference Model]]), "",IF(AC362="W", W362, IF(AC362="L",-N362, "")))</f>
      </c>
      <c r="AF362" s="173" t="str">
        <f>IFERROR((IF(ISERR(Table123[[#This Row],[Potential Payout Side - Win Probability Model]]), "",IF(AD362="W", X362, IF(AD362="L",-N362, "")))), "")</f>
      </c>
      <c r="AG362" s="170" t="e">
        <f>IF('Prediction Log'!#REF!="Y", "W", IF('Prediction Log'!#REF!="N", "L", ""))</f>
        <v>#REF!</v>
      </c>
      <c r="AH362" s="172" t="str">
        <f>IF(ISBLANK(Table123[[#This Row],[Odds Spread]]), "",IF(AG362="W", Z362, IF(AG362="L",-O362, "")))</f>
      </c>
      <c r="AI362" s="184"/>
      <c r="AJ362" s="183" t="str">
        <f t="shared" si="37"/>
      </c>
      <c r="AK3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3">
      <c r="A363" s="65" t="e">
        <f>Games!#REF!</f>
        <v>#REF!</v>
      </c>
      <c r="B363" s="65" t="e">
        <f>IF('Prediction Log'!#REF!=0, "",'Prediction Log'!#REF!)</f>
        <v>#REF!</v>
      </c>
      <c r="C363" s="65" t="e">
        <f>IF('Prediction Log'!#REF!=0, "",'Prediction Log'!#REF!)</f>
        <v>#REF!</v>
      </c>
      <c r="D363" s="65" t="e">
        <f>IF('Prediction Log'!#REF!=0, "",'Prediction Log'!#REF!)</f>
        <v>#REF!</v>
      </c>
      <c r="E363" s="65" t="e">
        <f>IF('Prediction Log'!#REF!=0, "",'Prediction Log'!#REF!)</f>
        <v>#REF!</v>
      </c>
      <c r="F363" s="65" t="e">
        <f>IF('Prediction Log'!#REF!=0, "",'Prediction Log'!#REF!)</f>
        <v>#REF!</v>
      </c>
      <c r="G363" s="64" t="e">
        <f>IF(ISBLANK(Games!#REF!), "",'Prediction Log'!#REF!)</f>
        <v>#REF!</v>
      </c>
      <c r="H363" s="66" t="e">
        <f>'Prediction Log'!#REF!</f>
        <v>#REF!</v>
      </c>
      <c r="I363" s="65" t="e">
        <f>IF(ISBLANK(Games!#REF!), "",IF(AND(Games!#REF!="",Games!#REF!=""),"",IF(ISTEXT(Games!#REF!), "Side",Games!#REF!)))</f>
        <v>#REF!</v>
      </c>
      <c r="J363" s="65" t="e">
        <f>IF(ISBLANK(Games!#REF!), "",IF(Games!#REF!="Y", Games!#REF!, Games!#REF!))</f>
        <v>#REF!</v>
      </c>
      <c r="K363" s="65" t="e">
        <f>Games!#REF!</f>
        <v>#REF!</v>
      </c>
      <c r="L363" s="65" t="e">
        <f>IF(ISBLANK(Games!#REF!), "",Games!#REF!)</f>
        <v>#REF!</v>
      </c>
      <c r="M363" s="65"/>
      <c r="N363" s="167" t="str">
        <f>IF(ISBLANK(Table123[[#This Row],[Odds Side - Difference Model]]), "", 1)</f>
      </c>
      <c r="O363" s="167" t="str">
        <f>IF(ISBLANK(Table123[[#This Row],[Odds Spread]]), "", 1)</f>
      </c>
      <c r="P363" s="67"/>
      <c r="Q363" s="67"/>
      <c r="R3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3" s="67"/>
      <c r="T363" s="67"/>
      <c r="U363" s="168" t="str">
        <f>IF(ISBLANK(Table123[[#This Row],[Odds Side - Difference Model]]), "",N363+IF(Q363&lt;0, (N363/(Q363/-100)), N363*(Q363/100)))</f>
      </c>
      <c r="V363" s="169" t="str">
        <f>IFERROR(IF(ISBLANK(Table123[[#This Row],[Odds Side - Win Probability Model]]), "",N363+IF(R363&lt;0, (N363/(R363/-100)), N363*(R363/100))),"")</f>
      </c>
      <c r="W363" s="168" t="str">
        <f t="shared" si="32"/>
      </c>
      <c r="X363" s="169" t="str">
        <f t="shared" si="33"/>
      </c>
      <c r="Y363" s="168" t="str">
        <f>IF(ISBLANK(Table123[[#This Row],[Odds Spread]]), "",O363+IF(S363&lt;0, (O363/(S363/-100)), O363*(S363/100)))</f>
      </c>
      <c r="Z363" s="168" t="str">
        <f t="shared" si="34"/>
      </c>
      <c r="AA363" s="68" t="n">
        <f t="shared" si="35"/>
        <v>0</v>
      </c>
      <c r="AB363" s="68" t="n">
        <f t="shared" si="36"/>
        <v>0</v>
      </c>
      <c r="AC363" s="170" t="e">
        <f>IF('Prediction Log'!#REF!="Y", "W", IF('Prediction Log'!#REF!="N","L",""))</f>
        <v>#REF!</v>
      </c>
      <c r="AD363" s="171" t="e">
        <f>IF('Prediction Log'!#REF!="Y", "W", IF('Prediction Log'!#REF!="N","L",""))</f>
        <v>#REF!</v>
      </c>
      <c r="AE363" s="172" t="str">
        <f>IF(ISBLANK(Table123[[#This Row],[Odds Side - Difference Model]]), "",IF(AC363="W", W363, IF(AC363="L",-N363, "")))</f>
      </c>
      <c r="AF363" s="173" t="str">
        <f>IFERROR((IF(ISERR(Table123[[#This Row],[Potential Payout Side - Win Probability Model]]), "",IF(AD363="W", X363, IF(AD363="L",-N363, "")))), "")</f>
      </c>
      <c r="AG363" s="170" t="e">
        <f>IF('Prediction Log'!#REF!="Y", "W", IF('Prediction Log'!#REF!="N", "L", ""))</f>
        <v>#REF!</v>
      </c>
      <c r="AH363" s="172" t="str">
        <f>IF(ISBLANK(Table123[[#This Row],[Odds Spread]]), "",IF(AG363="W", Z363, IF(AG363="L",-O363, "")))</f>
      </c>
      <c r="AI363" s="184"/>
      <c r="AJ363" s="183" t="str">
        <f t="shared" si="37"/>
      </c>
      <c r="AK3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4">
      <c r="A364" s="65" t="e">
        <f>Games!#REF!</f>
        <v>#REF!</v>
      </c>
      <c r="B364" s="65" t="e">
        <f>IF('Prediction Log'!#REF!=0, "",'Prediction Log'!#REF!)</f>
        <v>#REF!</v>
      </c>
      <c r="C364" s="65" t="e">
        <f>IF('Prediction Log'!#REF!=0, "",'Prediction Log'!#REF!)</f>
        <v>#REF!</v>
      </c>
      <c r="D364" s="65" t="e">
        <f>IF('Prediction Log'!#REF!=0, "",'Prediction Log'!#REF!)</f>
        <v>#REF!</v>
      </c>
      <c r="E364" s="65" t="e">
        <f>IF('Prediction Log'!#REF!=0, "",'Prediction Log'!#REF!)</f>
        <v>#REF!</v>
      </c>
      <c r="F364" s="65" t="e">
        <f>IF('Prediction Log'!#REF!=0, "",'Prediction Log'!#REF!)</f>
        <v>#REF!</v>
      </c>
      <c r="G364" s="64" t="e">
        <f>IF(ISBLANK(Games!#REF!), "",'Prediction Log'!#REF!)</f>
        <v>#REF!</v>
      </c>
      <c r="H364" s="66" t="e">
        <f>'Prediction Log'!#REF!</f>
        <v>#REF!</v>
      </c>
      <c r="I364" s="65" t="e">
        <f>IF(ISBLANK(Games!#REF!), "",IF(AND(Games!#REF!="",Games!#REF!=""),"",IF(ISTEXT(Games!#REF!), "Side",Games!#REF!)))</f>
        <v>#REF!</v>
      </c>
      <c r="J364" s="65" t="e">
        <f>IF(ISBLANK(Games!#REF!), "",IF(Games!#REF!="Y", Games!#REF!, Games!#REF!))</f>
        <v>#REF!</v>
      </c>
      <c r="K364" s="65" t="e">
        <f>Games!#REF!</f>
        <v>#REF!</v>
      </c>
      <c r="L364" s="65" t="e">
        <f>IF(ISBLANK(Games!#REF!), "",Games!#REF!)</f>
        <v>#REF!</v>
      </c>
      <c r="M364" s="65"/>
      <c r="N364" s="167" t="str">
        <f>IF(ISBLANK(Table123[[#This Row],[Odds Side - Difference Model]]), "", 1)</f>
      </c>
      <c r="O364" s="167" t="str">
        <f>IF(ISBLANK(Table123[[#This Row],[Odds Spread]]), "", 1)</f>
      </c>
      <c r="P364" s="67"/>
      <c r="Q364" s="67"/>
      <c r="R3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4" s="67"/>
      <c r="T364" s="67"/>
      <c r="U364" s="168" t="str">
        <f>IF(ISBLANK(Table123[[#This Row],[Odds Side - Difference Model]]), "",N364+IF(Q364&lt;0, (N364/(Q364/-100)), N364*(Q364/100)))</f>
      </c>
      <c r="V364" s="169" t="str">
        <f>IFERROR(IF(ISBLANK(Table123[[#This Row],[Odds Side - Win Probability Model]]), "",N364+IF(R364&lt;0, (N364/(R364/-100)), N364*(R364/100))),"")</f>
      </c>
      <c r="W364" s="168" t="str">
        <f t="shared" si="32"/>
      </c>
      <c r="X364" s="169" t="str">
        <f t="shared" si="33"/>
      </c>
      <c r="Y364" s="168" t="str">
        <f>IF(ISBLANK(Table123[[#This Row],[Odds Spread]]), "",O364+IF(S364&lt;0, (O364/(S364/-100)), O364*(S364/100)))</f>
      </c>
      <c r="Z364" s="168" t="str">
        <f t="shared" si="34"/>
      </c>
      <c r="AA364" s="68" t="n">
        <f t="shared" si="35"/>
        <v>0</v>
      </c>
      <c r="AB364" s="68" t="n">
        <f t="shared" si="36"/>
        <v>0</v>
      </c>
      <c r="AC364" s="170" t="e">
        <f>IF('Prediction Log'!#REF!="Y", "W", IF('Prediction Log'!#REF!="N","L",""))</f>
        <v>#REF!</v>
      </c>
      <c r="AD364" s="171" t="e">
        <f>IF('Prediction Log'!#REF!="Y", "W", IF('Prediction Log'!#REF!="N","L",""))</f>
        <v>#REF!</v>
      </c>
      <c r="AE364" s="172" t="str">
        <f>IF(ISBLANK(Table123[[#This Row],[Odds Side - Difference Model]]), "",IF(AC364="W", W364, IF(AC364="L",-N364, "")))</f>
      </c>
      <c r="AF364" s="173" t="str">
        <f>IFERROR((IF(ISERR(Table123[[#This Row],[Potential Payout Side - Win Probability Model]]), "",IF(AD364="W", X364, IF(AD364="L",-N364, "")))), "")</f>
      </c>
      <c r="AG364" s="170" t="e">
        <f>IF('Prediction Log'!#REF!="Y", "W", IF('Prediction Log'!#REF!="N", "L", ""))</f>
        <v>#REF!</v>
      </c>
      <c r="AH364" s="172" t="str">
        <f>IF(ISBLANK(Table123[[#This Row],[Odds Spread]]), "",IF(AG364="W", Z364, IF(AG364="L",-O364, "")))</f>
      </c>
      <c r="AI364" s="184"/>
      <c r="AJ364" s="183" t="str">
        <f t="shared" si="37"/>
      </c>
      <c r="AK3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5">
      <c r="A365" s="65" t="e">
        <f>Games!#REF!</f>
        <v>#REF!</v>
      </c>
      <c r="B365" s="65" t="e">
        <f>IF('Prediction Log'!#REF!=0, "",'Prediction Log'!#REF!)</f>
        <v>#REF!</v>
      </c>
      <c r="C365" s="65" t="e">
        <f>IF('Prediction Log'!#REF!=0, "",'Prediction Log'!#REF!)</f>
        <v>#REF!</v>
      </c>
      <c r="D365" s="65" t="e">
        <f>IF('Prediction Log'!#REF!=0, "",'Prediction Log'!#REF!)</f>
        <v>#REF!</v>
      </c>
      <c r="E365" s="65" t="e">
        <f>IF('Prediction Log'!#REF!=0, "",'Prediction Log'!#REF!)</f>
        <v>#REF!</v>
      </c>
      <c r="F365" s="65" t="e">
        <f>IF('Prediction Log'!#REF!=0, "",'Prediction Log'!#REF!)</f>
        <v>#REF!</v>
      </c>
      <c r="G365" s="64" t="e">
        <f>IF(ISBLANK(Games!#REF!), "",'Prediction Log'!#REF!)</f>
        <v>#REF!</v>
      </c>
      <c r="H365" s="66" t="e">
        <f>'Prediction Log'!#REF!</f>
        <v>#REF!</v>
      </c>
      <c r="I365" s="65" t="e">
        <f>IF(ISBLANK(Games!#REF!), "",IF(AND(Games!#REF!="",Games!#REF!=""),"",IF(ISTEXT(Games!#REF!), "Side",Games!#REF!)))</f>
        <v>#REF!</v>
      </c>
      <c r="J365" s="65" t="e">
        <f>IF(ISBLANK(Games!#REF!), "",IF(Games!#REF!="Y", Games!#REF!, Games!#REF!))</f>
        <v>#REF!</v>
      </c>
      <c r="K365" s="65" t="e">
        <f>Games!#REF!</f>
        <v>#REF!</v>
      </c>
      <c r="L365" s="65" t="e">
        <f>IF(ISBLANK(Games!#REF!), "",Games!#REF!)</f>
        <v>#REF!</v>
      </c>
      <c r="M365" s="65"/>
      <c r="N365" s="167" t="str">
        <f>IF(ISBLANK(Table123[[#This Row],[Odds Side - Difference Model]]), "", 1)</f>
      </c>
      <c r="O365" s="167" t="str">
        <f>IF(ISBLANK(Table123[[#This Row],[Odds Spread]]), "", 1)</f>
      </c>
      <c r="P365" s="67"/>
      <c r="Q365" s="67"/>
      <c r="R3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5" s="67"/>
      <c r="T365" s="67"/>
      <c r="U365" s="168" t="str">
        <f>IF(ISBLANK(Table123[[#This Row],[Odds Side - Difference Model]]), "",N365+IF(Q365&lt;0, (N365/(Q365/-100)), N365*(Q365/100)))</f>
      </c>
      <c r="V365" s="169" t="str">
        <f>IFERROR(IF(ISBLANK(Table123[[#This Row],[Odds Side - Win Probability Model]]), "",N365+IF(R365&lt;0, (N365/(R365/-100)), N365*(R365/100))),"")</f>
      </c>
      <c r="W365" s="168" t="str">
        <f t="shared" si="32"/>
      </c>
      <c r="X365" s="169" t="str">
        <f t="shared" si="33"/>
      </c>
      <c r="Y365" s="168" t="str">
        <f>IF(ISBLANK(Table123[[#This Row],[Odds Spread]]), "",O365+IF(S365&lt;0, (O365/(S365/-100)), O365*(S365/100)))</f>
      </c>
      <c r="Z365" s="168" t="str">
        <f t="shared" si="34"/>
      </c>
      <c r="AA365" s="68" t="n">
        <f t="shared" si="35"/>
        <v>0</v>
      </c>
      <c r="AB365" s="68" t="n">
        <f t="shared" si="36"/>
        <v>0</v>
      </c>
      <c r="AC365" s="170" t="e">
        <f>IF('Prediction Log'!#REF!="Y", "W", IF('Prediction Log'!#REF!="N","L",""))</f>
        <v>#REF!</v>
      </c>
      <c r="AD365" s="171" t="e">
        <f>IF('Prediction Log'!#REF!="Y", "W", IF('Prediction Log'!#REF!="N","L",""))</f>
        <v>#REF!</v>
      </c>
      <c r="AE365" s="172" t="str">
        <f>IF(ISBLANK(Table123[[#This Row],[Odds Side - Difference Model]]), "",IF(AC365="W", W365, IF(AC365="L",-N365, "")))</f>
      </c>
      <c r="AF365" s="173" t="str">
        <f>IFERROR((IF(ISERR(Table123[[#This Row],[Potential Payout Side - Win Probability Model]]), "",IF(AD365="W", X365, IF(AD365="L",-N365, "")))), "")</f>
      </c>
      <c r="AG365" s="170" t="e">
        <f>IF('Prediction Log'!#REF!="Y", "W", IF('Prediction Log'!#REF!="N", "L", ""))</f>
        <v>#REF!</v>
      </c>
      <c r="AH365" s="172" t="str">
        <f>IF(ISBLANK(Table123[[#This Row],[Odds Spread]]), "",IF(AG365="W", Z365, IF(AG365="L",-O365, "")))</f>
      </c>
      <c r="AI365" s="184"/>
      <c r="AJ365" s="183" t="str">
        <f t="shared" si="37"/>
      </c>
      <c r="AK3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6">
      <c r="A366" s="65" t="e">
        <f>Games!#REF!</f>
        <v>#REF!</v>
      </c>
      <c r="B366" s="65" t="e">
        <f>IF('Prediction Log'!#REF!=0, "",'Prediction Log'!#REF!)</f>
        <v>#REF!</v>
      </c>
      <c r="C366" s="65" t="e">
        <f>IF('Prediction Log'!#REF!=0, "",'Prediction Log'!#REF!)</f>
        <v>#REF!</v>
      </c>
      <c r="D366" s="65" t="e">
        <f>IF('Prediction Log'!#REF!=0, "",'Prediction Log'!#REF!)</f>
        <v>#REF!</v>
      </c>
      <c r="E366" s="65" t="e">
        <f>IF('Prediction Log'!#REF!=0, "",'Prediction Log'!#REF!)</f>
        <v>#REF!</v>
      </c>
      <c r="F366" s="65" t="e">
        <f>IF('Prediction Log'!#REF!=0, "",'Prediction Log'!#REF!)</f>
        <v>#REF!</v>
      </c>
      <c r="G366" s="64" t="e">
        <f>IF(ISBLANK(Games!#REF!), "",'Prediction Log'!#REF!)</f>
        <v>#REF!</v>
      </c>
      <c r="H366" s="66" t="e">
        <f>'Prediction Log'!#REF!</f>
        <v>#REF!</v>
      </c>
      <c r="I366" s="65" t="e">
        <f>IF(ISBLANK(Games!#REF!), "",IF(AND(Games!#REF!="",Games!#REF!=""),"",IF(ISTEXT(Games!#REF!), "Side",Games!#REF!)))</f>
        <v>#REF!</v>
      </c>
      <c r="J366" s="65" t="e">
        <f>IF(ISBLANK(Games!#REF!), "",IF(Games!#REF!="Y", Games!#REF!, Games!#REF!))</f>
        <v>#REF!</v>
      </c>
      <c r="K366" s="65" t="e">
        <f>Games!#REF!</f>
        <v>#REF!</v>
      </c>
      <c r="L366" s="65" t="e">
        <f>IF(ISBLANK(Games!#REF!), "",Games!#REF!)</f>
        <v>#REF!</v>
      </c>
      <c r="M366" s="65"/>
      <c r="N366" s="167" t="str">
        <f>IF(ISBLANK(Table123[[#This Row],[Odds Side - Difference Model]]), "", 1)</f>
      </c>
      <c r="O366" s="167" t="str">
        <f>IF(ISBLANK(Table123[[#This Row],[Odds Spread]]), "", 1)</f>
      </c>
      <c r="P366" s="67"/>
      <c r="Q366" s="67"/>
      <c r="R3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6" s="67"/>
      <c r="T366" s="67"/>
      <c r="U366" s="168" t="str">
        <f>IF(ISBLANK(Table123[[#This Row],[Odds Side - Difference Model]]), "",N366+IF(Q366&lt;0, (N366/(Q366/-100)), N366*(Q366/100)))</f>
      </c>
      <c r="V366" s="169" t="str">
        <f>IFERROR(IF(ISBLANK(Table123[[#This Row],[Odds Side - Win Probability Model]]), "",N366+IF(R366&lt;0, (N366/(R366/-100)), N366*(R366/100))),"")</f>
      </c>
      <c r="W366" s="168" t="str">
        <f t="shared" si="32"/>
      </c>
      <c r="X366" s="169" t="str">
        <f t="shared" si="33"/>
      </c>
      <c r="Y366" s="168" t="str">
        <f>IF(ISBLANK(Table123[[#This Row],[Odds Spread]]), "",O366+IF(S366&lt;0, (O366/(S366/-100)), O366*(S366/100)))</f>
      </c>
      <c r="Z366" s="168" t="str">
        <f t="shared" si="34"/>
      </c>
      <c r="AA366" s="68" t="n">
        <f t="shared" si="35"/>
        <v>0</v>
      </c>
      <c r="AB366" s="68" t="n">
        <f t="shared" si="36"/>
        <v>0</v>
      </c>
      <c r="AC366" s="170" t="e">
        <f>IF('Prediction Log'!#REF!="Y", "W", IF('Prediction Log'!#REF!="N","L",""))</f>
        <v>#REF!</v>
      </c>
      <c r="AD366" s="171" t="e">
        <f>IF('Prediction Log'!#REF!="Y", "W", IF('Prediction Log'!#REF!="N","L",""))</f>
        <v>#REF!</v>
      </c>
      <c r="AE366" s="172" t="str">
        <f>IF(ISBLANK(Table123[[#This Row],[Odds Side - Difference Model]]), "",IF(AC366="W", W366, IF(AC366="L",-N366, "")))</f>
      </c>
      <c r="AF366" s="173" t="str">
        <f>IFERROR((IF(ISERR(Table123[[#This Row],[Potential Payout Side - Win Probability Model]]), "",IF(AD366="W", X366, IF(AD366="L",-N366, "")))), "")</f>
      </c>
      <c r="AG366" s="170" t="e">
        <f>IF('Prediction Log'!#REF!="Y", "W", IF('Prediction Log'!#REF!="N", "L", ""))</f>
        <v>#REF!</v>
      </c>
      <c r="AH366" s="172" t="str">
        <f>IF(ISBLANK(Table123[[#This Row],[Odds Spread]]), "",IF(AG366="W", Z366, IF(AG366="L",-O366, "")))</f>
      </c>
      <c r="AI366" s="184"/>
      <c r="AJ366" s="183" t="str">
        <f t="shared" si="37"/>
      </c>
      <c r="AK3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7">
      <c r="A367" s="65" t="e">
        <f>Games!#REF!</f>
        <v>#REF!</v>
      </c>
      <c r="B367" s="65" t="e">
        <f>IF('Prediction Log'!#REF!=0, "",'Prediction Log'!#REF!)</f>
        <v>#REF!</v>
      </c>
      <c r="C367" s="65" t="e">
        <f>IF('Prediction Log'!#REF!=0, "",'Prediction Log'!#REF!)</f>
        <v>#REF!</v>
      </c>
      <c r="D367" s="65" t="e">
        <f>IF('Prediction Log'!#REF!=0, "",'Prediction Log'!#REF!)</f>
        <v>#REF!</v>
      </c>
      <c r="E367" s="65" t="e">
        <f>IF('Prediction Log'!#REF!=0, "",'Prediction Log'!#REF!)</f>
        <v>#REF!</v>
      </c>
      <c r="F367" s="65" t="e">
        <f>IF('Prediction Log'!#REF!=0, "",'Prediction Log'!#REF!)</f>
        <v>#REF!</v>
      </c>
      <c r="G367" s="64" t="e">
        <f>IF(ISBLANK(Games!#REF!), "",'Prediction Log'!#REF!)</f>
        <v>#REF!</v>
      </c>
      <c r="H367" s="66" t="e">
        <f>'Prediction Log'!#REF!</f>
        <v>#REF!</v>
      </c>
      <c r="I367" s="65" t="e">
        <f>IF(ISBLANK(Games!#REF!), "",IF(AND(Games!#REF!="",Games!#REF!=""),"",IF(ISTEXT(Games!#REF!), "Side",Games!#REF!)))</f>
        <v>#REF!</v>
      </c>
      <c r="J367" s="65" t="e">
        <f>IF(ISBLANK(Games!#REF!), "",IF(Games!#REF!="Y", Games!#REF!, Games!#REF!))</f>
        <v>#REF!</v>
      </c>
      <c r="K367" s="65" t="e">
        <f>Games!#REF!</f>
        <v>#REF!</v>
      </c>
      <c r="L367" s="65" t="e">
        <f>IF(ISBLANK(Games!#REF!), "",Games!#REF!)</f>
        <v>#REF!</v>
      </c>
      <c r="M367" s="65"/>
      <c r="N367" s="167" t="str">
        <f>IF(ISBLANK(Table123[[#This Row],[Odds Side - Difference Model]]), "", 1)</f>
      </c>
      <c r="O367" s="167" t="str">
        <f>IF(ISBLANK(Table123[[#This Row],[Odds Spread]]), "", 1)</f>
      </c>
      <c r="P367" s="67"/>
      <c r="Q367" s="67"/>
      <c r="R3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7" s="67"/>
      <c r="T367" s="67"/>
      <c r="U367" s="168" t="str">
        <f>IF(ISBLANK(Table123[[#This Row],[Odds Side - Difference Model]]), "",N367+IF(Q367&lt;0, (N367/(Q367/-100)), N367*(Q367/100)))</f>
      </c>
      <c r="V367" s="169" t="str">
        <f>IFERROR(IF(ISBLANK(Table123[[#This Row],[Odds Side - Win Probability Model]]), "",N367+IF(R367&lt;0, (N367/(R367/-100)), N367*(R367/100))),"")</f>
      </c>
      <c r="W367" s="168" t="str">
        <f t="shared" si="32"/>
      </c>
      <c r="X367" s="169" t="str">
        <f t="shared" si="33"/>
      </c>
      <c r="Y367" s="168" t="str">
        <f>IF(ISBLANK(Table123[[#This Row],[Odds Spread]]), "",O367+IF(S367&lt;0, (O367/(S367/-100)), O367*(S367/100)))</f>
      </c>
      <c r="Z367" s="168" t="str">
        <f t="shared" si="34"/>
      </c>
      <c r="AA367" s="68" t="n">
        <f t="shared" si="35"/>
        <v>0</v>
      </c>
      <c r="AB367" s="68" t="n">
        <f t="shared" si="36"/>
        <v>0</v>
      </c>
      <c r="AC367" s="170" t="e">
        <f>IF('Prediction Log'!#REF!="Y", "W", IF('Prediction Log'!#REF!="N","L",""))</f>
        <v>#REF!</v>
      </c>
      <c r="AD367" s="171" t="e">
        <f>IF('Prediction Log'!#REF!="Y", "W", IF('Prediction Log'!#REF!="N","L",""))</f>
        <v>#REF!</v>
      </c>
      <c r="AE367" s="172" t="str">
        <f>IF(ISBLANK(Table123[[#This Row],[Odds Side - Difference Model]]), "",IF(AC367="W", W367, IF(AC367="L",-N367, "")))</f>
      </c>
      <c r="AF367" s="173" t="str">
        <f>IFERROR((IF(ISERR(Table123[[#This Row],[Potential Payout Side - Win Probability Model]]), "",IF(AD367="W", X367, IF(AD367="L",-N367, "")))), "")</f>
      </c>
      <c r="AG367" s="170" t="e">
        <f>IF('Prediction Log'!#REF!="Y", "W", IF('Prediction Log'!#REF!="N", "L", ""))</f>
        <v>#REF!</v>
      </c>
      <c r="AH367" s="172" t="str">
        <f>IF(ISBLANK(Table123[[#This Row],[Odds Spread]]), "",IF(AG367="W", Z367, IF(AG367="L",-O367, "")))</f>
      </c>
      <c r="AI367" s="184"/>
      <c r="AJ367" s="183" t="str">
        <f t="shared" si="37"/>
      </c>
      <c r="AK3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8">
      <c r="A368" s="65" t="e">
        <f>Games!#REF!</f>
        <v>#REF!</v>
      </c>
      <c r="B368" s="65" t="e">
        <f>IF('Prediction Log'!#REF!=0, "",'Prediction Log'!#REF!)</f>
        <v>#REF!</v>
      </c>
      <c r="C368" s="65" t="e">
        <f>IF('Prediction Log'!#REF!=0, "",'Prediction Log'!#REF!)</f>
        <v>#REF!</v>
      </c>
      <c r="D368" s="65" t="e">
        <f>IF('Prediction Log'!#REF!=0, "",'Prediction Log'!#REF!)</f>
        <v>#REF!</v>
      </c>
      <c r="E368" s="65" t="e">
        <f>IF('Prediction Log'!#REF!=0, "",'Prediction Log'!#REF!)</f>
        <v>#REF!</v>
      </c>
      <c r="F368" s="65" t="e">
        <f>IF('Prediction Log'!#REF!=0, "",'Prediction Log'!#REF!)</f>
        <v>#REF!</v>
      </c>
      <c r="G368" s="64" t="e">
        <f>IF(ISBLANK(Games!#REF!), "",'Prediction Log'!#REF!)</f>
        <v>#REF!</v>
      </c>
      <c r="H368" s="66" t="e">
        <f>'Prediction Log'!#REF!</f>
        <v>#REF!</v>
      </c>
      <c r="I368" s="65" t="e">
        <f>IF(ISBLANK(Games!#REF!), "",IF(AND(Games!#REF!="",Games!#REF!=""),"",IF(ISTEXT(Games!#REF!), "Side",Games!#REF!)))</f>
        <v>#REF!</v>
      </c>
      <c r="J368" s="65" t="e">
        <f>IF(ISBLANK(Games!#REF!), "",IF(Games!#REF!="Y", Games!#REF!, Games!#REF!))</f>
        <v>#REF!</v>
      </c>
      <c r="K368" s="65" t="e">
        <f>Games!#REF!</f>
        <v>#REF!</v>
      </c>
      <c r="L368" s="65" t="e">
        <f>IF(ISBLANK(Games!#REF!), "",Games!#REF!)</f>
        <v>#REF!</v>
      </c>
      <c r="M368" s="65"/>
      <c r="N368" s="167" t="str">
        <f>IF(ISBLANK(Table123[[#This Row],[Odds Side - Difference Model]]), "", 1)</f>
      </c>
      <c r="O368" s="167" t="str">
        <f>IF(ISBLANK(Table123[[#This Row],[Odds Spread]]), "", 1)</f>
      </c>
      <c r="P368" s="67"/>
      <c r="Q368" s="67"/>
      <c r="R3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8" s="67"/>
      <c r="T368" s="67"/>
      <c r="U368" s="168" t="str">
        <f>IF(ISBLANK(Table123[[#This Row],[Odds Side - Difference Model]]), "",N368+IF(Q368&lt;0, (N368/(Q368/-100)), N368*(Q368/100)))</f>
      </c>
      <c r="V368" s="169" t="str">
        <f>IFERROR(IF(ISBLANK(Table123[[#This Row],[Odds Side - Win Probability Model]]), "",N368+IF(R368&lt;0, (N368/(R368/-100)), N368*(R368/100))),"")</f>
      </c>
      <c r="W368" s="168" t="str">
        <f t="shared" si="32"/>
      </c>
      <c r="X368" s="169" t="str">
        <f t="shared" si="33"/>
      </c>
      <c r="Y368" s="168" t="str">
        <f>IF(ISBLANK(Table123[[#This Row],[Odds Spread]]), "",O368+IF(S368&lt;0, (O368/(S368/-100)), O368*(S368/100)))</f>
      </c>
      <c r="Z368" s="168" t="str">
        <f t="shared" si="34"/>
      </c>
      <c r="AA368" s="68" t="n">
        <f t="shared" si="35"/>
        <v>0</v>
      </c>
      <c r="AB368" s="68" t="n">
        <f t="shared" si="36"/>
        <v>0</v>
      </c>
      <c r="AC368" s="170" t="e">
        <f>IF('Prediction Log'!#REF!="Y", "W", IF('Prediction Log'!#REF!="N","L",""))</f>
        <v>#REF!</v>
      </c>
      <c r="AD368" s="171" t="e">
        <f>IF('Prediction Log'!#REF!="Y", "W", IF('Prediction Log'!#REF!="N","L",""))</f>
        <v>#REF!</v>
      </c>
      <c r="AE368" s="172" t="str">
        <f>IF(ISBLANK(Table123[[#This Row],[Odds Side - Difference Model]]), "",IF(AC368="W", W368, IF(AC368="L",-N368, "")))</f>
      </c>
      <c r="AF368" s="173" t="str">
        <f>IFERROR((IF(ISERR(Table123[[#This Row],[Potential Payout Side - Win Probability Model]]), "",IF(AD368="W", X368, IF(AD368="L",-N368, "")))), "")</f>
      </c>
      <c r="AG368" s="170" t="e">
        <f>IF('Prediction Log'!#REF!="Y", "W", IF('Prediction Log'!#REF!="N", "L", ""))</f>
        <v>#REF!</v>
      </c>
      <c r="AH368" s="172" t="str">
        <f>IF(ISBLANK(Table123[[#This Row],[Odds Spread]]), "",IF(AG368="W", Z368, IF(AG368="L",-O368, "")))</f>
      </c>
      <c r="AI368" s="184"/>
      <c r="AJ368" s="183" t="str">
        <f t="shared" si="37"/>
      </c>
      <c r="AK3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9">
      <c r="A369" s="65" t="e">
        <f>Games!#REF!</f>
        <v>#REF!</v>
      </c>
      <c r="B369" s="65" t="e">
        <f>IF('Prediction Log'!#REF!=0, "",'Prediction Log'!#REF!)</f>
        <v>#REF!</v>
      </c>
      <c r="C369" s="65" t="e">
        <f>IF('Prediction Log'!#REF!=0, "",'Prediction Log'!#REF!)</f>
        <v>#REF!</v>
      </c>
      <c r="D369" s="65" t="e">
        <f>IF('Prediction Log'!#REF!=0, "",'Prediction Log'!#REF!)</f>
        <v>#REF!</v>
      </c>
      <c r="E369" s="65" t="e">
        <f>IF('Prediction Log'!#REF!=0, "",'Prediction Log'!#REF!)</f>
        <v>#REF!</v>
      </c>
      <c r="F369" s="65" t="e">
        <f>IF('Prediction Log'!#REF!=0, "",'Prediction Log'!#REF!)</f>
        <v>#REF!</v>
      </c>
      <c r="G369" s="64" t="e">
        <f>IF(ISBLANK(Games!#REF!), "",'Prediction Log'!#REF!)</f>
        <v>#REF!</v>
      </c>
      <c r="H369" s="66" t="e">
        <f>'Prediction Log'!#REF!</f>
        <v>#REF!</v>
      </c>
      <c r="I369" s="65" t="e">
        <f>IF(ISBLANK(Games!#REF!), "",IF(AND(Games!#REF!="",Games!#REF!=""),"",IF(ISTEXT(Games!#REF!), "Side",Games!#REF!)))</f>
        <v>#REF!</v>
      </c>
      <c r="J369" s="65" t="e">
        <f>IF(ISBLANK(Games!#REF!), "",IF(Games!#REF!="Y", Games!#REF!, Games!#REF!))</f>
        <v>#REF!</v>
      </c>
      <c r="K369" s="65" t="e">
        <f>Games!#REF!</f>
        <v>#REF!</v>
      </c>
      <c r="L369" s="65" t="e">
        <f>IF(ISBLANK(Games!#REF!), "",Games!#REF!)</f>
        <v>#REF!</v>
      </c>
      <c r="M369" s="65"/>
      <c r="N369" s="167" t="str">
        <f>IF(ISBLANK(Table123[[#This Row],[Odds Side - Difference Model]]), "", 1)</f>
      </c>
      <c r="O369" s="167" t="str">
        <f>IF(ISBLANK(Table123[[#This Row],[Odds Spread]]), "", 1)</f>
      </c>
      <c r="P369" s="67"/>
      <c r="Q369" s="67"/>
      <c r="R3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9" s="67"/>
      <c r="T369" s="67"/>
      <c r="U369" s="168" t="str">
        <f>IF(ISBLANK(Table123[[#This Row],[Odds Side - Difference Model]]), "",N369+IF(Q369&lt;0, (N369/(Q369/-100)), N369*(Q369/100)))</f>
      </c>
      <c r="V369" s="169" t="str">
        <f>IFERROR(IF(ISBLANK(Table123[[#This Row],[Odds Side - Win Probability Model]]), "",N369+IF(R369&lt;0, (N369/(R369/-100)), N369*(R369/100))),"")</f>
      </c>
      <c r="W369" s="168" t="str">
        <f t="shared" si="32"/>
      </c>
      <c r="X369" s="169" t="str">
        <f t="shared" si="33"/>
      </c>
      <c r="Y369" s="168" t="str">
        <f>IF(ISBLANK(Table123[[#This Row],[Odds Spread]]), "",O369+IF(S369&lt;0, (O369/(S369/-100)), O369*(S369/100)))</f>
      </c>
      <c r="Z369" s="168" t="str">
        <f t="shared" si="34"/>
      </c>
      <c r="AA369" s="68" t="n">
        <f t="shared" si="35"/>
        <v>0</v>
      </c>
      <c r="AB369" s="68" t="n">
        <f t="shared" si="36"/>
        <v>0</v>
      </c>
      <c r="AC369" s="170" t="e">
        <f>IF('Prediction Log'!#REF!="Y", "W", IF('Prediction Log'!#REF!="N","L",""))</f>
        <v>#REF!</v>
      </c>
      <c r="AD369" s="171" t="e">
        <f>IF('Prediction Log'!#REF!="Y", "W", IF('Prediction Log'!#REF!="N","L",""))</f>
        <v>#REF!</v>
      </c>
      <c r="AE369" s="172" t="str">
        <f>IF(ISBLANK(Table123[[#This Row],[Odds Side - Difference Model]]), "",IF(AC369="W", W369, IF(AC369="L",-N369, "")))</f>
      </c>
      <c r="AF369" s="173" t="str">
        <f>IFERROR((IF(ISERR(Table123[[#This Row],[Potential Payout Side - Win Probability Model]]), "",IF(AD369="W", X369, IF(AD369="L",-N369, "")))), "")</f>
      </c>
      <c r="AG369" s="170" t="e">
        <f>IF('Prediction Log'!#REF!="Y", "W", IF('Prediction Log'!#REF!="N", "L", ""))</f>
        <v>#REF!</v>
      </c>
      <c r="AH369" s="172" t="str">
        <f>IF(ISBLANK(Table123[[#This Row],[Odds Spread]]), "",IF(AG369="W", Z369, IF(AG369="L",-O369, "")))</f>
      </c>
      <c r="AI369" s="184"/>
      <c r="AJ369" s="183" t="str">
        <f t="shared" si="37"/>
      </c>
      <c r="AK3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0">
      <c r="A370" s="65" t="e">
        <f>Games!#REF!</f>
        <v>#REF!</v>
      </c>
      <c r="B370" s="65" t="e">
        <f>IF('Prediction Log'!#REF!=0, "",'Prediction Log'!#REF!)</f>
        <v>#REF!</v>
      </c>
      <c r="C370" s="65" t="e">
        <f>IF('Prediction Log'!#REF!=0, "",'Prediction Log'!#REF!)</f>
        <v>#REF!</v>
      </c>
      <c r="D370" s="65" t="e">
        <f>IF('Prediction Log'!#REF!=0, "",'Prediction Log'!#REF!)</f>
        <v>#REF!</v>
      </c>
      <c r="E370" s="65" t="e">
        <f>IF('Prediction Log'!#REF!=0, "",'Prediction Log'!#REF!)</f>
        <v>#REF!</v>
      </c>
      <c r="F370" s="65" t="e">
        <f>IF('Prediction Log'!#REF!=0, "",'Prediction Log'!#REF!)</f>
        <v>#REF!</v>
      </c>
      <c r="G370" s="64" t="e">
        <f>IF(ISBLANK(Games!#REF!), "",'Prediction Log'!#REF!)</f>
        <v>#REF!</v>
      </c>
      <c r="H370" s="66" t="e">
        <f>'Prediction Log'!#REF!</f>
        <v>#REF!</v>
      </c>
      <c r="I370" s="65" t="e">
        <f>IF(ISBLANK(Games!#REF!), "",IF(AND(Games!#REF!="",Games!#REF!=""),"",IF(ISTEXT(Games!#REF!), "Side",Games!#REF!)))</f>
        <v>#REF!</v>
      </c>
      <c r="J370" s="65" t="e">
        <f>IF(ISBLANK(Games!#REF!), "",IF(Games!#REF!="Y", Games!#REF!, Games!#REF!))</f>
        <v>#REF!</v>
      </c>
      <c r="K370" s="65" t="e">
        <f>Games!#REF!</f>
        <v>#REF!</v>
      </c>
      <c r="L370" s="65" t="e">
        <f>IF(ISBLANK(Games!#REF!), "",Games!#REF!)</f>
        <v>#REF!</v>
      </c>
      <c r="M370" s="65"/>
      <c r="N370" s="167" t="str">
        <f>IF(ISBLANK(Table123[[#This Row],[Odds Side - Difference Model]]), "", 1)</f>
      </c>
      <c r="O370" s="167" t="str">
        <f>IF(ISBLANK(Table123[[#This Row],[Odds Spread]]), "", 1)</f>
      </c>
      <c r="P370" s="67"/>
      <c r="Q370" s="67"/>
      <c r="R3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0" s="67"/>
      <c r="T370" s="67"/>
      <c r="U370" s="168" t="str">
        <f>IF(ISBLANK(Table123[[#This Row],[Odds Side - Difference Model]]), "",N370+IF(Q370&lt;0, (N370/(Q370/-100)), N370*(Q370/100)))</f>
      </c>
      <c r="V370" s="169" t="str">
        <f>IFERROR(IF(ISBLANK(Table123[[#This Row],[Odds Side - Win Probability Model]]), "",N370+IF(R370&lt;0, (N370/(R370/-100)), N370*(R370/100))),"")</f>
      </c>
      <c r="W370" s="168" t="str">
        <f t="shared" si="32"/>
      </c>
      <c r="X370" s="169" t="str">
        <f t="shared" si="33"/>
      </c>
      <c r="Y370" s="168" t="str">
        <f>IF(ISBLANK(Table123[[#This Row],[Odds Spread]]), "",O370+IF(S370&lt;0, (O370/(S370/-100)), O370*(S370/100)))</f>
      </c>
      <c r="Z370" s="168" t="str">
        <f t="shared" si="34"/>
      </c>
      <c r="AA370" s="68" t="n">
        <f t="shared" si="35"/>
        <v>0</v>
      </c>
      <c r="AB370" s="68" t="n">
        <f t="shared" si="36"/>
        <v>0</v>
      </c>
      <c r="AC370" s="170" t="e">
        <f>IF('Prediction Log'!#REF!="Y", "W", IF('Prediction Log'!#REF!="N","L",""))</f>
        <v>#REF!</v>
      </c>
      <c r="AD370" s="171" t="e">
        <f>IF('Prediction Log'!#REF!="Y", "W", IF('Prediction Log'!#REF!="N","L",""))</f>
        <v>#REF!</v>
      </c>
      <c r="AE370" s="172" t="str">
        <f>IF(ISBLANK(Table123[[#This Row],[Odds Side - Difference Model]]), "",IF(AC370="W", W370, IF(AC370="L",-N370, "")))</f>
      </c>
      <c r="AF370" s="173" t="str">
        <f>IFERROR((IF(ISERR(Table123[[#This Row],[Potential Payout Side - Win Probability Model]]), "",IF(AD370="W", X370, IF(AD370="L",-N370, "")))), "")</f>
      </c>
      <c r="AG370" s="170" t="e">
        <f>IF('Prediction Log'!#REF!="Y", "W", IF('Prediction Log'!#REF!="N", "L", ""))</f>
        <v>#REF!</v>
      </c>
      <c r="AH370" s="172" t="str">
        <f>IF(ISBLANK(Table123[[#This Row],[Odds Spread]]), "",IF(AG370="W", Z370, IF(AG370="L",-O370, "")))</f>
      </c>
      <c r="AI370" s="184"/>
      <c r="AJ370" s="183" t="str">
        <f t="shared" si="37"/>
      </c>
      <c r="AK3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1">
      <c r="A371" s="65" t="e">
        <f>Games!#REF!</f>
        <v>#REF!</v>
      </c>
      <c r="B371" s="65" t="e">
        <f>IF('Prediction Log'!#REF!=0, "",'Prediction Log'!#REF!)</f>
        <v>#REF!</v>
      </c>
      <c r="C371" s="65" t="e">
        <f>IF('Prediction Log'!#REF!=0, "",'Prediction Log'!#REF!)</f>
        <v>#REF!</v>
      </c>
      <c r="D371" s="65" t="e">
        <f>IF('Prediction Log'!#REF!=0, "",'Prediction Log'!#REF!)</f>
        <v>#REF!</v>
      </c>
      <c r="E371" s="65" t="e">
        <f>IF('Prediction Log'!#REF!=0, "",'Prediction Log'!#REF!)</f>
        <v>#REF!</v>
      </c>
      <c r="F371" s="65" t="e">
        <f>IF('Prediction Log'!#REF!=0, "",'Prediction Log'!#REF!)</f>
        <v>#REF!</v>
      </c>
      <c r="G371" s="64" t="e">
        <f>IF(ISBLANK(Games!#REF!), "",'Prediction Log'!#REF!)</f>
        <v>#REF!</v>
      </c>
      <c r="H371" s="66" t="e">
        <f>'Prediction Log'!#REF!</f>
        <v>#REF!</v>
      </c>
      <c r="I371" s="65" t="e">
        <f>IF(ISBLANK(Games!#REF!), "",IF(AND(Games!#REF!="",Games!#REF!=""),"",IF(ISTEXT(Games!#REF!), "Side",Games!#REF!)))</f>
        <v>#REF!</v>
      </c>
      <c r="J371" s="65" t="e">
        <f>IF(ISBLANK(Games!#REF!), "",IF(Games!#REF!="Y", Games!#REF!, Games!#REF!))</f>
        <v>#REF!</v>
      </c>
      <c r="K371" s="65" t="e">
        <f>Games!#REF!</f>
        <v>#REF!</v>
      </c>
      <c r="L371" s="65" t="e">
        <f>IF(ISBLANK(Games!#REF!), "",Games!#REF!)</f>
        <v>#REF!</v>
      </c>
      <c r="M371" s="65"/>
      <c r="N371" s="167" t="str">
        <f>IF(ISBLANK(Table123[[#This Row],[Odds Side - Difference Model]]), "", 1)</f>
      </c>
      <c r="O371" s="167" t="str">
        <f>IF(ISBLANK(Table123[[#This Row],[Odds Spread]]), "", 1)</f>
      </c>
      <c r="P371" s="67"/>
      <c r="Q371" s="67"/>
      <c r="R3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1" s="67"/>
      <c r="T371" s="67"/>
      <c r="U371" s="168" t="str">
        <f>IF(ISBLANK(Table123[[#This Row],[Odds Side - Difference Model]]), "",N371+IF(Q371&lt;0, (N371/(Q371/-100)), N371*(Q371/100)))</f>
      </c>
      <c r="V371" s="169" t="str">
        <f>IFERROR(IF(ISBLANK(Table123[[#This Row],[Odds Side - Win Probability Model]]), "",N371+IF(R371&lt;0, (N371/(R371/-100)), N371*(R371/100))),"")</f>
      </c>
      <c r="W371" s="168" t="str">
        <f t="shared" si="32"/>
      </c>
      <c r="X371" s="169" t="str">
        <f t="shared" si="33"/>
      </c>
      <c r="Y371" s="168" t="str">
        <f>IF(ISBLANK(Table123[[#This Row],[Odds Spread]]), "",O371+IF(S371&lt;0, (O371/(S371/-100)), O371*(S371/100)))</f>
      </c>
      <c r="Z371" s="168" t="str">
        <f t="shared" si="34"/>
      </c>
      <c r="AA371" s="68" t="n">
        <f t="shared" si="35"/>
        <v>0</v>
      </c>
      <c r="AB371" s="68" t="n">
        <f t="shared" si="36"/>
        <v>0</v>
      </c>
      <c r="AC371" s="170" t="e">
        <f>IF('Prediction Log'!#REF!="Y", "W", IF('Prediction Log'!#REF!="N","L",""))</f>
        <v>#REF!</v>
      </c>
      <c r="AD371" s="171" t="e">
        <f>IF('Prediction Log'!#REF!="Y", "W", IF('Prediction Log'!#REF!="N","L",""))</f>
        <v>#REF!</v>
      </c>
      <c r="AE371" s="172" t="str">
        <f>IF(ISBLANK(Table123[[#This Row],[Odds Side - Difference Model]]), "",IF(AC371="W", W371, IF(AC371="L",-N371, "")))</f>
      </c>
      <c r="AF371" s="173" t="str">
        <f>IFERROR((IF(ISERR(Table123[[#This Row],[Potential Payout Side - Win Probability Model]]), "",IF(AD371="W", X371, IF(AD371="L",-N371, "")))), "")</f>
      </c>
      <c r="AG371" s="170" t="e">
        <f>IF('Prediction Log'!#REF!="Y", "W", IF('Prediction Log'!#REF!="N", "L", ""))</f>
        <v>#REF!</v>
      </c>
      <c r="AH371" s="172" t="str">
        <f>IF(ISBLANK(Table123[[#This Row],[Odds Spread]]), "",IF(AG371="W", Z371, IF(AG371="L",-O371, "")))</f>
      </c>
      <c r="AI371" s="184"/>
      <c r="AJ371" s="183" t="str">
        <f t="shared" si="37"/>
      </c>
      <c r="AK3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2">
      <c r="A372" s="65" t="e">
        <f>Games!#REF!</f>
        <v>#REF!</v>
      </c>
      <c r="B372" s="65" t="e">
        <f>IF('Prediction Log'!#REF!=0, "",'Prediction Log'!#REF!)</f>
        <v>#REF!</v>
      </c>
      <c r="C372" s="65" t="e">
        <f>IF('Prediction Log'!#REF!=0, "",'Prediction Log'!#REF!)</f>
        <v>#REF!</v>
      </c>
      <c r="D372" s="65" t="e">
        <f>IF('Prediction Log'!#REF!=0, "",'Prediction Log'!#REF!)</f>
        <v>#REF!</v>
      </c>
      <c r="E372" s="65" t="e">
        <f>IF('Prediction Log'!#REF!=0, "",'Prediction Log'!#REF!)</f>
        <v>#REF!</v>
      </c>
      <c r="F372" s="65" t="e">
        <f>IF('Prediction Log'!#REF!=0, "",'Prediction Log'!#REF!)</f>
        <v>#REF!</v>
      </c>
      <c r="G372" s="64" t="e">
        <f>IF(ISBLANK(Games!#REF!), "",'Prediction Log'!#REF!)</f>
        <v>#REF!</v>
      </c>
      <c r="H372" s="66" t="e">
        <f>'Prediction Log'!#REF!</f>
        <v>#REF!</v>
      </c>
      <c r="I372" s="65" t="e">
        <f>IF(ISBLANK(Games!#REF!), "",IF(AND(Games!#REF!="",Games!#REF!=""),"",IF(ISTEXT(Games!#REF!), "Side",Games!#REF!)))</f>
        <v>#REF!</v>
      </c>
      <c r="J372" s="65" t="e">
        <f>IF(ISBLANK(Games!#REF!), "",IF(Games!#REF!="Y", Games!#REF!, Games!#REF!))</f>
        <v>#REF!</v>
      </c>
      <c r="K372" s="65" t="e">
        <f>Games!#REF!</f>
        <v>#REF!</v>
      </c>
      <c r="L372" s="65" t="e">
        <f>IF(ISBLANK(Games!#REF!), "",Games!#REF!)</f>
        <v>#REF!</v>
      </c>
      <c r="M372" s="65"/>
      <c r="N372" s="167" t="str">
        <f>IF(ISBLANK(Table123[[#This Row],[Odds Side - Difference Model]]), "", 1)</f>
      </c>
      <c r="O372" s="167" t="str">
        <f>IF(ISBLANK(Table123[[#This Row],[Odds Spread]]), "", 1)</f>
      </c>
      <c r="P372" s="67"/>
      <c r="Q372" s="67"/>
      <c r="R3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2" s="67"/>
      <c r="T372" s="67"/>
      <c r="U372" s="168" t="str">
        <f>IF(ISBLANK(Table123[[#This Row],[Odds Side - Difference Model]]), "",N372+IF(Q372&lt;0, (N372/(Q372/-100)), N372*(Q372/100)))</f>
      </c>
      <c r="V372" s="169" t="str">
        <f>IFERROR(IF(ISBLANK(Table123[[#This Row],[Odds Side - Win Probability Model]]), "",N372+IF(R372&lt;0, (N372/(R372/-100)), N372*(R372/100))),"")</f>
      </c>
      <c r="W372" s="168" t="str">
        <f t="shared" si="32"/>
      </c>
      <c r="X372" s="169" t="str">
        <f t="shared" si="33"/>
      </c>
      <c r="Y372" s="168" t="str">
        <f>IF(ISBLANK(Table123[[#This Row],[Odds Spread]]), "",O372+IF(S372&lt;0, (O372/(S372/-100)), O372*(S372/100)))</f>
      </c>
      <c r="Z372" s="168" t="str">
        <f t="shared" si="34"/>
      </c>
      <c r="AA372" s="68" t="n">
        <f t="shared" si="35"/>
        <v>0</v>
      </c>
      <c r="AB372" s="68" t="n">
        <f t="shared" si="36"/>
        <v>0</v>
      </c>
      <c r="AC372" s="170" t="e">
        <f>IF('Prediction Log'!#REF!="Y", "W", IF('Prediction Log'!#REF!="N","L",""))</f>
        <v>#REF!</v>
      </c>
      <c r="AD372" s="171" t="e">
        <f>IF('Prediction Log'!#REF!="Y", "W", IF('Prediction Log'!#REF!="N","L",""))</f>
        <v>#REF!</v>
      </c>
      <c r="AE372" s="172" t="str">
        <f>IF(ISBLANK(Table123[[#This Row],[Odds Side - Difference Model]]), "",IF(AC372="W", W372, IF(AC372="L",-N372, "")))</f>
      </c>
      <c r="AF372" s="173" t="str">
        <f>IFERROR((IF(ISERR(Table123[[#This Row],[Potential Payout Side - Win Probability Model]]), "",IF(AD372="W", X372, IF(AD372="L",-N372, "")))), "")</f>
      </c>
      <c r="AG372" s="170" t="e">
        <f>IF('Prediction Log'!#REF!="Y", "W", IF('Prediction Log'!#REF!="N", "L", ""))</f>
        <v>#REF!</v>
      </c>
      <c r="AH372" s="172" t="str">
        <f>IF(ISBLANK(Table123[[#This Row],[Odds Spread]]), "",IF(AG372="W", Z372, IF(AG372="L",-O372, "")))</f>
      </c>
      <c r="AI372" s="184"/>
      <c r="AJ372" s="183" t="str">
        <f t="shared" si="37"/>
      </c>
      <c r="AK3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3">
      <c r="A373" s="65" t="e">
        <f>Games!#REF!</f>
        <v>#REF!</v>
      </c>
      <c r="B373" s="65" t="e">
        <f>IF('Prediction Log'!#REF!=0, "",'Prediction Log'!#REF!)</f>
        <v>#REF!</v>
      </c>
      <c r="C373" s="65" t="e">
        <f>IF('Prediction Log'!#REF!=0, "",'Prediction Log'!#REF!)</f>
        <v>#REF!</v>
      </c>
      <c r="D373" s="65" t="e">
        <f>IF('Prediction Log'!#REF!=0, "",'Prediction Log'!#REF!)</f>
        <v>#REF!</v>
      </c>
      <c r="E373" s="65" t="e">
        <f>IF('Prediction Log'!#REF!=0, "",'Prediction Log'!#REF!)</f>
        <v>#REF!</v>
      </c>
      <c r="F373" s="65" t="e">
        <f>IF('Prediction Log'!#REF!=0, "",'Prediction Log'!#REF!)</f>
        <v>#REF!</v>
      </c>
      <c r="G373" s="64" t="e">
        <f>IF(ISBLANK(Games!#REF!), "",'Prediction Log'!#REF!)</f>
        <v>#REF!</v>
      </c>
      <c r="H373" s="66" t="e">
        <f>'Prediction Log'!#REF!</f>
        <v>#REF!</v>
      </c>
      <c r="I373" s="65" t="e">
        <f>IF(ISBLANK(Games!#REF!), "",IF(AND(Games!#REF!="",Games!#REF!=""),"",IF(ISTEXT(Games!#REF!), "Side",Games!#REF!)))</f>
        <v>#REF!</v>
      </c>
      <c r="J373" s="65" t="e">
        <f>IF(ISBLANK(Games!#REF!), "",IF(Games!#REF!="Y", Games!#REF!, Games!#REF!))</f>
        <v>#REF!</v>
      </c>
      <c r="K373" s="65" t="e">
        <f>Games!#REF!</f>
        <v>#REF!</v>
      </c>
      <c r="L373" s="65" t="e">
        <f>IF(ISBLANK(Games!#REF!), "",Games!#REF!)</f>
        <v>#REF!</v>
      </c>
      <c r="M373" s="65"/>
      <c r="N373" s="167" t="str">
        <f>IF(ISBLANK(Table123[[#This Row],[Odds Side - Difference Model]]), "", 1)</f>
      </c>
      <c r="O373" s="167" t="str">
        <f>IF(ISBLANK(Table123[[#This Row],[Odds Spread]]), "", 1)</f>
      </c>
      <c r="P373" s="67"/>
      <c r="Q373" s="67"/>
      <c r="R3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3" s="67"/>
      <c r="T373" s="67"/>
      <c r="U373" s="168" t="str">
        <f>IF(ISBLANK(Table123[[#This Row],[Odds Side - Difference Model]]), "",N373+IF(Q373&lt;0, (N373/(Q373/-100)), N373*(Q373/100)))</f>
      </c>
      <c r="V373" s="169" t="str">
        <f>IFERROR(IF(ISBLANK(Table123[[#This Row],[Odds Side - Win Probability Model]]), "",N373+IF(R373&lt;0, (N373/(R373/-100)), N373*(R373/100))),"")</f>
      </c>
      <c r="W373" s="168" t="str">
        <f t="shared" si="32"/>
      </c>
      <c r="X373" s="169" t="str">
        <f t="shared" si="33"/>
      </c>
      <c r="Y373" s="168" t="str">
        <f>IF(ISBLANK(Table123[[#This Row],[Odds Spread]]), "",O373+IF(S373&lt;0, (O373/(S373/-100)), O373*(S373/100)))</f>
      </c>
      <c r="Z373" s="168" t="str">
        <f t="shared" si="34"/>
      </c>
      <c r="AA373" s="68" t="n">
        <f t="shared" si="35"/>
        <v>0</v>
      </c>
      <c r="AB373" s="68" t="n">
        <f t="shared" si="36"/>
        <v>0</v>
      </c>
      <c r="AC373" s="170" t="e">
        <f>IF('Prediction Log'!#REF!="Y", "W", IF('Prediction Log'!#REF!="N","L",""))</f>
        <v>#REF!</v>
      </c>
      <c r="AD373" s="171" t="e">
        <f>IF('Prediction Log'!#REF!="Y", "W", IF('Prediction Log'!#REF!="N","L",""))</f>
        <v>#REF!</v>
      </c>
      <c r="AE373" s="172" t="str">
        <f>IF(ISBLANK(Table123[[#This Row],[Odds Side - Difference Model]]), "",IF(AC373="W", W373, IF(AC373="L",-N373, "")))</f>
      </c>
      <c r="AF373" s="173" t="str">
        <f>IFERROR((IF(ISERR(Table123[[#This Row],[Potential Payout Side - Win Probability Model]]), "",IF(AD373="W", X373, IF(AD373="L",-N373, "")))), "")</f>
      </c>
      <c r="AG373" s="170" t="e">
        <f>IF('Prediction Log'!#REF!="Y", "W", IF('Prediction Log'!#REF!="N", "L", ""))</f>
        <v>#REF!</v>
      </c>
      <c r="AH373" s="172" t="str">
        <f>IF(ISBLANK(Table123[[#This Row],[Odds Spread]]), "",IF(AG373="W", Z373, IF(AG373="L",-O373, "")))</f>
      </c>
      <c r="AI373" s="184"/>
      <c r="AJ373" s="183" t="str">
        <f t="shared" si="37"/>
      </c>
      <c r="AK3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4">
      <c r="A374" s="65" t="e">
        <f>Games!#REF!</f>
        <v>#REF!</v>
      </c>
      <c r="B374" s="65" t="e">
        <f>IF('Prediction Log'!#REF!=0, "",'Prediction Log'!#REF!)</f>
        <v>#REF!</v>
      </c>
      <c r="C374" s="65" t="e">
        <f>IF('Prediction Log'!#REF!=0, "",'Prediction Log'!#REF!)</f>
        <v>#REF!</v>
      </c>
      <c r="D374" s="65" t="e">
        <f>IF('Prediction Log'!#REF!=0, "",'Prediction Log'!#REF!)</f>
        <v>#REF!</v>
      </c>
      <c r="E374" s="65" t="e">
        <f>IF('Prediction Log'!#REF!=0, "",'Prediction Log'!#REF!)</f>
        <v>#REF!</v>
      </c>
      <c r="F374" s="65" t="e">
        <f>IF('Prediction Log'!#REF!=0, "",'Prediction Log'!#REF!)</f>
        <v>#REF!</v>
      </c>
      <c r="G374" s="64" t="e">
        <f>IF(ISBLANK(Games!#REF!), "",'Prediction Log'!#REF!)</f>
        <v>#REF!</v>
      </c>
      <c r="H374" s="66" t="e">
        <f>'Prediction Log'!#REF!</f>
        <v>#REF!</v>
      </c>
      <c r="I374" s="65" t="e">
        <f>IF(ISBLANK(Games!#REF!), "",IF(AND(Games!#REF!="",Games!#REF!=""),"",IF(ISTEXT(Games!#REF!), "Side",Games!#REF!)))</f>
        <v>#REF!</v>
      </c>
      <c r="J374" s="65" t="e">
        <f>IF(ISBLANK(Games!#REF!), "",IF(Games!#REF!="Y", Games!#REF!, Games!#REF!))</f>
        <v>#REF!</v>
      </c>
      <c r="K374" s="65" t="e">
        <f>Games!#REF!</f>
        <v>#REF!</v>
      </c>
      <c r="L374" s="65" t="e">
        <f>IF(ISBLANK(Games!#REF!), "",Games!#REF!)</f>
        <v>#REF!</v>
      </c>
      <c r="M374" s="65"/>
      <c r="N374" s="167" t="str">
        <f>IF(ISBLANK(Table123[[#This Row],[Odds Side - Difference Model]]), "", 1)</f>
      </c>
      <c r="O374" s="167" t="str">
        <f>IF(ISBLANK(Table123[[#This Row],[Odds Spread]]), "", 1)</f>
      </c>
      <c r="P374" s="67"/>
      <c r="Q374" s="67"/>
      <c r="R3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4" s="67"/>
      <c r="T374" s="67"/>
      <c r="U374" s="168" t="str">
        <f>IF(ISBLANK(Table123[[#This Row],[Odds Side - Difference Model]]), "",N374+IF(Q374&lt;0, (N374/(Q374/-100)), N374*(Q374/100)))</f>
      </c>
      <c r="V374" s="169" t="str">
        <f>IFERROR(IF(ISBLANK(Table123[[#This Row],[Odds Side - Win Probability Model]]), "",N374+IF(R374&lt;0, (N374/(R374/-100)), N374*(R374/100))),"")</f>
      </c>
      <c r="W374" s="168" t="str">
        <f t="shared" si="32"/>
      </c>
      <c r="X374" s="169" t="str">
        <f t="shared" si="33"/>
      </c>
      <c r="Y374" s="168" t="str">
        <f>IF(ISBLANK(Table123[[#This Row],[Odds Spread]]), "",O374+IF(S374&lt;0, (O374/(S374/-100)), O374*(S374/100)))</f>
      </c>
      <c r="Z374" s="168" t="str">
        <f t="shared" si="34"/>
      </c>
      <c r="AA374" s="68" t="n">
        <f t="shared" si="35"/>
        <v>0</v>
      </c>
      <c r="AB374" s="68" t="n">
        <f t="shared" si="36"/>
        <v>0</v>
      </c>
      <c r="AC374" s="170" t="e">
        <f>IF('Prediction Log'!#REF!="Y", "W", IF('Prediction Log'!#REF!="N","L",""))</f>
        <v>#REF!</v>
      </c>
      <c r="AD374" s="171" t="e">
        <f>IF('Prediction Log'!#REF!="Y", "W", IF('Prediction Log'!#REF!="N","L",""))</f>
        <v>#REF!</v>
      </c>
      <c r="AE374" s="172" t="str">
        <f>IF(ISBLANK(Table123[[#This Row],[Odds Side - Difference Model]]), "",IF(AC374="W", W374, IF(AC374="L",-N374, "")))</f>
      </c>
      <c r="AF374" s="173" t="str">
        <f>IFERROR((IF(ISERR(Table123[[#This Row],[Potential Payout Side - Win Probability Model]]), "",IF(AD374="W", X374, IF(AD374="L",-N374, "")))), "")</f>
      </c>
      <c r="AG374" s="170" t="e">
        <f>IF('Prediction Log'!#REF!="Y", "W", IF('Prediction Log'!#REF!="N", "L", ""))</f>
        <v>#REF!</v>
      </c>
      <c r="AH374" s="172" t="str">
        <f>IF(ISBLANK(Table123[[#This Row],[Odds Spread]]), "",IF(AG374="W", Z374, IF(AG374="L",-O374, "")))</f>
      </c>
      <c r="AI374" s="184"/>
      <c r="AJ374" s="183" t="str">
        <f t="shared" si="37"/>
      </c>
      <c r="AK3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5">
      <c r="A375" s="65" t="e">
        <f>Games!#REF!</f>
        <v>#REF!</v>
      </c>
      <c r="B375" s="65" t="e">
        <f>IF('Prediction Log'!#REF!=0, "",'Prediction Log'!#REF!)</f>
        <v>#REF!</v>
      </c>
      <c r="C375" s="65" t="e">
        <f>IF('Prediction Log'!#REF!=0, "",'Prediction Log'!#REF!)</f>
        <v>#REF!</v>
      </c>
      <c r="D375" s="65" t="e">
        <f>IF('Prediction Log'!#REF!=0, "",'Prediction Log'!#REF!)</f>
        <v>#REF!</v>
      </c>
      <c r="E375" s="65" t="e">
        <f>IF('Prediction Log'!#REF!=0, "",'Prediction Log'!#REF!)</f>
        <v>#REF!</v>
      </c>
      <c r="F375" s="65" t="e">
        <f>IF('Prediction Log'!#REF!=0, "",'Prediction Log'!#REF!)</f>
        <v>#REF!</v>
      </c>
      <c r="G375" s="64" t="e">
        <f>IF(ISBLANK(Games!#REF!), "",'Prediction Log'!#REF!)</f>
        <v>#REF!</v>
      </c>
      <c r="H375" s="66" t="e">
        <f>'Prediction Log'!#REF!</f>
        <v>#REF!</v>
      </c>
      <c r="I375" s="65" t="e">
        <f>IF(ISBLANK(Games!#REF!), "",IF(AND(Games!#REF!="",Games!#REF!=""),"",IF(ISTEXT(Games!#REF!), "Side",Games!#REF!)))</f>
        <v>#REF!</v>
      </c>
      <c r="J375" s="65" t="e">
        <f>IF(ISBLANK(Games!#REF!), "",IF(Games!#REF!="Y", Games!#REF!, Games!#REF!))</f>
        <v>#REF!</v>
      </c>
      <c r="K375" s="65" t="e">
        <f>Games!#REF!</f>
        <v>#REF!</v>
      </c>
      <c r="L375" s="65" t="e">
        <f>IF(ISBLANK(Games!#REF!), "",Games!#REF!)</f>
        <v>#REF!</v>
      </c>
      <c r="M375" s="65"/>
      <c r="N375" s="167" t="str">
        <f>IF(ISBLANK(Table123[[#This Row],[Odds Side - Difference Model]]), "", 1)</f>
      </c>
      <c r="O375" s="167" t="str">
        <f>IF(ISBLANK(Table123[[#This Row],[Odds Spread]]), "", 1)</f>
      </c>
      <c r="P375" s="67"/>
      <c r="Q375" s="67"/>
      <c r="R3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5" s="67"/>
      <c r="T375" s="67"/>
      <c r="U375" s="168" t="str">
        <f>IF(ISBLANK(Table123[[#This Row],[Odds Side - Difference Model]]), "",N375+IF(Q375&lt;0, (N375/(Q375/-100)), N375*(Q375/100)))</f>
      </c>
      <c r="V375" s="169" t="str">
        <f>IFERROR(IF(ISBLANK(Table123[[#This Row],[Odds Side - Win Probability Model]]), "",N375+IF(R375&lt;0, (N375/(R375/-100)), N375*(R375/100))),"")</f>
      </c>
      <c r="W375" s="168" t="str">
        <f t="shared" si="32"/>
      </c>
      <c r="X375" s="169" t="str">
        <f t="shared" si="33"/>
      </c>
      <c r="Y375" s="168" t="str">
        <f>IF(ISBLANK(Table123[[#This Row],[Odds Spread]]), "",O375+IF(S375&lt;0, (O375/(S375/-100)), O375*(S375/100)))</f>
      </c>
      <c r="Z375" s="168" t="str">
        <f t="shared" si="34"/>
      </c>
      <c r="AA375" s="68" t="n">
        <f t="shared" si="35"/>
        <v>0</v>
      </c>
      <c r="AB375" s="68" t="n">
        <f t="shared" si="36"/>
        <v>0</v>
      </c>
      <c r="AC375" s="170" t="e">
        <f>IF('Prediction Log'!#REF!="Y", "W", IF('Prediction Log'!#REF!="N","L",""))</f>
        <v>#REF!</v>
      </c>
      <c r="AD375" s="171" t="e">
        <f>IF('Prediction Log'!#REF!="Y", "W", IF('Prediction Log'!#REF!="N","L",""))</f>
        <v>#REF!</v>
      </c>
      <c r="AE375" s="172" t="str">
        <f>IF(ISBLANK(Table123[[#This Row],[Odds Side - Difference Model]]), "",IF(AC375="W", W375, IF(AC375="L",-N375, "")))</f>
      </c>
      <c r="AF375" s="173" t="str">
        <f>IFERROR((IF(ISERR(Table123[[#This Row],[Potential Payout Side - Win Probability Model]]), "",IF(AD375="W", X375, IF(AD375="L",-N375, "")))), "")</f>
      </c>
      <c r="AG375" s="170" t="e">
        <f>IF('Prediction Log'!#REF!="Y", "W", IF('Prediction Log'!#REF!="N", "L", ""))</f>
        <v>#REF!</v>
      </c>
      <c r="AH375" s="172" t="str">
        <f>IF(ISBLANK(Table123[[#This Row],[Odds Spread]]), "",IF(AG375="W", Z375, IF(AG375="L",-O375, "")))</f>
      </c>
      <c r="AI375" s="184"/>
      <c r="AJ375" s="183" t="str">
        <f t="shared" si="37"/>
      </c>
      <c r="AK3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6">
      <c r="A376" s="65" t="e">
        <f>Games!#REF!</f>
        <v>#REF!</v>
      </c>
      <c r="B376" s="65" t="e">
        <f>IF('Prediction Log'!#REF!=0, "",'Prediction Log'!#REF!)</f>
        <v>#REF!</v>
      </c>
      <c r="C376" s="65" t="e">
        <f>IF('Prediction Log'!#REF!=0, "",'Prediction Log'!#REF!)</f>
        <v>#REF!</v>
      </c>
      <c r="D376" s="65" t="e">
        <f>IF('Prediction Log'!#REF!=0, "",'Prediction Log'!#REF!)</f>
        <v>#REF!</v>
      </c>
      <c r="E376" s="65" t="e">
        <f>IF('Prediction Log'!#REF!=0, "",'Prediction Log'!#REF!)</f>
        <v>#REF!</v>
      </c>
      <c r="F376" s="65" t="e">
        <f>IF('Prediction Log'!#REF!=0, "",'Prediction Log'!#REF!)</f>
        <v>#REF!</v>
      </c>
      <c r="G376" s="64" t="e">
        <f>IF(ISBLANK(Games!#REF!), "",'Prediction Log'!#REF!)</f>
        <v>#REF!</v>
      </c>
      <c r="H376" s="66" t="e">
        <f>'Prediction Log'!#REF!</f>
        <v>#REF!</v>
      </c>
      <c r="I376" s="65" t="e">
        <f>IF(ISBLANK(Games!#REF!), "",IF(AND(Games!#REF!="",Games!#REF!=""),"",IF(ISTEXT(Games!#REF!), "Side",Games!#REF!)))</f>
        <v>#REF!</v>
      </c>
      <c r="J376" s="65" t="e">
        <f>IF(ISBLANK(Games!#REF!), "",IF(Games!#REF!="Y", Games!#REF!, Games!#REF!))</f>
        <v>#REF!</v>
      </c>
      <c r="K376" s="65" t="e">
        <f>Games!#REF!</f>
        <v>#REF!</v>
      </c>
      <c r="L376" s="65" t="e">
        <f>IF(ISBLANK(Games!#REF!), "",Games!#REF!)</f>
        <v>#REF!</v>
      </c>
      <c r="M376" s="65"/>
      <c r="N376" s="167" t="str">
        <f>IF(ISBLANK(Table123[[#This Row],[Odds Side - Difference Model]]), "", 1)</f>
      </c>
      <c r="O376" s="167" t="str">
        <f>IF(ISBLANK(Table123[[#This Row],[Odds Spread]]), "", 1)</f>
      </c>
      <c r="P376" s="67"/>
      <c r="Q376" s="67"/>
      <c r="R3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6" s="67"/>
      <c r="T376" s="67"/>
      <c r="U376" s="168" t="str">
        <f>IF(ISBLANK(Table123[[#This Row],[Odds Side - Difference Model]]), "",N376+IF(Q376&lt;0, (N376/(Q376/-100)), N376*(Q376/100)))</f>
      </c>
      <c r="V376" s="169" t="str">
        <f>IFERROR(IF(ISBLANK(Table123[[#This Row],[Odds Side - Win Probability Model]]), "",N376+IF(R376&lt;0, (N376/(R376/-100)), N376*(R376/100))),"")</f>
      </c>
      <c r="W376" s="168" t="str">
        <f t="shared" si="32"/>
      </c>
      <c r="X376" s="169" t="str">
        <f t="shared" si="33"/>
      </c>
      <c r="Y376" s="168" t="str">
        <f>IF(ISBLANK(Table123[[#This Row],[Odds Spread]]), "",O376+IF(S376&lt;0, (O376/(S376/-100)), O376*(S376/100)))</f>
      </c>
      <c r="Z376" s="168" t="str">
        <f t="shared" si="34"/>
      </c>
      <c r="AA376" s="68" t="n">
        <f t="shared" si="35"/>
        <v>0</v>
      </c>
      <c r="AB376" s="68" t="n">
        <f t="shared" si="36"/>
        <v>0</v>
      </c>
      <c r="AC376" s="170" t="e">
        <f>IF('Prediction Log'!#REF!="Y", "W", IF('Prediction Log'!#REF!="N","L",""))</f>
        <v>#REF!</v>
      </c>
      <c r="AD376" s="171" t="e">
        <f>IF('Prediction Log'!#REF!="Y", "W", IF('Prediction Log'!#REF!="N","L",""))</f>
        <v>#REF!</v>
      </c>
      <c r="AE376" s="172" t="str">
        <f>IF(ISBLANK(Table123[[#This Row],[Odds Side - Difference Model]]), "",IF(AC376="W", W376, IF(AC376="L",-N376, "")))</f>
      </c>
      <c r="AF376" s="173" t="str">
        <f>IFERROR((IF(ISERR(Table123[[#This Row],[Potential Payout Side - Win Probability Model]]), "",IF(AD376="W", X376, IF(AD376="L",-N376, "")))), "")</f>
      </c>
      <c r="AG376" s="170" t="e">
        <f>IF('Prediction Log'!#REF!="Y", "W", IF('Prediction Log'!#REF!="N", "L", ""))</f>
        <v>#REF!</v>
      </c>
      <c r="AH376" s="172" t="str">
        <f>IF(ISBLANK(Table123[[#This Row],[Odds Spread]]), "",IF(AG376="W", Z376, IF(AG376="L",-O376, "")))</f>
      </c>
      <c r="AI376" s="184"/>
      <c r="AJ376" s="183" t="str">
        <f t="shared" si="37"/>
      </c>
      <c r="AK3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7">
      <c r="A377" s="65" t="e">
        <f>Games!#REF!</f>
        <v>#REF!</v>
      </c>
      <c r="B377" s="65" t="e">
        <f>IF('Prediction Log'!#REF!=0, "",'Prediction Log'!#REF!)</f>
        <v>#REF!</v>
      </c>
      <c r="C377" s="65" t="e">
        <f>IF('Prediction Log'!#REF!=0, "",'Prediction Log'!#REF!)</f>
        <v>#REF!</v>
      </c>
      <c r="D377" s="65" t="e">
        <f>IF('Prediction Log'!#REF!=0, "",'Prediction Log'!#REF!)</f>
        <v>#REF!</v>
      </c>
      <c r="E377" s="65" t="e">
        <f>IF('Prediction Log'!#REF!=0, "",'Prediction Log'!#REF!)</f>
        <v>#REF!</v>
      </c>
      <c r="F377" s="65" t="e">
        <f>IF('Prediction Log'!#REF!=0, "",'Prediction Log'!#REF!)</f>
        <v>#REF!</v>
      </c>
      <c r="G377" s="64" t="e">
        <f>IF(ISBLANK(Games!#REF!), "",'Prediction Log'!#REF!)</f>
        <v>#REF!</v>
      </c>
      <c r="H377" s="66" t="e">
        <f>'Prediction Log'!#REF!</f>
        <v>#REF!</v>
      </c>
      <c r="I377" s="65" t="e">
        <f>IF(ISBLANK(Games!#REF!), "",IF(AND(Games!#REF!="",Games!#REF!=""),"",IF(ISTEXT(Games!#REF!), "Side",Games!#REF!)))</f>
        <v>#REF!</v>
      </c>
      <c r="J377" s="65" t="e">
        <f>IF(ISBLANK(Games!#REF!), "",IF(Games!#REF!="Y", Games!#REF!, Games!#REF!))</f>
        <v>#REF!</v>
      </c>
      <c r="K377" s="65" t="e">
        <f>Games!#REF!</f>
        <v>#REF!</v>
      </c>
      <c r="L377" s="65" t="e">
        <f>IF(ISBLANK(Games!#REF!), "",Games!#REF!)</f>
        <v>#REF!</v>
      </c>
      <c r="M377" s="65"/>
      <c r="N377" s="167" t="str">
        <f>IF(ISBLANK(Table123[[#This Row],[Odds Side - Difference Model]]), "", 1)</f>
      </c>
      <c r="O377" s="167" t="str">
        <f>IF(ISBLANK(Table123[[#This Row],[Odds Spread]]), "", 1)</f>
      </c>
      <c r="P377" s="67"/>
      <c r="Q377" s="67"/>
      <c r="R3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7" s="67"/>
      <c r="T377" s="67"/>
      <c r="U377" s="168" t="str">
        <f>IF(ISBLANK(Table123[[#This Row],[Odds Side - Difference Model]]), "",N377+IF(Q377&lt;0, (N377/(Q377/-100)), N377*(Q377/100)))</f>
      </c>
      <c r="V377" s="169" t="str">
        <f>IFERROR(IF(ISBLANK(Table123[[#This Row],[Odds Side - Win Probability Model]]), "",N377+IF(R377&lt;0, (N377/(R377/-100)), N377*(R377/100))),"")</f>
      </c>
      <c r="W377" s="168" t="str">
        <f t="shared" si="32"/>
      </c>
      <c r="X377" s="169" t="str">
        <f t="shared" si="33"/>
      </c>
      <c r="Y377" s="168" t="str">
        <f>IF(ISBLANK(Table123[[#This Row],[Odds Spread]]), "",O377+IF(S377&lt;0, (O377/(S377/-100)), O377*(S377/100)))</f>
      </c>
      <c r="Z377" s="168" t="str">
        <f t="shared" si="34"/>
      </c>
      <c r="AA377" s="68" t="n">
        <f t="shared" si="35"/>
        <v>0</v>
      </c>
      <c r="AB377" s="68" t="n">
        <f t="shared" si="36"/>
        <v>0</v>
      </c>
      <c r="AC377" s="170" t="e">
        <f>IF('Prediction Log'!#REF!="Y", "W", IF('Prediction Log'!#REF!="N","L",""))</f>
        <v>#REF!</v>
      </c>
      <c r="AD377" s="171" t="e">
        <f>IF('Prediction Log'!#REF!="Y", "W", IF('Prediction Log'!#REF!="N","L",""))</f>
        <v>#REF!</v>
      </c>
      <c r="AE377" s="172" t="str">
        <f>IF(ISBLANK(Table123[[#This Row],[Odds Side - Difference Model]]), "",IF(AC377="W", W377, IF(AC377="L",-N377, "")))</f>
      </c>
      <c r="AF377" s="173" t="str">
        <f>IFERROR((IF(ISERR(Table123[[#This Row],[Potential Payout Side - Win Probability Model]]), "",IF(AD377="W", X377, IF(AD377="L",-N377, "")))), "")</f>
      </c>
      <c r="AG377" s="170" t="e">
        <f>IF('Prediction Log'!#REF!="Y", "W", IF('Prediction Log'!#REF!="N", "L", ""))</f>
        <v>#REF!</v>
      </c>
      <c r="AH377" s="172" t="str">
        <f>IF(ISBLANK(Table123[[#This Row],[Odds Spread]]), "",IF(AG377="W", Z377, IF(AG377="L",-O377, "")))</f>
      </c>
      <c r="AI377" s="184"/>
      <c r="AJ377" s="183" t="str">
        <f t="shared" si="37"/>
      </c>
      <c r="AK3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8">
      <c r="A378" s="65" t="e">
        <f>Games!#REF!</f>
        <v>#REF!</v>
      </c>
      <c r="B378" s="65" t="e">
        <f>IF('Prediction Log'!#REF!=0, "",'Prediction Log'!#REF!)</f>
        <v>#REF!</v>
      </c>
      <c r="C378" s="65" t="e">
        <f>IF('Prediction Log'!#REF!=0, "",'Prediction Log'!#REF!)</f>
        <v>#REF!</v>
      </c>
      <c r="D378" s="65" t="e">
        <f>IF('Prediction Log'!#REF!=0, "",'Prediction Log'!#REF!)</f>
        <v>#REF!</v>
      </c>
      <c r="E378" s="65" t="e">
        <f>IF('Prediction Log'!#REF!=0, "",'Prediction Log'!#REF!)</f>
        <v>#REF!</v>
      </c>
      <c r="F378" s="65" t="e">
        <f>IF('Prediction Log'!#REF!=0, "",'Prediction Log'!#REF!)</f>
        <v>#REF!</v>
      </c>
      <c r="G378" s="64" t="e">
        <f>IF(ISBLANK(Games!#REF!), "",'Prediction Log'!#REF!)</f>
        <v>#REF!</v>
      </c>
      <c r="H378" s="66" t="e">
        <f>'Prediction Log'!#REF!</f>
        <v>#REF!</v>
      </c>
      <c r="I378" s="65" t="e">
        <f>IF(ISBLANK(Games!#REF!), "",IF(AND(Games!#REF!="",Games!#REF!=""),"",IF(ISTEXT(Games!#REF!), "Side",Games!#REF!)))</f>
        <v>#REF!</v>
      </c>
      <c r="J378" s="65" t="e">
        <f>IF(ISBLANK(Games!#REF!), "",IF(Games!#REF!="Y", Games!#REF!, Games!#REF!))</f>
        <v>#REF!</v>
      </c>
      <c r="K378" s="65" t="e">
        <f>Games!#REF!</f>
        <v>#REF!</v>
      </c>
      <c r="L378" s="65" t="e">
        <f>IF(ISBLANK(Games!#REF!), "",Games!#REF!)</f>
        <v>#REF!</v>
      </c>
      <c r="M378" s="65"/>
      <c r="N378" s="167" t="str">
        <f>IF(ISBLANK(Table123[[#This Row],[Odds Side - Difference Model]]), "", 1)</f>
      </c>
      <c r="O378" s="167" t="str">
        <f>IF(ISBLANK(Table123[[#This Row],[Odds Spread]]), "", 1)</f>
      </c>
      <c r="P378" s="67"/>
      <c r="Q378" s="67"/>
      <c r="R3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8" s="67"/>
      <c r="T378" s="67"/>
      <c r="U378" s="168" t="str">
        <f>IF(ISBLANK(Table123[[#This Row],[Odds Side - Difference Model]]), "",N378+IF(Q378&lt;0, (N378/(Q378/-100)), N378*(Q378/100)))</f>
      </c>
      <c r="V378" s="169" t="str">
        <f>IFERROR(IF(ISBLANK(Table123[[#This Row],[Odds Side - Win Probability Model]]), "",N378+IF(R378&lt;0, (N378/(R378/-100)), N378*(R378/100))),"")</f>
      </c>
      <c r="W378" s="168" t="str">
        <f t="shared" si="32"/>
      </c>
      <c r="X378" s="169" t="str">
        <f t="shared" si="33"/>
      </c>
      <c r="Y378" s="168" t="str">
        <f>IF(ISBLANK(Table123[[#This Row],[Odds Spread]]), "",O378+IF(S378&lt;0, (O378/(S378/-100)), O378*(S378/100)))</f>
      </c>
      <c r="Z378" s="168" t="str">
        <f t="shared" si="34"/>
      </c>
      <c r="AA378" s="68" t="n">
        <f t="shared" si="35"/>
        <v>0</v>
      </c>
      <c r="AB378" s="68" t="n">
        <f t="shared" si="36"/>
        <v>0</v>
      </c>
      <c r="AC378" s="170" t="e">
        <f>IF('Prediction Log'!#REF!="Y", "W", IF('Prediction Log'!#REF!="N","L",""))</f>
        <v>#REF!</v>
      </c>
      <c r="AD378" s="171" t="e">
        <f>IF('Prediction Log'!#REF!="Y", "W", IF('Prediction Log'!#REF!="N","L",""))</f>
        <v>#REF!</v>
      </c>
      <c r="AE378" s="172" t="str">
        <f>IF(ISBLANK(Table123[[#This Row],[Odds Side - Difference Model]]), "",IF(AC378="W", W378, IF(AC378="L",-N378, "")))</f>
      </c>
      <c r="AF378" s="173" t="str">
        <f>IFERROR((IF(ISERR(Table123[[#This Row],[Potential Payout Side - Win Probability Model]]), "",IF(AD378="W", X378, IF(AD378="L",-N378, "")))), "")</f>
      </c>
      <c r="AG378" s="170" t="e">
        <f>IF('Prediction Log'!#REF!="Y", "W", IF('Prediction Log'!#REF!="N", "L", ""))</f>
        <v>#REF!</v>
      </c>
      <c r="AH378" s="172" t="str">
        <f>IF(ISBLANK(Table123[[#This Row],[Odds Spread]]), "",IF(AG378="W", Z378, IF(AG378="L",-O378, "")))</f>
      </c>
      <c r="AI378" s="184"/>
      <c r="AJ378" s="183" t="str">
        <f t="shared" si="37"/>
      </c>
      <c r="AK3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9">
      <c r="A379" s="65" t="e">
        <f>Games!#REF!</f>
        <v>#REF!</v>
      </c>
      <c r="B379" s="65" t="e">
        <f>IF('Prediction Log'!#REF!=0, "",'Prediction Log'!#REF!)</f>
        <v>#REF!</v>
      </c>
      <c r="C379" s="65" t="e">
        <f>IF('Prediction Log'!#REF!=0, "",'Prediction Log'!#REF!)</f>
        <v>#REF!</v>
      </c>
      <c r="D379" s="65" t="e">
        <f>IF('Prediction Log'!#REF!=0, "",'Prediction Log'!#REF!)</f>
        <v>#REF!</v>
      </c>
      <c r="E379" s="65" t="e">
        <f>IF('Prediction Log'!#REF!=0, "",'Prediction Log'!#REF!)</f>
        <v>#REF!</v>
      </c>
      <c r="F379" s="65" t="e">
        <f>IF('Prediction Log'!#REF!=0, "",'Prediction Log'!#REF!)</f>
        <v>#REF!</v>
      </c>
      <c r="G379" s="64" t="e">
        <f>IF(ISBLANK(Games!#REF!), "",'Prediction Log'!#REF!)</f>
        <v>#REF!</v>
      </c>
      <c r="H379" s="66" t="e">
        <f>'Prediction Log'!#REF!</f>
        <v>#REF!</v>
      </c>
      <c r="I379" s="65" t="e">
        <f>IF(ISBLANK(Games!#REF!), "",IF(AND(Games!#REF!="",Games!#REF!=""),"",IF(ISTEXT(Games!#REF!), "Side",Games!#REF!)))</f>
        <v>#REF!</v>
      </c>
      <c r="J379" s="65" t="e">
        <f>IF(ISBLANK(Games!#REF!), "",IF(Games!#REF!="Y", Games!#REF!, Games!#REF!))</f>
        <v>#REF!</v>
      </c>
      <c r="K379" s="65" t="e">
        <f>Games!#REF!</f>
        <v>#REF!</v>
      </c>
      <c r="L379" s="65" t="e">
        <f>IF(ISBLANK(Games!#REF!), "",Games!#REF!)</f>
        <v>#REF!</v>
      </c>
      <c r="M379" s="65"/>
      <c r="N379" s="167" t="str">
        <f>IF(ISBLANK(Table123[[#This Row],[Odds Side - Difference Model]]), "", 1)</f>
      </c>
      <c r="O379" s="167" t="str">
        <f>IF(ISBLANK(Table123[[#This Row],[Odds Spread]]), "", 1)</f>
      </c>
      <c r="P379" s="67"/>
      <c r="Q379" s="67"/>
      <c r="R3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9" s="67"/>
      <c r="T379" s="67"/>
      <c r="U379" s="168" t="str">
        <f>IF(ISBLANK(Table123[[#This Row],[Odds Side - Difference Model]]), "",N379+IF(Q379&lt;0, (N379/(Q379/-100)), N379*(Q379/100)))</f>
      </c>
      <c r="V379" s="169" t="str">
        <f>IFERROR(IF(ISBLANK(Table123[[#This Row],[Odds Side - Win Probability Model]]), "",N379+IF(R379&lt;0, (N379/(R379/-100)), N379*(R379/100))),"")</f>
      </c>
      <c r="W379" s="168" t="str">
        <f t="shared" si="32"/>
      </c>
      <c r="X379" s="169" t="str">
        <f t="shared" si="33"/>
      </c>
      <c r="Y379" s="168" t="str">
        <f>IF(ISBLANK(Table123[[#This Row],[Odds Spread]]), "",O379+IF(S379&lt;0, (O379/(S379/-100)), O379*(S379/100)))</f>
      </c>
      <c r="Z379" s="168" t="str">
        <f t="shared" si="34"/>
      </c>
      <c r="AA379" s="68" t="n">
        <f t="shared" si="35"/>
        <v>0</v>
      </c>
      <c r="AB379" s="68" t="n">
        <f t="shared" si="36"/>
        <v>0</v>
      </c>
      <c r="AC379" s="170" t="e">
        <f>IF('Prediction Log'!#REF!="Y", "W", IF('Prediction Log'!#REF!="N","L",""))</f>
        <v>#REF!</v>
      </c>
      <c r="AD379" s="171" t="e">
        <f>IF('Prediction Log'!#REF!="Y", "W", IF('Prediction Log'!#REF!="N","L",""))</f>
        <v>#REF!</v>
      </c>
      <c r="AE379" s="172" t="str">
        <f>IF(ISBLANK(Table123[[#This Row],[Odds Side - Difference Model]]), "",IF(AC379="W", W379, IF(AC379="L",-N379, "")))</f>
      </c>
      <c r="AF379" s="173" t="str">
        <f>IFERROR((IF(ISERR(Table123[[#This Row],[Potential Payout Side - Win Probability Model]]), "",IF(AD379="W", X379, IF(AD379="L",-N379, "")))), "")</f>
      </c>
      <c r="AG379" s="170" t="e">
        <f>IF('Prediction Log'!#REF!="Y", "W", IF('Prediction Log'!#REF!="N", "L", ""))</f>
        <v>#REF!</v>
      </c>
      <c r="AH379" s="172" t="str">
        <f>IF(ISBLANK(Table123[[#This Row],[Odds Spread]]), "",IF(AG379="W", Z379, IF(AG379="L",-O379, "")))</f>
      </c>
      <c r="AI379" s="184"/>
      <c r="AJ379" s="183" t="str">
        <f t="shared" si="37"/>
      </c>
      <c r="AK3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0">
      <c r="A380" s="65" t="e">
        <f>Games!#REF!</f>
        <v>#REF!</v>
      </c>
      <c r="B380" s="65" t="e">
        <f>IF('Prediction Log'!#REF!=0, "",'Prediction Log'!#REF!)</f>
        <v>#REF!</v>
      </c>
      <c r="C380" s="65" t="e">
        <f>IF('Prediction Log'!#REF!=0, "",'Prediction Log'!#REF!)</f>
        <v>#REF!</v>
      </c>
      <c r="D380" s="65" t="e">
        <f>IF('Prediction Log'!#REF!=0, "",'Prediction Log'!#REF!)</f>
        <v>#REF!</v>
      </c>
      <c r="E380" s="65" t="e">
        <f>IF('Prediction Log'!#REF!=0, "",'Prediction Log'!#REF!)</f>
        <v>#REF!</v>
      </c>
      <c r="F380" s="65" t="e">
        <f>IF('Prediction Log'!#REF!=0, "",'Prediction Log'!#REF!)</f>
        <v>#REF!</v>
      </c>
      <c r="G380" s="64" t="e">
        <f>IF(ISBLANK(Games!#REF!), "",'Prediction Log'!#REF!)</f>
        <v>#REF!</v>
      </c>
      <c r="H380" s="66" t="e">
        <f>'Prediction Log'!#REF!</f>
        <v>#REF!</v>
      </c>
      <c r="I380" s="65" t="e">
        <f>IF(ISBLANK(Games!#REF!), "",IF(AND(Games!#REF!="",Games!#REF!=""),"",IF(ISTEXT(Games!#REF!), "Side",Games!#REF!)))</f>
        <v>#REF!</v>
      </c>
      <c r="J380" s="65" t="e">
        <f>IF(ISBLANK(Games!#REF!), "",IF(Games!#REF!="Y", Games!#REF!, Games!#REF!))</f>
        <v>#REF!</v>
      </c>
      <c r="K380" s="65" t="e">
        <f>Games!#REF!</f>
        <v>#REF!</v>
      </c>
      <c r="L380" s="65" t="e">
        <f>IF(ISBLANK(Games!#REF!), "",Games!#REF!)</f>
        <v>#REF!</v>
      </c>
      <c r="M380" s="65"/>
      <c r="N380" s="167" t="str">
        <f>IF(ISBLANK(Table123[[#This Row],[Odds Side - Difference Model]]), "", 1)</f>
      </c>
      <c r="O380" s="167" t="str">
        <f>IF(ISBLANK(Table123[[#This Row],[Odds Spread]]), "", 1)</f>
      </c>
      <c r="P380" s="67"/>
      <c r="Q380" s="67"/>
      <c r="R3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0" s="67"/>
      <c r="T380" s="67"/>
      <c r="U380" s="168" t="str">
        <f>IF(ISBLANK(Table123[[#This Row],[Odds Side - Difference Model]]), "",N380+IF(Q380&lt;0, (N380/(Q380/-100)), N380*(Q380/100)))</f>
      </c>
      <c r="V380" s="169" t="str">
        <f>IFERROR(IF(ISBLANK(Table123[[#This Row],[Odds Side - Win Probability Model]]), "",N380+IF(R380&lt;0, (N380/(R380/-100)), N380*(R380/100))),"")</f>
      </c>
      <c r="W380" s="168" t="str">
        <f t="shared" si="32"/>
      </c>
      <c r="X380" s="169" t="str">
        <f t="shared" si="33"/>
      </c>
      <c r="Y380" s="168" t="str">
        <f>IF(ISBLANK(Table123[[#This Row],[Odds Spread]]), "",O380+IF(S380&lt;0, (O380/(S380/-100)), O380*(S380/100)))</f>
      </c>
      <c r="Z380" s="168" t="str">
        <f t="shared" si="34"/>
      </c>
      <c r="AA380" s="68" t="n">
        <f t="shared" si="35"/>
        <v>0</v>
      </c>
      <c r="AB380" s="68" t="n">
        <f t="shared" si="36"/>
        <v>0</v>
      </c>
      <c r="AC380" s="170" t="e">
        <f>IF('Prediction Log'!#REF!="Y", "W", IF('Prediction Log'!#REF!="N","L",""))</f>
        <v>#REF!</v>
      </c>
      <c r="AD380" s="171" t="e">
        <f>IF('Prediction Log'!#REF!="Y", "W", IF('Prediction Log'!#REF!="N","L",""))</f>
        <v>#REF!</v>
      </c>
      <c r="AE380" s="172" t="str">
        <f>IF(ISBLANK(Table123[[#This Row],[Odds Side - Difference Model]]), "",IF(AC380="W", W380, IF(AC380="L",-N380, "")))</f>
      </c>
      <c r="AF380" s="173" t="str">
        <f>IFERROR((IF(ISERR(Table123[[#This Row],[Potential Payout Side - Win Probability Model]]), "",IF(AD380="W", X380, IF(AD380="L",-N380, "")))), "")</f>
      </c>
      <c r="AG380" s="170" t="e">
        <f>IF('Prediction Log'!#REF!="Y", "W", IF('Prediction Log'!#REF!="N", "L", ""))</f>
        <v>#REF!</v>
      </c>
      <c r="AH380" s="172" t="str">
        <f>IF(ISBLANK(Table123[[#This Row],[Odds Spread]]), "",IF(AG380="W", Z380, IF(AG380="L",-O380, "")))</f>
      </c>
      <c r="AI380" s="184"/>
      <c r="AJ380" s="183" t="str">
        <f t="shared" si="37"/>
      </c>
      <c r="AK3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1">
      <c r="A381" s="65" t="e">
        <f>Games!#REF!</f>
        <v>#REF!</v>
      </c>
      <c r="B381" s="65" t="e">
        <f>IF('Prediction Log'!#REF!=0, "",'Prediction Log'!#REF!)</f>
        <v>#REF!</v>
      </c>
      <c r="C381" s="65" t="e">
        <f>IF('Prediction Log'!#REF!=0, "",'Prediction Log'!#REF!)</f>
        <v>#REF!</v>
      </c>
      <c r="D381" s="65" t="e">
        <f>IF('Prediction Log'!#REF!=0, "",'Prediction Log'!#REF!)</f>
        <v>#REF!</v>
      </c>
      <c r="E381" s="65" t="e">
        <f>IF('Prediction Log'!#REF!=0, "",'Prediction Log'!#REF!)</f>
        <v>#REF!</v>
      </c>
      <c r="F381" s="65" t="e">
        <f>IF('Prediction Log'!#REF!=0, "",'Prediction Log'!#REF!)</f>
        <v>#REF!</v>
      </c>
      <c r="G381" s="64" t="e">
        <f>IF(ISBLANK(Games!#REF!), "",'Prediction Log'!#REF!)</f>
        <v>#REF!</v>
      </c>
      <c r="H381" s="66" t="e">
        <f>'Prediction Log'!#REF!</f>
        <v>#REF!</v>
      </c>
      <c r="I381" s="65" t="e">
        <f>IF(ISBLANK(Games!#REF!), "",IF(AND(Games!#REF!="",Games!#REF!=""),"",IF(ISTEXT(Games!#REF!), "Side",Games!#REF!)))</f>
        <v>#REF!</v>
      </c>
      <c r="J381" s="65" t="e">
        <f>IF(ISBLANK(Games!#REF!), "",IF(Games!#REF!="Y", Games!#REF!, Games!#REF!))</f>
        <v>#REF!</v>
      </c>
      <c r="K381" s="65" t="e">
        <f>Games!#REF!</f>
        <v>#REF!</v>
      </c>
      <c r="L381" s="65" t="e">
        <f>IF(ISBLANK(Games!#REF!), "",Games!#REF!)</f>
        <v>#REF!</v>
      </c>
      <c r="M381" s="65"/>
      <c r="N381" s="167" t="str">
        <f>IF(ISBLANK(Table123[[#This Row],[Odds Side - Difference Model]]), "", 1)</f>
      </c>
      <c r="O381" s="167" t="str">
        <f>IF(ISBLANK(Table123[[#This Row],[Odds Spread]]), "", 1)</f>
      </c>
      <c r="P381" s="67"/>
      <c r="Q381" s="67"/>
      <c r="R3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1" s="67"/>
      <c r="T381" s="67"/>
      <c r="U381" s="168" t="str">
        <f>IF(ISBLANK(Table123[[#This Row],[Odds Side - Difference Model]]), "",N381+IF(Q381&lt;0, (N381/(Q381/-100)), N381*(Q381/100)))</f>
      </c>
      <c r="V381" s="169" t="str">
        <f>IFERROR(IF(ISBLANK(Table123[[#This Row],[Odds Side - Win Probability Model]]), "",N381+IF(R381&lt;0, (N381/(R381/-100)), N381*(R381/100))),"")</f>
      </c>
      <c r="W381" s="168" t="str">
        <f t="shared" si="32"/>
      </c>
      <c r="X381" s="169" t="str">
        <f t="shared" si="33"/>
      </c>
      <c r="Y381" s="168" t="str">
        <f>IF(ISBLANK(Table123[[#This Row],[Odds Spread]]), "",O381+IF(S381&lt;0, (O381/(S381/-100)), O381*(S381/100)))</f>
      </c>
      <c r="Z381" s="168" t="str">
        <f t="shared" si="34"/>
      </c>
      <c r="AA381" s="68" t="n">
        <f t="shared" si="35"/>
        <v>0</v>
      </c>
      <c r="AB381" s="68" t="n">
        <f t="shared" si="36"/>
        <v>0</v>
      </c>
      <c r="AC381" s="170" t="e">
        <f>IF('Prediction Log'!#REF!="Y", "W", IF('Prediction Log'!#REF!="N","L",""))</f>
        <v>#REF!</v>
      </c>
      <c r="AD381" s="171" t="e">
        <f>IF('Prediction Log'!#REF!="Y", "W", IF('Prediction Log'!#REF!="N","L",""))</f>
        <v>#REF!</v>
      </c>
      <c r="AE381" s="172" t="str">
        <f>IF(ISBLANK(Table123[[#This Row],[Odds Side - Difference Model]]), "",IF(AC381="W", W381, IF(AC381="L",-N381, "")))</f>
      </c>
      <c r="AF381" s="173" t="str">
        <f>IFERROR((IF(ISERR(Table123[[#This Row],[Potential Payout Side - Win Probability Model]]), "",IF(AD381="W", X381, IF(AD381="L",-N381, "")))), "")</f>
      </c>
      <c r="AG381" s="170" t="e">
        <f>IF('Prediction Log'!#REF!="Y", "W", IF('Prediction Log'!#REF!="N", "L", ""))</f>
        <v>#REF!</v>
      </c>
      <c r="AH381" s="172" t="str">
        <f>IF(ISBLANK(Table123[[#This Row],[Odds Spread]]), "",IF(AG381="W", Z381, IF(AG381="L",-O381, "")))</f>
      </c>
      <c r="AI381" s="184"/>
      <c r="AJ381" s="183" t="str">
        <f t="shared" si="37"/>
      </c>
      <c r="AK3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2">
      <c r="A382" s="65" t="e">
        <f>Games!#REF!</f>
        <v>#REF!</v>
      </c>
      <c r="B382" s="65" t="e">
        <f>IF('Prediction Log'!#REF!=0, "",'Prediction Log'!#REF!)</f>
        <v>#REF!</v>
      </c>
      <c r="C382" s="65" t="e">
        <f>IF('Prediction Log'!#REF!=0, "",'Prediction Log'!#REF!)</f>
        <v>#REF!</v>
      </c>
      <c r="D382" s="65" t="e">
        <f>IF('Prediction Log'!#REF!=0, "",'Prediction Log'!#REF!)</f>
        <v>#REF!</v>
      </c>
      <c r="E382" s="65" t="e">
        <f>IF('Prediction Log'!#REF!=0, "",'Prediction Log'!#REF!)</f>
        <v>#REF!</v>
      </c>
      <c r="F382" s="65" t="e">
        <f>IF('Prediction Log'!#REF!=0, "",'Prediction Log'!#REF!)</f>
        <v>#REF!</v>
      </c>
      <c r="G382" s="64" t="e">
        <f>IF(ISBLANK(Games!#REF!), "",'Prediction Log'!#REF!)</f>
        <v>#REF!</v>
      </c>
      <c r="H382" s="66" t="e">
        <f>'Prediction Log'!#REF!</f>
        <v>#REF!</v>
      </c>
      <c r="I382" s="65" t="e">
        <f>IF(ISBLANK(Games!#REF!), "",IF(AND(Games!#REF!="",Games!#REF!=""),"",IF(ISTEXT(Games!#REF!), "Side",Games!#REF!)))</f>
        <v>#REF!</v>
      </c>
      <c r="J382" s="65" t="e">
        <f>IF(ISBLANK(Games!#REF!), "",IF(Games!#REF!="Y", Games!#REF!, Games!#REF!))</f>
        <v>#REF!</v>
      </c>
      <c r="K382" s="65" t="e">
        <f>Games!#REF!</f>
        <v>#REF!</v>
      </c>
      <c r="L382" s="65" t="e">
        <f>IF(ISBLANK(Games!#REF!), "",Games!#REF!)</f>
        <v>#REF!</v>
      </c>
      <c r="M382" s="65"/>
      <c r="N382" s="167" t="str">
        <f>IF(ISBLANK(Table123[[#This Row],[Odds Side - Difference Model]]), "", 1)</f>
      </c>
      <c r="O382" s="167" t="str">
        <f>IF(ISBLANK(Table123[[#This Row],[Odds Spread]]), "", 1)</f>
      </c>
      <c r="P382" s="67"/>
      <c r="Q382" s="67"/>
      <c r="R3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2" s="67"/>
      <c r="T382" s="67"/>
      <c r="U382" s="168" t="str">
        <f>IF(ISBLANK(Table123[[#This Row],[Odds Side - Difference Model]]), "",N382+IF(Q382&lt;0, (N382/(Q382/-100)), N382*(Q382/100)))</f>
      </c>
      <c r="V382" s="169" t="str">
        <f>IFERROR(IF(ISBLANK(Table123[[#This Row],[Odds Side - Win Probability Model]]), "",N382+IF(R382&lt;0, (N382/(R382/-100)), N382*(R382/100))),"")</f>
      </c>
      <c r="W382" s="168" t="str">
        <f t="shared" si="32"/>
      </c>
      <c r="X382" s="169" t="str">
        <f t="shared" si="33"/>
      </c>
      <c r="Y382" s="168" t="str">
        <f>IF(ISBLANK(Table123[[#This Row],[Odds Spread]]), "",O382+IF(S382&lt;0, (O382/(S382/-100)), O382*(S382/100)))</f>
      </c>
      <c r="Z382" s="168" t="str">
        <f t="shared" si="34"/>
      </c>
      <c r="AA382" s="68" t="n">
        <f t="shared" si="35"/>
        <v>0</v>
      </c>
      <c r="AB382" s="68" t="n">
        <f t="shared" si="36"/>
        <v>0</v>
      </c>
      <c r="AC382" s="170" t="e">
        <f>IF('Prediction Log'!#REF!="Y", "W", IF('Prediction Log'!#REF!="N","L",""))</f>
        <v>#REF!</v>
      </c>
      <c r="AD382" s="171" t="e">
        <f>IF('Prediction Log'!#REF!="Y", "W", IF('Prediction Log'!#REF!="N","L",""))</f>
        <v>#REF!</v>
      </c>
      <c r="AE382" s="172" t="str">
        <f>IF(ISBLANK(Table123[[#This Row],[Odds Side - Difference Model]]), "",IF(AC382="W", W382, IF(AC382="L",-N382, "")))</f>
      </c>
      <c r="AF382" s="173" t="str">
        <f>IFERROR((IF(ISERR(Table123[[#This Row],[Potential Payout Side - Win Probability Model]]), "",IF(AD382="W", X382, IF(AD382="L",-N382, "")))), "")</f>
      </c>
      <c r="AG382" s="170" t="e">
        <f>IF('Prediction Log'!#REF!="Y", "W", IF('Prediction Log'!#REF!="N", "L", ""))</f>
        <v>#REF!</v>
      </c>
      <c r="AH382" s="172" t="str">
        <f>IF(ISBLANK(Table123[[#This Row],[Odds Spread]]), "",IF(AG382="W", Z382, IF(AG382="L",-O382, "")))</f>
      </c>
      <c r="AI382" s="184"/>
      <c r="AJ382" s="183" t="str">
        <f t="shared" si="37"/>
      </c>
      <c r="AK3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3">
      <c r="A383" s="65" t="e">
        <f>Games!#REF!</f>
        <v>#REF!</v>
      </c>
      <c r="B383" s="65" t="e">
        <f>IF('Prediction Log'!#REF!=0, "",'Prediction Log'!#REF!)</f>
        <v>#REF!</v>
      </c>
      <c r="C383" s="65" t="e">
        <f>IF('Prediction Log'!#REF!=0, "",'Prediction Log'!#REF!)</f>
        <v>#REF!</v>
      </c>
      <c r="D383" s="65" t="e">
        <f>IF('Prediction Log'!#REF!=0, "",'Prediction Log'!#REF!)</f>
        <v>#REF!</v>
      </c>
      <c r="E383" s="65" t="e">
        <f>IF('Prediction Log'!#REF!=0, "",'Prediction Log'!#REF!)</f>
        <v>#REF!</v>
      </c>
      <c r="F383" s="65" t="e">
        <f>IF('Prediction Log'!#REF!=0, "",'Prediction Log'!#REF!)</f>
        <v>#REF!</v>
      </c>
      <c r="G383" s="64" t="e">
        <f>IF(ISBLANK(Games!#REF!), "",'Prediction Log'!#REF!)</f>
        <v>#REF!</v>
      </c>
      <c r="H383" s="66" t="e">
        <f>'Prediction Log'!#REF!</f>
        <v>#REF!</v>
      </c>
      <c r="I383" s="65" t="e">
        <f>IF(ISBLANK(Games!#REF!), "",IF(AND(Games!#REF!="",Games!#REF!=""),"",IF(ISTEXT(Games!#REF!), "Side",Games!#REF!)))</f>
        <v>#REF!</v>
      </c>
      <c r="J383" s="65" t="e">
        <f>IF(ISBLANK(Games!#REF!), "",IF(Games!#REF!="Y", Games!#REF!, Games!#REF!))</f>
        <v>#REF!</v>
      </c>
      <c r="K383" s="65" t="e">
        <f>Games!#REF!</f>
        <v>#REF!</v>
      </c>
      <c r="L383" s="65" t="e">
        <f>IF(ISBLANK(Games!#REF!), "",Games!#REF!)</f>
        <v>#REF!</v>
      </c>
      <c r="M383" s="65"/>
      <c r="N383" s="167" t="str">
        <f>IF(ISBLANK(Table123[[#This Row],[Odds Side - Difference Model]]), "", 1)</f>
      </c>
      <c r="O383" s="167" t="str">
        <f>IF(ISBLANK(Table123[[#This Row],[Odds Spread]]), "", 1)</f>
      </c>
      <c r="P383" s="67"/>
      <c r="Q383" s="67"/>
      <c r="R3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3" s="67"/>
      <c r="T383" s="67"/>
      <c r="U383" s="168" t="str">
        <f>IF(ISBLANK(Table123[[#This Row],[Odds Side - Difference Model]]), "",N383+IF(Q383&lt;0, (N383/(Q383/-100)), N383*(Q383/100)))</f>
      </c>
      <c r="V383" s="169" t="str">
        <f>IFERROR(IF(ISBLANK(Table123[[#This Row],[Odds Side - Win Probability Model]]), "",N383+IF(R383&lt;0, (N383/(R383/-100)), N383*(R383/100))),"")</f>
      </c>
      <c r="W383" s="168" t="str">
        <f t="shared" si="32"/>
      </c>
      <c r="X383" s="169" t="str">
        <f t="shared" si="33"/>
      </c>
      <c r="Y383" s="168" t="str">
        <f>IF(ISBLANK(Table123[[#This Row],[Odds Spread]]), "",O383+IF(S383&lt;0, (O383/(S383/-100)), O383*(S383/100)))</f>
      </c>
      <c r="Z383" s="168" t="str">
        <f t="shared" si="34"/>
      </c>
      <c r="AA383" s="68" t="n">
        <f t="shared" si="35"/>
        <v>0</v>
      </c>
      <c r="AB383" s="68" t="n">
        <f t="shared" si="36"/>
        <v>0</v>
      </c>
      <c r="AC383" s="170" t="e">
        <f>IF('Prediction Log'!#REF!="Y", "W", IF('Prediction Log'!#REF!="N","L",""))</f>
        <v>#REF!</v>
      </c>
      <c r="AD383" s="171" t="e">
        <f>IF('Prediction Log'!#REF!="Y", "W", IF('Prediction Log'!#REF!="N","L",""))</f>
        <v>#REF!</v>
      </c>
      <c r="AE383" s="172" t="str">
        <f>IF(ISBLANK(Table123[[#This Row],[Odds Side - Difference Model]]), "",IF(AC383="W", W383, IF(AC383="L",-N383, "")))</f>
      </c>
      <c r="AF383" s="173" t="str">
        <f>IFERROR((IF(ISERR(Table123[[#This Row],[Potential Payout Side - Win Probability Model]]), "",IF(AD383="W", X383, IF(AD383="L",-N383, "")))), "")</f>
      </c>
      <c r="AG383" s="170" t="e">
        <f>IF('Prediction Log'!#REF!="Y", "W", IF('Prediction Log'!#REF!="N", "L", ""))</f>
        <v>#REF!</v>
      </c>
      <c r="AH383" s="172" t="str">
        <f>IF(ISBLANK(Table123[[#This Row],[Odds Spread]]), "",IF(AG383="W", Z383, IF(AG383="L",-O383, "")))</f>
      </c>
      <c r="AI383" s="184"/>
      <c r="AJ383" s="183" t="str">
        <f t="shared" si="37"/>
      </c>
      <c r="AK3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4">
      <c r="A384" s="65" t="e">
        <f>Games!#REF!</f>
        <v>#REF!</v>
      </c>
      <c r="B384" s="65" t="e">
        <f>IF('Prediction Log'!#REF!=0, "",'Prediction Log'!#REF!)</f>
        <v>#REF!</v>
      </c>
      <c r="C384" s="65" t="e">
        <f>IF('Prediction Log'!#REF!=0, "",'Prediction Log'!#REF!)</f>
        <v>#REF!</v>
      </c>
      <c r="D384" s="65" t="e">
        <f>IF('Prediction Log'!#REF!=0, "",'Prediction Log'!#REF!)</f>
        <v>#REF!</v>
      </c>
      <c r="E384" s="65" t="e">
        <f>IF('Prediction Log'!#REF!=0, "",'Prediction Log'!#REF!)</f>
        <v>#REF!</v>
      </c>
      <c r="F384" s="65" t="e">
        <f>IF('Prediction Log'!#REF!=0, "",'Prediction Log'!#REF!)</f>
        <v>#REF!</v>
      </c>
      <c r="G384" s="64" t="e">
        <f>IF(ISBLANK(Games!#REF!), "",'Prediction Log'!#REF!)</f>
        <v>#REF!</v>
      </c>
      <c r="H384" s="66" t="e">
        <f>'Prediction Log'!#REF!</f>
        <v>#REF!</v>
      </c>
      <c r="I384" s="65" t="e">
        <f>IF(ISBLANK(Games!#REF!), "",IF(AND(Games!#REF!="",Games!#REF!=""),"",IF(ISTEXT(Games!#REF!), "Side",Games!#REF!)))</f>
        <v>#REF!</v>
      </c>
      <c r="J384" s="65" t="e">
        <f>IF(ISBLANK(Games!#REF!), "",IF(Games!#REF!="Y", Games!#REF!, Games!#REF!))</f>
        <v>#REF!</v>
      </c>
      <c r="K384" s="65" t="e">
        <f>Games!#REF!</f>
        <v>#REF!</v>
      </c>
      <c r="L384" s="65" t="e">
        <f>IF(ISBLANK(Games!#REF!), "",Games!#REF!)</f>
        <v>#REF!</v>
      </c>
      <c r="M384" s="65"/>
      <c r="N384" s="167" t="str">
        <f>IF(ISBLANK(Table123[[#This Row],[Odds Side - Difference Model]]), "", 1)</f>
      </c>
      <c r="O384" s="167" t="str">
        <f>IF(ISBLANK(Table123[[#This Row],[Odds Spread]]), "", 1)</f>
      </c>
      <c r="P384" s="67"/>
      <c r="Q384" s="67"/>
      <c r="R3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4" s="67"/>
      <c r="T384" s="67"/>
      <c r="U384" s="168" t="str">
        <f>IF(ISBLANK(Table123[[#This Row],[Odds Side - Difference Model]]), "",N384+IF(Q384&lt;0, (N384/(Q384/-100)), N384*(Q384/100)))</f>
      </c>
      <c r="V384" s="169" t="str">
        <f>IFERROR(IF(ISBLANK(Table123[[#This Row],[Odds Side - Win Probability Model]]), "",N384+IF(R384&lt;0, (N384/(R384/-100)), N384*(R384/100))),"")</f>
      </c>
      <c r="W384" s="168" t="str">
        <f t="shared" ref="W384:W386" si="38">IFERROR(U384-N384, "")</f>
      </c>
      <c r="X384" s="169" t="str">
        <f t="shared" ref="X384:X386" si="39">IFERROR(V384-N384, "")</f>
      </c>
      <c r="Y384" s="168" t="str">
        <f>IF(ISBLANK(Table123[[#This Row],[Odds Spread]]), "",O384+IF(S384&lt;0, (O384/(S384/-100)), O384*(S384/100)))</f>
      </c>
      <c r="Z384" s="168" t="str">
        <f t="shared" ref="Z384:Z386" si="40">IFERROR(Y384-O384, "")</f>
      </c>
      <c r="AA384" s="68" t="n">
        <f t="shared" ref="AA384:AA386" si="41">P384+IF(T384&lt;0, (P384/(T384/-100)), P384*(T384/100))</f>
        <v>0</v>
      </c>
      <c r="AB384" s="68" t="n">
        <f t="shared" ref="AB384:AB386" si="42">T384-P384</f>
        <v>0</v>
      </c>
      <c r="AC384" s="170" t="e">
        <f>IF('Prediction Log'!#REF!="Y", "W", IF('Prediction Log'!#REF!="N","L",""))</f>
        <v>#REF!</v>
      </c>
      <c r="AD384" s="171" t="e">
        <f>IF('Prediction Log'!#REF!="Y", "W", IF('Prediction Log'!#REF!="N","L",""))</f>
        <v>#REF!</v>
      </c>
      <c r="AE384" s="172" t="str">
        <f>IF(ISBLANK(Table123[[#This Row],[Odds Side - Difference Model]]), "",IF(AC384="W", W384, IF(AC384="L",-N384, "")))</f>
      </c>
      <c r="AF384" s="173" t="str">
        <f>IFERROR((IF(ISERR(Table123[[#This Row],[Potential Payout Side - Win Probability Model]]), "",IF(AD384="W", X384, IF(AD384="L",-N384, "")))), "")</f>
      </c>
      <c r="AG384" s="170" t="e">
        <f>IF('Prediction Log'!#REF!="Y", "W", IF('Prediction Log'!#REF!="N", "L", ""))</f>
        <v>#REF!</v>
      </c>
      <c r="AH384" s="172" t="str">
        <f>IF(ISBLANK(Table123[[#This Row],[Odds Spread]]), "",IF(AG384="W", Z384, IF(AG384="L",-O384, "")))</f>
      </c>
      <c r="AI384" s="184"/>
      <c r="AJ384" s="183" t="str">
        <f t="shared" si="37"/>
      </c>
      <c r="AK3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5">
      <c r="A385" s="65" t="e">
        <f>Games!#REF!</f>
        <v>#REF!</v>
      </c>
      <c r="B385" s="65" t="e">
        <f>IF('Prediction Log'!#REF!=0, "",'Prediction Log'!#REF!)</f>
        <v>#REF!</v>
      </c>
      <c r="C385" s="65" t="e">
        <f>IF('Prediction Log'!#REF!=0, "",'Prediction Log'!#REF!)</f>
        <v>#REF!</v>
      </c>
      <c r="D385" s="65" t="e">
        <f>IF('Prediction Log'!#REF!=0, "",'Prediction Log'!#REF!)</f>
        <v>#REF!</v>
      </c>
      <c r="E385" s="65" t="e">
        <f>IF('Prediction Log'!#REF!=0, "",'Prediction Log'!#REF!)</f>
        <v>#REF!</v>
      </c>
      <c r="F385" s="65" t="e">
        <f>IF('Prediction Log'!#REF!=0, "",'Prediction Log'!#REF!)</f>
        <v>#REF!</v>
      </c>
      <c r="G385" s="64" t="e">
        <f>IF(ISBLANK(Games!#REF!), "",'Prediction Log'!#REF!)</f>
        <v>#REF!</v>
      </c>
      <c r="H385" s="66" t="e">
        <f>'Prediction Log'!#REF!</f>
        <v>#REF!</v>
      </c>
      <c r="I385" s="65" t="e">
        <f>IF(ISBLANK(Games!#REF!), "",IF(AND(Games!#REF!="",Games!#REF!=""),"",IF(ISTEXT(Games!#REF!), "Side",Games!#REF!)))</f>
        <v>#REF!</v>
      </c>
      <c r="J385" s="65" t="e">
        <f>IF(ISBLANK(Games!#REF!), "",IF(Games!#REF!="Y", Games!#REF!, Games!#REF!))</f>
        <v>#REF!</v>
      </c>
      <c r="K385" s="65" t="e">
        <f>Games!#REF!</f>
        <v>#REF!</v>
      </c>
      <c r="L385" s="65" t="e">
        <f>IF(ISBLANK(Games!#REF!), "",Games!#REF!)</f>
        <v>#REF!</v>
      </c>
      <c r="M385" s="65"/>
      <c r="N385" s="167" t="str">
        <f>IF(ISBLANK(Table123[[#This Row],[Odds Side - Difference Model]]), "", 1)</f>
      </c>
      <c r="O385" s="167" t="str">
        <f>IF(ISBLANK(Table123[[#This Row],[Odds Spread]]), "", 1)</f>
      </c>
      <c r="P385" s="67"/>
      <c r="Q385" s="67"/>
      <c r="R3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5" s="67"/>
      <c r="T385" s="67"/>
      <c r="U385" s="168" t="str">
        <f>IF(ISBLANK(Table123[[#This Row],[Odds Side - Difference Model]]), "",N385+IF(Q385&lt;0, (N385/(Q385/-100)), N385*(Q385/100)))</f>
      </c>
      <c r="V385" s="169" t="str">
        <f>IFERROR(IF(ISBLANK(Table123[[#This Row],[Odds Side - Win Probability Model]]), "",N385+IF(R385&lt;0, (N385/(R385/-100)), N385*(R385/100))),"")</f>
      </c>
      <c r="W385" s="168" t="str">
        <f t="shared" si="38"/>
      </c>
      <c r="X385" s="169" t="str">
        <f t="shared" si="39"/>
      </c>
      <c r="Y385" s="168" t="str">
        <f>IF(ISBLANK(Table123[[#This Row],[Odds Spread]]), "",O385+IF(S385&lt;0, (O385/(S385/-100)), O385*(S385/100)))</f>
      </c>
      <c r="Z385" s="168" t="str">
        <f t="shared" si="40"/>
      </c>
      <c r="AA385" s="68" t="n">
        <f t="shared" si="41"/>
        <v>0</v>
      </c>
      <c r="AB385" s="68" t="n">
        <f t="shared" si="42"/>
        <v>0</v>
      </c>
      <c r="AC385" s="170" t="e">
        <f>IF('Prediction Log'!#REF!="Y", "W", IF('Prediction Log'!#REF!="N","L",""))</f>
        <v>#REF!</v>
      </c>
      <c r="AD385" s="171" t="e">
        <f>IF('Prediction Log'!#REF!="Y", "W", IF('Prediction Log'!#REF!="N","L",""))</f>
        <v>#REF!</v>
      </c>
      <c r="AE385" s="172" t="str">
        <f>IF(ISBLANK(Table123[[#This Row],[Odds Side - Difference Model]]), "",IF(AC385="W", W385, IF(AC385="L",-N385, "")))</f>
      </c>
      <c r="AF385" s="173" t="str">
        <f>IFERROR((IF(ISERR(Table123[[#This Row],[Potential Payout Side - Win Probability Model]]), "",IF(AD385="W", X385, IF(AD385="L",-N385, "")))), "")</f>
      </c>
      <c r="AG385" s="170" t="e">
        <f>IF('Prediction Log'!#REF!="Y", "W", IF('Prediction Log'!#REF!="N", "L", ""))</f>
        <v>#REF!</v>
      </c>
      <c r="AH385" s="172" t="str">
        <f>IF(ISBLANK(Table123[[#This Row],[Odds Spread]]), "",IF(AG385="W", Z385, IF(AG385="L",-O385, "")))</f>
      </c>
      <c r="AI385" s="184"/>
      <c r="AJ385" s="183" t="str">
        <f t="shared" si="37"/>
      </c>
      <c r="AK3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6">
      <c r="A386" s="65" t="e">
        <f>Games!#REF!</f>
        <v>#REF!</v>
      </c>
      <c r="B386" s="65" t="e">
        <f>IF('Prediction Log'!#REF!=0, "",'Prediction Log'!#REF!)</f>
        <v>#REF!</v>
      </c>
      <c r="C386" s="65" t="e">
        <f>IF('Prediction Log'!#REF!=0, "",'Prediction Log'!#REF!)</f>
        <v>#REF!</v>
      </c>
      <c r="D386" s="65" t="e">
        <f>IF('Prediction Log'!#REF!=0, "",'Prediction Log'!#REF!)</f>
        <v>#REF!</v>
      </c>
      <c r="E386" s="65" t="e">
        <f>IF('Prediction Log'!#REF!=0, "",'Prediction Log'!#REF!)</f>
        <v>#REF!</v>
      </c>
      <c r="F386" s="65" t="e">
        <f>IF('Prediction Log'!#REF!=0, "",'Prediction Log'!#REF!)</f>
        <v>#REF!</v>
      </c>
      <c r="G386" s="64" t="e">
        <f>IF(ISBLANK(Games!#REF!), "",'Prediction Log'!#REF!)</f>
        <v>#REF!</v>
      </c>
      <c r="H386" s="66" t="e">
        <f>'Prediction Log'!#REF!</f>
        <v>#REF!</v>
      </c>
      <c r="I386" s="65" t="e">
        <f>IF(ISBLANK(Games!#REF!), "",IF(AND(Games!#REF!="",Games!#REF!=""),"",IF(ISTEXT(Games!#REF!), "Side",Games!#REF!)))</f>
        <v>#REF!</v>
      </c>
      <c r="J386" s="65" t="e">
        <f>IF(ISBLANK(Games!#REF!), "",IF(Games!#REF!="Y", Games!#REF!, Games!#REF!))</f>
        <v>#REF!</v>
      </c>
      <c r="K386" s="65" t="e">
        <f>Games!#REF!</f>
        <v>#REF!</v>
      </c>
      <c r="L386" s="65" t="e">
        <f>IF(ISBLANK(Games!#REF!), "",Games!#REF!)</f>
        <v>#REF!</v>
      </c>
      <c r="M386" s="65"/>
      <c r="N386" s="167" t="str">
        <f>IF(ISBLANK(Table123[[#This Row],[Odds Side - Difference Model]]), "", 1)</f>
      </c>
      <c r="O386" s="167" t="str">
        <f>IF(ISBLANK(Table123[[#This Row],[Odds Spread]]), "", 1)</f>
      </c>
      <c r="P386" s="67"/>
      <c r="Q386" s="67"/>
      <c r="R3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6" s="67"/>
      <c r="T386" s="67"/>
      <c r="U386" s="168" t="str">
        <f>IF(ISBLANK(Table123[[#This Row],[Odds Side - Difference Model]]), "",N386+IF(Q386&lt;0, (N386/(Q386/-100)), N386*(Q386/100)))</f>
      </c>
      <c r="V386" s="169" t="str">
        <f>IFERROR(IF(ISBLANK(Table123[[#This Row],[Odds Side - Win Probability Model]]), "",N386+IF(R386&lt;0, (N386/(R386/-100)), N386*(R386/100))),"")</f>
      </c>
      <c r="W386" s="168" t="str">
        <f t="shared" si="38"/>
      </c>
      <c r="X386" s="169" t="str">
        <f t="shared" si="39"/>
      </c>
      <c r="Y386" s="168" t="str">
        <f>IF(ISBLANK(Table123[[#This Row],[Odds Spread]]), "",O386+IF(S386&lt;0, (O386/(S386/-100)), O386*(S386/100)))</f>
      </c>
      <c r="Z386" s="168" t="str">
        <f t="shared" si="40"/>
      </c>
      <c r="AA386" s="68" t="n">
        <f t="shared" si="41"/>
        <v>0</v>
      </c>
      <c r="AB386" s="68" t="n">
        <f t="shared" si="42"/>
        <v>0</v>
      </c>
      <c r="AC386" s="170" t="e">
        <f>IF('Prediction Log'!#REF!="Y", "W", IF('Prediction Log'!#REF!="N","L",""))</f>
        <v>#REF!</v>
      </c>
      <c r="AD386" s="171" t="e">
        <f>IF('Prediction Log'!#REF!="Y", "W", IF('Prediction Log'!#REF!="N","L",""))</f>
        <v>#REF!</v>
      </c>
      <c r="AE386" s="172" t="str">
        <f>IF(ISBLANK(Table123[[#This Row],[Odds Side - Difference Model]]), "",IF(AC386="W", W386, IF(AC386="L",-N386, "")))</f>
      </c>
      <c r="AF386" s="173" t="str">
        <f>IFERROR((IF(ISERR(Table123[[#This Row],[Potential Payout Side - Win Probability Model]]), "",IF(AD386="W", X386, IF(AD386="L",-N386, "")))), "")</f>
      </c>
      <c r="AG386" s="170" t="e">
        <f>IF('Prediction Log'!#REF!="Y", "W", IF('Prediction Log'!#REF!="N", "L", ""))</f>
        <v>#REF!</v>
      </c>
      <c r="AH386" s="172" t="str">
        <f>IF(ISBLANK(Table123[[#This Row],[Odds Spread]]), "",IF(AG386="W", Z386, IF(AG386="L",-O386, "")))</f>
      </c>
      <c r="AI386" s="184"/>
      <c r="AJ386" s="183" t="str">
        <f t="shared" si="37"/>
      </c>
      <c r="AK3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7">
      <c r="A387" s="65" t="e">
        <f>Games!#REF!</f>
        <v>#REF!</v>
      </c>
      <c r="B387" s="65" t="e">
        <f>IF('Prediction Log'!#REF!=0, "",'Prediction Log'!#REF!)</f>
        <v>#REF!</v>
      </c>
      <c r="C387" s="65" t="e">
        <f>IF('Prediction Log'!#REF!=0, "",'Prediction Log'!#REF!)</f>
        <v>#REF!</v>
      </c>
      <c r="D387" s="65" t="e">
        <f>IF('Prediction Log'!#REF!=0, "",'Prediction Log'!#REF!)</f>
        <v>#REF!</v>
      </c>
      <c r="E387" s="65" t="e">
        <f>IF('Prediction Log'!#REF!=0, "",'Prediction Log'!#REF!)</f>
        <v>#REF!</v>
      </c>
      <c r="F387" s="65" t="e">
        <f>IF('Prediction Log'!#REF!=0, "",'Prediction Log'!#REF!)</f>
        <v>#REF!</v>
      </c>
      <c r="G387" s="64" t="e">
        <f>IF(ISBLANK(Games!#REF!), "",'Prediction Log'!#REF!)</f>
        <v>#REF!</v>
      </c>
      <c r="H387" s="66" t="e">
        <f>'Prediction Log'!#REF!</f>
        <v>#REF!</v>
      </c>
      <c r="I387" s="65" t="e">
        <f>IF(ISBLANK(Games!#REF!), "",IF(AND(Games!#REF!="",Games!#REF!=""),"",IF(ISTEXT(Games!#REF!), "Side",Games!#REF!)))</f>
        <v>#REF!</v>
      </c>
      <c r="J387" s="65" t="e">
        <f>IF(ISBLANK(Games!#REF!), "",IF(Games!#REF!="Y", Games!#REF!, Games!#REF!))</f>
        <v>#REF!</v>
      </c>
      <c r="K387" s="65" t="e">
        <f>Games!#REF!</f>
        <v>#REF!</v>
      </c>
      <c r="L387" s="65" t="e">
        <f>IF(ISBLANK(Games!#REF!), "",Games!#REF!)</f>
        <v>#REF!</v>
      </c>
      <c r="M387" s="65"/>
      <c r="N387" s="167" t="str">
        <f>IF(ISBLANK(Table123[[#This Row],[Odds Side - Difference Model]]), "", 1)</f>
      </c>
      <c r="O387" s="167" t="str">
        <f>IF(ISBLANK(Table123[[#This Row],[Odds Spread]]), "", 1)</f>
      </c>
      <c r="P387" s="67"/>
      <c r="Q387" s="67"/>
      <c r="R3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7" s="67"/>
      <c r="T387" s="67"/>
      <c r="U387" s="168" t="str">
        <f>IF(ISBLANK(Table123[[#This Row],[Odds Side - Difference Model]]), "",N387+IF(Q387&lt;0, (N387/(Q387/-100)), N387*(Q387/100)))</f>
      </c>
      <c r="V387" s="169" t="str">
        <f>IFERROR(IF(ISBLANK(Table123[[#This Row],[Odds Side - Win Probability Model]]), "",N387+IF(R387&lt;0, (N387/(R387/-100)), N387*(R387/100))),"")</f>
      </c>
      <c r="W387" s="168" t="str">
        <f t="shared" ref="W387:W450" si="43">IFERROR(U387-N387, "")</f>
      </c>
      <c r="X387" s="169" t="str">
        <f t="shared" ref="X387:X450" si="44">IFERROR(V387-N387, "")</f>
      </c>
      <c r="Y387" s="168" t="str">
        <f>IF(ISBLANK(Table123[[#This Row],[Odds Spread]]), "",O387+IF(S387&lt;0, (O387/(S387/-100)), O387*(S387/100)))</f>
      </c>
      <c r="Z387" s="168" t="str">
        <f t="shared" ref="Z387:Z450" si="45">IFERROR(Y387-O387, "")</f>
      </c>
      <c r="AA387" s="68" t="n">
        <f t="shared" ref="AA387:AA450" si="46">P387+IF(T387&lt;0, (P387/(T387/-100)), P387*(T387/100))</f>
        <v>0</v>
      </c>
      <c r="AB387" s="68" t="n">
        <f t="shared" ref="AB387:AB450" si="47">T387-P387</f>
        <v>0</v>
      </c>
      <c r="AC387" s="170" t="e">
        <f>IF('Prediction Log'!#REF!="Y", "W", IF('Prediction Log'!#REF!="N","L",""))</f>
        <v>#REF!</v>
      </c>
      <c r="AD387" s="171" t="e">
        <f>IF('Prediction Log'!#REF!="Y", "W", IF('Prediction Log'!#REF!="N","L",""))</f>
        <v>#REF!</v>
      </c>
      <c r="AE387" s="172" t="str">
        <f>IF(ISBLANK(Table123[[#This Row],[Odds Side - Difference Model]]), "",IF(AC387="W", W387, IF(AC387="L",-N387, "")))</f>
      </c>
      <c r="AF387" s="173" t="str">
        <f>IFERROR((IF(ISERR(Table123[[#This Row],[Potential Payout Side - Win Probability Model]]), "",IF(AD387="W", X387, IF(AD387="L",-N387, "")))), "")</f>
      </c>
      <c r="AG387" s="170" t="e">
        <f>IF('Prediction Log'!#REF!="Y", "W", IF('Prediction Log'!#REF!="N", "L", ""))</f>
        <v>#REF!</v>
      </c>
      <c r="AH387" s="172" t="str">
        <f>IF(ISBLANK(Table123[[#This Row],[Odds Spread]]), "",IF(AG387="W", Z387, IF(AG387="L",-O387, "")))</f>
      </c>
      <c r="AI387" s="184"/>
      <c r="AJ387" s="183" t="str">
        <f t="shared" ref="AJ387:AJ450" si="48">IF(AI387="W", AB387, IF(AI387="L",-S387, ""))</f>
      </c>
      <c r="AK3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8">
      <c r="A388" s="65" t="e">
        <f>Games!#REF!</f>
        <v>#REF!</v>
      </c>
      <c r="B388" s="65" t="e">
        <f>IF('Prediction Log'!#REF!=0, "",'Prediction Log'!#REF!)</f>
        <v>#REF!</v>
      </c>
      <c r="C388" s="65" t="e">
        <f>IF('Prediction Log'!#REF!=0, "",'Prediction Log'!#REF!)</f>
        <v>#REF!</v>
      </c>
      <c r="D388" s="65" t="e">
        <f>IF('Prediction Log'!#REF!=0, "",'Prediction Log'!#REF!)</f>
        <v>#REF!</v>
      </c>
      <c r="E388" s="65" t="e">
        <f>IF('Prediction Log'!#REF!=0, "",'Prediction Log'!#REF!)</f>
        <v>#REF!</v>
      </c>
      <c r="F388" s="65" t="e">
        <f>IF('Prediction Log'!#REF!=0, "",'Prediction Log'!#REF!)</f>
        <v>#REF!</v>
      </c>
      <c r="G388" s="64" t="e">
        <f>IF(ISBLANK(Games!#REF!), "",'Prediction Log'!#REF!)</f>
        <v>#REF!</v>
      </c>
      <c r="H388" s="66" t="e">
        <f>'Prediction Log'!#REF!</f>
        <v>#REF!</v>
      </c>
      <c r="I388" s="65" t="e">
        <f>IF(ISBLANK(Games!#REF!), "",IF(AND(Games!#REF!="",Games!#REF!=""),"",IF(ISTEXT(Games!#REF!), "Side",Games!#REF!)))</f>
        <v>#REF!</v>
      </c>
      <c r="J388" s="65" t="e">
        <f>IF(ISBLANK(Games!#REF!), "",IF(Games!#REF!="Y", Games!#REF!, Games!#REF!))</f>
        <v>#REF!</v>
      </c>
      <c r="K388" s="65" t="e">
        <f>Games!#REF!</f>
        <v>#REF!</v>
      </c>
      <c r="L388" s="65" t="e">
        <f>IF(ISBLANK(Games!#REF!), "",Games!#REF!)</f>
        <v>#REF!</v>
      </c>
      <c r="M388" s="65"/>
      <c r="N388" s="167" t="str">
        <f>IF(ISBLANK(Table123[[#This Row],[Odds Side - Difference Model]]), "", 1)</f>
      </c>
      <c r="O388" s="167" t="str">
        <f>IF(ISBLANK(Table123[[#This Row],[Odds Spread]]), "", 1)</f>
      </c>
      <c r="P388" s="67"/>
      <c r="Q388" s="67"/>
      <c r="R3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8" s="67"/>
      <c r="T388" s="67"/>
      <c r="U388" s="168" t="str">
        <f>IF(ISBLANK(Table123[[#This Row],[Odds Side - Difference Model]]), "",N388+IF(Q388&lt;0, (N388/(Q388/-100)), N388*(Q388/100)))</f>
      </c>
      <c r="V388" s="169" t="str">
        <f>IFERROR(IF(ISBLANK(Table123[[#This Row],[Odds Side - Win Probability Model]]), "",N388+IF(R388&lt;0, (N388/(R388/-100)), N388*(R388/100))),"")</f>
      </c>
      <c r="W388" s="168" t="str">
        <f t="shared" si="43"/>
      </c>
      <c r="X388" s="169" t="str">
        <f t="shared" si="44"/>
      </c>
      <c r="Y388" s="168" t="str">
        <f>IF(ISBLANK(Table123[[#This Row],[Odds Spread]]), "",O388+IF(S388&lt;0, (O388/(S388/-100)), O388*(S388/100)))</f>
      </c>
      <c r="Z388" s="168" t="str">
        <f t="shared" si="45"/>
      </c>
      <c r="AA388" s="68" t="n">
        <f t="shared" si="46"/>
        <v>0</v>
      </c>
      <c r="AB388" s="68" t="n">
        <f t="shared" si="47"/>
        <v>0</v>
      </c>
      <c r="AC388" s="170" t="e">
        <f>IF('Prediction Log'!#REF!="Y", "W", IF('Prediction Log'!#REF!="N","L",""))</f>
        <v>#REF!</v>
      </c>
      <c r="AD388" s="171" t="e">
        <f>IF('Prediction Log'!#REF!="Y", "W", IF('Prediction Log'!#REF!="N","L",""))</f>
        <v>#REF!</v>
      </c>
      <c r="AE388" s="172" t="str">
        <f>IF(ISBLANK(Table123[[#This Row],[Odds Side - Difference Model]]), "",IF(AC388="W", W388, IF(AC388="L",-N388, "")))</f>
      </c>
      <c r="AF388" s="173" t="str">
        <f>IFERROR((IF(ISERR(Table123[[#This Row],[Potential Payout Side - Win Probability Model]]), "",IF(AD388="W", X388, IF(AD388="L",-N388, "")))), "")</f>
      </c>
      <c r="AG388" s="170" t="e">
        <f>IF('Prediction Log'!#REF!="Y", "W", IF('Prediction Log'!#REF!="N", "L", ""))</f>
        <v>#REF!</v>
      </c>
      <c r="AH388" s="172" t="str">
        <f>IF(ISBLANK(Table123[[#This Row],[Odds Spread]]), "",IF(AG388="W", Z388, IF(AG388="L",-O388, "")))</f>
      </c>
      <c r="AI388" s="184"/>
      <c r="AJ388" s="183" t="str">
        <f t="shared" si="48"/>
      </c>
      <c r="AK3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9">
      <c r="A389" s="65" t="e">
        <f>Games!#REF!</f>
        <v>#REF!</v>
      </c>
      <c r="B389" s="65" t="e">
        <f>IF('Prediction Log'!#REF!=0, "",'Prediction Log'!#REF!)</f>
        <v>#REF!</v>
      </c>
      <c r="C389" s="65" t="e">
        <f>IF('Prediction Log'!#REF!=0, "",'Prediction Log'!#REF!)</f>
        <v>#REF!</v>
      </c>
      <c r="D389" s="65" t="e">
        <f>IF('Prediction Log'!#REF!=0, "",'Prediction Log'!#REF!)</f>
        <v>#REF!</v>
      </c>
      <c r="E389" s="65" t="e">
        <f>IF('Prediction Log'!#REF!=0, "",'Prediction Log'!#REF!)</f>
        <v>#REF!</v>
      </c>
      <c r="F389" s="65" t="e">
        <f>IF('Prediction Log'!#REF!=0, "",'Prediction Log'!#REF!)</f>
        <v>#REF!</v>
      </c>
      <c r="G389" s="64" t="e">
        <f>IF(ISBLANK(Games!#REF!), "",'Prediction Log'!#REF!)</f>
        <v>#REF!</v>
      </c>
      <c r="H389" s="66" t="e">
        <f>'Prediction Log'!#REF!</f>
        <v>#REF!</v>
      </c>
      <c r="I389" s="65" t="e">
        <f>IF(ISBLANK(Games!#REF!), "",IF(AND(Games!#REF!="",Games!#REF!=""),"",IF(ISTEXT(Games!#REF!), "Side",Games!#REF!)))</f>
        <v>#REF!</v>
      </c>
      <c r="J389" s="65" t="e">
        <f>IF(ISBLANK(Games!#REF!), "",IF(Games!#REF!="Y", Games!#REF!, Games!#REF!))</f>
        <v>#REF!</v>
      </c>
      <c r="K389" s="65" t="e">
        <f>Games!#REF!</f>
        <v>#REF!</v>
      </c>
      <c r="L389" s="65" t="e">
        <f>IF(ISBLANK(Games!#REF!), "",Games!#REF!)</f>
        <v>#REF!</v>
      </c>
      <c r="M389" s="65"/>
      <c r="N389" s="167" t="str">
        <f>IF(ISBLANK(Table123[[#This Row],[Odds Side - Difference Model]]), "", 1)</f>
      </c>
      <c r="O389" s="167" t="str">
        <f>IF(ISBLANK(Table123[[#This Row],[Odds Spread]]), "", 1)</f>
      </c>
      <c r="P389" s="67"/>
      <c r="Q389" s="67"/>
      <c r="R3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9" s="67"/>
      <c r="T389" s="67"/>
      <c r="U389" s="168" t="str">
        <f>IF(ISBLANK(Table123[[#This Row],[Odds Side - Difference Model]]), "",N389+IF(Q389&lt;0, (N389/(Q389/-100)), N389*(Q389/100)))</f>
      </c>
      <c r="V389" s="169" t="str">
        <f>IFERROR(IF(ISBLANK(Table123[[#This Row],[Odds Side - Win Probability Model]]), "",N389+IF(R389&lt;0, (N389/(R389/-100)), N389*(R389/100))),"")</f>
      </c>
      <c r="W389" s="168" t="str">
        <f t="shared" si="43"/>
      </c>
      <c r="X389" s="169" t="str">
        <f t="shared" si="44"/>
      </c>
      <c r="Y389" s="168" t="str">
        <f>IF(ISBLANK(Table123[[#This Row],[Odds Spread]]), "",O389+IF(S389&lt;0, (O389/(S389/-100)), O389*(S389/100)))</f>
      </c>
      <c r="Z389" s="168" t="str">
        <f t="shared" si="45"/>
      </c>
      <c r="AA389" s="68" t="n">
        <f t="shared" si="46"/>
        <v>0</v>
      </c>
      <c r="AB389" s="68" t="n">
        <f t="shared" si="47"/>
        <v>0</v>
      </c>
      <c r="AC389" s="170" t="e">
        <f>IF('Prediction Log'!#REF!="Y", "W", IF('Prediction Log'!#REF!="N","L",""))</f>
        <v>#REF!</v>
      </c>
      <c r="AD389" s="171" t="e">
        <f>IF('Prediction Log'!#REF!="Y", "W", IF('Prediction Log'!#REF!="N","L",""))</f>
        <v>#REF!</v>
      </c>
      <c r="AE389" s="172" t="str">
        <f>IF(ISBLANK(Table123[[#This Row],[Odds Side - Difference Model]]), "",IF(AC389="W", W389, IF(AC389="L",-N389, "")))</f>
      </c>
      <c r="AF389" s="173" t="str">
        <f>IFERROR((IF(ISERR(Table123[[#This Row],[Potential Payout Side - Win Probability Model]]), "",IF(AD389="W", X389, IF(AD389="L",-N389, "")))), "")</f>
      </c>
      <c r="AG389" s="170" t="e">
        <f>IF('Prediction Log'!#REF!="Y", "W", IF('Prediction Log'!#REF!="N", "L", ""))</f>
        <v>#REF!</v>
      </c>
      <c r="AH389" s="172" t="str">
        <f>IF(ISBLANK(Table123[[#This Row],[Odds Spread]]), "",IF(AG389="W", Z389, IF(AG389="L",-O389, "")))</f>
      </c>
      <c r="AI389" s="184"/>
      <c r="AJ389" s="183" t="str">
        <f t="shared" si="48"/>
      </c>
      <c r="AK3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0">
      <c r="A390" s="65" t="e">
        <f>Games!#REF!</f>
        <v>#REF!</v>
      </c>
      <c r="B390" s="65" t="e">
        <f>IF('Prediction Log'!#REF!=0, "",'Prediction Log'!#REF!)</f>
        <v>#REF!</v>
      </c>
      <c r="C390" s="65" t="e">
        <f>IF('Prediction Log'!#REF!=0, "",'Prediction Log'!#REF!)</f>
        <v>#REF!</v>
      </c>
      <c r="D390" s="65" t="e">
        <f>IF('Prediction Log'!#REF!=0, "",'Prediction Log'!#REF!)</f>
        <v>#REF!</v>
      </c>
      <c r="E390" s="65" t="e">
        <f>IF('Prediction Log'!#REF!=0, "",'Prediction Log'!#REF!)</f>
        <v>#REF!</v>
      </c>
      <c r="F390" s="65" t="e">
        <f>IF('Prediction Log'!#REF!=0, "",'Prediction Log'!#REF!)</f>
        <v>#REF!</v>
      </c>
      <c r="G390" s="64" t="e">
        <f>IF(ISBLANK(Games!#REF!), "",'Prediction Log'!#REF!)</f>
        <v>#REF!</v>
      </c>
      <c r="H390" s="66" t="e">
        <f>'Prediction Log'!#REF!</f>
        <v>#REF!</v>
      </c>
      <c r="I390" s="65" t="e">
        <f>IF(ISBLANK(Games!#REF!), "",IF(AND(Games!#REF!="",Games!#REF!=""),"",IF(ISTEXT(Games!#REF!), "Side",Games!#REF!)))</f>
        <v>#REF!</v>
      </c>
      <c r="J390" s="65" t="e">
        <f>IF(ISBLANK(Games!#REF!), "",IF(Games!#REF!="Y", Games!#REF!, Games!#REF!))</f>
        <v>#REF!</v>
      </c>
      <c r="K390" s="65" t="e">
        <f>Games!#REF!</f>
        <v>#REF!</v>
      </c>
      <c r="L390" s="65" t="e">
        <f>IF(ISBLANK(Games!#REF!), "",Games!#REF!)</f>
        <v>#REF!</v>
      </c>
      <c r="M390" s="65"/>
      <c r="N390" s="167" t="str">
        <f>IF(ISBLANK(Table123[[#This Row],[Odds Side - Difference Model]]), "", 1)</f>
      </c>
      <c r="O390" s="167" t="str">
        <f>IF(ISBLANK(Table123[[#This Row],[Odds Spread]]), "", 1)</f>
      </c>
      <c r="P390" s="67"/>
      <c r="Q390" s="67"/>
      <c r="R3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0" s="67"/>
      <c r="T390" s="67"/>
      <c r="U390" s="168" t="str">
        <f>IF(ISBLANK(Table123[[#This Row],[Odds Side - Difference Model]]), "",N390+IF(Q390&lt;0, (N390/(Q390/-100)), N390*(Q390/100)))</f>
      </c>
      <c r="V390" s="169" t="str">
        <f>IFERROR(IF(ISBLANK(Table123[[#This Row],[Odds Side - Win Probability Model]]), "",N390+IF(R390&lt;0, (N390/(R390/-100)), N390*(R390/100))),"")</f>
      </c>
      <c r="W390" s="168" t="str">
        <f t="shared" si="43"/>
      </c>
      <c r="X390" s="169" t="str">
        <f t="shared" si="44"/>
      </c>
      <c r="Y390" s="168" t="str">
        <f>IF(ISBLANK(Table123[[#This Row],[Odds Spread]]), "",O390+IF(S390&lt;0, (O390/(S390/-100)), O390*(S390/100)))</f>
      </c>
      <c r="Z390" s="168" t="str">
        <f t="shared" si="45"/>
      </c>
      <c r="AA390" s="68" t="n">
        <f t="shared" si="46"/>
        <v>0</v>
      </c>
      <c r="AB390" s="68" t="n">
        <f t="shared" si="47"/>
        <v>0</v>
      </c>
      <c r="AC390" s="170" t="e">
        <f>IF('Prediction Log'!#REF!="Y", "W", IF('Prediction Log'!#REF!="N","L",""))</f>
        <v>#REF!</v>
      </c>
      <c r="AD390" s="171" t="e">
        <f>IF('Prediction Log'!#REF!="Y", "W", IF('Prediction Log'!#REF!="N","L",""))</f>
        <v>#REF!</v>
      </c>
      <c r="AE390" s="172" t="str">
        <f>IF(ISBLANK(Table123[[#This Row],[Odds Side - Difference Model]]), "",IF(AC390="W", W390, IF(AC390="L",-N390, "")))</f>
      </c>
      <c r="AF390" s="173" t="str">
        <f>IFERROR((IF(ISERR(Table123[[#This Row],[Potential Payout Side - Win Probability Model]]), "",IF(AD390="W", X390, IF(AD390="L",-N390, "")))), "")</f>
      </c>
      <c r="AG390" s="170" t="e">
        <f>IF('Prediction Log'!#REF!="Y", "W", IF('Prediction Log'!#REF!="N", "L", ""))</f>
        <v>#REF!</v>
      </c>
      <c r="AH390" s="172" t="str">
        <f>IF(ISBLANK(Table123[[#This Row],[Odds Spread]]), "",IF(AG390="W", Z390, IF(AG390="L",-O390, "")))</f>
      </c>
      <c r="AI390" s="184"/>
      <c r="AJ390" s="183" t="str">
        <f t="shared" si="48"/>
      </c>
      <c r="AK3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1">
      <c r="A391" s="65" t="e">
        <f>Games!#REF!</f>
        <v>#REF!</v>
      </c>
      <c r="B391" s="65" t="e">
        <f>IF('Prediction Log'!#REF!=0, "",'Prediction Log'!#REF!)</f>
        <v>#REF!</v>
      </c>
      <c r="C391" s="65" t="e">
        <f>IF('Prediction Log'!#REF!=0, "",'Prediction Log'!#REF!)</f>
        <v>#REF!</v>
      </c>
      <c r="D391" s="65" t="e">
        <f>IF('Prediction Log'!#REF!=0, "",'Prediction Log'!#REF!)</f>
        <v>#REF!</v>
      </c>
      <c r="E391" s="65" t="e">
        <f>IF('Prediction Log'!#REF!=0, "",'Prediction Log'!#REF!)</f>
        <v>#REF!</v>
      </c>
      <c r="F391" s="65" t="e">
        <f>IF('Prediction Log'!#REF!=0, "",'Prediction Log'!#REF!)</f>
        <v>#REF!</v>
      </c>
      <c r="G391" s="64" t="e">
        <f>IF(ISBLANK(Games!#REF!), "",'Prediction Log'!#REF!)</f>
        <v>#REF!</v>
      </c>
      <c r="H391" s="66" t="e">
        <f>'Prediction Log'!#REF!</f>
        <v>#REF!</v>
      </c>
      <c r="I391" s="65" t="e">
        <f>IF(ISBLANK(Games!#REF!), "",IF(AND(Games!#REF!="",Games!#REF!=""),"",IF(ISTEXT(Games!#REF!), "Side",Games!#REF!)))</f>
        <v>#REF!</v>
      </c>
      <c r="J391" s="65" t="e">
        <f>IF(ISBLANK(Games!#REF!), "",IF(Games!#REF!="Y", Games!#REF!, Games!#REF!))</f>
        <v>#REF!</v>
      </c>
      <c r="K391" s="65" t="e">
        <f>Games!#REF!</f>
        <v>#REF!</v>
      </c>
      <c r="L391" s="65" t="e">
        <f>IF(ISBLANK(Games!#REF!), "",Games!#REF!)</f>
        <v>#REF!</v>
      </c>
      <c r="M391" s="65"/>
      <c r="N391" s="167" t="str">
        <f>IF(ISBLANK(Table123[[#This Row],[Odds Side - Difference Model]]), "", 1)</f>
      </c>
      <c r="O391" s="167" t="str">
        <f>IF(ISBLANK(Table123[[#This Row],[Odds Spread]]), "", 1)</f>
      </c>
      <c r="P391" s="67"/>
      <c r="Q391" s="67"/>
      <c r="R3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1" s="67"/>
      <c r="T391" s="67"/>
      <c r="U391" s="168" t="str">
        <f>IF(ISBLANK(Table123[[#This Row],[Odds Side - Difference Model]]), "",N391+IF(Q391&lt;0, (N391/(Q391/-100)), N391*(Q391/100)))</f>
      </c>
      <c r="V391" s="169" t="str">
        <f>IFERROR(IF(ISBLANK(Table123[[#This Row],[Odds Side - Win Probability Model]]), "",N391+IF(R391&lt;0, (N391/(R391/-100)), N391*(R391/100))),"")</f>
      </c>
      <c r="W391" s="168" t="str">
        <f t="shared" si="43"/>
      </c>
      <c r="X391" s="169" t="str">
        <f t="shared" si="44"/>
      </c>
      <c r="Y391" s="168" t="str">
        <f>IF(ISBLANK(Table123[[#This Row],[Odds Spread]]), "",O391+IF(S391&lt;0, (O391/(S391/-100)), O391*(S391/100)))</f>
      </c>
      <c r="Z391" s="168" t="str">
        <f t="shared" si="45"/>
      </c>
      <c r="AA391" s="68" t="n">
        <f t="shared" si="46"/>
        <v>0</v>
      </c>
      <c r="AB391" s="68" t="n">
        <f t="shared" si="47"/>
        <v>0</v>
      </c>
      <c r="AC391" s="170" t="e">
        <f>IF('Prediction Log'!#REF!="Y", "W", IF('Prediction Log'!#REF!="N","L",""))</f>
        <v>#REF!</v>
      </c>
      <c r="AD391" s="171" t="e">
        <f>IF('Prediction Log'!#REF!="Y", "W", IF('Prediction Log'!#REF!="N","L",""))</f>
        <v>#REF!</v>
      </c>
      <c r="AE391" s="172" t="str">
        <f>IF(ISBLANK(Table123[[#This Row],[Odds Side - Difference Model]]), "",IF(AC391="W", W391, IF(AC391="L",-N391, "")))</f>
      </c>
      <c r="AF391" s="173" t="str">
        <f>IFERROR((IF(ISERR(Table123[[#This Row],[Potential Payout Side - Win Probability Model]]), "",IF(AD391="W", X391, IF(AD391="L",-N391, "")))), "")</f>
      </c>
      <c r="AG391" s="170" t="e">
        <f>IF('Prediction Log'!#REF!="Y", "W", IF('Prediction Log'!#REF!="N", "L", ""))</f>
        <v>#REF!</v>
      </c>
      <c r="AH391" s="172" t="str">
        <f>IF(ISBLANK(Table123[[#This Row],[Odds Spread]]), "",IF(AG391="W", Z391, IF(AG391="L",-O391, "")))</f>
      </c>
      <c r="AI391" s="184"/>
      <c r="AJ391" s="183" t="str">
        <f t="shared" si="48"/>
      </c>
      <c r="AK3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2">
      <c r="A392" s="65" t="e">
        <f>Games!#REF!</f>
        <v>#REF!</v>
      </c>
      <c r="B392" s="65" t="e">
        <f>IF('Prediction Log'!#REF!=0, "",'Prediction Log'!#REF!)</f>
        <v>#REF!</v>
      </c>
      <c r="C392" s="65" t="e">
        <f>IF('Prediction Log'!#REF!=0, "",'Prediction Log'!#REF!)</f>
        <v>#REF!</v>
      </c>
      <c r="D392" s="65" t="e">
        <f>IF('Prediction Log'!#REF!=0, "",'Prediction Log'!#REF!)</f>
        <v>#REF!</v>
      </c>
      <c r="E392" s="65" t="e">
        <f>IF('Prediction Log'!#REF!=0, "",'Prediction Log'!#REF!)</f>
        <v>#REF!</v>
      </c>
      <c r="F392" s="65" t="e">
        <f>IF('Prediction Log'!#REF!=0, "",'Prediction Log'!#REF!)</f>
        <v>#REF!</v>
      </c>
      <c r="G392" s="64" t="e">
        <f>IF(ISBLANK(Games!#REF!), "",'Prediction Log'!#REF!)</f>
        <v>#REF!</v>
      </c>
      <c r="H392" s="66" t="e">
        <f>'Prediction Log'!#REF!</f>
        <v>#REF!</v>
      </c>
      <c r="I392" s="65" t="e">
        <f>IF(ISBLANK(Games!#REF!), "",IF(AND(Games!#REF!="",Games!#REF!=""),"",IF(ISTEXT(Games!#REF!), "Side",Games!#REF!)))</f>
        <v>#REF!</v>
      </c>
      <c r="J392" s="65" t="e">
        <f>IF(ISBLANK(Games!#REF!), "",IF(Games!#REF!="Y", Games!#REF!, Games!#REF!))</f>
        <v>#REF!</v>
      </c>
      <c r="K392" s="65" t="e">
        <f>Games!#REF!</f>
        <v>#REF!</v>
      </c>
      <c r="L392" s="65" t="e">
        <f>IF(ISBLANK(Games!#REF!), "",Games!#REF!)</f>
        <v>#REF!</v>
      </c>
      <c r="M392" s="65"/>
      <c r="N392" s="167" t="str">
        <f>IF(ISBLANK(Table123[[#This Row],[Odds Side - Difference Model]]), "", 1)</f>
      </c>
      <c r="O392" s="167" t="str">
        <f>IF(ISBLANK(Table123[[#This Row],[Odds Spread]]), "", 1)</f>
      </c>
      <c r="P392" s="67"/>
      <c r="Q392" s="67"/>
      <c r="R3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2" s="67"/>
      <c r="T392" s="67"/>
      <c r="U392" s="168" t="str">
        <f>IF(ISBLANK(Table123[[#This Row],[Odds Side - Difference Model]]), "",N392+IF(Q392&lt;0, (N392/(Q392/-100)), N392*(Q392/100)))</f>
      </c>
      <c r="V392" s="169" t="str">
        <f>IFERROR(IF(ISBLANK(Table123[[#This Row],[Odds Side - Win Probability Model]]), "",N392+IF(R392&lt;0, (N392/(R392/-100)), N392*(R392/100))),"")</f>
      </c>
      <c r="W392" s="168" t="str">
        <f t="shared" si="43"/>
      </c>
      <c r="X392" s="169" t="str">
        <f t="shared" si="44"/>
      </c>
      <c r="Y392" s="168" t="str">
        <f>IF(ISBLANK(Table123[[#This Row],[Odds Spread]]), "",O392+IF(S392&lt;0, (O392/(S392/-100)), O392*(S392/100)))</f>
      </c>
      <c r="Z392" s="168" t="str">
        <f t="shared" si="45"/>
      </c>
      <c r="AA392" s="68" t="n">
        <f t="shared" si="46"/>
        <v>0</v>
      </c>
      <c r="AB392" s="68" t="n">
        <f t="shared" si="47"/>
        <v>0</v>
      </c>
      <c r="AC392" s="170" t="e">
        <f>IF('Prediction Log'!#REF!="Y", "W", IF('Prediction Log'!#REF!="N","L",""))</f>
        <v>#REF!</v>
      </c>
      <c r="AD392" s="171" t="e">
        <f>IF('Prediction Log'!#REF!="Y", "W", IF('Prediction Log'!#REF!="N","L",""))</f>
        <v>#REF!</v>
      </c>
      <c r="AE392" s="172" t="str">
        <f>IF(ISBLANK(Table123[[#This Row],[Odds Side - Difference Model]]), "",IF(AC392="W", W392, IF(AC392="L",-N392, "")))</f>
      </c>
      <c r="AF392" s="173" t="str">
        <f>IFERROR((IF(ISERR(Table123[[#This Row],[Potential Payout Side - Win Probability Model]]), "",IF(AD392="W", X392, IF(AD392="L",-N392, "")))), "")</f>
      </c>
      <c r="AG392" s="170" t="e">
        <f>IF('Prediction Log'!#REF!="Y", "W", IF('Prediction Log'!#REF!="N", "L", ""))</f>
        <v>#REF!</v>
      </c>
      <c r="AH392" s="172" t="str">
        <f>IF(ISBLANK(Table123[[#This Row],[Odds Spread]]), "",IF(AG392="W", Z392, IF(AG392="L",-O392, "")))</f>
      </c>
      <c r="AI392" s="184"/>
      <c r="AJ392" s="183" t="str">
        <f t="shared" si="48"/>
      </c>
      <c r="AK3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3">
      <c r="A393" s="65" t="e">
        <f>Games!#REF!</f>
        <v>#REF!</v>
      </c>
      <c r="B393" s="65" t="e">
        <f>IF('Prediction Log'!#REF!=0, "",'Prediction Log'!#REF!)</f>
        <v>#REF!</v>
      </c>
      <c r="C393" s="65" t="e">
        <f>IF('Prediction Log'!#REF!=0, "",'Prediction Log'!#REF!)</f>
        <v>#REF!</v>
      </c>
      <c r="D393" s="65" t="e">
        <f>IF('Prediction Log'!#REF!=0, "",'Prediction Log'!#REF!)</f>
        <v>#REF!</v>
      </c>
      <c r="E393" s="65" t="e">
        <f>IF('Prediction Log'!#REF!=0, "",'Prediction Log'!#REF!)</f>
        <v>#REF!</v>
      </c>
      <c r="F393" s="65" t="e">
        <f>IF('Prediction Log'!#REF!=0, "",'Prediction Log'!#REF!)</f>
        <v>#REF!</v>
      </c>
      <c r="G393" s="64" t="e">
        <f>IF(ISBLANK(Games!#REF!), "",'Prediction Log'!#REF!)</f>
        <v>#REF!</v>
      </c>
      <c r="H393" s="66" t="e">
        <f>'Prediction Log'!#REF!</f>
        <v>#REF!</v>
      </c>
      <c r="I393" s="65" t="e">
        <f>IF(ISBLANK(Games!#REF!), "",IF(AND(Games!#REF!="",Games!#REF!=""),"",IF(ISTEXT(Games!#REF!), "Side",Games!#REF!)))</f>
        <v>#REF!</v>
      </c>
      <c r="J393" s="65" t="e">
        <f>IF(ISBLANK(Games!#REF!), "",IF(Games!#REF!="Y", Games!#REF!, Games!#REF!))</f>
        <v>#REF!</v>
      </c>
      <c r="K393" s="65" t="e">
        <f>Games!#REF!</f>
        <v>#REF!</v>
      </c>
      <c r="L393" s="65" t="e">
        <f>IF(ISBLANK(Games!#REF!), "",Games!#REF!)</f>
        <v>#REF!</v>
      </c>
      <c r="M393" s="65"/>
      <c r="N393" s="167" t="str">
        <f>IF(ISBLANK(Table123[[#This Row],[Odds Side - Difference Model]]), "", 1)</f>
      </c>
      <c r="O393" s="167" t="str">
        <f>IF(ISBLANK(Table123[[#This Row],[Odds Spread]]), "", 1)</f>
      </c>
      <c r="P393" s="67"/>
      <c r="Q393" s="67"/>
      <c r="R3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3" s="67"/>
      <c r="T393" s="67"/>
      <c r="U393" s="168" t="str">
        <f>IF(ISBLANK(Table123[[#This Row],[Odds Side - Difference Model]]), "",N393+IF(Q393&lt;0, (N393/(Q393/-100)), N393*(Q393/100)))</f>
      </c>
      <c r="V393" s="169" t="str">
        <f>IFERROR(IF(ISBLANK(Table123[[#This Row],[Odds Side - Win Probability Model]]), "",N393+IF(R393&lt;0, (N393/(R393/-100)), N393*(R393/100))),"")</f>
      </c>
      <c r="W393" s="168" t="str">
        <f t="shared" si="43"/>
      </c>
      <c r="X393" s="169" t="str">
        <f t="shared" si="44"/>
      </c>
      <c r="Y393" s="168" t="str">
        <f>IF(ISBLANK(Table123[[#This Row],[Odds Spread]]), "",O393+IF(S393&lt;0, (O393/(S393/-100)), O393*(S393/100)))</f>
      </c>
      <c r="Z393" s="168" t="str">
        <f t="shared" si="45"/>
      </c>
      <c r="AA393" s="68" t="n">
        <f t="shared" si="46"/>
        <v>0</v>
      </c>
      <c r="AB393" s="68" t="n">
        <f t="shared" si="47"/>
        <v>0</v>
      </c>
      <c r="AC393" s="170" t="e">
        <f>IF('Prediction Log'!#REF!="Y", "W", IF('Prediction Log'!#REF!="N","L",""))</f>
        <v>#REF!</v>
      </c>
      <c r="AD393" s="171" t="e">
        <f>IF('Prediction Log'!#REF!="Y", "W", IF('Prediction Log'!#REF!="N","L",""))</f>
        <v>#REF!</v>
      </c>
      <c r="AE393" s="172" t="str">
        <f>IF(ISBLANK(Table123[[#This Row],[Odds Side - Difference Model]]), "",IF(AC393="W", W393, IF(AC393="L",-N393, "")))</f>
      </c>
      <c r="AF393" s="173" t="str">
        <f>IFERROR((IF(ISERR(Table123[[#This Row],[Potential Payout Side - Win Probability Model]]), "",IF(AD393="W", X393, IF(AD393="L",-N393, "")))), "")</f>
      </c>
      <c r="AG393" s="170" t="e">
        <f>IF('Prediction Log'!#REF!="Y", "W", IF('Prediction Log'!#REF!="N", "L", ""))</f>
        <v>#REF!</v>
      </c>
      <c r="AH393" s="172" t="str">
        <f>IF(ISBLANK(Table123[[#This Row],[Odds Spread]]), "",IF(AG393="W", Z393, IF(AG393="L",-O393, "")))</f>
      </c>
      <c r="AI393" s="184"/>
      <c r="AJ393" s="183" t="str">
        <f t="shared" si="48"/>
      </c>
      <c r="AK3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4">
      <c r="A394" s="65" t="e">
        <f>Games!#REF!</f>
        <v>#REF!</v>
      </c>
      <c r="B394" s="65" t="e">
        <f>IF('Prediction Log'!#REF!=0, "",'Prediction Log'!#REF!)</f>
        <v>#REF!</v>
      </c>
      <c r="C394" s="65" t="e">
        <f>IF('Prediction Log'!#REF!=0, "",'Prediction Log'!#REF!)</f>
        <v>#REF!</v>
      </c>
      <c r="D394" s="65" t="e">
        <f>IF('Prediction Log'!#REF!=0, "",'Prediction Log'!#REF!)</f>
        <v>#REF!</v>
      </c>
      <c r="E394" s="65" t="e">
        <f>IF('Prediction Log'!#REF!=0, "",'Prediction Log'!#REF!)</f>
        <v>#REF!</v>
      </c>
      <c r="F394" s="65" t="e">
        <f>IF('Prediction Log'!#REF!=0, "",'Prediction Log'!#REF!)</f>
        <v>#REF!</v>
      </c>
      <c r="G394" s="64" t="e">
        <f>IF(ISBLANK(Games!#REF!), "",'Prediction Log'!#REF!)</f>
        <v>#REF!</v>
      </c>
      <c r="H394" s="66" t="e">
        <f>'Prediction Log'!#REF!</f>
        <v>#REF!</v>
      </c>
      <c r="I394" s="65" t="e">
        <f>IF(ISBLANK(Games!#REF!), "",IF(AND(Games!#REF!="",Games!#REF!=""),"",IF(ISTEXT(Games!#REF!), "Side",Games!#REF!)))</f>
        <v>#REF!</v>
      </c>
      <c r="J394" s="65" t="e">
        <f>IF(ISBLANK(Games!#REF!), "",IF(Games!#REF!="Y", Games!#REF!, Games!#REF!))</f>
        <v>#REF!</v>
      </c>
      <c r="K394" s="65" t="e">
        <f>Games!#REF!</f>
        <v>#REF!</v>
      </c>
      <c r="L394" s="65" t="e">
        <f>IF(ISBLANK(Games!#REF!), "",Games!#REF!)</f>
        <v>#REF!</v>
      </c>
      <c r="M394" s="65"/>
      <c r="N394" s="167" t="str">
        <f>IF(ISBLANK(Table123[[#This Row],[Odds Side - Difference Model]]), "", 1)</f>
      </c>
      <c r="O394" s="167" t="str">
        <f>IF(ISBLANK(Table123[[#This Row],[Odds Spread]]), "", 1)</f>
      </c>
      <c r="P394" s="67"/>
      <c r="Q394" s="67"/>
      <c r="R3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4" s="67"/>
      <c r="T394" s="67"/>
      <c r="U394" s="168" t="str">
        <f>IF(ISBLANK(Table123[[#This Row],[Odds Side - Difference Model]]), "",N394+IF(Q394&lt;0, (N394/(Q394/-100)), N394*(Q394/100)))</f>
      </c>
      <c r="V394" s="169" t="str">
        <f>IFERROR(IF(ISBLANK(Table123[[#This Row],[Odds Side - Win Probability Model]]), "",N394+IF(R394&lt;0, (N394/(R394/-100)), N394*(R394/100))),"")</f>
      </c>
      <c r="W394" s="168" t="str">
        <f t="shared" si="43"/>
      </c>
      <c r="X394" s="169" t="str">
        <f t="shared" si="44"/>
      </c>
      <c r="Y394" s="168" t="str">
        <f>IF(ISBLANK(Table123[[#This Row],[Odds Spread]]), "",O394+IF(S394&lt;0, (O394/(S394/-100)), O394*(S394/100)))</f>
      </c>
      <c r="Z394" s="168" t="str">
        <f t="shared" si="45"/>
      </c>
      <c r="AA394" s="68" t="n">
        <f t="shared" si="46"/>
        <v>0</v>
      </c>
      <c r="AB394" s="68" t="n">
        <f t="shared" si="47"/>
        <v>0</v>
      </c>
      <c r="AC394" s="170" t="e">
        <f>IF('Prediction Log'!#REF!="Y", "W", IF('Prediction Log'!#REF!="N","L",""))</f>
        <v>#REF!</v>
      </c>
      <c r="AD394" s="171" t="e">
        <f>IF('Prediction Log'!#REF!="Y", "W", IF('Prediction Log'!#REF!="N","L",""))</f>
        <v>#REF!</v>
      </c>
      <c r="AE394" s="172" t="str">
        <f>IF(ISBLANK(Table123[[#This Row],[Odds Side - Difference Model]]), "",IF(AC394="W", W394, IF(AC394="L",-N394, "")))</f>
      </c>
      <c r="AF394" s="173" t="str">
        <f>IFERROR((IF(ISERR(Table123[[#This Row],[Potential Payout Side - Win Probability Model]]), "",IF(AD394="W", X394, IF(AD394="L",-N394, "")))), "")</f>
      </c>
      <c r="AG394" s="170" t="e">
        <f>IF('Prediction Log'!#REF!="Y", "W", IF('Prediction Log'!#REF!="N", "L", ""))</f>
        <v>#REF!</v>
      </c>
      <c r="AH394" s="172" t="str">
        <f>IF(ISBLANK(Table123[[#This Row],[Odds Spread]]), "",IF(AG394="W", Z394, IF(AG394="L",-O394, "")))</f>
      </c>
      <c r="AI394" s="184"/>
      <c r="AJ394" s="183" t="str">
        <f t="shared" si="48"/>
      </c>
      <c r="AK3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5">
      <c r="A395" s="65" t="e">
        <f>Games!#REF!</f>
        <v>#REF!</v>
      </c>
      <c r="B395" s="65" t="e">
        <f>IF('Prediction Log'!#REF!=0, "",'Prediction Log'!#REF!)</f>
        <v>#REF!</v>
      </c>
      <c r="C395" s="65" t="e">
        <f>IF('Prediction Log'!#REF!=0, "",'Prediction Log'!#REF!)</f>
        <v>#REF!</v>
      </c>
      <c r="D395" s="65" t="e">
        <f>IF('Prediction Log'!#REF!=0, "",'Prediction Log'!#REF!)</f>
        <v>#REF!</v>
      </c>
      <c r="E395" s="65" t="e">
        <f>IF('Prediction Log'!#REF!=0, "",'Prediction Log'!#REF!)</f>
        <v>#REF!</v>
      </c>
      <c r="F395" s="65" t="e">
        <f>IF('Prediction Log'!#REF!=0, "",'Prediction Log'!#REF!)</f>
        <v>#REF!</v>
      </c>
      <c r="G395" s="64" t="e">
        <f>IF(ISBLANK(Games!#REF!), "",'Prediction Log'!#REF!)</f>
        <v>#REF!</v>
      </c>
      <c r="H395" s="66" t="e">
        <f>'Prediction Log'!#REF!</f>
        <v>#REF!</v>
      </c>
      <c r="I395" s="65" t="e">
        <f>IF(ISBLANK(Games!#REF!), "",IF(AND(Games!#REF!="",Games!#REF!=""),"",IF(ISTEXT(Games!#REF!), "Side",Games!#REF!)))</f>
        <v>#REF!</v>
      </c>
      <c r="J395" s="65" t="e">
        <f>IF(ISBLANK(Games!#REF!), "",IF(Games!#REF!="Y", Games!#REF!, Games!#REF!))</f>
        <v>#REF!</v>
      </c>
      <c r="K395" s="65" t="e">
        <f>Games!#REF!</f>
        <v>#REF!</v>
      </c>
      <c r="L395" s="65" t="e">
        <f>IF(ISBLANK(Games!#REF!), "",Games!#REF!)</f>
        <v>#REF!</v>
      </c>
      <c r="M395" s="65"/>
      <c r="N395" s="167" t="str">
        <f>IF(ISBLANK(Table123[[#This Row],[Odds Side - Difference Model]]), "", 1)</f>
      </c>
      <c r="O395" s="167" t="str">
        <f>IF(ISBLANK(Table123[[#This Row],[Odds Spread]]), "", 1)</f>
      </c>
      <c r="P395" s="67"/>
      <c r="Q395" s="67"/>
      <c r="R3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5" s="67"/>
      <c r="T395" s="67"/>
      <c r="U395" s="168" t="str">
        <f>IF(ISBLANK(Table123[[#This Row],[Odds Side - Difference Model]]), "",N395+IF(Q395&lt;0, (N395/(Q395/-100)), N395*(Q395/100)))</f>
      </c>
      <c r="V395" s="169" t="str">
        <f>IFERROR(IF(ISBLANK(Table123[[#This Row],[Odds Side - Win Probability Model]]), "",N395+IF(R395&lt;0, (N395/(R395/-100)), N395*(R395/100))),"")</f>
      </c>
      <c r="W395" s="168" t="str">
        <f t="shared" si="43"/>
      </c>
      <c r="X395" s="169" t="str">
        <f t="shared" si="44"/>
      </c>
      <c r="Y395" s="168" t="str">
        <f>IF(ISBLANK(Table123[[#This Row],[Odds Spread]]), "",O395+IF(S395&lt;0, (O395/(S395/-100)), O395*(S395/100)))</f>
      </c>
      <c r="Z395" s="168" t="str">
        <f t="shared" si="45"/>
      </c>
      <c r="AA395" s="68" t="n">
        <f t="shared" si="46"/>
        <v>0</v>
      </c>
      <c r="AB395" s="68" t="n">
        <f t="shared" si="47"/>
        <v>0</v>
      </c>
      <c r="AC395" s="170" t="e">
        <f>IF('Prediction Log'!#REF!="Y", "W", IF('Prediction Log'!#REF!="N","L",""))</f>
        <v>#REF!</v>
      </c>
      <c r="AD395" s="171" t="e">
        <f>IF('Prediction Log'!#REF!="Y", "W", IF('Prediction Log'!#REF!="N","L",""))</f>
        <v>#REF!</v>
      </c>
      <c r="AE395" s="172" t="str">
        <f>IF(ISBLANK(Table123[[#This Row],[Odds Side - Difference Model]]), "",IF(AC395="W", W395, IF(AC395="L",-N395, "")))</f>
      </c>
      <c r="AF395" s="173" t="str">
        <f>IFERROR((IF(ISERR(Table123[[#This Row],[Potential Payout Side - Win Probability Model]]), "",IF(AD395="W", X395, IF(AD395="L",-N395, "")))), "")</f>
      </c>
      <c r="AG395" s="170" t="e">
        <f>IF('Prediction Log'!#REF!="Y", "W", IF('Prediction Log'!#REF!="N", "L", ""))</f>
        <v>#REF!</v>
      </c>
      <c r="AH395" s="172" t="str">
        <f>IF(ISBLANK(Table123[[#This Row],[Odds Spread]]), "",IF(AG395="W", Z395, IF(AG395="L",-O395, "")))</f>
      </c>
      <c r="AI395" s="184"/>
      <c r="AJ395" s="183" t="str">
        <f t="shared" si="48"/>
      </c>
      <c r="AK3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6">
      <c r="A396" s="65" t="e">
        <f>Games!#REF!</f>
        <v>#REF!</v>
      </c>
      <c r="B396" s="65" t="e">
        <f>IF('Prediction Log'!#REF!=0, "",'Prediction Log'!#REF!)</f>
        <v>#REF!</v>
      </c>
      <c r="C396" s="65" t="e">
        <f>IF('Prediction Log'!#REF!=0, "",'Prediction Log'!#REF!)</f>
        <v>#REF!</v>
      </c>
      <c r="D396" s="65" t="e">
        <f>IF('Prediction Log'!#REF!=0, "",'Prediction Log'!#REF!)</f>
        <v>#REF!</v>
      </c>
      <c r="E396" s="65" t="e">
        <f>IF('Prediction Log'!#REF!=0, "",'Prediction Log'!#REF!)</f>
        <v>#REF!</v>
      </c>
      <c r="F396" s="65" t="e">
        <f>IF('Prediction Log'!#REF!=0, "",'Prediction Log'!#REF!)</f>
        <v>#REF!</v>
      </c>
      <c r="G396" s="64" t="e">
        <f>IF(ISBLANK(Games!#REF!), "",'Prediction Log'!#REF!)</f>
        <v>#REF!</v>
      </c>
      <c r="H396" s="66" t="e">
        <f>'Prediction Log'!#REF!</f>
        <v>#REF!</v>
      </c>
      <c r="I396" s="65" t="e">
        <f>IF(ISBLANK(Games!#REF!), "",IF(AND(Games!#REF!="",Games!#REF!=""),"",IF(ISTEXT(Games!#REF!), "Side",Games!#REF!)))</f>
        <v>#REF!</v>
      </c>
      <c r="J396" s="65" t="e">
        <f>IF(ISBLANK(Games!#REF!), "",IF(Games!#REF!="Y", Games!#REF!, Games!#REF!))</f>
        <v>#REF!</v>
      </c>
      <c r="K396" s="65" t="e">
        <f>Games!#REF!</f>
        <v>#REF!</v>
      </c>
      <c r="L396" s="65" t="e">
        <f>IF(ISBLANK(Games!#REF!), "",Games!#REF!)</f>
        <v>#REF!</v>
      </c>
      <c r="M396" s="65"/>
      <c r="N396" s="167" t="str">
        <f>IF(ISBLANK(Table123[[#This Row],[Odds Side - Difference Model]]), "", 1)</f>
      </c>
      <c r="O396" s="167" t="str">
        <f>IF(ISBLANK(Table123[[#This Row],[Odds Spread]]), "", 1)</f>
      </c>
      <c r="P396" s="67"/>
      <c r="Q396" s="67"/>
      <c r="R3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6" s="67"/>
      <c r="T396" s="67"/>
      <c r="U396" s="168" t="str">
        <f>IF(ISBLANK(Table123[[#This Row],[Odds Side - Difference Model]]), "",N396+IF(Q396&lt;0, (N396/(Q396/-100)), N396*(Q396/100)))</f>
      </c>
      <c r="V396" s="169" t="str">
        <f>IFERROR(IF(ISBLANK(Table123[[#This Row],[Odds Side - Win Probability Model]]), "",N396+IF(R396&lt;0, (N396/(R396/-100)), N396*(R396/100))),"")</f>
      </c>
      <c r="W396" s="168" t="str">
        <f t="shared" si="43"/>
      </c>
      <c r="X396" s="169" t="str">
        <f t="shared" si="44"/>
      </c>
      <c r="Y396" s="168" t="str">
        <f>IF(ISBLANK(Table123[[#This Row],[Odds Spread]]), "",O396+IF(S396&lt;0, (O396/(S396/-100)), O396*(S396/100)))</f>
      </c>
      <c r="Z396" s="168" t="str">
        <f t="shared" si="45"/>
      </c>
      <c r="AA396" s="68" t="n">
        <f t="shared" si="46"/>
        <v>0</v>
      </c>
      <c r="AB396" s="68" t="n">
        <f t="shared" si="47"/>
        <v>0</v>
      </c>
      <c r="AC396" s="170" t="e">
        <f>IF('Prediction Log'!#REF!="Y", "W", IF('Prediction Log'!#REF!="N","L",""))</f>
        <v>#REF!</v>
      </c>
      <c r="AD396" s="171" t="e">
        <f>IF('Prediction Log'!#REF!="Y", "W", IF('Prediction Log'!#REF!="N","L",""))</f>
        <v>#REF!</v>
      </c>
      <c r="AE396" s="172" t="str">
        <f>IF(ISBLANK(Table123[[#This Row],[Odds Side - Difference Model]]), "",IF(AC396="W", W396, IF(AC396="L",-N396, "")))</f>
      </c>
      <c r="AF396" s="173" t="str">
        <f>IFERROR((IF(ISERR(Table123[[#This Row],[Potential Payout Side - Win Probability Model]]), "",IF(AD396="W", X396, IF(AD396="L",-N396, "")))), "")</f>
      </c>
      <c r="AG396" s="170" t="e">
        <f>IF('Prediction Log'!#REF!="Y", "W", IF('Prediction Log'!#REF!="N", "L", ""))</f>
        <v>#REF!</v>
      </c>
      <c r="AH396" s="172" t="str">
        <f>IF(ISBLANK(Table123[[#This Row],[Odds Spread]]), "",IF(AG396="W", Z396, IF(AG396="L",-O396, "")))</f>
      </c>
      <c r="AI396" s="184"/>
      <c r="AJ396" s="183" t="str">
        <f t="shared" si="48"/>
      </c>
      <c r="AK3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7">
      <c r="A397" s="65" t="e">
        <f>Games!#REF!</f>
        <v>#REF!</v>
      </c>
      <c r="B397" s="65" t="e">
        <f>IF('Prediction Log'!#REF!=0, "",'Prediction Log'!#REF!)</f>
        <v>#REF!</v>
      </c>
      <c r="C397" s="65" t="e">
        <f>IF('Prediction Log'!#REF!=0, "",'Prediction Log'!#REF!)</f>
        <v>#REF!</v>
      </c>
      <c r="D397" s="65" t="e">
        <f>IF('Prediction Log'!#REF!=0, "",'Prediction Log'!#REF!)</f>
        <v>#REF!</v>
      </c>
      <c r="E397" s="65" t="e">
        <f>IF('Prediction Log'!#REF!=0, "",'Prediction Log'!#REF!)</f>
        <v>#REF!</v>
      </c>
      <c r="F397" s="65" t="e">
        <f>IF('Prediction Log'!#REF!=0, "",'Prediction Log'!#REF!)</f>
        <v>#REF!</v>
      </c>
      <c r="G397" s="64" t="e">
        <f>IF(ISBLANK(Games!#REF!), "",'Prediction Log'!#REF!)</f>
        <v>#REF!</v>
      </c>
      <c r="H397" s="66" t="e">
        <f>'Prediction Log'!#REF!</f>
        <v>#REF!</v>
      </c>
      <c r="I397" s="65" t="e">
        <f>IF(ISBLANK(Games!#REF!), "",IF(AND(Games!#REF!="",Games!#REF!=""),"",IF(ISTEXT(Games!#REF!), "Side",Games!#REF!)))</f>
        <v>#REF!</v>
      </c>
      <c r="J397" s="65" t="e">
        <f>IF(ISBLANK(Games!#REF!), "",IF(Games!#REF!="Y", Games!#REF!, Games!#REF!))</f>
        <v>#REF!</v>
      </c>
      <c r="K397" s="65" t="e">
        <f>Games!#REF!</f>
        <v>#REF!</v>
      </c>
      <c r="L397" s="65" t="e">
        <f>IF(ISBLANK(Games!#REF!), "",Games!#REF!)</f>
        <v>#REF!</v>
      </c>
      <c r="M397" s="65"/>
      <c r="N397" s="167" t="str">
        <f>IF(ISBLANK(Table123[[#This Row],[Odds Side - Difference Model]]), "", 1)</f>
      </c>
      <c r="O397" s="167" t="str">
        <f>IF(ISBLANK(Table123[[#This Row],[Odds Spread]]), "", 1)</f>
      </c>
      <c r="P397" s="67"/>
      <c r="Q397" s="67"/>
      <c r="R3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7" s="67"/>
      <c r="T397" s="67"/>
      <c r="U397" s="168" t="str">
        <f>IF(ISBLANK(Table123[[#This Row],[Odds Side - Difference Model]]), "",N397+IF(Q397&lt;0, (N397/(Q397/-100)), N397*(Q397/100)))</f>
      </c>
      <c r="V397" s="169" t="str">
        <f>IFERROR(IF(ISBLANK(Table123[[#This Row],[Odds Side - Win Probability Model]]), "",N397+IF(R397&lt;0, (N397/(R397/-100)), N397*(R397/100))),"")</f>
      </c>
      <c r="W397" s="168" t="str">
        <f t="shared" si="43"/>
      </c>
      <c r="X397" s="169" t="str">
        <f t="shared" si="44"/>
      </c>
      <c r="Y397" s="168" t="str">
        <f>IF(ISBLANK(Table123[[#This Row],[Odds Spread]]), "",O397+IF(S397&lt;0, (O397/(S397/-100)), O397*(S397/100)))</f>
      </c>
      <c r="Z397" s="168" t="str">
        <f t="shared" si="45"/>
      </c>
      <c r="AA397" s="68" t="n">
        <f t="shared" si="46"/>
        <v>0</v>
      </c>
      <c r="AB397" s="68" t="n">
        <f t="shared" si="47"/>
        <v>0</v>
      </c>
      <c r="AC397" s="170" t="e">
        <f>IF('Prediction Log'!#REF!="Y", "W", IF('Prediction Log'!#REF!="N","L",""))</f>
        <v>#REF!</v>
      </c>
      <c r="AD397" s="171" t="e">
        <f>IF('Prediction Log'!#REF!="Y", "W", IF('Prediction Log'!#REF!="N","L",""))</f>
        <v>#REF!</v>
      </c>
      <c r="AE397" s="172" t="str">
        <f>IF(ISBLANK(Table123[[#This Row],[Odds Side - Difference Model]]), "",IF(AC397="W", W397, IF(AC397="L",-N397, "")))</f>
      </c>
      <c r="AF397" s="173" t="str">
        <f>IFERROR((IF(ISERR(Table123[[#This Row],[Potential Payout Side - Win Probability Model]]), "",IF(AD397="W", X397, IF(AD397="L",-N397, "")))), "")</f>
      </c>
      <c r="AG397" s="170" t="e">
        <f>IF('Prediction Log'!#REF!="Y", "W", IF('Prediction Log'!#REF!="N", "L", ""))</f>
        <v>#REF!</v>
      </c>
      <c r="AH397" s="172" t="str">
        <f>IF(ISBLANK(Table123[[#This Row],[Odds Spread]]), "",IF(AG397="W", Z397, IF(AG397="L",-O397, "")))</f>
      </c>
      <c r="AI397" s="184"/>
      <c r="AJ397" s="183" t="str">
        <f t="shared" si="48"/>
      </c>
      <c r="AK3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8">
      <c r="A398" s="65" t="e">
        <f>Games!#REF!</f>
        <v>#REF!</v>
      </c>
      <c r="B398" s="65" t="e">
        <f>IF('Prediction Log'!#REF!=0, "",'Prediction Log'!#REF!)</f>
        <v>#REF!</v>
      </c>
      <c r="C398" s="65" t="e">
        <f>IF('Prediction Log'!#REF!=0, "",'Prediction Log'!#REF!)</f>
        <v>#REF!</v>
      </c>
      <c r="D398" s="65" t="e">
        <f>IF('Prediction Log'!#REF!=0, "",'Prediction Log'!#REF!)</f>
        <v>#REF!</v>
      </c>
      <c r="E398" s="65" t="e">
        <f>IF('Prediction Log'!#REF!=0, "",'Prediction Log'!#REF!)</f>
        <v>#REF!</v>
      </c>
      <c r="F398" s="65" t="e">
        <f>IF('Prediction Log'!#REF!=0, "",'Prediction Log'!#REF!)</f>
        <v>#REF!</v>
      </c>
      <c r="G398" s="64" t="e">
        <f>IF(ISBLANK(Games!#REF!), "",'Prediction Log'!#REF!)</f>
        <v>#REF!</v>
      </c>
      <c r="H398" s="66" t="e">
        <f>'Prediction Log'!#REF!</f>
        <v>#REF!</v>
      </c>
      <c r="I398" s="65" t="e">
        <f>IF(ISBLANK(Games!#REF!), "",IF(AND(Games!#REF!="",Games!#REF!=""),"",IF(ISTEXT(Games!#REF!), "Side",Games!#REF!)))</f>
        <v>#REF!</v>
      </c>
      <c r="J398" s="65" t="e">
        <f>IF(ISBLANK(Games!#REF!), "",IF(Games!#REF!="Y", Games!#REF!, Games!#REF!))</f>
        <v>#REF!</v>
      </c>
      <c r="K398" s="65" t="e">
        <f>Games!#REF!</f>
        <v>#REF!</v>
      </c>
      <c r="L398" s="65" t="e">
        <f>IF(ISBLANK(Games!#REF!), "",Games!#REF!)</f>
        <v>#REF!</v>
      </c>
      <c r="M398" s="65"/>
      <c r="N398" s="167" t="str">
        <f>IF(ISBLANK(Table123[[#This Row],[Odds Side - Difference Model]]), "", 1)</f>
      </c>
      <c r="O398" s="167" t="str">
        <f>IF(ISBLANK(Table123[[#This Row],[Odds Spread]]), "", 1)</f>
      </c>
      <c r="P398" s="67"/>
      <c r="Q398" s="67"/>
      <c r="R3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8" s="67"/>
      <c r="T398" s="67"/>
      <c r="U398" s="168" t="str">
        <f>IF(ISBLANK(Table123[[#This Row],[Odds Side - Difference Model]]), "",N398+IF(Q398&lt;0, (N398/(Q398/-100)), N398*(Q398/100)))</f>
      </c>
      <c r="V398" s="169" t="str">
        <f>IFERROR(IF(ISBLANK(Table123[[#This Row],[Odds Side - Win Probability Model]]), "",N398+IF(R398&lt;0, (N398/(R398/-100)), N398*(R398/100))),"")</f>
      </c>
      <c r="W398" s="168" t="str">
        <f t="shared" si="43"/>
      </c>
      <c r="X398" s="169" t="str">
        <f t="shared" si="44"/>
      </c>
      <c r="Y398" s="168" t="str">
        <f>IF(ISBLANK(Table123[[#This Row],[Odds Spread]]), "",O398+IF(S398&lt;0, (O398/(S398/-100)), O398*(S398/100)))</f>
      </c>
      <c r="Z398" s="168" t="str">
        <f t="shared" si="45"/>
      </c>
      <c r="AA398" s="68" t="n">
        <f t="shared" si="46"/>
        <v>0</v>
      </c>
      <c r="AB398" s="68" t="n">
        <f t="shared" si="47"/>
        <v>0</v>
      </c>
      <c r="AC398" s="170" t="e">
        <f>IF('Prediction Log'!#REF!="Y", "W", IF('Prediction Log'!#REF!="N","L",""))</f>
        <v>#REF!</v>
      </c>
      <c r="AD398" s="171" t="e">
        <f>IF('Prediction Log'!#REF!="Y", "W", IF('Prediction Log'!#REF!="N","L",""))</f>
        <v>#REF!</v>
      </c>
      <c r="AE398" s="172" t="str">
        <f>IF(ISBLANK(Table123[[#This Row],[Odds Side - Difference Model]]), "",IF(AC398="W", W398, IF(AC398="L",-N398, "")))</f>
      </c>
      <c r="AF398" s="173" t="str">
        <f>IFERROR((IF(ISERR(Table123[[#This Row],[Potential Payout Side - Win Probability Model]]), "",IF(AD398="W", X398, IF(AD398="L",-N398, "")))), "")</f>
      </c>
      <c r="AG398" s="170" t="e">
        <f>IF('Prediction Log'!#REF!="Y", "W", IF('Prediction Log'!#REF!="N", "L", ""))</f>
        <v>#REF!</v>
      </c>
      <c r="AH398" s="172" t="str">
        <f>IF(ISBLANK(Table123[[#This Row],[Odds Spread]]), "",IF(AG398="W", Z398, IF(AG398="L",-O398, "")))</f>
      </c>
      <c r="AI398" s="184"/>
      <c r="AJ398" s="183" t="str">
        <f t="shared" si="48"/>
      </c>
      <c r="AK3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9">
      <c r="A399" s="65" t="e">
        <f>Games!#REF!</f>
        <v>#REF!</v>
      </c>
      <c r="B399" s="65" t="e">
        <f>IF('Prediction Log'!#REF!=0, "",'Prediction Log'!#REF!)</f>
        <v>#REF!</v>
      </c>
      <c r="C399" s="65" t="e">
        <f>IF('Prediction Log'!#REF!=0, "",'Prediction Log'!#REF!)</f>
        <v>#REF!</v>
      </c>
      <c r="D399" s="65" t="e">
        <f>IF('Prediction Log'!#REF!=0, "",'Prediction Log'!#REF!)</f>
        <v>#REF!</v>
      </c>
      <c r="E399" s="65" t="e">
        <f>IF('Prediction Log'!#REF!=0, "",'Prediction Log'!#REF!)</f>
        <v>#REF!</v>
      </c>
      <c r="F399" s="65" t="e">
        <f>IF('Prediction Log'!#REF!=0, "",'Prediction Log'!#REF!)</f>
        <v>#REF!</v>
      </c>
      <c r="G399" s="64" t="e">
        <f>IF(ISBLANK(Games!#REF!), "",'Prediction Log'!#REF!)</f>
        <v>#REF!</v>
      </c>
      <c r="H399" s="66" t="e">
        <f>'Prediction Log'!#REF!</f>
        <v>#REF!</v>
      </c>
      <c r="I399" s="65" t="e">
        <f>IF(ISBLANK(Games!#REF!), "",IF(AND(Games!#REF!="",Games!#REF!=""),"",IF(ISTEXT(Games!#REF!), "Side",Games!#REF!)))</f>
        <v>#REF!</v>
      </c>
      <c r="J399" s="65" t="e">
        <f>IF(ISBLANK(Games!#REF!), "",IF(Games!#REF!="Y", Games!#REF!, Games!#REF!))</f>
        <v>#REF!</v>
      </c>
      <c r="K399" s="65" t="e">
        <f>Games!#REF!</f>
        <v>#REF!</v>
      </c>
      <c r="L399" s="65" t="e">
        <f>IF(ISBLANK(Games!#REF!), "",Games!#REF!)</f>
        <v>#REF!</v>
      </c>
      <c r="M399" s="65"/>
      <c r="N399" s="167" t="str">
        <f>IF(ISBLANK(Table123[[#This Row],[Odds Side - Difference Model]]), "", 1)</f>
      </c>
      <c r="O399" s="167" t="str">
        <f>IF(ISBLANK(Table123[[#This Row],[Odds Spread]]), "", 1)</f>
      </c>
      <c r="P399" s="67"/>
      <c r="Q399" s="67"/>
      <c r="R3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9" s="67"/>
      <c r="T399" s="67"/>
      <c r="U399" s="168" t="str">
        <f>IF(ISBLANK(Table123[[#This Row],[Odds Side - Difference Model]]), "",N399+IF(Q399&lt;0, (N399/(Q399/-100)), N399*(Q399/100)))</f>
      </c>
      <c r="V399" s="169" t="str">
        <f>IFERROR(IF(ISBLANK(Table123[[#This Row],[Odds Side - Win Probability Model]]), "",N399+IF(R399&lt;0, (N399/(R399/-100)), N399*(R399/100))),"")</f>
      </c>
      <c r="W399" s="168" t="str">
        <f t="shared" si="43"/>
      </c>
      <c r="X399" s="169" t="str">
        <f t="shared" si="44"/>
      </c>
      <c r="Y399" s="168" t="str">
        <f>IF(ISBLANK(Table123[[#This Row],[Odds Spread]]), "",O399+IF(S399&lt;0, (O399/(S399/-100)), O399*(S399/100)))</f>
      </c>
      <c r="Z399" s="168" t="str">
        <f t="shared" si="45"/>
      </c>
      <c r="AA399" s="68" t="n">
        <f t="shared" si="46"/>
        <v>0</v>
      </c>
      <c r="AB399" s="68" t="n">
        <f t="shared" si="47"/>
        <v>0</v>
      </c>
      <c r="AC399" s="170" t="e">
        <f>IF('Prediction Log'!#REF!="Y", "W", IF('Prediction Log'!#REF!="N","L",""))</f>
        <v>#REF!</v>
      </c>
      <c r="AD399" s="171" t="e">
        <f>IF('Prediction Log'!#REF!="Y", "W", IF('Prediction Log'!#REF!="N","L",""))</f>
        <v>#REF!</v>
      </c>
      <c r="AE399" s="172" t="str">
        <f>IF(ISBLANK(Table123[[#This Row],[Odds Side - Difference Model]]), "",IF(AC399="W", W399, IF(AC399="L",-N399, "")))</f>
      </c>
      <c r="AF399" s="173" t="str">
        <f>IFERROR((IF(ISERR(Table123[[#This Row],[Potential Payout Side - Win Probability Model]]), "",IF(AD399="W", X399, IF(AD399="L",-N399, "")))), "")</f>
      </c>
      <c r="AG399" s="170" t="e">
        <f>IF('Prediction Log'!#REF!="Y", "W", IF('Prediction Log'!#REF!="N", "L", ""))</f>
        <v>#REF!</v>
      </c>
      <c r="AH399" s="172" t="str">
        <f>IF(ISBLANK(Table123[[#This Row],[Odds Spread]]), "",IF(AG399="W", Z399, IF(AG399="L",-O399, "")))</f>
      </c>
      <c r="AI399" s="184"/>
      <c r="AJ399" s="183" t="str">
        <f t="shared" si="48"/>
      </c>
      <c r="AK3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0">
      <c r="A400" s="65" t="e">
        <f>Games!#REF!</f>
        <v>#REF!</v>
      </c>
      <c r="B400" s="65" t="e">
        <f>IF('Prediction Log'!#REF!=0, "",'Prediction Log'!#REF!)</f>
        <v>#REF!</v>
      </c>
      <c r="C400" s="65" t="e">
        <f>IF('Prediction Log'!#REF!=0, "",'Prediction Log'!#REF!)</f>
        <v>#REF!</v>
      </c>
      <c r="D400" s="65" t="e">
        <f>IF('Prediction Log'!#REF!=0, "",'Prediction Log'!#REF!)</f>
        <v>#REF!</v>
      </c>
      <c r="E400" s="65" t="e">
        <f>IF('Prediction Log'!#REF!=0, "",'Prediction Log'!#REF!)</f>
        <v>#REF!</v>
      </c>
      <c r="F400" s="65" t="e">
        <f>IF('Prediction Log'!#REF!=0, "",'Prediction Log'!#REF!)</f>
        <v>#REF!</v>
      </c>
      <c r="G400" s="64" t="e">
        <f>IF(ISBLANK(Games!#REF!), "",'Prediction Log'!#REF!)</f>
        <v>#REF!</v>
      </c>
      <c r="H400" s="66" t="e">
        <f>'Prediction Log'!#REF!</f>
        <v>#REF!</v>
      </c>
      <c r="I400" s="65" t="e">
        <f>IF(ISBLANK(Games!#REF!), "",IF(AND(Games!#REF!="",Games!#REF!=""),"",IF(ISTEXT(Games!#REF!), "Side",Games!#REF!)))</f>
        <v>#REF!</v>
      </c>
      <c r="J400" s="65" t="e">
        <f>IF(ISBLANK(Games!#REF!), "",IF(Games!#REF!="Y", Games!#REF!, Games!#REF!))</f>
        <v>#REF!</v>
      </c>
      <c r="K400" s="65" t="e">
        <f>Games!#REF!</f>
        <v>#REF!</v>
      </c>
      <c r="L400" s="65" t="e">
        <f>IF(ISBLANK(Games!#REF!), "",Games!#REF!)</f>
        <v>#REF!</v>
      </c>
      <c r="M400" s="65"/>
      <c r="N400" s="167" t="str">
        <f>IF(ISBLANK(Table123[[#This Row],[Odds Side - Difference Model]]), "", 1)</f>
      </c>
      <c r="O400" s="167" t="str">
        <f>IF(ISBLANK(Table123[[#This Row],[Odds Spread]]), "", 1)</f>
      </c>
      <c r="P400" s="67"/>
      <c r="Q400" s="67"/>
      <c r="R4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0" s="67"/>
      <c r="T400" s="67"/>
      <c r="U400" s="168" t="str">
        <f>IF(ISBLANK(Table123[[#This Row],[Odds Side - Difference Model]]), "",N400+IF(Q400&lt;0, (N400/(Q400/-100)), N400*(Q400/100)))</f>
      </c>
      <c r="V400" s="169" t="str">
        <f>IFERROR(IF(ISBLANK(Table123[[#This Row],[Odds Side - Win Probability Model]]), "",N400+IF(R400&lt;0, (N400/(R400/-100)), N400*(R400/100))),"")</f>
      </c>
      <c r="W400" s="168" t="str">
        <f t="shared" si="43"/>
      </c>
      <c r="X400" s="169" t="str">
        <f t="shared" si="44"/>
      </c>
      <c r="Y400" s="168" t="str">
        <f>IF(ISBLANK(Table123[[#This Row],[Odds Spread]]), "",O400+IF(S400&lt;0, (O400/(S400/-100)), O400*(S400/100)))</f>
      </c>
      <c r="Z400" s="168" t="str">
        <f t="shared" si="45"/>
      </c>
      <c r="AA400" s="68" t="n">
        <f t="shared" si="46"/>
        <v>0</v>
      </c>
      <c r="AB400" s="68" t="n">
        <f t="shared" si="47"/>
        <v>0</v>
      </c>
      <c r="AC400" s="170" t="e">
        <f>IF('Prediction Log'!#REF!="Y", "W", IF('Prediction Log'!#REF!="N","L",""))</f>
        <v>#REF!</v>
      </c>
      <c r="AD400" s="171" t="e">
        <f>IF('Prediction Log'!#REF!="Y", "W", IF('Prediction Log'!#REF!="N","L",""))</f>
        <v>#REF!</v>
      </c>
      <c r="AE400" s="172" t="str">
        <f>IF(ISBLANK(Table123[[#This Row],[Odds Side - Difference Model]]), "",IF(AC400="W", W400, IF(AC400="L",-N400, "")))</f>
      </c>
      <c r="AF400" s="173" t="str">
        <f>IFERROR((IF(ISERR(Table123[[#This Row],[Potential Payout Side - Win Probability Model]]), "",IF(AD400="W", X400, IF(AD400="L",-N400, "")))), "")</f>
      </c>
      <c r="AG400" s="170" t="e">
        <f>IF('Prediction Log'!#REF!="Y", "W", IF('Prediction Log'!#REF!="N", "L", ""))</f>
        <v>#REF!</v>
      </c>
      <c r="AH400" s="172" t="str">
        <f>IF(ISBLANK(Table123[[#This Row],[Odds Spread]]), "",IF(AG400="W", Z400, IF(AG400="L",-O400, "")))</f>
      </c>
      <c r="AI400" s="184"/>
      <c r="AJ400" s="183" t="str">
        <f t="shared" si="48"/>
      </c>
      <c r="AK4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1">
      <c r="A401" s="65" t="e">
        <f>Games!#REF!</f>
        <v>#REF!</v>
      </c>
      <c r="B401" s="65" t="e">
        <f>IF('Prediction Log'!#REF!=0, "",'Prediction Log'!#REF!)</f>
        <v>#REF!</v>
      </c>
      <c r="C401" s="65" t="e">
        <f>IF('Prediction Log'!#REF!=0, "",'Prediction Log'!#REF!)</f>
        <v>#REF!</v>
      </c>
      <c r="D401" s="65" t="e">
        <f>IF('Prediction Log'!#REF!=0, "",'Prediction Log'!#REF!)</f>
        <v>#REF!</v>
      </c>
      <c r="E401" s="65" t="e">
        <f>IF('Prediction Log'!#REF!=0, "",'Prediction Log'!#REF!)</f>
        <v>#REF!</v>
      </c>
      <c r="F401" s="65" t="e">
        <f>IF('Prediction Log'!#REF!=0, "",'Prediction Log'!#REF!)</f>
        <v>#REF!</v>
      </c>
      <c r="G401" s="64" t="e">
        <f>IF(ISBLANK(Games!#REF!), "",'Prediction Log'!#REF!)</f>
        <v>#REF!</v>
      </c>
      <c r="H401" s="66" t="e">
        <f>'Prediction Log'!#REF!</f>
        <v>#REF!</v>
      </c>
      <c r="I401" s="65" t="e">
        <f>IF(ISBLANK(Games!#REF!), "",IF(AND(Games!#REF!="",Games!#REF!=""),"",IF(ISTEXT(Games!#REF!), "Side",Games!#REF!)))</f>
        <v>#REF!</v>
      </c>
      <c r="J401" s="65" t="e">
        <f>IF(ISBLANK(Games!#REF!), "",IF(Games!#REF!="Y", Games!#REF!, Games!#REF!))</f>
        <v>#REF!</v>
      </c>
      <c r="K401" s="65" t="e">
        <f>Games!#REF!</f>
        <v>#REF!</v>
      </c>
      <c r="L401" s="65" t="e">
        <f>IF(ISBLANK(Games!#REF!), "",Games!#REF!)</f>
        <v>#REF!</v>
      </c>
      <c r="M401" s="65"/>
      <c r="N401" s="167" t="str">
        <f>IF(ISBLANK(Table123[[#This Row],[Odds Side - Difference Model]]), "", 1)</f>
      </c>
      <c r="O401" s="167" t="str">
        <f>IF(ISBLANK(Table123[[#This Row],[Odds Spread]]), "", 1)</f>
      </c>
      <c r="P401" s="67"/>
      <c r="Q401" s="67"/>
      <c r="R4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1" s="67"/>
      <c r="T401" s="67"/>
      <c r="U401" s="168" t="str">
        <f>IF(ISBLANK(Table123[[#This Row],[Odds Side - Difference Model]]), "",N401+IF(Q401&lt;0, (N401/(Q401/-100)), N401*(Q401/100)))</f>
      </c>
      <c r="V401" s="169" t="str">
        <f>IFERROR(IF(ISBLANK(Table123[[#This Row],[Odds Side - Win Probability Model]]), "",N401+IF(R401&lt;0, (N401/(R401/-100)), N401*(R401/100))),"")</f>
      </c>
      <c r="W401" s="168" t="str">
        <f t="shared" si="43"/>
      </c>
      <c r="X401" s="169" t="str">
        <f t="shared" si="44"/>
      </c>
      <c r="Y401" s="168" t="str">
        <f>IF(ISBLANK(Table123[[#This Row],[Odds Spread]]), "",O401+IF(S401&lt;0, (O401/(S401/-100)), O401*(S401/100)))</f>
      </c>
      <c r="Z401" s="168" t="str">
        <f t="shared" si="45"/>
      </c>
      <c r="AA401" s="68" t="n">
        <f t="shared" si="46"/>
        <v>0</v>
      </c>
      <c r="AB401" s="68" t="n">
        <f t="shared" si="47"/>
        <v>0</v>
      </c>
      <c r="AC401" s="170" t="e">
        <f>IF('Prediction Log'!#REF!="Y", "W", IF('Prediction Log'!#REF!="N","L",""))</f>
        <v>#REF!</v>
      </c>
      <c r="AD401" s="171" t="e">
        <f>IF('Prediction Log'!#REF!="Y", "W", IF('Prediction Log'!#REF!="N","L",""))</f>
        <v>#REF!</v>
      </c>
      <c r="AE401" s="172" t="str">
        <f>IF(ISBLANK(Table123[[#This Row],[Odds Side - Difference Model]]), "",IF(AC401="W", W401, IF(AC401="L",-N401, "")))</f>
      </c>
      <c r="AF401" s="173" t="str">
        <f>IFERROR((IF(ISERR(Table123[[#This Row],[Potential Payout Side - Win Probability Model]]), "",IF(AD401="W", X401, IF(AD401="L",-N401, "")))), "")</f>
      </c>
      <c r="AG401" s="170" t="e">
        <f>IF('Prediction Log'!#REF!="Y", "W", IF('Prediction Log'!#REF!="N", "L", ""))</f>
        <v>#REF!</v>
      </c>
      <c r="AH401" s="172" t="str">
        <f>IF(ISBLANK(Table123[[#This Row],[Odds Spread]]), "",IF(AG401="W", Z401, IF(AG401="L",-O401, "")))</f>
      </c>
      <c r="AI401" s="184"/>
      <c r="AJ401" s="183" t="str">
        <f t="shared" si="48"/>
      </c>
      <c r="AK4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2">
      <c r="A402" s="65" t="e">
        <f>Games!#REF!</f>
        <v>#REF!</v>
      </c>
      <c r="B402" s="65" t="e">
        <f>IF('Prediction Log'!#REF!=0, "",'Prediction Log'!#REF!)</f>
        <v>#REF!</v>
      </c>
      <c r="C402" s="65" t="e">
        <f>IF('Prediction Log'!#REF!=0, "",'Prediction Log'!#REF!)</f>
        <v>#REF!</v>
      </c>
      <c r="D402" s="65" t="e">
        <f>IF('Prediction Log'!#REF!=0, "",'Prediction Log'!#REF!)</f>
        <v>#REF!</v>
      </c>
      <c r="E402" s="65" t="e">
        <f>IF('Prediction Log'!#REF!=0, "",'Prediction Log'!#REF!)</f>
        <v>#REF!</v>
      </c>
      <c r="F402" s="65" t="e">
        <f>IF('Prediction Log'!#REF!=0, "",'Prediction Log'!#REF!)</f>
        <v>#REF!</v>
      </c>
      <c r="G402" s="64" t="e">
        <f>IF(ISBLANK(Games!#REF!), "",'Prediction Log'!#REF!)</f>
        <v>#REF!</v>
      </c>
      <c r="H402" s="66" t="e">
        <f>'Prediction Log'!#REF!</f>
        <v>#REF!</v>
      </c>
      <c r="I402" s="65" t="e">
        <f>IF(ISBLANK(Games!#REF!), "",IF(AND(Games!#REF!="",Games!#REF!=""),"",IF(ISTEXT(Games!#REF!), "Side",Games!#REF!)))</f>
        <v>#REF!</v>
      </c>
      <c r="J402" s="65" t="e">
        <f>IF(ISBLANK(Games!#REF!), "",IF(Games!#REF!="Y", Games!#REF!, Games!#REF!))</f>
        <v>#REF!</v>
      </c>
      <c r="K402" s="65" t="e">
        <f>Games!#REF!</f>
        <v>#REF!</v>
      </c>
      <c r="L402" s="65" t="e">
        <f>IF(ISBLANK(Games!#REF!), "",Games!#REF!)</f>
        <v>#REF!</v>
      </c>
      <c r="M402" s="65"/>
      <c r="N402" s="167" t="str">
        <f>IF(ISBLANK(Table123[[#This Row],[Odds Side - Difference Model]]), "", 1)</f>
      </c>
      <c r="O402" s="167" t="str">
        <f>IF(ISBLANK(Table123[[#This Row],[Odds Spread]]), "", 1)</f>
      </c>
      <c r="P402" s="67"/>
      <c r="Q402" s="67"/>
      <c r="R4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2" s="67"/>
      <c r="T402" s="67"/>
      <c r="U402" s="168" t="str">
        <f>IF(ISBLANK(Table123[[#This Row],[Odds Side - Difference Model]]), "",N402+IF(Q402&lt;0, (N402/(Q402/-100)), N402*(Q402/100)))</f>
      </c>
      <c r="V402" s="169" t="str">
        <f>IFERROR(IF(ISBLANK(Table123[[#This Row],[Odds Side - Win Probability Model]]), "",N402+IF(R402&lt;0, (N402/(R402/-100)), N402*(R402/100))),"")</f>
      </c>
      <c r="W402" s="168" t="str">
        <f t="shared" si="43"/>
      </c>
      <c r="X402" s="169" t="str">
        <f t="shared" si="44"/>
      </c>
      <c r="Y402" s="168" t="str">
        <f>IF(ISBLANK(Table123[[#This Row],[Odds Spread]]), "",O402+IF(S402&lt;0, (O402/(S402/-100)), O402*(S402/100)))</f>
      </c>
      <c r="Z402" s="168" t="str">
        <f t="shared" si="45"/>
      </c>
      <c r="AA402" s="68" t="n">
        <f t="shared" si="46"/>
        <v>0</v>
      </c>
      <c r="AB402" s="68" t="n">
        <f t="shared" si="47"/>
        <v>0</v>
      </c>
      <c r="AC402" s="170" t="e">
        <f>IF('Prediction Log'!#REF!="Y", "W", IF('Prediction Log'!#REF!="N","L",""))</f>
        <v>#REF!</v>
      </c>
      <c r="AD402" s="171" t="e">
        <f>IF('Prediction Log'!#REF!="Y", "W", IF('Prediction Log'!#REF!="N","L",""))</f>
        <v>#REF!</v>
      </c>
      <c r="AE402" s="172" t="str">
        <f>IF(ISBLANK(Table123[[#This Row],[Odds Side - Difference Model]]), "",IF(AC402="W", W402, IF(AC402="L",-N402, "")))</f>
      </c>
      <c r="AF402" s="173" t="str">
        <f>IFERROR((IF(ISERR(Table123[[#This Row],[Potential Payout Side - Win Probability Model]]), "",IF(AD402="W", X402, IF(AD402="L",-N402, "")))), "")</f>
      </c>
      <c r="AG402" s="170" t="e">
        <f>IF('Prediction Log'!#REF!="Y", "W", IF('Prediction Log'!#REF!="N", "L", ""))</f>
        <v>#REF!</v>
      </c>
      <c r="AH402" s="172" t="str">
        <f>IF(ISBLANK(Table123[[#This Row],[Odds Spread]]), "",IF(AG402="W", Z402, IF(AG402="L",-O402, "")))</f>
      </c>
      <c r="AI402" s="184"/>
      <c r="AJ402" s="183" t="str">
        <f t="shared" si="48"/>
      </c>
      <c r="AK4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3">
      <c r="A403" s="65" t="e">
        <f>Games!#REF!</f>
        <v>#REF!</v>
      </c>
      <c r="B403" s="65" t="e">
        <f>IF('Prediction Log'!#REF!=0, "",'Prediction Log'!#REF!)</f>
        <v>#REF!</v>
      </c>
      <c r="C403" s="65" t="e">
        <f>IF('Prediction Log'!#REF!=0, "",'Prediction Log'!#REF!)</f>
        <v>#REF!</v>
      </c>
      <c r="D403" s="65" t="e">
        <f>IF('Prediction Log'!#REF!=0, "",'Prediction Log'!#REF!)</f>
        <v>#REF!</v>
      </c>
      <c r="E403" s="65" t="e">
        <f>IF('Prediction Log'!#REF!=0, "",'Prediction Log'!#REF!)</f>
        <v>#REF!</v>
      </c>
      <c r="F403" s="65" t="e">
        <f>IF('Prediction Log'!#REF!=0, "",'Prediction Log'!#REF!)</f>
        <v>#REF!</v>
      </c>
      <c r="G403" s="64" t="e">
        <f>IF(ISBLANK(Games!#REF!), "",'Prediction Log'!#REF!)</f>
        <v>#REF!</v>
      </c>
      <c r="H403" s="66" t="e">
        <f>'Prediction Log'!#REF!</f>
        <v>#REF!</v>
      </c>
      <c r="I403" s="65" t="e">
        <f>IF(ISBLANK(Games!#REF!), "",IF(AND(Games!#REF!="",Games!#REF!=""),"",IF(ISTEXT(Games!#REF!), "Side",Games!#REF!)))</f>
        <v>#REF!</v>
      </c>
      <c r="J403" s="65" t="e">
        <f>IF(ISBLANK(Games!#REF!), "",IF(Games!#REF!="Y", Games!#REF!, Games!#REF!))</f>
        <v>#REF!</v>
      </c>
      <c r="K403" s="65" t="e">
        <f>Games!#REF!</f>
        <v>#REF!</v>
      </c>
      <c r="L403" s="65" t="e">
        <f>IF(ISBLANK(Games!#REF!), "",Games!#REF!)</f>
        <v>#REF!</v>
      </c>
      <c r="M403" s="65"/>
      <c r="N403" s="167" t="str">
        <f>IF(ISBLANK(Table123[[#This Row],[Odds Side - Difference Model]]), "", 1)</f>
      </c>
      <c r="O403" s="167" t="str">
        <f>IF(ISBLANK(Table123[[#This Row],[Odds Spread]]), "", 1)</f>
      </c>
      <c r="P403" s="67"/>
      <c r="Q403" s="67"/>
      <c r="R4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3" s="67"/>
      <c r="T403" s="67"/>
      <c r="U403" s="168" t="str">
        <f>IF(ISBLANK(Table123[[#This Row],[Odds Side - Difference Model]]), "",N403+IF(Q403&lt;0, (N403/(Q403/-100)), N403*(Q403/100)))</f>
      </c>
      <c r="V403" s="169" t="str">
        <f>IFERROR(IF(ISBLANK(Table123[[#This Row],[Odds Side - Win Probability Model]]), "",N403+IF(R403&lt;0, (N403/(R403/-100)), N403*(R403/100))),"")</f>
      </c>
      <c r="W403" s="168" t="str">
        <f t="shared" si="43"/>
      </c>
      <c r="X403" s="169" t="str">
        <f t="shared" si="44"/>
      </c>
      <c r="Y403" s="168" t="str">
        <f>IF(ISBLANK(Table123[[#This Row],[Odds Spread]]), "",O403+IF(S403&lt;0, (O403/(S403/-100)), O403*(S403/100)))</f>
      </c>
      <c r="Z403" s="168" t="str">
        <f t="shared" si="45"/>
      </c>
      <c r="AA403" s="68" t="n">
        <f t="shared" si="46"/>
        <v>0</v>
      </c>
      <c r="AB403" s="68" t="n">
        <f t="shared" si="47"/>
        <v>0</v>
      </c>
      <c r="AC403" s="170" t="e">
        <f>IF('Prediction Log'!#REF!="Y", "W", IF('Prediction Log'!#REF!="N","L",""))</f>
        <v>#REF!</v>
      </c>
      <c r="AD403" s="171" t="e">
        <f>IF('Prediction Log'!#REF!="Y", "W", IF('Prediction Log'!#REF!="N","L",""))</f>
        <v>#REF!</v>
      </c>
      <c r="AE403" s="172" t="str">
        <f>IF(ISBLANK(Table123[[#This Row],[Odds Side - Difference Model]]), "",IF(AC403="W", W403, IF(AC403="L",-N403, "")))</f>
      </c>
      <c r="AF403" s="173" t="str">
        <f>IFERROR((IF(ISERR(Table123[[#This Row],[Potential Payout Side - Win Probability Model]]), "",IF(AD403="W", X403, IF(AD403="L",-N403, "")))), "")</f>
      </c>
      <c r="AG403" s="170" t="e">
        <f>IF('Prediction Log'!#REF!="Y", "W", IF('Prediction Log'!#REF!="N", "L", ""))</f>
        <v>#REF!</v>
      </c>
      <c r="AH403" s="172" t="str">
        <f>IF(ISBLANK(Table123[[#This Row],[Odds Spread]]), "",IF(AG403="W", Z403, IF(AG403="L",-O403, "")))</f>
      </c>
      <c r="AI403" s="184"/>
      <c r="AJ403" s="183" t="str">
        <f t="shared" si="48"/>
      </c>
      <c r="AK4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4">
      <c r="A404" s="65" t="e">
        <f>Games!#REF!</f>
        <v>#REF!</v>
      </c>
      <c r="B404" s="65" t="e">
        <f>IF('Prediction Log'!#REF!=0, "",'Prediction Log'!#REF!)</f>
        <v>#REF!</v>
      </c>
      <c r="C404" s="65" t="e">
        <f>IF('Prediction Log'!#REF!=0, "",'Prediction Log'!#REF!)</f>
        <v>#REF!</v>
      </c>
      <c r="D404" s="65" t="e">
        <f>IF('Prediction Log'!#REF!=0, "",'Prediction Log'!#REF!)</f>
        <v>#REF!</v>
      </c>
      <c r="E404" s="65" t="e">
        <f>IF('Prediction Log'!#REF!=0, "",'Prediction Log'!#REF!)</f>
        <v>#REF!</v>
      </c>
      <c r="F404" s="65" t="e">
        <f>IF('Prediction Log'!#REF!=0, "",'Prediction Log'!#REF!)</f>
        <v>#REF!</v>
      </c>
      <c r="G404" s="64" t="e">
        <f>IF(ISBLANK(Games!#REF!), "",'Prediction Log'!#REF!)</f>
        <v>#REF!</v>
      </c>
      <c r="H404" s="66" t="e">
        <f>'Prediction Log'!#REF!</f>
        <v>#REF!</v>
      </c>
      <c r="I404" s="65" t="e">
        <f>IF(ISBLANK(Games!#REF!), "",IF(AND(Games!#REF!="",Games!#REF!=""),"",IF(ISTEXT(Games!#REF!), "Side",Games!#REF!)))</f>
        <v>#REF!</v>
      </c>
      <c r="J404" s="65" t="e">
        <f>IF(ISBLANK(Games!#REF!), "",IF(Games!#REF!="Y", Games!#REF!, Games!#REF!))</f>
        <v>#REF!</v>
      </c>
      <c r="K404" s="65" t="e">
        <f>Games!#REF!</f>
        <v>#REF!</v>
      </c>
      <c r="L404" s="65" t="e">
        <f>IF(ISBLANK(Games!#REF!), "",Games!#REF!)</f>
        <v>#REF!</v>
      </c>
      <c r="M404" s="65"/>
      <c r="N404" s="167" t="str">
        <f>IF(ISBLANK(Table123[[#This Row],[Odds Side - Difference Model]]), "", 1)</f>
      </c>
      <c r="O404" s="167" t="str">
        <f>IF(ISBLANK(Table123[[#This Row],[Odds Spread]]), "", 1)</f>
      </c>
      <c r="P404" s="67"/>
      <c r="Q404" s="67"/>
      <c r="R4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4" s="67"/>
      <c r="T404" s="67"/>
      <c r="U404" s="168" t="str">
        <f>IF(ISBLANK(Table123[[#This Row],[Odds Side - Difference Model]]), "",N404+IF(Q404&lt;0, (N404/(Q404/-100)), N404*(Q404/100)))</f>
      </c>
      <c r="V404" s="169" t="str">
        <f>IFERROR(IF(ISBLANK(Table123[[#This Row],[Odds Side - Win Probability Model]]), "",N404+IF(R404&lt;0, (N404/(R404/-100)), N404*(R404/100))),"")</f>
      </c>
      <c r="W404" s="168" t="str">
        <f t="shared" si="43"/>
      </c>
      <c r="X404" s="169" t="str">
        <f t="shared" si="44"/>
      </c>
      <c r="Y404" s="168" t="str">
        <f>IF(ISBLANK(Table123[[#This Row],[Odds Spread]]), "",O404+IF(S404&lt;0, (O404/(S404/-100)), O404*(S404/100)))</f>
      </c>
      <c r="Z404" s="168" t="str">
        <f t="shared" si="45"/>
      </c>
      <c r="AA404" s="68" t="n">
        <f t="shared" si="46"/>
        <v>0</v>
      </c>
      <c r="AB404" s="68" t="n">
        <f t="shared" si="47"/>
        <v>0</v>
      </c>
      <c r="AC404" s="170" t="e">
        <f>IF('Prediction Log'!#REF!="Y", "W", IF('Prediction Log'!#REF!="N","L",""))</f>
        <v>#REF!</v>
      </c>
      <c r="AD404" s="171" t="e">
        <f>IF('Prediction Log'!#REF!="Y", "W", IF('Prediction Log'!#REF!="N","L",""))</f>
        <v>#REF!</v>
      </c>
      <c r="AE404" s="172" t="str">
        <f>IF(ISBLANK(Table123[[#This Row],[Odds Side - Difference Model]]), "",IF(AC404="W", W404, IF(AC404="L",-N404, "")))</f>
      </c>
      <c r="AF404" s="173" t="str">
        <f>IFERROR((IF(ISERR(Table123[[#This Row],[Potential Payout Side - Win Probability Model]]), "",IF(AD404="W", X404, IF(AD404="L",-N404, "")))), "")</f>
      </c>
      <c r="AG404" s="170" t="e">
        <f>IF('Prediction Log'!#REF!="Y", "W", IF('Prediction Log'!#REF!="N", "L", ""))</f>
        <v>#REF!</v>
      </c>
      <c r="AH404" s="172" t="str">
        <f>IF(ISBLANK(Table123[[#This Row],[Odds Spread]]), "",IF(AG404="W", Z404, IF(AG404="L",-O404, "")))</f>
      </c>
      <c r="AI404" s="184"/>
      <c r="AJ404" s="183" t="str">
        <f t="shared" si="48"/>
      </c>
      <c r="AK4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5">
      <c r="A405" s="65" t="e">
        <f>Games!#REF!</f>
        <v>#REF!</v>
      </c>
      <c r="B405" s="65" t="e">
        <f>IF('Prediction Log'!#REF!=0, "",'Prediction Log'!#REF!)</f>
        <v>#REF!</v>
      </c>
      <c r="C405" s="65" t="e">
        <f>IF('Prediction Log'!#REF!=0, "",'Prediction Log'!#REF!)</f>
        <v>#REF!</v>
      </c>
      <c r="D405" s="65" t="e">
        <f>IF('Prediction Log'!#REF!=0, "",'Prediction Log'!#REF!)</f>
        <v>#REF!</v>
      </c>
      <c r="E405" s="65" t="e">
        <f>IF('Prediction Log'!#REF!=0, "",'Prediction Log'!#REF!)</f>
        <v>#REF!</v>
      </c>
      <c r="F405" s="65" t="e">
        <f>IF('Prediction Log'!#REF!=0, "",'Prediction Log'!#REF!)</f>
        <v>#REF!</v>
      </c>
      <c r="G405" s="64" t="e">
        <f>IF(ISBLANK(Games!#REF!), "",'Prediction Log'!#REF!)</f>
        <v>#REF!</v>
      </c>
      <c r="H405" s="66" t="e">
        <f>'Prediction Log'!#REF!</f>
        <v>#REF!</v>
      </c>
      <c r="I405" s="65" t="e">
        <f>IF(ISBLANK(Games!#REF!), "",IF(AND(Games!#REF!="",Games!#REF!=""),"",IF(ISTEXT(Games!#REF!), "Side",Games!#REF!)))</f>
        <v>#REF!</v>
      </c>
      <c r="J405" s="65" t="e">
        <f>IF(ISBLANK(Games!#REF!), "",IF(Games!#REF!="Y", Games!#REF!, Games!#REF!))</f>
        <v>#REF!</v>
      </c>
      <c r="K405" s="65" t="e">
        <f>Games!#REF!</f>
        <v>#REF!</v>
      </c>
      <c r="L405" s="65" t="e">
        <f>IF(ISBLANK(Games!#REF!), "",Games!#REF!)</f>
        <v>#REF!</v>
      </c>
      <c r="M405" s="65"/>
      <c r="N405" s="167" t="str">
        <f>IF(ISBLANK(Table123[[#This Row],[Odds Side - Difference Model]]), "", 1)</f>
      </c>
      <c r="O405" s="167" t="str">
        <f>IF(ISBLANK(Table123[[#This Row],[Odds Spread]]), "", 1)</f>
      </c>
      <c r="P405" s="67"/>
      <c r="Q405" s="67"/>
      <c r="R4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5" s="67"/>
      <c r="T405" s="67"/>
      <c r="U405" s="168" t="str">
        <f>IF(ISBLANK(Table123[[#This Row],[Odds Side - Difference Model]]), "",N405+IF(Q405&lt;0, (N405/(Q405/-100)), N405*(Q405/100)))</f>
      </c>
      <c r="V405" s="169" t="str">
        <f>IFERROR(IF(ISBLANK(Table123[[#This Row],[Odds Side - Win Probability Model]]), "",N405+IF(R405&lt;0, (N405/(R405/-100)), N405*(R405/100))),"")</f>
      </c>
      <c r="W405" s="168" t="str">
        <f t="shared" si="43"/>
      </c>
      <c r="X405" s="169" t="str">
        <f t="shared" si="44"/>
      </c>
      <c r="Y405" s="168" t="str">
        <f>IF(ISBLANK(Table123[[#This Row],[Odds Spread]]), "",O405+IF(S405&lt;0, (O405/(S405/-100)), O405*(S405/100)))</f>
      </c>
      <c r="Z405" s="168" t="str">
        <f t="shared" si="45"/>
      </c>
      <c r="AA405" s="68" t="n">
        <f t="shared" si="46"/>
        <v>0</v>
      </c>
      <c r="AB405" s="68" t="n">
        <f t="shared" si="47"/>
        <v>0</v>
      </c>
      <c r="AC405" s="170" t="e">
        <f>IF('Prediction Log'!#REF!="Y", "W", IF('Prediction Log'!#REF!="N","L",""))</f>
        <v>#REF!</v>
      </c>
      <c r="AD405" s="171" t="e">
        <f>IF('Prediction Log'!#REF!="Y", "W", IF('Prediction Log'!#REF!="N","L",""))</f>
        <v>#REF!</v>
      </c>
      <c r="AE405" s="172" t="str">
        <f>IF(ISBLANK(Table123[[#This Row],[Odds Side - Difference Model]]), "",IF(AC405="W", W405, IF(AC405="L",-N405, "")))</f>
      </c>
      <c r="AF405" s="173" t="str">
        <f>IFERROR((IF(ISERR(Table123[[#This Row],[Potential Payout Side - Win Probability Model]]), "",IF(AD405="W", X405, IF(AD405="L",-N405, "")))), "")</f>
      </c>
      <c r="AG405" s="170" t="e">
        <f>IF('Prediction Log'!#REF!="Y", "W", IF('Prediction Log'!#REF!="N", "L", ""))</f>
        <v>#REF!</v>
      </c>
      <c r="AH405" s="172" t="str">
        <f>IF(ISBLANK(Table123[[#This Row],[Odds Spread]]), "",IF(AG405="W", Z405, IF(AG405="L",-O405, "")))</f>
      </c>
      <c r="AI405" s="184"/>
      <c r="AJ405" s="183" t="str">
        <f t="shared" si="48"/>
      </c>
      <c r="AK4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6">
      <c r="A406" s="65" t="e">
        <f>Games!#REF!</f>
        <v>#REF!</v>
      </c>
      <c r="B406" s="65" t="e">
        <f>IF('Prediction Log'!#REF!=0, "",'Prediction Log'!#REF!)</f>
        <v>#REF!</v>
      </c>
      <c r="C406" s="65" t="e">
        <f>IF('Prediction Log'!#REF!=0, "",'Prediction Log'!#REF!)</f>
        <v>#REF!</v>
      </c>
      <c r="D406" s="65" t="e">
        <f>IF('Prediction Log'!#REF!=0, "",'Prediction Log'!#REF!)</f>
        <v>#REF!</v>
      </c>
      <c r="E406" s="65" t="e">
        <f>IF('Prediction Log'!#REF!=0, "",'Prediction Log'!#REF!)</f>
        <v>#REF!</v>
      </c>
      <c r="F406" s="65" t="e">
        <f>IF('Prediction Log'!#REF!=0, "",'Prediction Log'!#REF!)</f>
        <v>#REF!</v>
      </c>
      <c r="G406" s="64" t="e">
        <f>IF(ISBLANK(Games!#REF!), "",'Prediction Log'!#REF!)</f>
        <v>#REF!</v>
      </c>
      <c r="H406" s="66" t="e">
        <f>'Prediction Log'!#REF!</f>
        <v>#REF!</v>
      </c>
      <c r="I406" s="65" t="e">
        <f>IF(ISBLANK(Games!#REF!), "",IF(AND(Games!#REF!="",Games!#REF!=""),"",IF(ISTEXT(Games!#REF!), "Side",Games!#REF!)))</f>
        <v>#REF!</v>
      </c>
      <c r="J406" s="65" t="e">
        <f>IF(ISBLANK(Games!#REF!), "",IF(Games!#REF!="Y", Games!#REF!, Games!#REF!))</f>
        <v>#REF!</v>
      </c>
      <c r="K406" s="65" t="e">
        <f>Games!#REF!</f>
        <v>#REF!</v>
      </c>
      <c r="L406" s="65" t="e">
        <f>IF(ISBLANK(Games!#REF!), "",Games!#REF!)</f>
        <v>#REF!</v>
      </c>
      <c r="M406" s="65"/>
      <c r="N406" s="167" t="str">
        <f>IF(ISBLANK(Table123[[#This Row],[Odds Side - Difference Model]]), "", 1)</f>
      </c>
      <c r="O406" s="167" t="str">
        <f>IF(ISBLANK(Table123[[#This Row],[Odds Spread]]), "", 1)</f>
      </c>
      <c r="P406" s="67"/>
      <c r="Q406" s="67"/>
      <c r="R4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6" s="67"/>
      <c r="T406" s="67"/>
      <c r="U406" s="168" t="str">
        <f>IF(ISBLANK(Table123[[#This Row],[Odds Side - Difference Model]]), "",N406+IF(Q406&lt;0, (N406/(Q406/-100)), N406*(Q406/100)))</f>
      </c>
      <c r="V406" s="169" t="str">
        <f>IFERROR(IF(ISBLANK(Table123[[#This Row],[Odds Side - Win Probability Model]]), "",N406+IF(R406&lt;0, (N406/(R406/-100)), N406*(R406/100))),"")</f>
      </c>
      <c r="W406" s="168" t="str">
        <f t="shared" si="43"/>
      </c>
      <c r="X406" s="169" t="str">
        <f t="shared" si="44"/>
      </c>
      <c r="Y406" s="168" t="str">
        <f>IF(ISBLANK(Table123[[#This Row],[Odds Spread]]), "",O406+IF(S406&lt;0, (O406/(S406/-100)), O406*(S406/100)))</f>
      </c>
      <c r="Z406" s="168" t="str">
        <f t="shared" si="45"/>
      </c>
      <c r="AA406" s="68" t="n">
        <f t="shared" si="46"/>
        <v>0</v>
      </c>
      <c r="AB406" s="68" t="n">
        <f t="shared" si="47"/>
        <v>0</v>
      </c>
      <c r="AC406" s="170" t="e">
        <f>IF('Prediction Log'!#REF!="Y", "W", IF('Prediction Log'!#REF!="N","L",""))</f>
        <v>#REF!</v>
      </c>
      <c r="AD406" s="171" t="e">
        <f>IF('Prediction Log'!#REF!="Y", "W", IF('Prediction Log'!#REF!="N","L",""))</f>
        <v>#REF!</v>
      </c>
      <c r="AE406" s="172" t="str">
        <f>IF(ISBLANK(Table123[[#This Row],[Odds Side - Difference Model]]), "",IF(AC406="W", W406, IF(AC406="L",-N406, "")))</f>
      </c>
      <c r="AF406" s="173" t="str">
        <f>IFERROR((IF(ISERR(Table123[[#This Row],[Potential Payout Side - Win Probability Model]]), "",IF(AD406="W", X406, IF(AD406="L",-N406, "")))), "")</f>
      </c>
      <c r="AG406" s="170" t="e">
        <f>IF('Prediction Log'!#REF!="Y", "W", IF('Prediction Log'!#REF!="N", "L", ""))</f>
        <v>#REF!</v>
      </c>
      <c r="AH406" s="172" t="str">
        <f>IF(ISBLANK(Table123[[#This Row],[Odds Spread]]), "",IF(AG406="W", Z406, IF(AG406="L",-O406, "")))</f>
      </c>
      <c r="AI406" s="184"/>
      <c r="AJ406" s="183" t="str">
        <f t="shared" si="48"/>
      </c>
      <c r="AK4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7">
      <c r="A407" s="65" t="e">
        <f>Games!#REF!</f>
        <v>#REF!</v>
      </c>
      <c r="B407" s="65" t="e">
        <f>IF('Prediction Log'!#REF!=0, "",'Prediction Log'!#REF!)</f>
        <v>#REF!</v>
      </c>
      <c r="C407" s="65" t="e">
        <f>IF('Prediction Log'!#REF!=0, "",'Prediction Log'!#REF!)</f>
        <v>#REF!</v>
      </c>
      <c r="D407" s="65" t="e">
        <f>IF('Prediction Log'!#REF!=0, "",'Prediction Log'!#REF!)</f>
        <v>#REF!</v>
      </c>
      <c r="E407" s="65" t="e">
        <f>IF('Prediction Log'!#REF!=0, "",'Prediction Log'!#REF!)</f>
        <v>#REF!</v>
      </c>
      <c r="F407" s="65" t="e">
        <f>IF('Prediction Log'!#REF!=0, "",'Prediction Log'!#REF!)</f>
        <v>#REF!</v>
      </c>
      <c r="G407" s="64" t="e">
        <f>IF(ISBLANK(Games!#REF!), "",'Prediction Log'!#REF!)</f>
        <v>#REF!</v>
      </c>
      <c r="H407" s="66" t="e">
        <f>'Prediction Log'!#REF!</f>
        <v>#REF!</v>
      </c>
      <c r="I407" s="65" t="e">
        <f>IF(ISBLANK(Games!#REF!), "",IF(AND(Games!#REF!="",Games!#REF!=""),"",IF(ISTEXT(Games!#REF!), "Side",Games!#REF!)))</f>
        <v>#REF!</v>
      </c>
      <c r="J407" s="65" t="e">
        <f>IF(ISBLANK(Games!#REF!), "",IF(Games!#REF!="Y", Games!#REF!, Games!#REF!))</f>
        <v>#REF!</v>
      </c>
      <c r="K407" s="65" t="e">
        <f>Games!#REF!</f>
        <v>#REF!</v>
      </c>
      <c r="L407" s="65" t="e">
        <f>IF(ISBLANK(Games!#REF!), "",Games!#REF!)</f>
        <v>#REF!</v>
      </c>
      <c r="M407" s="65"/>
      <c r="N407" s="167" t="str">
        <f>IF(ISBLANK(Table123[[#This Row],[Odds Side - Difference Model]]), "", 1)</f>
      </c>
      <c r="O407" s="167" t="str">
        <f>IF(ISBLANK(Table123[[#This Row],[Odds Spread]]), "", 1)</f>
      </c>
      <c r="P407" s="67"/>
      <c r="Q407" s="67"/>
      <c r="R4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7" s="67"/>
      <c r="T407" s="67"/>
      <c r="U407" s="168" t="str">
        <f>IF(ISBLANK(Table123[[#This Row],[Odds Side - Difference Model]]), "",N407+IF(Q407&lt;0, (N407/(Q407/-100)), N407*(Q407/100)))</f>
      </c>
      <c r="V407" s="169" t="str">
        <f>IFERROR(IF(ISBLANK(Table123[[#This Row],[Odds Side - Win Probability Model]]), "",N407+IF(R407&lt;0, (N407/(R407/-100)), N407*(R407/100))),"")</f>
      </c>
      <c r="W407" s="168" t="str">
        <f t="shared" si="43"/>
      </c>
      <c r="X407" s="169" t="str">
        <f t="shared" si="44"/>
      </c>
      <c r="Y407" s="168" t="str">
        <f>IF(ISBLANK(Table123[[#This Row],[Odds Spread]]), "",O407+IF(S407&lt;0, (O407/(S407/-100)), O407*(S407/100)))</f>
      </c>
      <c r="Z407" s="168" t="str">
        <f t="shared" si="45"/>
      </c>
      <c r="AA407" s="68" t="n">
        <f t="shared" si="46"/>
        <v>0</v>
      </c>
      <c r="AB407" s="68" t="n">
        <f t="shared" si="47"/>
        <v>0</v>
      </c>
      <c r="AC407" s="170" t="e">
        <f>IF('Prediction Log'!#REF!="Y", "W", IF('Prediction Log'!#REF!="N","L",""))</f>
        <v>#REF!</v>
      </c>
      <c r="AD407" s="171" t="e">
        <f>IF('Prediction Log'!#REF!="Y", "W", IF('Prediction Log'!#REF!="N","L",""))</f>
        <v>#REF!</v>
      </c>
      <c r="AE407" s="172" t="str">
        <f>IF(ISBLANK(Table123[[#This Row],[Odds Side - Difference Model]]), "",IF(AC407="W", W407, IF(AC407="L",-N407, "")))</f>
      </c>
      <c r="AF407" s="173" t="str">
        <f>IFERROR((IF(ISERR(Table123[[#This Row],[Potential Payout Side - Win Probability Model]]), "",IF(AD407="W", X407, IF(AD407="L",-N407, "")))), "")</f>
      </c>
      <c r="AG407" s="170" t="e">
        <f>IF('Prediction Log'!#REF!="Y", "W", IF('Prediction Log'!#REF!="N", "L", ""))</f>
        <v>#REF!</v>
      </c>
      <c r="AH407" s="172" t="str">
        <f>IF(ISBLANK(Table123[[#This Row],[Odds Spread]]), "",IF(AG407="W", Z407, IF(AG407="L",-O407, "")))</f>
      </c>
      <c r="AI407" s="184"/>
      <c r="AJ407" s="183" t="str">
        <f t="shared" si="48"/>
      </c>
      <c r="AK4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8">
      <c r="A408" s="65" t="e">
        <f>Games!#REF!</f>
        <v>#REF!</v>
      </c>
      <c r="B408" s="65" t="e">
        <f>IF('Prediction Log'!#REF!=0, "",'Prediction Log'!#REF!)</f>
        <v>#REF!</v>
      </c>
      <c r="C408" s="65" t="e">
        <f>IF('Prediction Log'!#REF!=0, "",'Prediction Log'!#REF!)</f>
        <v>#REF!</v>
      </c>
      <c r="D408" s="65" t="e">
        <f>IF('Prediction Log'!#REF!=0, "",'Prediction Log'!#REF!)</f>
        <v>#REF!</v>
      </c>
      <c r="E408" s="65" t="e">
        <f>IF('Prediction Log'!#REF!=0, "",'Prediction Log'!#REF!)</f>
        <v>#REF!</v>
      </c>
      <c r="F408" s="65" t="e">
        <f>IF('Prediction Log'!#REF!=0, "",'Prediction Log'!#REF!)</f>
        <v>#REF!</v>
      </c>
      <c r="G408" s="64" t="e">
        <f>IF(ISBLANK(Games!#REF!), "",'Prediction Log'!#REF!)</f>
        <v>#REF!</v>
      </c>
      <c r="H408" s="66" t="e">
        <f>'Prediction Log'!#REF!</f>
        <v>#REF!</v>
      </c>
      <c r="I408" s="65" t="e">
        <f>IF(ISBLANK(Games!#REF!), "",IF(AND(Games!#REF!="",Games!#REF!=""),"",IF(ISTEXT(Games!#REF!), "Side",Games!#REF!)))</f>
        <v>#REF!</v>
      </c>
      <c r="J408" s="65" t="e">
        <f>IF(ISBLANK(Games!#REF!), "",IF(Games!#REF!="Y", Games!#REF!, Games!#REF!))</f>
        <v>#REF!</v>
      </c>
      <c r="K408" s="65" t="e">
        <f>Games!#REF!</f>
        <v>#REF!</v>
      </c>
      <c r="L408" s="65" t="e">
        <f>IF(ISBLANK(Games!#REF!), "",Games!#REF!)</f>
        <v>#REF!</v>
      </c>
      <c r="M408" s="65"/>
      <c r="N408" s="167" t="str">
        <f>IF(ISBLANK(Table123[[#This Row],[Odds Side - Difference Model]]), "", 1)</f>
      </c>
      <c r="O408" s="167" t="str">
        <f>IF(ISBLANK(Table123[[#This Row],[Odds Spread]]), "", 1)</f>
      </c>
      <c r="P408" s="67"/>
      <c r="Q408" s="67"/>
      <c r="R4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8" s="67"/>
      <c r="T408" s="67"/>
      <c r="U408" s="168" t="str">
        <f>IF(ISBLANK(Table123[[#This Row],[Odds Side - Difference Model]]), "",N408+IF(Q408&lt;0, (N408/(Q408/-100)), N408*(Q408/100)))</f>
      </c>
      <c r="V408" s="169" t="str">
        <f>IFERROR(IF(ISBLANK(Table123[[#This Row],[Odds Side - Win Probability Model]]), "",N408+IF(R408&lt;0, (N408/(R408/-100)), N408*(R408/100))),"")</f>
      </c>
      <c r="W408" s="168" t="str">
        <f t="shared" si="43"/>
      </c>
      <c r="X408" s="169" t="str">
        <f t="shared" si="44"/>
      </c>
      <c r="Y408" s="168" t="str">
        <f>IF(ISBLANK(Table123[[#This Row],[Odds Spread]]), "",O408+IF(S408&lt;0, (O408/(S408/-100)), O408*(S408/100)))</f>
      </c>
      <c r="Z408" s="168" t="str">
        <f t="shared" si="45"/>
      </c>
      <c r="AA408" s="68" t="n">
        <f t="shared" si="46"/>
        <v>0</v>
      </c>
      <c r="AB408" s="68" t="n">
        <f t="shared" si="47"/>
        <v>0</v>
      </c>
      <c r="AC408" s="170" t="e">
        <f>IF('Prediction Log'!#REF!="Y", "W", IF('Prediction Log'!#REF!="N","L",""))</f>
        <v>#REF!</v>
      </c>
      <c r="AD408" s="171" t="e">
        <f>IF('Prediction Log'!#REF!="Y", "W", IF('Prediction Log'!#REF!="N","L",""))</f>
        <v>#REF!</v>
      </c>
      <c r="AE408" s="172" t="str">
        <f>IF(ISBLANK(Table123[[#This Row],[Odds Side - Difference Model]]), "",IF(AC408="W", W408, IF(AC408="L",-N408, "")))</f>
      </c>
      <c r="AF408" s="173" t="str">
        <f>IFERROR((IF(ISERR(Table123[[#This Row],[Potential Payout Side - Win Probability Model]]), "",IF(AD408="W", X408, IF(AD408="L",-N408, "")))), "")</f>
      </c>
      <c r="AG408" s="170" t="e">
        <f>IF('Prediction Log'!#REF!="Y", "W", IF('Prediction Log'!#REF!="N", "L", ""))</f>
        <v>#REF!</v>
      </c>
      <c r="AH408" s="172" t="str">
        <f>IF(ISBLANK(Table123[[#This Row],[Odds Spread]]), "",IF(AG408="W", Z408, IF(AG408="L",-O408, "")))</f>
      </c>
      <c r="AI408" s="184"/>
      <c r="AJ408" s="183" t="str">
        <f t="shared" si="48"/>
      </c>
      <c r="AK4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9">
      <c r="A409" s="65" t="e">
        <f>Games!#REF!</f>
        <v>#REF!</v>
      </c>
      <c r="B409" s="65" t="e">
        <f>IF('Prediction Log'!#REF!=0, "",'Prediction Log'!#REF!)</f>
        <v>#REF!</v>
      </c>
      <c r="C409" s="65" t="e">
        <f>IF('Prediction Log'!#REF!=0, "",'Prediction Log'!#REF!)</f>
        <v>#REF!</v>
      </c>
      <c r="D409" s="65" t="e">
        <f>IF('Prediction Log'!#REF!=0, "",'Prediction Log'!#REF!)</f>
        <v>#REF!</v>
      </c>
      <c r="E409" s="65" t="e">
        <f>IF('Prediction Log'!#REF!=0, "",'Prediction Log'!#REF!)</f>
        <v>#REF!</v>
      </c>
      <c r="F409" s="65" t="e">
        <f>IF('Prediction Log'!#REF!=0, "",'Prediction Log'!#REF!)</f>
        <v>#REF!</v>
      </c>
      <c r="G409" s="64" t="e">
        <f>IF(ISBLANK(Games!#REF!), "",'Prediction Log'!#REF!)</f>
        <v>#REF!</v>
      </c>
      <c r="H409" s="66" t="e">
        <f>'Prediction Log'!#REF!</f>
        <v>#REF!</v>
      </c>
      <c r="I409" s="65" t="e">
        <f>IF(ISBLANK(Games!#REF!), "",IF(AND(Games!#REF!="",Games!#REF!=""),"",IF(ISTEXT(Games!#REF!), "Side",Games!#REF!)))</f>
        <v>#REF!</v>
      </c>
      <c r="J409" s="65" t="e">
        <f>IF(ISBLANK(Games!#REF!), "",IF(Games!#REF!="Y", Games!#REF!, Games!#REF!))</f>
        <v>#REF!</v>
      </c>
      <c r="K409" s="65" t="e">
        <f>Games!#REF!</f>
        <v>#REF!</v>
      </c>
      <c r="L409" s="65" t="e">
        <f>IF(ISBLANK(Games!#REF!), "",Games!#REF!)</f>
        <v>#REF!</v>
      </c>
      <c r="M409" s="65"/>
      <c r="N409" s="167" t="str">
        <f>IF(ISBLANK(Table123[[#This Row],[Odds Side - Difference Model]]), "", 1)</f>
      </c>
      <c r="O409" s="167" t="str">
        <f>IF(ISBLANK(Table123[[#This Row],[Odds Spread]]), "", 1)</f>
      </c>
      <c r="P409" s="67"/>
      <c r="Q409" s="67"/>
      <c r="R4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9" s="67"/>
      <c r="T409" s="67"/>
      <c r="U409" s="168" t="str">
        <f>IF(ISBLANK(Table123[[#This Row],[Odds Side - Difference Model]]), "",N409+IF(Q409&lt;0, (N409/(Q409/-100)), N409*(Q409/100)))</f>
      </c>
      <c r="V409" s="169" t="str">
        <f>IFERROR(IF(ISBLANK(Table123[[#This Row],[Odds Side - Win Probability Model]]), "",N409+IF(R409&lt;0, (N409/(R409/-100)), N409*(R409/100))),"")</f>
      </c>
      <c r="W409" s="168" t="str">
        <f t="shared" si="43"/>
      </c>
      <c r="X409" s="169" t="str">
        <f t="shared" si="44"/>
      </c>
      <c r="Y409" s="168" t="str">
        <f>IF(ISBLANK(Table123[[#This Row],[Odds Spread]]), "",O409+IF(S409&lt;0, (O409/(S409/-100)), O409*(S409/100)))</f>
      </c>
      <c r="Z409" s="168" t="str">
        <f t="shared" si="45"/>
      </c>
      <c r="AA409" s="68" t="n">
        <f t="shared" si="46"/>
        <v>0</v>
      </c>
      <c r="AB409" s="68" t="n">
        <f t="shared" si="47"/>
        <v>0</v>
      </c>
      <c r="AC409" s="170" t="e">
        <f>IF('Prediction Log'!#REF!="Y", "W", IF('Prediction Log'!#REF!="N","L",""))</f>
        <v>#REF!</v>
      </c>
      <c r="AD409" s="171" t="e">
        <f>IF('Prediction Log'!#REF!="Y", "W", IF('Prediction Log'!#REF!="N","L",""))</f>
        <v>#REF!</v>
      </c>
      <c r="AE409" s="172" t="str">
        <f>IF(ISBLANK(Table123[[#This Row],[Odds Side - Difference Model]]), "",IF(AC409="W", W409, IF(AC409="L",-N409, "")))</f>
      </c>
      <c r="AF409" s="173" t="str">
        <f>IFERROR((IF(ISERR(Table123[[#This Row],[Potential Payout Side - Win Probability Model]]), "",IF(AD409="W", X409, IF(AD409="L",-N409, "")))), "")</f>
      </c>
      <c r="AG409" s="170" t="e">
        <f>IF('Prediction Log'!#REF!="Y", "W", IF('Prediction Log'!#REF!="N", "L", ""))</f>
        <v>#REF!</v>
      </c>
      <c r="AH409" s="172" t="str">
        <f>IF(ISBLANK(Table123[[#This Row],[Odds Spread]]), "",IF(AG409="W", Z409, IF(AG409="L",-O409, "")))</f>
      </c>
      <c r="AI409" s="184"/>
      <c r="AJ409" s="183" t="str">
        <f t="shared" si="48"/>
      </c>
      <c r="AK4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0">
      <c r="A410" s="65" t="e">
        <f>Games!#REF!</f>
        <v>#REF!</v>
      </c>
      <c r="B410" s="65" t="e">
        <f>IF('Prediction Log'!#REF!=0, "",'Prediction Log'!#REF!)</f>
        <v>#REF!</v>
      </c>
      <c r="C410" s="65" t="e">
        <f>IF('Prediction Log'!#REF!=0, "",'Prediction Log'!#REF!)</f>
        <v>#REF!</v>
      </c>
      <c r="D410" s="65" t="e">
        <f>IF('Prediction Log'!#REF!=0, "",'Prediction Log'!#REF!)</f>
        <v>#REF!</v>
      </c>
      <c r="E410" s="65" t="e">
        <f>IF('Prediction Log'!#REF!=0, "",'Prediction Log'!#REF!)</f>
        <v>#REF!</v>
      </c>
      <c r="F410" s="65" t="e">
        <f>IF('Prediction Log'!#REF!=0, "",'Prediction Log'!#REF!)</f>
        <v>#REF!</v>
      </c>
      <c r="G410" s="64" t="e">
        <f>IF(ISBLANK(Games!#REF!), "",'Prediction Log'!#REF!)</f>
        <v>#REF!</v>
      </c>
      <c r="H410" s="66" t="e">
        <f>'Prediction Log'!#REF!</f>
        <v>#REF!</v>
      </c>
      <c r="I410" s="65" t="e">
        <f>IF(ISBLANK(Games!#REF!), "",IF(AND(Games!#REF!="",Games!#REF!=""),"",IF(ISTEXT(Games!#REF!), "Side",Games!#REF!)))</f>
        <v>#REF!</v>
      </c>
      <c r="J410" s="65" t="e">
        <f>IF(ISBLANK(Games!#REF!), "",IF(Games!#REF!="Y", Games!#REF!, Games!#REF!))</f>
        <v>#REF!</v>
      </c>
      <c r="K410" s="65" t="e">
        <f>Games!#REF!</f>
        <v>#REF!</v>
      </c>
      <c r="L410" s="65" t="e">
        <f>IF(ISBLANK(Games!#REF!), "",Games!#REF!)</f>
        <v>#REF!</v>
      </c>
      <c r="M410" s="65"/>
      <c r="N410" s="167" t="str">
        <f>IF(ISBLANK(Table123[[#This Row],[Odds Side - Difference Model]]), "", 1)</f>
      </c>
      <c r="O410" s="167" t="str">
        <f>IF(ISBLANK(Table123[[#This Row],[Odds Spread]]), "", 1)</f>
      </c>
      <c r="P410" s="67"/>
      <c r="Q410" s="67"/>
      <c r="R4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0" s="67"/>
      <c r="T410" s="67"/>
      <c r="U410" s="168" t="str">
        <f>IF(ISBLANK(Table123[[#This Row],[Odds Side - Difference Model]]), "",N410+IF(Q410&lt;0, (N410/(Q410/-100)), N410*(Q410/100)))</f>
      </c>
      <c r="V410" s="169" t="str">
        <f>IFERROR(IF(ISBLANK(Table123[[#This Row],[Odds Side - Win Probability Model]]), "",N410+IF(R410&lt;0, (N410/(R410/-100)), N410*(R410/100))),"")</f>
      </c>
      <c r="W410" s="168" t="str">
        <f t="shared" si="43"/>
      </c>
      <c r="X410" s="169" t="str">
        <f t="shared" si="44"/>
      </c>
      <c r="Y410" s="168" t="str">
        <f>IF(ISBLANK(Table123[[#This Row],[Odds Spread]]), "",O410+IF(S410&lt;0, (O410/(S410/-100)), O410*(S410/100)))</f>
      </c>
      <c r="Z410" s="168" t="str">
        <f t="shared" si="45"/>
      </c>
      <c r="AA410" s="68" t="n">
        <f t="shared" si="46"/>
        <v>0</v>
      </c>
      <c r="AB410" s="68" t="n">
        <f t="shared" si="47"/>
        <v>0</v>
      </c>
      <c r="AC410" s="170" t="e">
        <f>IF('Prediction Log'!#REF!="Y", "W", IF('Prediction Log'!#REF!="N","L",""))</f>
        <v>#REF!</v>
      </c>
      <c r="AD410" s="171" t="e">
        <f>IF('Prediction Log'!#REF!="Y", "W", IF('Prediction Log'!#REF!="N","L",""))</f>
        <v>#REF!</v>
      </c>
      <c r="AE410" s="172" t="str">
        <f>IF(ISBLANK(Table123[[#This Row],[Odds Side - Difference Model]]), "",IF(AC410="W", W410, IF(AC410="L",-N410, "")))</f>
      </c>
      <c r="AF410" s="173" t="str">
        <f>IFERROR((IF(ISERR(Table123[[#This Row],[Potential Payout Side - Win Probability Model]]), "",IF(AD410="W", X410, IF(AD410="L",-N410, "")))), "")</f>
      </c>
      <c r="AG410" s="170" t="e">
        <f>IF('Prediction Log'!#REF!="Y", "W", IF('Prediction Log'!#REF!="N", "L", ""))</f>
        <v>#REF!</v>
      </c>
      <c r="AH410" s="172" t="str">
        <f>IF(ISBLANK(Table123[[#This Row],[Odds Spread]]), "",IF(AG410="W", Z410, IF(AG410="L",-O410, "")))</f>
      </c>
      <c r="AI410" s="184"/>
      <c r="AJ410" s="183" t="str">
        <f t="shared" si="48"/>
      </c>
      <c r="AK4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1">
      <c r="A411" s="65" t="e">
        <f>Games!#REF!</f>
        <v>#REF!</v>
      </c>
      <c r="B411" s="65" t="e">
        <f>IF('Prediction Log'!#REF!=0, "",'Prediction Log'!#REF!)</f>
        <v>#REF!</v>
      </c>
      <c r="C411" s="65" t="e">
        <f>IF('Prediction Log'!#REF!=0, "",'Prediction Log'!#REF!)</f>
        <v>#REF!</v>
      </c>
      <c r="D411" s="65" t="e">
        <f>IF('Prediction Log'!#REF!=0, "",'Prediction Log'!#REF!)</f>
        <v>#REF!</v>
      </c>
      <c r="E411" s="65" t="e">
        <f>IF('Prediction Log'!#REF!=0, "",'Prediction Log'!#REF!)</f>
        <v>#REF!</v>
      </c>
      <c r="F411" s="65" t="e">
        <f>IF('Prediction Log'!#REF!=0, "",'Prediction Log'!#REF!)</f>
        <v>#REF!</v>
      </c>
      <c r="G411" s="64" t="e">
        <f>IF(ISBLANK(Games!#REF!), "",'Prediction Log'!#REF!)</f>
        <v>#REF!</v>
      </c>
      <c r="H411" s="66" t="e">
        <f>'Prediction Log'!#REF!</f>
        <v>#REF!</v>
      </c>
      <c r="I411" s="65" t="e">
        <f>IF(ISBLANK(Games!#REF!), "",IF(AND(Games!#REF!="",Games!#REF!=""),"",IF(ISTEXT(Games!#REF!), "Side",Games!#REF!)))</f>
        <v>#REF!</v>
      </c>
      <c r="J411" s="65" t="e">
        <f>IF(ISBLANK(Games!#REF!), "",IF(Games!#REF!="Y", Games!#REF!, Games!#REF!))</f>
        <v>#REF!</v>
      </c>
      <c r="K411" s="65" t="e">
        <f>Games!#REF!</f>
        <v>#REF!</v>
      </c>
      <c r="L411" s="65" t="e">
        <f>IF(ISBLANK(Games!#REF!), "",Games!#REF!)</f>
        <v>#REF!</v>
      </c>
      <c r="M411" s="65"/>
      <c r="N411" s="167" t="str">
        <f>IF(ISBLANK(Table123[[#This Row],[Odds Side - Difference Model]]), "", 1)</f>
      </c>
      <c r="O411" s="167" t="str">
        <f>IF(ISBLANK(Table123[[#This Row],[Odds Spread]]), "", 1)</f>
      </c>
      <c r="P411" s="67"/>
      <c r="Q411" s="67"/>
      <c r="R4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1" s="67"/>
      <c r="T411" s="67"/>
      <c r="U411" s="168" t="str">
        <f>IF(ISBLANK(Table123[[#This Row],[Odds Side - Difference Model]]), "",N411+IF(Q411&lt;0, (N411/(Q411/-100)), N411*(Q411/100)))</f>
      </c>
      <c r="V411" s="169" t="str">
        <f>IFERROR(IF(ISBLANK(Table123[[#This Row],[Odds Side - Win Probability Model]]), "",N411+IF(R411&lt;0, (N411/(R411/-100)), N411*(R411/100))),"")</f>
      </c>
      <c r="W411" s="168" t="str">
        <f t="shared" si="43"/>
      </c>
      <c r="X411" s="169" t="str">
        <f t="shared" si="44"/>
      </c>
      <c r="Y411" s="168" t="str">
        <f>IF(ISBLANK(Table123[[#This Row],[Odds Spread]]), "",O411+IF(S411&lt;0, (O411/(S411/-100)), O411*(S411/100)))</f>
      </c>
      <c r="Z411" s="168" t="str">
        <f t="shared" si="45"/>
      </c>
      <c r="AA411" s="68" t="n">
        <f t="shared" si="46"/>
        <v>0</v>
      </c>
      <c r="AB411" s="68" t="n">
        <f t="shared" si="47"/>
        <v>0</v>
      </c>
      <c r="AC411" s="170" t="e">
        <f>IF('Prediction Log'!#REF!="Y", "W", IF('Prediction Log'!#REF!="N","L",""))</f>
        <v>#REF!</v>
      </c>
      <c r="AD411" s="171" t="e">
        <f>IF('Prediction Log'!#REF!="Y", "W", IF('Prediction Log'!#REF!="N","L",""))</f>
        <v>#REF!</v>
      </c>
      <c r="AE411" s="172" t="str">
        <f>IF(ISBLANK(Table123[[#This Row],[Odds Side - Difference Model]]), "",IF(AC411="W", W411, IF(AC411="L",-N411, "")))</f>
      </c>
      <c r="AF411" s="173" t="str">
        <f>IFERROR((IF(ISERR(Table123[[#This Row],[Potential Payout Side - Win Probability Model]]), "",IF(AD411="W", X411, IF(AD411="L",-N411, "")))), "")</f>
      </c>
      <c r="AG411" s="170" t="e">
        <f>IF('Prediction Log'!#REF!="Y", "W", IF('Prediction Log'!#REF!="N", "L", ""))</f>
        <v>#REF!</v>
      </c>
      <c r="AH411" s="172" t="str">
        <f>IF(ISBLANK(Table123[[#This Row],[Odds Spread]]), "",IF(AG411="W", Z411, IF(AG411="L",-O411, "")))</f>
      </c>
      <c r="AI411" s="184"/>
      <c r="AJ411" s="183" t="str">
        <f t="shared" si="48"/>
      </c>
      <c r="AK4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2">
      <c r="A412" s="65" t="e">
        <f>Games!#REF!</f>
        <v>#REF!</v>
      </c>
      <c r="B412" s="65" t="e">
        <f>IF('Prediction Log'!#REF!=0, "",'Prediction Log'!#REF!)</f>
        <v>#REF!</v>
      </c>
      <c r="C412" s="65" t="e">
        <f>IF('Prediction Log'!#REF!=0, "",'Prediction Log'!#REF!)</f>
        <v>#REF!</v>
      </c>
      <c r="D412" s="65" t="e">
        <f>IF('Prediction Log'!#REF!=0, "",'Prediction Log'!#REF!)</f>
        <v>#REF!</v>
      </c>
      <c r="E412" s="65" t="e">
        <f>IF('Prediction Log'!#REF!=0, "",'Prediction Log'!#REF!)</f>
        <v>#REF!</v>
      </c>
      <c r="F412" s="65" t="e">
        <f>IF('Prediction Log'!#REF!=0, "",'Prediction Log'!#REF!)</f>
        <v>#REF!</v>
      </c>
      <c r="G412" s="64" t="e">
        <f>IF(ISBLANK(Games!#REF!), "",'Prediction Log'!#REF!)</f>
        <v>#REF!</v>
      </c>
      <c r="H412" s="66" t="e">
        <f>'Prediction Log'!#REF!</f>
        <v>#REF!</v>
      </c>
      <c r="I412" s="65" t="e">
        <f>IF(ISBLANK(Games!#REF!), "",IF(AND(Games!#REF!="",Games!#REF!=""),"",IF(ISTEXT(Games!#REF!), "Side",Games!#REF!)))</f>
        <v>#REF!</v>
      </c>
      <c r="J412" s="65" t="e">
        <f>IF(ISBLANK(Games!#REF!), "",IF(Games!#REF!="Y", Games!#REF!, Games!#REF!))</f>
        <v>#REF!</v>
      </c>
      <c r="K412" s="65" t="e">
        <f>Games!#REF!</f>
        <v>#REF!</v>
      </c>
      <c r="L412" s="65" t="e">
        <f>IF(ISBLANK(Games!#REF!), "",Games!#REF!)</f>
        <v>#REF!</v>
      </c>
      <c r="M412" s="65"/>
      <c r="N412" s="167" t="str">
        <f>IF(ISBLANK(Table123[[#This Row],[Odds Side - Difference Model]]), "", 1)</f>
      </c>
      <c r="O412" s="167" t="str">
        <f>IF(ISBLANK(Table123[[#This Row],[Odds Spread]]), "", 1)</f>
      </c>
      <c r="P412" s="67"/>
      <c r="Q412" s="67"/>
      <c r="R4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2" s="67"/>
      <c r="T412" s="67"/>
      <c r="U412" s="168" t="str">
        <f>IF(ISBLANK(Table123[[#This Row],[Odds Side - Difference Model]]), "",N412+IF(Q412&lt;0, (N412/(Q412/-100)), N412*(Q412/100)))</f>
      </c>
      <c r="V412" s="169" t="str">
        <f>IFERROR(IF(ISBLANK(Table123[[#This Row],[Odds Side - Win Probability Model]]), "",N412+IF(R412&lt;0, (N412/(R412/-100)), N412*(R412/100))),"")</f>
      </c>
      <c r="W412" s="168" t="str">
        <f t="shared" si="43"/>
      </c>
      <c r="X412" s="169" t="str">
        <f t="shared" si="44"/>
      </c>
      <c r="Y412" s="168" t="str">
        <f>IF(ISBLANK(Table123[[#This Row],[Odds Spread]]), "",O412+IF(S412&lt;0, (O412/(S412/-100)), O412*(S412/100)))</f>
      </c>
      <c r="Z412" s="168" t="str">
        <f t="shared" si="45"/>
      </c>
      <c r="AA412" s="68" t="n">
        <f t="shared" si="46"/>
        <v>0</v>
      </c>
      <c r="AB412" s="68" t="n">
        <f t="shared" si="47"/>
        <v>0</v>
      </c>
      <c r="AC412" s="170" t="e">
        <f>IF('Prediction Log'!#REF!="Y", "W", IF('Prediction Log'!#REF!="N","L",""))</f>
        <v>#REF!</v>
      </c>
      <c r="AD412" s="171" t="e">
        <f>IF('Prediction Log'!#REF!="Y", "W", IF('Prediction Log'!#REF!="N","L",""))</f>
        <v>#REF!</v>
      </c>
      <c r="AE412" s="172" t="str">
        <f>IF(ISBLANK(Table123[[#This Row],[Odds Side - Difference Model]]), "",IF(AC412="W", W412, IF(AC412="L",-N412, "")))</f>
      </c>
      <c r="AF412" s="173" t="str">
        <f>IFERROR((IF(ISERR(Table123[[#This Row],[Potential Payout Side - Win Probability Model]]), "",IF(AD412="W", X412, IF(AD412="L",-N412, "")))), "")</f>
      </c>
      <c r="AG412" s="170" t="e">
        <f>IF('Prediction Log'!#REF!="Y", "W", IF('Prediction Log'!#REF!="N", "L", ""))</f>
        <v>#REF!</v>
      </c>
      <c r="AH412" s="172" t="str">
        <f>IF(ISBLANK(Table123[[#This Row],[Odds Spread]]), "",IF(AG412="W", Z412, IF(AG412="L",-O412, "")))</f>
      </c>
      <c r="AI412" s="184"/>
      <c r="AJ412" s="183" t="str">
        <f t="shared" si="48"/>
      </c>
      <c r="AK4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3">
      <c r="A413" s="65" t="e">
        <f>Games!#REF!</f>
        <v>#REF!</v>
      </c>
      <c r="B413" s="65" t="e">
        <f>IF('Prediction Log'!#REF!=0, "",'Prediction Log'!#REF!)</f>
        <v>#REF!</v>
      </c>
      <c r="C413" s="65" t="e">
        <f>IF('Prediction Log'!#REF!=0, "",'Prediction Log'!#REF!)</f>
        <v>#REF!</v>
      </c>
      <c r="D413" s="65" t="e">
        <f>IF('Prediction Log'!#REF!=0, "",'Prediction Log'!#REF!)</f>
        <v>#REF!</v>
      </c>
      <c r="E413" s="65" t="e">
        <f>IF('Prediction Log'!#REF!=0, "",'Prediction Log'!#REF!)</f>
        <v>#REF!</v>
      </c>
      <c r="F413" s="65" t="e">
        <f>IF('Prediction Log'!#REF!=0, "",'Prediction Log'!#REF!)</f>
        <v>#REF!</v>
      </c>
      <c r="G413" s="64" t="e">
        <f>IF(ISBLANK(Games!#REF!), "",'Prediction Log'!#REF!)</f>
        <v>#REF!</v>
      </c>
      <c r="H413" s="66" t="e">
        <f>'Prediction Log'!#REF!</f>
        <v>#REF!</v>
      </c>
      <c r="I413" s="65" t="e">
        <f>IF(ISBLANK(Games!#REF!), "",IF(AND(Games!#REF!="",Games!#REF!=""),"",IF(ISTEXT(Games!#REF!), "Side",Games!#REF!)))</f>
        <v>#REF!</v>
      </c>
      <c r="J413" s="65" t="e">
        <f>IF(ISBLANK(Games!#REF!), "",IF(Games!#REF!="Y", Games!#REF!, Games!#REF!))</f>
        <v>#REF!</v>
      </c>
      <c r="K413" s="65" t="e">
        <f>Games!#REF!</f>
        <v>#REF!</v>
      </c>
      <c r="L413" s="65" t="e">
        <f>IF(ISBLANK(Games!#REF!), "",Games!#REF!)</f>
        <v>#REF!</v>
      </c>
      <c r="M413" s="65"/>
      <c r="N413" s="167" t="str">
        <f>IF(ISBLANK(Table123[[#This Row],[Odds Side - Difference Model]]), "", 1)</f>
      </c>
      <c r="O413" s="167" t="str">
        <f>IF(ISBLANK(Table123[[#This Row],[Odds Spread]]), "", 1)</f>
      </c>
      <c r="P413" s="67"/>
      <c r="Q413" s="67"/>
      <c r="R4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3" s="67"/>
      <c r="T413" s="67"/>
      <c r="U413" s="168" t="str">
        <f>IF(ISBLANK(Table123[[#This Row],[Odds Side - Difference Model]]), "",N413+IF(Q413&lt;0, (N413/(Q413/-100)), N413*(Q413/100)))</f>
      </c>
      <c r="V413" s="169" t="str">
        <f>IFERROR(IF(ISBLANK(Table123[[#This Row],[Odds Side - Win Probability Model]]), "",N413+IF(R413&lt;0, (N413/(R413/-100)), N413*(R413/100))),"")</f>
      </c>
      <c r="W413" s="168" t="str">
        <f t="shared" si="43"/>
      </c>
      <c r="X413" s="169" t="str">
        <f t="shared" si="44"/>
      </c>
      <c r="Y413" s="168" t="str">
        <f>IF(ISBLANK(Table123[[#This Row],[Odds Spread]]), "",O413+IF(S413&lt;0, (O413/(S413/-100)), O413*(S413/100)))</f>
      </c>
      <c r="Z413" s="168" t="str">
        <f t="shared" si="45"/>
      </c>
      <c r="AA413" s="68" t="n">
        <f t="shared" si="46"/>
        <v>0</v>
      </c>
      <c r="AB413" s="68" t="n">
        <f t="shared" si="47"/>
        <v>0</v>
      </c>
      <c r="AC413" s="170" t="e">
        <f>IF('Prediction Log'!#REF!="Y", "W", IF('Prediction Log'!#REF!="N","L",""))</f>
        <v>#REF!</v>
      </c>
      <c r="AD413" s="171" t="e">
        <f>IF('Prediction Log'!#REF!="Y", "W", IF('Prediction Log'!#REF!="N","L",""))</f>
        <v>#REF!</v>
      </c>
      <c r="AE413" s="172" t="str">
        <f>IF(ISBLANK(Table123[[#This Row],[Odds Side - Difference Model]]), "",IF(AC413="W", W413, IF(AC413="L",-N413, "")))</f>
      </c>
      <c r="AF413" s="173" t="str">
        <f>IFERROR((IF(ISERR(Table123[[#This Row],[Potential Payout Side - Win Probability Model]]), "",IF(AD413="W", X413, IF(AD413="L",-N413, "")))), "")</f>
      </c>
      <c r="AG413" s="170" t="e">
        <f>IF('Prediction Log'!#REF!="Y", "W", IF('Prediction Log'!#REF!="N", "L", ""))</f>
        <v>#REF!</v>
      </c>
      <c r="AH413" s="172" t="str">
        <f>IF(ISBLANK(Table123[[#This Row],[Odds Spread]]), "",IF(AG413="W", Z413, IF(AG413="L",-O413, "")))</f>
      </c>
      <c r="AI413" s="184"/>
      <c r="AJ413" s="183" t="str">
        <f t="shared" si="48"/>
      </c>
      <c r="AK4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4">
      <c r="A414" s="65" t="e">
        <f>Games!#REF!</f>
        <v>#REF!</v>
      </c>
      <c r="B414" s="65" t="e">
        <f>IF('Prediction Log'!#REF!=0, "",'Prediction Log'!#REF!)</f>
        <v>#REF!</v>
      </c>
      <c r="C414" s="65" t="e">
        <f>IF('Prediction Log'!#REF!=0, "",'Prediction Log'!#REF!)</f>
        <v>#REF!</v>
      </c>
      <c r="D414" s="65" t="e">
        <f>IF('Prediction Log'!#REF!=0, "",'Prediction Log'!#REF!)</f>
        <v>#REF!</v>
      </c>
      <c r="E414" s="65" t="e">
        <f>IF('Prediction Log'!#REF!=0, "",'Prediction Log'!#REF!)</f>
        <v>#REF!</v>
      </c>
      <c r="F414" s="65" t="e">
        <f>IF('Prediction Log'!#REF!=0, "",'Prediction Log'!#REF!)</f>
        <v>#REF!</v>
      </c>
      <c r="G414" s="64" t="e">
        <f>IF(ISBLANK(Games!#REF!), "",'Prediction Log'!#REF!)</f>
        <v>#REF!</v>
      </c>
      <c r="H414" s="66" t="e">
        <f>'Prediction Log'!#REF!</f>
        <v>#REF!</v>
      </c>
      <c r="I414" s="65" t="e">
        <f>IF(ISBLANK(Games!#REF!), "",IF(AND(Games!#REF!="",Games!#REF!=""),"",IF(ISTEXT(Games!#REF!), "Side",Games!#REF!)))</f>
        <v>#REF!</v>
      </c>
      <c r="J414" s="65" t="e">
        <f>IF(ISBLANK(Games!#REF!), "",IF(Games!#REF!="Y", Games!#REF!, Games!#REF!))</f>
        <v>#REF!</v>
      </c>
      <c r="K414" s="65" t="e">
        <f>Games!#REF!</f>
        <v>#REF!</v>
      </c>
      <c r="L414" s="65" t="e">
        <f>IF(ISBLANK(Games!#REF!), "",Games!#REF!)</f>
        <v>#REF!</v>
      </c>
      <c r="M414" s="65"/>
      <c r="N414" s="167" t="str">
        <f>IF(ISBLANK(Table123[[#This Row],[Odds Side - Difference Model]]), "", 1)</f>
      </c>
      <c r="O414" s="167" t="str">
        <f>IF(ISBLANK(Table123[[#This Row],[Odds Spread]]), "", 1)</f>
      </c>
      <c r="P414" s="67"/>
      <c r="Q414" s="67"/>
      <c r="R4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4" s="67"/>
      <c r="T414" s="67"/>
      <c r="U414" s="168" t="str">
        <f>IF(ISBLANK(Table123[[#This Row],[Odds Side - Difference Model]]), "",N414+IF(Q414&lt;0, (N414/(Q414/-100)), N414*(Q414/100)))</f>
      </c>
      <c r="V414" s="169" t="str">
        <f>IFERROR(IF(ISBLANK(Table123[[#This Row],[Odds Side - Win Probability Model]]), "",N414+IF(R414&lt;0, (N414/(R414/-100)), N414*(R414/100))),"")</f>
      </c>
      <c r="W414" s="168" t="str">
        <f t="shared" si="43"/>
      </c>
      <c r="X414" s="169" t="str">
        <f t="shared" si="44"/>
      </c>
      <c r="Y414" s="168" t="str">
        <f>IF(ISBLANK(Table123[[#This Row],[Odds Spread]]), "",O414+IF(S414&lt;0, (O414/(S414/-100)), O414*(S414/100)))</f>
      </c>
      <c r="Z414" s="168" t="str">
        <f t="shared" si="45"/>
      </c>
      <c r="AA414" s="68" t="n">
        <f t="shared" si="46"/>
        <v>0</v>
      </c>
      <c r="AB414" s="68" t="n">
        <f t="shared" si="47"/>
        <v>0</v>
      </c>
      <c r="AC414" s="170" t="e">
        <f>IF('Prediction Log'!#REF!="Y", "W", IF('Prediction Log'!#REF!="N","L",""))</f>
        <v>#REF!</v>
      </c>
      <c r="AD414" s="171" t="e">
        <f>IF('Prediction Log'!#REF!="Y", "W", IF('Prediction Log'!#REF!="N","L",""))</f>
        <v>#REF!</v>
      </c>
      <c r="AE414" s="172" t="str">
        <f>IF(ISBLANK(Table123[[#This Row],[Odds Side - Difference Model]]), "",IF(AC414="W", W414, IF(AC414="L",-N414, "")))</f>
      </c>
      <c r="AF414" s="173" t="str">
        <f>IFERROR((IF(ISERR(Table123[[#This Row],[Potential Payout Side - Win Probability Model]]), "",IF(AD414="W", X414, IF(AD414="L",-N414, "")))), "")</f>
      </c>
      <c r="AG414" s="170" t="e">
        <f>IF('Prediction Log'!#REF!="Y", "W", IF('Prediction Log'!#REF!="N", "L", ""))</f>
        <v>#REF!</v>
      </c>
      <c r="AH414" s="172" t="str">
        <f>IF(ISBLANK(Table123[[#This Row],[Odds Spread]]), "",IF(AG414="W", Z414, IF(AG414="L",-O414, "")))</f>
      </c>
      <c r="AI414" s="184"/>
      <c r="AJ414" s="183" t="str">
        <f t="shared" si="48"/>
      </c>
      <c r="AK4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5">
      <c r="A415" s="65" t="e">
        <f>Games!#REF!</f>
        <v>#REF!</v>
      </c>
      <c r="B415" s="65" t="e">
        <f>IF('Prediction Log'!#REF!=0, "",'Prediction Log'!#REF!)</f>
        <v>#REF!</v>
      </c>
      <c r="C415" s="65" t="e">
        <f>IF('Prediction Log'!#REF!=0, "",'Prediction Log'!#REF!)</f>
        <v>#REF!</v>
      </c>
      <c r="D415" s="65" t="e">
        <f>IF('Prediction Log'!#REF!=0, "",'Prediction Log'!#REF!)</f>
        <v>#REF!</v>
      </c>
      <c r="E415" s="65" t="e">
        <f>IF('Prediction Log'!#REF!=0, "",'Prediction Log'!#REF!)</f>
        <v>#REF!</v>
      </c>
      <c r="F415" s="65" t="e">
        <f>IF('Prediction Log'!#REF!=0, "",'Prediction Log'!#REF!)</f>
        <v>#REF!</v>
      </c>
      <c r="G415" s="64" t="e">
        <f>IF(ISBLANK(Games!#REF!), "",'Prediction Log'!#REF!)</f>
        <v>#REF!</v>
      </c>
      <c r="H415" s="66" t="e">
        <f>'Prediction Log'!#REF!</f>
        <v>#REF!</v>
      </c>
      <c r="I415" s="65" t="e">
        <f>IF(ISBLANK(Games!#REF!), "",IF(AND(Games!#REF!="",Games!#REF!=""),"",IF(ISTEXT(Games!#REF!), "Side",Games!#REF!)))</f>
        <v>#REF!</v>
      </c>
      <c r="J415" s="65" t="e">
        <f>IF(ISBLANK(Games!#REF!), "",IF(Games!#REF!="Y", Games!#REF!, Games!#REF!))</f>
        <v>#REF!</v>
      </c>
      <c r="K415" s="65" t="e">
        <f>Games!#REF!</f>
        <v>#REF!</v>
      </c>
      <c r="L415" s="65" t="e">
        <f>IF(ISBLANK(Games!#REF!), "",Games!#REF!)</f>
        <v>#REF!</v>
      </c>
      <c r="M415" s="65"/>
      <c r="N415" s="167" t="str">
        <f>IF(ISBLANK(Table123[[#This Row],[Odds Side - Difference Model]]), "", 1)</f>
      </c>
      <c r="O415" s="167" t="str">
        <f>IF(ISBLANK(Table123[[#This Row],[Odds Spread]]), "", 1)</f>
      </c>
      <c r="P415" s="67"/>
      <c r="Q415" s="67"/>
      <c r="R4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5" s="67"/>
      <c r="T415" s="67"/>
      <c r="U415" s="168" t="str">
        <f>IF(ISBLANK(Table123[[#This Row],[Odds Side - Difference Model]]), "",N415+IF(Q415&lt;0, (N415/(Q415/-100)), N415*(Q415/100)))</f>
      </c>
      <c r="V415" s="169" t="str">
        <f>IFERROR(IF(ISBLANK(Table123[[#This Row],[Odds Side - Win Probability Model]]), "",N415+IF(R415&lt;0, (N415/(R415/-100)), N415*(R415/100))),"")</f>
      </c>
      <c r="W415" s="168" t="str">
        <f t="shared" si="43"/>
      </c>
      <c r="X415" s="169" t="str">
        <f t="shared" si="44"/>
      </c>
      <c r="Y415" s="168" t="str">
        <f>IF(ISBLANK(Table123[[#This Row],[Odds Spread]]), "",O415+IF(S415&lt;0, (O415/(S415/-100)), O415*(S415/100)))</f>
      </c>
      <c r="Z415" s="168" t="str">
        <f t="shared" si="45"/>
      </c>
      <c r="AA415" s="68" t="n">
        <f t="shared" si="46"/>
        <v>0</v>
      </c>
      <c r="AB415" s="68" t="n">
        <f t="shared" si="47"/>
        <v>0</v>
      </c>
      <c r="AC415" s="170" t="e">
        <f>IF('Prediction Log'!#REF!="Y", "W", IF('Prediction Log'!#REF!="N","L",""))</f>
        <v>#REF!</v>
      </c>
      <c r="AD415" s="171" t="e">
        <f>IF('Prediction Log'!#REF!="Y", "W", IF('Prediction Log'!#REF!="N","L",""))</f>
        <v>#REF!</v>
      </c>
      <c r="AE415" s="172" t="str">
        <f>IF(ISBLANK(Table123[[#This Row],[Odds Side - Difference Model]]), "",IF(AC415="W", W415, IF(AC415="L",-N415, "")))</f>
      </c>
      <c r="AF415" s="173" t="str">
        <f>IFERROR((IF(ISERR(Table123[[#This Row],[Potential Payout Side - Win Probability Model]]), "",IF(AD415="W", X415, IF(AD415="L",-N415, "")))), "")</f>
      </c>
      <c r="AG415" s="170" t="e">
        <f>IF('Prediction Log'!#REF!="Y", "W", IF('Prediction Log'!#REF!="N", "L", ""))</f>
        <v>#REF!</v>
      </c>
      <c r="AH415" s="172" t="str">
        <f>IF(ISBLANK(Table123[[#This Row],[Odds Spread]]), "",IF(AG415="W", Z415, IF(AG415="L",-O415, "")))</f>
      </c>
      <c r="AI415" s="184"/>
      <c r="AJ415" s="183" t="str">
        <f t="shared" si="48"/>
      </c>
      <c r="AK4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6">
      <c r="A416" s="65" t="e">
        <f>Games!#REF!</f>
        <v>#REF!</v>
      </c>
      <c r="B416" s="65" t="e">
        <f>IF('Prediction Log'!#REF!=0, "",'Prediction Log'!#REF!)</f>
        <v>#REF!</v>
      </c>
      <c r="C416" s="65" t="e">
        <f>IF('Prediction Log'!#REF!=0, "",'Prediction Log'!#REF!)</f>
        <v>#REF!</v>
      </c>
      <c r="D416" s="65" t="e">
        <f>IF('Prediction Log'!#REF!=0, "",'Prediction Log'!#REF!)</f>
        <v>#REF!</v>
      </c>
      <c r="E416" s="65" t="e">
        <f>IF('Prediction Log'!#REF!=0, "",'Prediction Log'!#REF!)</f>
        <v>#REF!</v>
      </c>
      <c r="F416" s="65" t="e">
        <f>IF('Prediction Log'!#REF!=0, "",'Prediction Log'!#REF!)</f>
        <v>#REF!</v>
      </c>
      <c r="G416" s="64" t="e">
        <f>IF(ISBLANK(Games!#REF!), "",'Prediction Log'!#REF!)</f>
        <v>#REF!</v>
      </c>
      <c r="H416" s="66" t="e">
        <f>'Prediction Log'!#REF!</f>
        <v>#REF!</v>
      </c>
      <c r="I416" s="65" t="e">
        <f>IF(ISBLANK(Games!#REF!), "",IF(AND(Games!#REF!="",Games!#REF!=""),"",IF(ISTEXT(Games!#REF!), "Side",Games!#REF!)))</f>
        <v>#REF!</v>
      </c>
      <c r="J416" s="65" t="e">
        <f>IF(ISBLANK(Games!#REF!), "",IF(Games!#REF!="Y", Games!#REF!, Games!#REF!))</f>
        <v>#REF!</v>
      </c>
      <c r="K416" s="65" t="e">
        <f>Games!#REF!</f>
        <v>#REF!</v>
      </c>
      <c r="L416" s="65" t="e">
        <f>IF(ISBLANK(Games!#REF!), "",Games!#REF!)</f>
        <v>#REF!</v>
      </c>
      <c r="M416" s="65"/>
      <c r="N416" s="167" t="str">
        <f>IF(ISBLANK(Table123[[#This Row],[Odds Side - Difference Model]]), "", 1)</f>
      </c>
      <c r="O416" s="167" t="str">
        <f>IF(ISBLANK(Table123[[#This Row],[Odds Spread]]), "", 1)</f>
      </c>
      <c r="P416" s="67"/>
      <c r="Q416" s="67"/>
      <c r="R4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6" s="67"/>
      <c r="T416" s="67"/>
      <c r="U416" s="168" t="str">
        <f>IF(ISBLANK(Table123[[#This Row],[Odds Side - Difference Model]]), "",N416+IF(Q416&lt;0, (N416/(Q416/-100)), N416*(Q416/100)))</f>
      </c>
      <c r="V416" s="169" t="str">
        <f>IFERROR(IF(ISBLANK(Table123[[#This Row],[Odds Side - Win Probability Model]]), "",N416+IF(R416&lt;0, (N416/(R416/-100)), N416*(R416/100))),"")</f>
      </c>
      <c r="W416" s="168" t="str">
        <f t="shared" si="43"/>
      </c>
      <c r="X416" s="169" t="str">
        <f t="shared" si="44"/>
      </c>
      <c r="Y416" s="168" t="str">
        <f>IF(ISBLANK(Table123[[#This Row],[Odds Spread]]), "",O416+IF(S416&lt;0, (O416/(S416/-100)), O416*(S416/100)))</f>
      </c>
      <c r="Z416" s="168" t="str">
        <f t="shared" si="45"/>
      </c>
      <c r="AA416" s="68" t="n">
        <f t="shared" si="46"/>
        <v>0</v>
      </c>
      <c r="AB416" s="68" t="n">
        <f t="shared" si="47"/>
        <v>0</v>
      </c>
      <c r="AC416" s="170" t="e">
        <f>IF('Prediction Log'!#REF!="Y", "W", IF('Prediction Log'!#REF!="N","L",""))</f>
        <v>#REF!</v>
      </c>
      <c r="AD416" s="171" t="e">
        <f>IF('Prediction Log'!#REF!="Y", "W", IF('Prediction Log'!#REF!="N","L",""))</f>
        <v>#REF!</v>
      </c>
      <c r="AE416" s="172" t="str">
        <f>IF(ISBLANK(Table123[[#This Row],[Odds Side - Difference Model]]), "",IF(AC416="W", W416, IF(AC416="L",-N416, "")))</f>
      </c>
      <c r="AF416" s="173" t="str">
        <f>IFERROR((IF(ISERR(Table123[[#This Row],[Potential Payout Side - Win Probability Model]]), "",IF(AD416="W", X416, IF(AD416="L",-N416, "")))), "")</f>
      </c>
      <c r="AG416" s="170" t="e">
        <f>IF('Prediction Log'!#REF!="Y", "W", IF('Prediction Log'!#REF!="N", "L", ""))</f>
        <v>#REF!</v>
      </c>
      <c r="AH416" s="172" t="str">
        <f>IF(ISBLANK(Table123[[#This Row],[Odds Spread]]), "",IF(AG416="W", Z416, IF(AG416="L",-O416, "")))</f>
      </c>
      <c r="AI416" s="184"/>
      <c r="AJ416" s="183" t="str">
        <f t="shared" si="48"/>
      </c>
      <c r="AK4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7">
      <c r="A417" s="65" t="e">
        <f>Games!#REF!</f>
        <v>#REF!</v>
      </c>
      <c r="B417" s="65" t="e">
        <f>IF('Prediction Log'!#REF!=0, "",'Prediction Log'!#REF!)</f>
        <v>#REF!</v>
      </c>
      <c r="C417" s="65" t="e">
        <f>IF('Prediction Log'!#REF!=0, "",'Prediction Log'!#REF!)</f>
        <v>#REF!</v>
      </c>
      <c r="D417" s="65" t="e">
        <f>IF('Prediction Log'!#REF!=0, "",'Prediction Log'!#REF!)</f>
        <v>#REF!</v>
      </c>
      <c r="E417" s="65" t="e">
        <f>IF('Prediction Log'!#REF!=0, "",'Prediction Log'!#REF!)</f>
        <v>#REF!</v>
      </c>
      <c r="F417" s="65" t="e">
        <f>IF('Prediction Log'!#REF!=0, "",'Prediction Log'!#REF!)</f>
        <v>#REF!</v>
      </c>
      <c r="G417" s="64" t="e">
        <f>IF(ISBLANK(Games!#REF!), "",'Prediction Log'!#REF!)</f>
        <v>#REF!</v>
      </c>
      <c r="H417" s="66" t="e">
        <f>'Prediction Log'!#REF!</f>
        <v>#REF!</v>
      </c>
      <c r="I417" s="65" t="e">
        <f>IF(ISBLANK(Games!#REF!), "",IF(AND(Games!#REF!="",Games!#REF!=""),"",IF(ISTEXT(Games!#REF!), "Side",Games!#REF!)))</f>
        <v>#REF!</v>
      </c>
      <c r="J417" s="65" t="e">
        <f>IF(ISBLANK(Games!#REF!), "",IF(Games!#REF!="Y", Games!#REF!, Games!#REF!))</f>
        <v>#REF!</v>
      </c>
      <c r="K417" s="65" t="e">
        <f>Games!#REF!</f>
        <v>#REF!</v>
      </c>
      <c r="L417" s="65" t="e">
        <f>IF(ISBLANK(Games!#REF!), "",Games!#REF!)</f>
        <v>#REF!</v>
      </c>
      <c r="M417" s="65"/>
      <c r="N417" s="167" t="str">
        <f>IF(ISBLANK(Table123[[#This Row],[Odds Side - Difference Model]]), "", 1)</f>
      </c>
      <c r="O417" s="167" t="str">
        <f>IF(ISBLANK(Table123[[#This Row],[Odds Spread]]), "", 1)</f>
      </c>
      <c r="P417" s="67"/>
      <c r="Q417" s="67"/>
      <c r="R4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7" s="67"/>
      <c r="T417" s="67"/>
      <c r="U417" s="168" t="str">
        <f>IF(ISBLANK(Table123[[#This Row],[Odds Side - Difference Model]]), "",N417+IF(Q417&lt;0, (N417/(Q417/-100)), N417*(Q417/100)))</f>
      </c>
      <c r="V417" s="169" t="str">
        <f>IFERROR(IF(ISBLANK(Table123[[#This Row],[Odds Side - Win Probability Model]]), "",N417+IF(R417&lt;0, (N417/(R417/-100)), N417*(R417/100))),"")</f>
      </c>
      <c r="W417" s="168" t="str">
        <f t="shared" si="43"/>
      </c>
      <c r="X417" s="169" t="str">
        <f t="shared" si="44"/>
      </c>
      <c r="Y417" s="168" t="str">
        <f>IF(ISBLANK(Table123[[#This Row],[Odds Spread]]), "",O417+IF(S417&lt;0, (O417/(S417/-100)), O417*(S417/100)))</f>
      </c>
      <c r="Z417" s="168" t="str">
        <f t="shared" si="45"/>
      </c>
      <c r="AA417" s="68" t="n">
        <f t="shared" si="46"/>
        <v>0</v>
      </c>
      <c r="AB417" s="68" t="n">
        <f t="shared" si="47"/>
        <v>0</v>
      </c>
      <c r="AC417" s="170" t="e">
        <f>IF('Prediction Log'!#REF!="Y", "W", IF('Prediction Log'!#REF!="N","L",""))</f>
        <v>#REF!</v>
      </c>
      <c r="AD417" s="171" t="e">
        <f>IF('Prediction Log'!#REF!="Y", "W", IF('Prediction Log'!#REF!="N","L",""))</f>
        <v>#REF!</v>
      </c>
      <c r="AE417" s="172" t="str">
        <f>IF(ISBLANK(Table123[[#This Row],[Odds Side - Difference Model]]), "",IF(AC417="W", W417, IF(AC417="L",-N417, "")))</f>
      </c>
      <c r="AF417" s="173" t="str">
        <f>IFERROR((IF(ISERR(Table123[[#This Row],[Potential Payout Side - Win Probability Model]]), "",IF(AD417="W", X417, IF(AD417="L",-N417, "")))), "")</f>
      </c>
      <c r="AG417" s="170" t="e">
        <f>IF('Prediction Log'!#REF!="Y", "W", IF('Prediction Log'!#REF!="N", "L", ""))</f>
        <v>#REF!</v>
      </c>
      <c r="AH417" s="172" t="str">
        <f>IF(ISBLANK(Table123[[#This Row],[Odds Spread]]), "",IF(AG417="W", Z417, IF(AG417="L",-O417, "")))</f>
      </c>
      <c r="AI417" s="184"/>
      <c r="AJ417" s="183" t="str">
        <f t="shared" si="48"/>
      </c>
      <c r="AK4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8">
      <c r="A418" s="65" t="e">
        <f>Games!#REF!</f>
        <v>#REF!</v>
      </c>
      <c r="B418" s="65" t="e">
        <f>IF('Prediction Log'!#REF!=0, "",'Prediction Log'!#REF!)</f>
        <v>#REF!</v>
      </c>
      <c r="C418" s="65" t="e">
        <f>IF('Prediction Log'!#REF!=0, "",'Prediction Log'!#REF!)</f>
        <v>#REF!</v>
      </c>
      <c r="D418" s="65" t="e">
        <f>IF('Prediction Log'!#REF!=0, "",'Prediction Log'!#REF!)</f>
        <v>#REF!</v>
      </c>
      <c r="E418" s="65" t="e">
        <f>IF('Prediction Log'!#REF!=0, "",'Prediction Log'!#REF!)</f>
        <v>#REF!</v>
      </c>
      <c r="F418" s="65" t="e">
        <f>IF('Prediction Log'!#REF!=0, "",'Prediction Log'!#REF!)</f>
        <v>#REF!</v>
      </c>
      <c r="G418" s="64" t="e">
        <f>IF(ISBLANK(Games!#REF!), "",'Prediction Log'!#REF!)</f>
        <v>#REF!</v>
      </c>
      <c r="H418" s="66" t="e">
        <f>'Prediction Log'!#REF!</f>
        <v>#REF!</v>
      </c>
      <c r="I418" s="65" t="e">
        <f>IF(ISBLANK(Games!#REF!), "",IF(AND(Games!#REF!="",Games!#REF!=""),"",IF(ISTEXT(Games!#REF!), "Side",Games!#REF!)))</f>
        <v>#REF!</v>
      </c>
      <c r="J418" s="65" t="e">
        <f>IF(ISBLANK(Games!#REF!), "",IF(Games!#REF!="Y", Games!#REF!, Games!#REF!))</f>
        <v>#REF!</v>
      </c>
      <c r="K418" s="65" t="e">
        <f>Games!#REF!</f>
        <v>#REF!</v>
      </c>
      <c r="L418" s="65" t="e">
        <f>IF(ISBLANK(Games!#REF!), "",Games!#REF!)</f>
        <v>#REF!</v>
      </c>
      <c r="M418" s="65"/>
      <c r="N418" s="167" t="str">
        <f>IF(ISBLANK(Table123[[#This Row],[Odds Side - Difference Model]]), "", 1)</f>
      </c>
      <c r="O418" s="167" t="str">
        <f>IF(ISBLANK(Table123[[#This Row],[Odds Spread]]), "", 1)</f>
      </c>
      <c r="P418" s="67"/>
      <c r="Q418" s="67"/>
      <c r="R4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8" s="67"/>
      <c r="T418" s="67"/>
      <c r="U418" s="168" t="str">
        <f>IF(ISBLANK(Table123[[#This Row],[Odds Side - Difference Model]]), "",N418+IF(Q418&lt;0, (N418/(Q418/-100)), N418*(Q418/100)))</f>
      </c>
      <c r="V418" s="169" t="str">
        <f>IFERROR(IF(ISBLANK(Table123[[#This Row],[Odds Side - Win Probability Model]]), "",N418+IF(R418&lt;0, (N418/(R418/-100)), N418*(R418/100))),"")</f>
      </c>
      <c r="W418" s="168" t="str">
        <f t="shared" si="43"/>
      </c>
      <c r="X418" s="169" t="str">
        <f t="shared" si="44"/>
      </c>
      <c r="Y418" s="168" t="str">
        <f>IF(ISBLANK(Table123[[#This Row],[Odds Spread]]), "",O418+IF(S418&lt;0, (O418/(S418/-100)), O418*(S418/100)))</f>
      </c>
      <c r="Z418" s="168" t="str">
        <f t="shared" si="45"/>
      </c>
      <c r="AA418" s="68" t="n">
        <f t="shared" si="46"/>
        <v>0</v>
      </c>
      <c r="AB418" s="68" t="n">
        <f t="shared" si="47"/>
        <v>0</v>
      </c>
      <c r="AC418" s="170" t="e">
        <f>IF('Prediction Log'!#REF!="Y", "W", IF('Prediction Log'!#REF!="N","L",""))</f>
        <v>#REF!</v>
      </c>
      <c r="AD418" s="171" t="e">
        <f>IF('Prediction Log'!#REF!="Y", "W", IF('Prediction Log'!#REF!="N","L",""))</f>
        <v>#REF!</v>
      </c>
      <c r="AE418" s="172" t="str">
        <f>IF(ISBLANK(Table123[[#This Row],[Odds Side - Difference Model]]), "",IF(AC418="W", W418, IF(AC418="L",-N418, "")))</f>
      </c>
      <c r="AF418" s="173" t="str">
        <f>IFERROR((IF(ISERR(Table123[[#This Row],[Potential Payout Side - Win Probability Model]]), "",IF(AD418="W", X418, IF(AD418="L",-N418, "")))), "")</f>
      </c>
      <c r="AG418" s="170" t="e">
        <f>IF('Prediction Log'!#REF!="Y", "W", IF('Prediction Log'!#REF!="N", "L", ""))</f>
        <v>#REF!</v>
      </c>
      <c r="AH418" s="172" t="str">
        <f>IF(ISBLANK(Table123[[#This Row],[Odds Spread]]), "",IF(AG418="W", Z418, IF(AG418="L",-O418, "")))</f>
      </c>
      <c r="AI418" s="184"/>
      <c r="AJ418" s="183" t="str">
        <f t="shared" si="48"/>
      </c>
      <c r="AK4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9">
      <c r="A419" s="65" t="e">
        <f>Games!#REF!</f>
        <v>#REF!</v>
      </c>
      <c r="B419" s="65" t="e">
        <f>IF('Prediction Log'!#REF!=0, "",'Prediction Log'!#REF!)</f>
        <v>#REF!</v>
      </c>
      <c r="C419" s="65" t="e">
        <f>IF('Prediction Log'!#REF!=0, "",'Prediction Log'!#REF!)</f>
        <v>#REF!</v>
      </c>
      <c r="D419" s="65" t="e">
        <f>IF('Prediction Log'!#REF!=0, "",'Prediction Log'!#REF!)</f>
        <v>#REF!</v>
      </c>
      <c r="E419" s="65" t="e">
        <f>IF('Prediction Log'!#REF!=0, "",'Prediction Log'!#REF!)</f>
        <v>#REF!</v>
      </c>
      <c r="F419" s="65" t="e">
        <f>IF('Prediction Log'!#REF!=0, "",'Prediction Log'!#REF!)</f>
        <v>#REF!</v>
      </c>
      <c r="G419" s="64" t="e">
        <f>IF(ISBLANK(Games!#REF!), "",'Prediction Log'!#REF!)</f>
        <v>#REF!</v>
      </c>
      <c r="H419" s="66" t="e">
        <f>'Prediction Log'!#REF!</f>
        <v>#REF!</v>
      </c>
      <c r="I419" s="65" t="e">
        <f>IF(ISBLANK(Games!#REF!), "",IF(AND(Games!#REF!="",Games!#REF!=""),"",IF(ISTEXT(Games!#REF!), "Side",Games!#REF!)))</f>
        <v>#REF!</v>
      </c>
      <c r="J419" s="65" t="e">
        <f>IF(ISBLANK(Games!#REF!), "",IF(Games!#REF!="Y", Games!#REF!, Games!#REF!))</f>
        <v>#REF!</v>
      </c>
      <c r="K419" s="65" t="e">
        <f>Games!#REF!</f>
        <v>#REF!</v>
      </c>
      <c r="L419" s="65" t="e">
        <f>IF(ISBLANK(Games!#REF!), "",Games!#REF!)</f>
        <v>#REF!</v>
      </c>
      <c r="M419" s="65"/>
      <c r="N419" s="167" t="str">
        <f>IF(ISBLANK(Table123[[#This Row],[Odds Side - Difference Model]]), "", 1)</f>
      </c>
      <c r="O419" s="167" t="str">
        <f>IF(ISBLANK(Table123[[#This Row],[Odds Spread]]), "", 1)</f>
      </c>
      <c r="P419" s="67"/>
      <c r="Q419" s="67"/>
      <c r="R4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9" s="67"/>
      <c r="T419" s="67"/>
      <c r="U419" s="168" t="str">
        <f>IF(ISBLANK(Table123[[#This Row],[Odds Side - Difference Model]]), "",N419+IF(Q419&lt;0, (N419/(Q419/-100)), N419*(Q419/100)))</f>
      </c>
      <c r="V419" s="169" t="str">
        <f>IFERROR(IF(ISBLANK(Table123[[#This Row],[Odds Side - Win Probability Model]]), "",N419+IF(R419&lt;0, (N419/(R419/-100)), N419*(R419/100))),"")</f>
      </c>
      <c r="W419" s="168" t="str">
        <f t="shared" si="43"/>
      </c>
      <c r="X419" s="169" t="str">
        <f t="shared" si="44"/>
      </c>
      <c r="Y419" s="168" t="str">
        <f>IF(ISBLANK(Table123[[#This Row],[Odds Spread]]), "",O419+IF(S419&lt;0, (O419/(S419/-100)), O419*(S419/100)))</f>
      </c>
      <c r="Z419" s="168" t="str">
        <f t="shared" si="45"/>
      </c>
      <c r="AA419" s="68" t="n">
        <f t="shared" si="46"/>
        <v>0</v>
      </c>
      <c r="AB419" s="68" t="n">
        <f t="shared" si="47"/>
        <v>0</v>
      </c>
      <c r="AC419" s="170" t="e">
        <f>IF('Prediction Log'!#REF!="Y", "W", IF('Prediction Log'!#REF!="N","L",""))</f>
        <v>#REF!</v>
      </c>
      <c r="AD419" s="171" t="e">
        <f>IF('Prediction Log'!#REF!="Y", "W", IF('Prediction Log'!#REF!="N","L",""))</f>
        <v>#REF!</v>
      </c>
      <c r="AE419" s="172" t="str">
        <f>IF(ISBLANK(Table123[[#This Row],[Odds Side - Difference Model]]), "",IF(AC419="W", W419, IF(AC419="L",-N419, "")))</f>
      </c>
      <c r="AF419" s="173" t="str">
        <f>IFERROR((IF(ISERR(Table123[[#This Row],[Potential Payout Side - Win Probability Model]]), "",IF(AD419="W", X419, IF(AD419="L",-N419, "")))), "")</f>
      </c>
      <c r="AG419" s="170" t="e">
        <f>IF('Prediction Log'!#REF!="Y", "W", IF('Prediction Log'!#REF!="N", "L", ""))</f>
        <v>#REF!</v>
      </c>
      <c r="AH419" s="172" t="str">
        <f>IF(ISBLANK(Table123[[#This Row],[Odds Spread]]), "",IF(AG419="W", Z419, IF(AG419="L",-O419, "")))</f>
      </c>
      <c r="AI419" s="184"/>
      <c r="AJ419" s="183" t="str">
        <f t="shared" si="48"/>
      </c>
      <c r="AK4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0">
      <c r="A420" s="65" t="e">
        <f>Games!#REF!</f>
        <v>#REF!</v>
      </c>
      <c r="B420" s="65" t="e">
        <f>IF('Prediction Log'!#REF!=0, "",'Prediction Log'!#REF!)</f>
        <v>#REF!</v>
      </c>
      <c r="C420" s="65" t="e">
        <f>IF('Prediction Log'!#REF!=0, "",'Prediction Log'!#REF!)</f>
        <v>#REF!</v>
      </c>
      <c r="D420" s="65" t="e">
        <f>IF('Prediction Log'!#REF!=0, "",'Prediction Log'!#REF!)</f>
        <v>#REF!</v>
      </c>
      <c r="E420" s="65" t="e">
        <f>IF('Prediction Log'!#REF!=0, "",'Prediction Log'!#REF!)</f>
        <v>#REF!</v>
      </c>
      <c r="F420" s="65" t="e">
        <f>IF('Prediction Log'!#REF!=0, "",'Prediction Log'!#REF!)</f>
        <v>#REF!</v>
      </c>
      <c r="G420" s="64" t="e">
        <f>IF(ISBLANK(Games!#REF!), "",'Prediction Log'!#REF!)</f>
        <v>#REF!</v>
      </c>
      <c r="H420" s="66" t="e">
        <f>'Prediction Log'!#REF!</f>
        <v>#REF!</v>
      </c>
      <c r="I420" s="65" t="e">
        <f>IF(ISBLANK(Games!#REF!), "",IF(AND(Games!#REF!="",Games!#REF!=""),"",IF(ISTEXT(Games!#REF!), "Side",Games!#REF!)))</f>
        <v>#REF!</v>
      </c>
      <c r="J420" s="65" t="e">
        <f>IF(ISBLANK(Games!#REF!), "",IF(Games!#REF!="Y", Games!#REF!, Games!#REF!))</f>
        <v>#REF!</v>
      </c>
      <c r="K420" s="65" t="e">
        <f>Games!#REF!</f>
        <v>#REF!</v>
      </c>
      <c r="L420" s="65" t="e">
        <f>IF(ISBLANK(Games!#REF!), "",Games!#REF!)</f>
        <v>#REF!</v>
      </c>
      <c r="M420" s="65"/>
      <c r="N420" s="167" t="str">
        <f>IF(ISBLANK(Table123[[#This Row],[Odds Side - Difference Model]]), "", 1)</f>
      </c>
      <c r="O420" s="167" t="str">
        <f>IF(ISBLANK(Table123[[#This Row],[Odds Spread]]), "", 1)</f>
      </c>
      <c r="P420" s="67"/>
      <c r="Q420" s="67"/>
      <c r="R4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0" s="67"/>
      <c r="T420" s="67"/>
      <c r="U420" s="168" t="str">
        <f>IF(ISBLANK(Table123[[#This Row],[Odds Side - Difference Model]]), "",N420+IF(Q420&lt;0, (N420/(Q420/-100)), N420*(Q420/100)))</f>
      </c>
      <c r="V420" s="169" t="str">
        <f>IFERROR(IF(ISBLANK(Table123[[#This Row],[Odds Side - Win Probability Model]]), "",N420+IF(R420&lt;0, (N420/(R420/-100)), N420*(R420/100))),"")</f>
      </c>
      <c r="W420" s="168" t="str">
        <f t="shared" si="43"/>
      </c>
      <c r="X420" s="169" t="str">
        <f t="shared" si="44"/>
      </c>
      <c r="Y420" s="168" t="str">
        <f>IF(ISBLANK(Table123[[#This Row],[Odds Spread]]), "",O420+IF(S420&lt;0, (O420/(S420/-100)), O420*(S420/100)))</f>
      </c>
      <c r="Z420" s="168" t="str">
        <f t="shared" si="45"/>
      </c>
      <c r="AA420" s="68" t="n">
        <f t="shared" si="46"/>
        <v>0</v>
      </c>
      <c r="AB420" s="68" t="n">
        <f t="shared" si="47"/>
        <v>0</v>
      </c>
      <c r="AC420" s="170" t="e">
        <f>IF('Prediction Log'!#REF!="Y", "W", IF('Prediction Log'!#REF!="N","L",""))</f>
        <v>#REF!</v>
      </c>
      <c r="AD420" s="171" t="e">
        <f>IF('Prediction Log'!#REF!="Y", "W", IF('Prediction Log'!#REF!="N","L",""))</f>
        <v>#REF!</v>
      </c>
      <c r="AE420" s="172" t="str">
        <f>IF(ISBLANK(Table123[[#This Row],[Odds Side - Difference Model]]), "",IF(AC420="W", W420, IF(AC420="L",-N420, "")))</f>
      </c>
      <c r="AF420" s="173" t="str">
        <f>IFERROR((IF(ISERR(Table123[[#This Row],[Potential Payout Side - Win Probability Model]]), "",IF(AD420="W", X420, IF(AD420="L",-N420, "")))), "")</f>
      </c>
      <c r="AG420" s="170" t="e">
        <f>IF('Prediction Log'!#REF!="Y", "W", IF('Prediction Log'!#REF!="N", "L", ""))</f>
        <v>#REF!</v>
      </c>
      <c r="AH420" s="172" t="str">
        <f>IF(ISBLANK(Table123[[#This Row],[Odds Spread]]), "",IF(AG420="W", Z420, IF(AG420="L",-O420, "")))</f>
      </c>
      <c r="AI420" s="184"/>
      <c r="AJ420" s="183" t="str">
        <f t="shared" si="48"/>
      </c>
      <c r="AK4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1">
      <c r="A421" s="65" t="e">
        <f>Games!#REF!</f>
        <v>#REF!</v>
      </c>
      <c r="B421" s="65" t="e">
        <f>IF('Prediction Log'!#REF!=0, "",'Prediction Log'!#REF!)</f>
        <v>#REF!</v>
      </c>
      <c r="C421" s="65" t="e">
        <f>IF('Prediction Log'!#REF!=0, "",'Prediction Log'!#REF!)</f>
        <v>#REF!</v>
      </c>
      <c r="D421" s="65" t="e">
        <f>IF('Prediction Log'!#REF!=0, "",'Prediction Log'!#REF!)</f>
        <v>#REF!</v>
      </c>
      <c r="E421" s="65" t="e">
        <f>IF('Prediction Log'!#REF!=0, "",'Prediction Log'!#REF!)</f>
        <v>#REF!</v>
      </c>
      <c r="F421" s="65" t="e">
        <f>IF('Prediction Log'!#REF!=0, "",'Prediction Log'!#REF!)</f>
        <v>#REF!</v>
      </c>
      <c r="G421" s="64" t="e">
        <f>IF(ISBLANK(Games!#REF!), "",'Prediction Log'!#REF!)</f>
        <v>#REF!</v>
      </c>
      <c r="H421" s="66" t="e">
        <f>'Prediction Log'!#REF!</f>
        <v>#REF!</v>
      </c>
      <c r="I421" s="65" t="e">
        <f>IF(ISBLANK(Games!#REF!), "",IF(AND(Games!#REF!="",Games!#REF!=""),"",IF(ISTEXT(Games!#REF!), "Side",Games!#REF!)))</f>
        <v>#REF!</v>
      </c>
      <c r="J421" s="65" t="e">
        <f>IF(ISBLANK(Games!#REF!), "",IF(Games!#REF!="Y", Games!#REF!, Games!#REF!))</f>
        <v>#REF!</v>
      </c>
      <c r="K421" s="65" t="e">
        <f>Games!#REF!</f>
        <v>#REF!</v>
      </c>
      <c r="L421" s="65" t="e">
        <f>IF(ISBLANK(Games!#REF!), "",Games!#REF!)</f>
        <v>#REF!</v>
      </c>
      <c r="M421" s="65"/>
      <c r="N421" s="167" t="str">
        <f>IF(ISBLANK(Table123[[#This Row],[Odds Side - Difference Model]]), "", 1)</f>
      </c>
      <c r="O421" s="167" t="str">
        <f>IF(ISBLANK(Table123[[#This Row],[Odds Spread]]), "", 1)</f>
      </c>
      <c r="P421" s="67"/>
      <c r="Q421" s="67"/>
      <c r="R4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1" s="67"/>
      <c r="T421" s="67"/>
      <c r="U421" s="168" t="str">
        <f>IF(ISBLANK(Table123[[#This Row],[Odds Side - Difference Model]]), "",N421+IF(Q421&lt;0, (N421/(Q421/-100)), N421*(Q421/100)))</f>
      </c>
      <c r="V421" s="169" t="str">
        <f>IFERROR(IF(ISBLANK(Table123[[#This Row],[Odds Side - Win Probability Model]]), "",N421+IF(R421&lt;0, (N421/(R421/-100)), N421*(R421/100))),"")</f>
      </c>
      <c r="W421" s="168" t="str">
        <f t="shared" si="43"/>
      </c>
      <c r="X421" s="169" t="str">
        <f t="shared" si="44"/>
      </c>
      <c r="Y421" s="168" t="str">
        <f>IF(ISBLANK(Table123[[#This Row],[Odds Spread]]), "",O421+IF(S421&lt;0, (O421/(S421/-100)), O421*(S421/100)))</f>
      </c>
      <c r="Z421" s="168" t="str">
        <f t="shared" si="45"/>
      </c>
      <c r="AA421" s="68" t="n">
        <f t="shared" si="46"/>
        <v>0</v>
      </c>
      <c r="AB421" s="68" t="n">
        <f t="shared" si="47"/>
        <v>0</v>
      </c>
      <c r="AC421" s="170" t="e">
        <f>IF('Prediction Log'!#REF!="Y", "W", IF('Prediction Log'!#REF!="N","L",""))</f>
        <v>#REF!</v>
      </c>
      <c r="AD421" s="171" t="e">
        <f>IF('Prediction Log'!#REF!="Y", "W", IF('Prediction Log'!#REF!="N","L",""))</f>
        <v>#REF!</v>
      </c>
      <c r="AE421" s="172" t="str">
        <f>IF(ISBLANK(Table123[[#This Row],[Odds Side - Difference Model]]), "",IF(AC421="W", W421, IF(AC421="L",-N421, "")))</f>
      </c>
      <c r="AF421" s="173" t="str">
        <f>IFERROR((IF(ISERR(Table123[[#This Row],[Potential Payout Side - Win Probability Model]]), "",IF(AD421="W", X421, IF(AD421="L",-N421, "")))), "")</f>
      </c>
      <c r="AG421" s="170" t="e">
        <f>IF('Prediction Log'!#REF!="Y", "W", IF('Prediction Log'!#REF!="N", "L", ""))</f>
        <v>#REF!</v>
      </c>
      <c r="AH421" s="172" t="str">
        <f>IF(ISBLANK(Table123[[#This Row],[Odds Spread]]), "",IF(AG421="W", Z421, IF(AG421="L",-O421, "")))</f>
      </c>
      <c r="AI421" s="184"/>
      <c r="AJ421" s="183" t="str">
        <f t="shared" si="48"/>
      </c>
      <c r="AK4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2">
      <c r="A422" s="65" t="e">
        <f>Games!#REF!</f>
        <v>#REF!</v>
      </c>
      <c r="B422" s="65" t="e">
        <f>IF('Prediction Log'!#REF!=0, "",'Prediction Log'!#REF!)</f>
        <v>#REF!</v>
      </c>
      <c r="C422" s="65" t="e">
        <f>IF('Prediction Log'!#REF!=0, "",'Prediction Log'!#REF!)</f>
        <v>#REF!</v>
      </c>
      <c r="D422" s="65" t="e">
        <f>IF('Prediction Log'!#REF!=0, "",'Prediction Log'!#REF!)</f>
        <v>#REF!</v>
      </c>
      <c r="E422" s="65" t="e">
        <f>IF('Prediction Log'!#REF!=0, "",'Prediction Log'!#REF!)</f>
        <v>#REF!</v>
      </c>
      <c r="F422" s="65" t="e">
        <f>IF('Prediction Log'!#REF!=0, "",'Prediction Log'!#REF!)</f>
        <v>#REF!</v>
      </c>
      <c r="G422" s="64" t="e">
        <f>IF(ISBLANK(Games!#REF!), "",'Prediction Log'!#REF!)</f>
        <v>#REF!</v>
      </c>
      <c r="H422" s="66" t="e">
        <f>'Prediction Log'!#REF!</f>
        <v>#REF!</v>
      </c>
      <c r="I422" s="65" t="e">
        <f>IF(ISBLANK(Games!#REF!), "",IF(AND(Games!#REF!="",Games!#REF!=""),"",IF(ISTEXT(Games!#REF!), "Side",Games!#REF!)))</f>
        <v>#REF!</v>
      </c>
      <c r="J422" s="65" t="e">
        <f>IF(ISBLANK(Games!#REF!), "",IF(Games!#REF!="Y", Games!#REF!, Games!#REF!))</f>
        <v>#REF!</v>
      </c>
      <c r="K422" s="65" t="e">
        <f>Games!#REF!</f>
        <v>#REF!</v>
      </c>
      <c r="L422" s="65" t="e">
        <f>IF(ISBLANK(Games!#REF!), "",Games!#REF!)</f>
        <v>#REF!</v>
      </c>
      <c r="M422" s="65"/>
      <c r="N422" s="167" t="str">
        <f>IF(ISBLANK(Table123[[#This Row],[Odds Side - Difference Model]]), "", 1)</f>
      </c>
      <c r="O422" s="167" t="str">
        <f>IF(ISBLANK(Table123[[#This Row],[Odds Spread]]), "", 1)</f>
      </c>
      <c r="P422" s="67"/>
      <c r="Q422" s="67"/>
      <c r="R4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2" s="67"/>
      <c r="T422" s="67"/>
      <c r="U422" s="168" t="str">
        <f>IF(ISBLANK(Table123[[#This Row],[Odds Side - Difference Model]]), "",N422+IF(Q422&lt;0, (N422/(Q422/-100)), N422*(Q422/100)))</f>
      </c>
      <c r="V422" s="169" t="str">
        <f>IFERROR(IF(ISBLANK(Table123[[#This Row],[Odds Side - Win Probability Model]]), "",N422+IF(R422&lt;0, (N422/(R422/-100)), N422*(R422/100))),"")</f>
      </c>
      <c r="W422" s="168" t="str">
        <f t="shared" si="43"/>
      </c>
      <c r="X422" s="169" t="str">
        <f t="shared" si="44"/>
      </c>
      <c r="Y422" s="168" t="str">
        <f>IF(ISBLANK(Table123[[#This Row],[Odds Spread]]), "",O422+IF(S422&lt;0, (O422/(S422/-100)), O422*(S422/100)))</f>
      </c>
      <c r="Z422" s="168" t="str">
        <f t="shared" si="45"/>
      </c>
      <c r="AA422" s="68" t="n">
        <f t="shared" si="46"/>
        <v>0</v>
      </c>
      <c r="AB422" s="68" t="n">
        <f t="shared" si="47"/>
        <v>0</v>
      </c>
      <c r="AC422" s="170" t="e">
        <f>IF('Prediction Log'!#REF!="Y", "W", IF('Prediction Log'!#REF!="N","L",""))</f>
        <v>#REF!</v>
      </c>
      <c r="AD422" s="171" t="e">
        <f>IF('Prediction Log'!#REF!="Y", "W", IF('Prediction Log'!#REF!="N","L",""))</f>
        <v>#REF!</v>
      </c>
      <c r="AE422" s="172" t="str">
        <f>IF(ISBLANK(Table123[[#This Row],[Odds Side - Difference Model]]), "",IF(AC422="W", W422, IF(AC422="L",-N422, "")))</f>
      </c>
      <c r="AF422" s="173" t="str">
        <f>IFERROR((IF(ISERR(Table123[[#This Row],[Potential Payout Side - Win Probability Model]]), "",IF(AD422="W", X422, IF(AD422="L",-N422, "")))), "")</f>
      </c>
      <c r="AG422" s="170" t="e">
        <f>IF('Prediction Log'!#REF!="Y", "W", IF('Prediction Log'!#REF!="N", "L", ""))</f>
        <v>#REF!</v>
      </c>
      <c r="AH422" s="172" t="str">
        <f>IF(ISBLANK(Table123[[#This Row],[Odds Spread]]), "",IF(AG422="W", Z422, IF(AG422="L",-O422, "")))</f>
      </c>
      <c r="AI422" s="184"/>
      <c r="AJ422" s="183" t="str">
        <f t="shared" si="48"/>
      </c>
      <c r="AK4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3">
      <c r="A423" s="65" t="e">
        <f>Games!#REF!</f>
        <v>#REF!</v>
      </c>
      <c r="B423" s="65" t="e">
        <f>IF('Prediction Log'!#REF!=0, "",'Prediction Log'!#REF!)</f>
        <v>#REF!</v>
      </c>
      <c r="C423" s="65" t="e">
        <f>IF('Prediction Log'!#REF!=0, "",'Prediction Log'!#REF!)</f>
        <v>#REF!</v>
      </c>
      <c r="D423" s="65" t="e">
        <f>IF('Prediction Log'!#REF!=0, "",'Prediction Log'!#REF!)</f>
        <v>#REF!</v>
      </c>
      <c r="E423" s="65" t="e">
        <f>IF('Prediction Log'!#REF!=0, "",'Prediction Log'!#REF!)</f>
        <v>#REF!</v>
      </c>
      <c r="F423" s="65" t="e">
        <f>IF('Prediction Log'!#REF!=0, "",'Prediction Log'!#REF!)</f>
        <v>#REF!</v>
      </c>
      <c r="G423" s="64" t="e">
        <f>IF(ISBLANK(Games!#REF!), "",'Prediction Log'!#REF!)</f>
        <v>#REF!</v>
      </c>
      <c r="H423" s="66" t="e">
        <f>'Prediction Log'!#REF!</f>
        <v>#REF!</v>
      </c>
      <c r="I423" s="65" t="e">
        <f>IF(ISBLANK(Games!#REF!), "",IF(AND(Games!#REF!="",Games!#REF!=""),"",IF(ISTEXT(Games!#REF!), "Side",Games!#REF!)))</f>
        <v>#REF!</v>
      </c>
      <c r="J423" s="65" t="e">
        <f>IF(ISBLANK(Games!#REF!), "",IF(Games!#REF!="Y", Games!#REF!, Games!#REF!))</f>
        <v>#REF!</v>
      </c>
      <c r="K423" s="65" t="e">
        <f>Games!#REF!</f>
        <v>#REF!</v>
      </c>
      <c r="L423" s="65" t="e">
        <f>IF(ISBLANK(Games!#REF!), "",Games!#REF!)</f>
        <v>#REF!</v>
      </c>
      <c r="M423" s="65"/>
      <c r="N423" s="167" t="str">
        <f>IF(ISBLANK(Table123[[#This Row],[Odds Side - Difference Model]]), "", 1)</f>
      </c>
      <c r="O423" s="167" t="str">
        <f>IF(ISBLANK(Table123[[#This Row],[Odds Spread]]), "", 1)</f>
      </c>
      <c r="P423" s="67"/>
      <c r="Q423" s="67"/>
      <c r="R4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3" s="67"/>
      <c r="T423" s="67"/>
      <c r="U423" s="168" t="str">
        <f>IF(ISBLANK(Table123[[#This Row],[Odds Side - Difference Model]]), "",N423+IF(Q423&lt;0, (N423/(Q423/-100)), N423*(Q423/100)))</f>
      </c>
      <c r="V423" s="169" t="str">
        <f>IFERROR(IF(ISBLANK(Table123[[#This Row],[Odds Side - Win Probability Model]]), "",N423+IF(R423&lt;0, (N423/(R423/-100)), N423*(R423/100))),"")</f>
      </c>
      <c r="W423" s="168" t="str">
        <f t="shared" si="43"/>
      </c>
      <c r="X423" s="169" t="str">
        <f t="shared" si="44"/>
      </c>
      <c r="Y423" s="168" t="str">
        <f>IF(ISBLANK(Table123[[#This Row],[Odds Spread]]), "",O423+IF(S423&lt;0, (O423/(S423/-100)), O423*(S423/100)))</f>
      </c>
      <c r="Z423" s="168" t="str">
        <f t="shared" si="45"/>
      </c>
      <c r="AA423" s="68" t="n">
        <f t="shared" si="46"/>
        <v>0</v>
      </c>
      <c r="AB423" s="68" t="n">
        <f t="shared" si="47"/>
        <v>0</v>
      </c>
      <c r="AC423" s="170" t="e">
        <f>IF('Prediction Log'!#REF!="Y", "W", IF('Prediction Log'!#REF!="N","L",""))</f>
        <v>#REF!</v>
      </c>
      <c r="AD423" s="171" t="e">
        <f>IF('Prediction Log'!#REF!="Y", "W", IF('Prediction Log'!#REF!="N","L",""))</f>
        <v>#REF!</v>
      </c>
      <c r="AE423" s="172" t="str">
        <f>IF(ISBLANK(Table123[[#This Row],[Odds Side - Difference Model]]), "",IF(AC423="W", W423, IF(AC423="L",-N423, "")))</f>
      </c>
      <c r="AF423" s="173" t="str">
        <f>IFERROR((IF(ISERR(Table123[[#This Row],[Potential Payout Side - Win Probability Model]]), "",IF(AD423="W", X423, IF(AD423="L",-N423, "")))), "")</f>
      </c>
      <c r="AG423" s="170" t="e">
        <f>IF('Prediction Log'!#REF!="Y", "W", IF('Prediction Log'!#REF!="N", "L", ""))</f>
        <v>#REF!</v>
      </c>
      <c r="AH423" s="172" t="str">
        <f>IF(ISBLANK(Table123[[#This Row],[Odds Spread]]), "",IF(AG423="W", Z423, IF(AG423="L",-O423, "")))</f>
      </c>
      <c r="AI423" s="184"/>
      <c r="AJ423" s="183" t="str">
        <f t="shared" si="48"/>
      </c>
      <c r="AK4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4">
      <c r="A424" s="65" t="e">
        <f>Games!#REF!</f>
        <v>#REF!</v>
      </c>
      <c r="B424" s="65" t="e">
        <f>IF('Prediction Log'!#REF!=0, "",'Prediction Log'!#REF!)</f>
        <v>#REF!</v>
      </c>
      <c r="C424" s="65" t="e">
        <f>IF('Prediction Log'!#REF!=0, "",'Prediction Log'!#REF!)</f>
        <v>#REF!</v>
      </c>
      <c r="D424" s="65" t="e">
        <f>IF('Prediction Log'!#REF!=0, "",'Prediction Log'!#REF!)</f>
        <v>#REF!</v>
      </c>
      <c r="E424" s="65" t="e">
        <f>IF('Prediction Log'!#REF!=0, "",'Prediction Log'!#REF!)</f>
        <v>#REF!</v>
      </c>
      <c r="F424" s="65" t="e">
        <f>IF('Prediction Log'!#REF!=0, "",'Prediction Log'!#REF!)</f>
        <v>#REF!</v>
      </c>
      <c r="G424" s="64" t="e">
        <f>IF(ISBLANK(Games!#REF!), "",'Prediction Log'!#REF!)</f>
        <v>#REF!</v>
      </c>
      <c r="H424" s="66" t="e">
        <f>'Prediction Log'!#REF!</f>
        <v>#REF!</v>
      </c>
      <c r="I424" s="65" t="e">
        <f>IF(ISBLANK(Games!#REF!), "",IF(AND(Games!#REF!="",Games!#REF!=""),"",IF(ISTEXT(Games!#REF!), "Side",Games!#REF!)))</f>
        <v>#REF!</v>
      </c>
      <c r="J424" s="65" t="e">
        <f>IF(ISBLANK(Games!#REF!), "",IF(Games!#REF!="Y", Games!#REF!, Games!#REF!))</f>
        <v>#REF!</v>
      </c>
      <c r="K424" s="65" t="e">
        <f>Games!#REF!</f>
        <v>#REF!</v>
      </c>
      <c r="L424" s="65" t="e">
        <f>IF(ISBLANK(Games!#REF!), "",Games!#REF!)</f>
        <v>#REF!</v>
      </c>
      <c r="M424" s="65"/>
      <c r="N424" s="167" t="str">
        <f>IF(ISBLANK(Table123[[#This Row],[Odds Side - Difference Model]]), "", 1)</f>
      </c>
      <c r="O424" s="167" t="str">
        <f>IF(ISBLANK(Table123[[#This Row],[Odds Spread]]), "", 1)</f>
      </c>
      <c r="P424" s="67"/>
      <c r="Q424" s="67"/>
      <c r="R4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4" s="67"/>
      <c r="T424" s="67"/>
      <c r="U424" s="168" t="str">
        <f>IF(ISBLANK(Table123[[#This Row],[Odds Side - Difference Model]]), "",N424+IF(Q424&lt;0, (N424/(Q424/-100)), N424*(Q424/100)))</f>
      </c>
      <c r="V424" s="169" t="str">
        <f>IFERROR(IF(ISBLANK(Table123[[#This Row],[Odds Side - Win Probability Model]]), "",N424+IF(R424&lt;0, (N424/(R424/-100)), N424*(R424/100))),"")</f>
      </c>
      <c r="W424" s="168" t="str">
        <f t="shared" si="43"/>
      </c>
      <c r="X424" s="169" t="str">
        <f t="shared" si="44"/>
      </c>
      <c r="Y424" s="168" t="str">
        <f>IF(ISBLANK(Table123[[#This Row],[Odds Spread]]), "",O424+IF(S424&lt;0, (O424/(S424/-100)), O424*(S424/100)))</f>
      </c>
      <c r="Z424" s="168" t="str">
        <f t="shared" si="45"/>
      </c>
      <c r="AA424" s="68" t="n">
        <f t="shared" si="46"/>
        <v>0</v>
      </c>
      <c r="AB424" s="68" t="n">
        <f t="shared" si="47"/>
        <v>0</v>
      </c>
      <c r="AC424" s="170" t="e">
        <f>IF('Prediction Log'!#REF!="Y", "W", IF('Prediction Log'!#REF!="N","L",""))</f>
        <v>#REF!</v>
      </c>
      <c r="AD424" s="171" t="e">
        <f>IF('Prediction Log'!#REF!="Y", "W", IF('Prediction Log'!#REF!="N","L",""))</f>
        <v>#REF!</v>
      </c>
      <c r="AE424" s="172" t="str">
        <f>IF(ISBLANK(Table123[[#This Row],[Odds Side - Difference Model]]), "",IF(AC424="W", W424, IF(AC424="L",-N424, "")))</f>
      </c>
      <c r="AF424" s="173" t="str">
        <f>IFERROR((IF(ISERR(Table123[[#This Row],[Potential Payout Side - Win Probability Model]]), "",IF(AD424="W", X424, IF(AD424="L",-N424, "")))), "")</f>
      </c>
      <c r="AG424" s="170" t="e">
        <f>IF('Prediction Log'!#REF!="Y", "W", IF('Prediction Log'!#REF!="N", "L", ""))</f>
        <v>#REF!</v>
      </c>
      <c r="AH424" s="172" t="str">
        <f>IF(ISBLANK(Table123[[#This Row],[Odds Spread]]), "",IF(AG424="W", Z424, IF(AG424="L",-O424, "")))</f>
      </c>
      <c r="AI424" s="184"/>
      <c r="AJ424" s="183" t="str">
        <f t="shared" si="48"/>
      </c>
      <c r="AK4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5">
      <c r="A425" s="65" t="e">
        <f>Games!#REF!</f>
        <v>#REF!</v>
      </c>
      <c r="B425" s="65" t="e">
        <f>IF('Prediction Log'!#REF!=0, "",'Prediction Log'!#REF!)</f>
        <v>#REF!</v>
      </c>
      <c r="C425" s="65" t="e">
        <f>IF('Prediction Log'!#REF!=0, "",'Prediction Log'!#REF!)</f>
        <v>#REF!</v>
      </c>
      <c r="D425" s="65" t="e">
        <f>IF('Prediction Log'!#REF!=0, "",'Prediction Log'!#REF!)</f>
        <v>#REF!</v>
      </c>
      <c r="E425" s="65" t="e">
        <f>IF('Prediction Log'!#REF!=0, "",'Prediction Log'!#REF!)</f>
        <v>#REF!</v>
      </c>
      <c r="F425" s="65" t="e">
        <f>IF('Prediction Log'!#REF!=0, "",'Prediction Log'!#REF!)</f>
        <v>#REF!</v>
      </c>
      <c r="G425" s="64" t="e">
        <f>IF(ISBLANK(Games!#REF!), "",'Prediction Log'!#REF!)</f>
        <v>#REF!</v>
      </c>
      <c r="H425" s="66" t="e">
        <f>'Prediction Log'!#REF!</f>
        <v>#REF!</v>
      </c>
      <c r="I425" s="65" t="e">
        <f>IF(ISBLANK(Games!#REF!), "",IF(AND(Games!#REF!="",Games!#REF!=""),"",IF(ISTEXT(Games!#REF!), "Side",Games!#REF!)))</f>
        <v>#REF!</v>
      </c>
      <c r="J425" s="65" t="e">
        <f>IF(ISBLANK(Games!#REF!), "",IF(Games!#REF!="Y", Games!#REF!, Games!#REF!))</f>
        <v>#REF!</v>
      </c>
      <c r="K425" s="65" t="e">
        <f>Games!#REF!</f>
        <v>#REF!</v>
      </c>
      <c r="L425" s="65" t="e">
        <f>IF(ISBLANK(Games!#REF!), "",Games!#REF!)</f>
        <v>#REF!</v>
      </c>
      <c r="M425" s="65"/>
      <c r="N425" s="167" t="str">
        <f>IF(ISBLANK(Table123[[#This Row],[Odds Side - Difference Model]]), "", 1)</f>
      </c>
      <c r="O425" s="167" t="str">
        <f>IF(ISBLANK(Table123[[#This Row],[Odds Spread]]), "", 1)</f>
      </c>
      <c r="P425" s="67"/>
      <c r="Q425" s="67"/>
      <c r="R4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5" s="67"/>
      <c r="T425" s="67"/>
      <c r="U425" s="168" t="str">
        <f>IF(ISBLANK(Table123[[#This Row],[Odds Side - Difference Model]]), "",N425+IF(Q425&lt;0, (N425/(Q425/-100)), N425*(Q425/100)))</f>
      </c>
      <c r="V425" s="169" t="str">
        <f>IFERROR(IF(ISBLANK(Table123[[#This Row],[Odds Side - Win Probability Model]]), "",N425+IF(R425&lt;0, (N425/(R425/-100)), N425*(R425/100))),"")</f>
      </c>
      <c r="W425" s="168" t="str">
        <f t="shared" si="43"/>
      </c>
      <c r="X425" s="169" t="str">
        <f t="shared" si="44"/>
      </c>
      <c r="Y425" s="168" t="str">
        <f>IF(ISBLANK(Table123[[#This Row],[Odds Spread]]), "",O425+IF(S425&lt;0, (O425/(S425/-100)), O425*(S425/100)))</f>
      </c>
      <c r="Z425" s="168" t="str">
        <f t="shared" si="45"/>
      </c>
      <c r="AA425" s="68" t="n">
        <f t="shared" si="46"/>
        <v>0</v>
      </c>
      <c r="AB425" s="68" t="n">
        <f t="shared" si="47"/>
        <v>0</v>
      </c>
      <c r="AC425" s="170" t="e">
        <f>IF('Prediction Log'!#REF!="Y", "W", IF('Prediction Log'!#REF!="N","L",""))</f>
        <v>#REF!</v>
      </c>
      <c r="AD425" s="171" t="e">
        <f>IF('Prediction Log'!#REF!="Y", "W", IF('Prediction Log'!#REF!="N","L",""))</f>
        <v>#REF!</v>
      </c>
      <c r="AE425" s="172" t="str">
        <f>IF(ISBLANK(Table123[[#This Row],[Odds Side - Difference Model]]), "",IF(AC425="W", W425, IF(AC425="L",-N425, "")))</f>
      </c>
      <c r="AF425" s="173" t="str">
        <f>IFERROR((IF(ISERR(Table123[[#This Row],[Potential Payout Side - Win Probability Model]]), "",IF(AD425="W", X425, IF(AD425="L",-N425, "")))), "")</f>
      </c>
      <c r="AG425" s="170" t="e">
        <f>IF('Prediction Log'!#REF!="Y", "W", IF('Prediction Log'!#REF!="N", "L", ""))</f>
        <v>#REF!</v>
      </c>
      <c r="AH425" s="172" t="str">
        <f>IF(ISBLANK(Table123[[#This Row],[Odds Spread]]), "",IF(AG425="W", Z425, IF(AG425="L",-O425, "")))</f>
      </c>
      <c r="AI425" s="184"/>
      <c r="AJ425" s="183" t="str">
        <f t="shared" si="48"/>
      </c>
      <c r="AK4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6">
      <c r="A426" s="65" t="e">
        <f>Games!#REF!</f>
        <v>#REF!</v>
      </c>
      <c r="B426" s="65" t="e">
        <f>IF('Prediction Log'!#REF!=0, "",'Prediction Log'!#REF!)</f>
        <v>#REF!</v>
      </c>
      <c r="C426" s="65" t="e">
        <f>IF('Prediction Log'!#REF!=0, "",'Prediction Log'!#REF!)</f>
        <v>#REF!</v>
      </c>
      <c r="D426" s="65" t="e">
        <f>IF('Prediction Log'!#REF!=0, "",'Prediction Log'!#REF!)</f>
        <v>#REF!</v>
      </c>
      <c r="E426" s="65" t="e">
        <f>IF('Prediction Log'!#REF!=0, "",'Prediction Log'!#REF!)</f>
        <v>#REF!</v>
      </c>
      <c r="F426" s="65" t="e">
        <f>IF('Prediction Log'!#REF!=0, "",'Prediction Log'!#REF!)</f>
        <v>#REF!</v>
      </c>
      <c r="G426" s="64" t="e">
        <f>IF(ISBLANK(Games!#REF!), "",'Prediction Log'!#REF!)</f>
        <v>#REF!</v>
      </c>
      <c r="H426" s="66" t="e">
        <f>'Prediction Log'!#REF!</f>
        <v>#REF!</v>
      </c>
      <c r="I426" s="65" t="e">
        <f>IF(ISBLANK(Games!#REF!), "",IF(AND(Games!#REF!="",Games!#REF!=""),"",IF(ISTEXT(Games!#REF!), "Side",Games!#REF!)))</f>
        <v>#REF!</v>
      </c>
      <c r="J426" s="65" t="e">
        <f>IF(ISBLANK(Games!#REF!), "",IF(Games!#REF!="Y", Games!#REF!, Games!#REF!))</f>
        <v>#REF!</v>
      </c>
      <c r="K426" s="65" t="e">
        <f>Games!#REF!</f>
        <v>#REF!</v>
      </c>
      <c r="L426" s="65" t="e">
        <f>IF(ISBLANK(Games!#REF!), "",Games!#REF!)</f>
        <v>#REF!</v>
      </c>
      <c r="M426" s="65"/>
      <c r="N426" s="167" t="str">
        <f>IF(ISBLANK(Table123[[#This Row],[Odds Side - Difference Model]]), "", 1)</f>
      </c>
      <c r="O426" s="167" t="str">
        <f>IF(ISBLANK(Table123[[#This Row],[Odds Spread]]), "", 1)</f>
      </c>
      <c r="P426" s="67"/>
      <c r="Q426" s="67"/>
      <c r="R4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6" s="67"/>
      <c r="T426" s="67"/>
      <c r="U426" s="168" t="str">
        <f>IF(ISBLANK(Table123[[#This Row],[Odds Side - Difference Model]]), "",N426+IF(Q426&lt;0, (N426/(Q426/-100)), N426*(Q426/100)))</f>
      </c>
      <c r="V426" s="169" t="str">
        <f>IFERROR(IF(ISBLANK(Table123[[#This Row],[Odds Side - Win Probability Model]]), "",N426+IF(R426&lt;0, (N426/(R426/-100)), N426*(R426/100))),"")</f>
      </c>
      <c r="W426" s="168" t="str">
        <f t="shared" si="43"/>
      </c>
      <c r="X426" s="169" t="str">
        <f t="shared" si="44"/>
      </c>
      <c r="Y426" s="168" t="str">
        <f>IF(ISBLANK(Table123[[#This Row],[Odds Spread]]), "",O426+IF(S426&lt;0, (O426/(S426/-100)), O426*(S426/100)))</f>
      </c>
      <c r="Z426" s="168" t="str">
        <f t="shared" si="45"/>
      </c>
      <c r="AA426" s="68" t="n">
        <f t="shared" si="46"/>
        <v>0</v>
      </c>
      <c r="AB426" s="68" t="n">
        <f t="shared" si="47"/>
        <v>0</v>
      </c>
      <c r="AC426" s="170" t="e">
        <f>IF('Prediction Log'!#REF!="Y", "W", IF('Prediction Log'!#REF!="N","L",""))</f>
        <v>#REF!</v>
      </c>
      <c r="AD426" s="171" t="e">
        <f>IF('Prediction Log'!#REF!="Y", "W", IF('Prediction Log'!#REF!="N","L",""))</f>
        <v>#REF!</v>
      </c>
      <c r="AE426" s="172" t="str">
        <f>IF(ISBLANK(Table123[[#This Row],[Odds Side - Difference Model]]), "",IF(AC426="W", W426, IF(AC426="L",-N426, "")))</f>
      </c>
      <c r="AF426" s="173" t="str">
        <f>IFERROR((IF(ISERR(Table123[[#This Row],[Potential Payout Side - Win Probability Model]]), "",IF(AD426="W", X426, IF(AD426="L",-N426, "")))), "")</f>
      </c>
      <c r="AG426" s="170" t="e">
        <f>IF('Prediction Log'!#REF!="Y", "W", IF('Prediction Log'!#REF!="N", "L", ""))</f>
        <v>#REF!</v>
      </c>
      <c r="AH426" s="172" t="str">
        <f>IF(ISBLANK(Table123[[#This Row],[Odds Spread]]), "",IF(AG426="W", Z426, IF(AG426="L",-O426, "")))</f>
      </c>
      <c r="AI426" s="184"/>
      <c r="AJ426" s="183" t="str">
        <f t="shared" si="48"/>
      </c>
      <c r="AK4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7">
      <c r="A427" s="65" t="e">
        <f>Games!#REF!</f>
        <v>#REF!</v>
      </c>
      <c r="B427" s="65" t="e">
        <f>IF('Prediction Log'!#REF!=0, "",'Prediction Log'!#REF!)</f>
        <v>#REF!</v>
      </c>
      <c r="C427" s="65" t="e">
        <f>IF('Prediction Log'!#REF!=0, "",'Prediction Log'!#REF!)</f>
        <v>#REF!</v>
      </c>
      <c r="D427" s="65" t="e">
        <f>IF('Prediction Log'!#REF!=0, "",'Prediction Log'!#REF!)</f>
        <v>#REF!</v>
      </c>
      <c r="E427" s="65" t="e">
        <f>IF('Prediction Log'!#REF!=0, "",'Prediction Log'!#REF!)</f>
        <v>#REF!</v>
      </c>
      <c r="F427" s="65" t="e">
        <f>IF('Prediction Log'!#REF!=0, "",'Prediction Log'!#REF!)</f>
        <v>#REF!</v>
      </c>
      <c r="G427" s="64" t="e">
        <f>IF(ISBLANK(Games!#REF!), "",'Prediction Log'!#REF!)</f>
        <v>#REF!</v>
      </c>
      <c r="H427" s="66" t="e">
        <f>'Prediction Log'!#REF!</f>
        <v>#REF!</v>
      </c>
      <c r="I427" s="65" t="e">
        <f>IF(ISBLANK(Games!#REF!), "",IF(AND(Games!#REF!="",Games!#REF!=""),"",IF(ISTEXT(Games!#REF!), "Side",Games!#REF!)))</f>
        <v>#REF!</v>
      </c>
      <c r="J427" s="65" t="e">
        <f>IF(ISBLANK(Games!#REF!), "",IF(Games!#REF!="Y", Games!#REF!, Games!#REF!))</f>
        <v>#REF!</v>
      </c>
      <c r="K427" s="65" t="e">
        <f>Games!#REF!</f>
        <v>#REF!</v>
      </c>
      <c r="L427" s="65" t="e">
        <f>IF(ISBLANK(Games!#REF!), "",Games!#REF!)</f>
        <v>#REF!</v>
      </c>
      <c r="M427" s="65"/>
      <c r="N427" s="167" t="str">
        <f>IF(ISBLANK(Table123[[#This Row],[Odds Side - Difference Model]]), "", 1)</f>
      </c>
      <c r="O427" s="167" t="str">
        <f>IF(ISBLANK(Table123[[#This Row],[Odds Spread]]), "", 1)</f>
      </c>
      <c r="P427" s="67"/>
      <c r="Q427" s="67"/>
      <c r="R4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7" s="67"/>
      <c r="T427" s="67"/>
      <c r="U427" s="168" t="str">
        <f>IF(ISBLANK(Table123[[#This Row],[Odds Side - Difference Model]]), "",N427+IF(Q427&lt;0, (N427/(Q427/-100)), N427*(Q427/100)))</f>
      </c>
      <c r="V427" s="169" t="str">
        <f>IFERROR(IF(ISBLANK(Table123[[#This Row],[Odds Side - Win Probability Model]]), "",N427+IF(R427&lt;0, (N427/(R427/-100)), N427*(R427/100))),"")</f>
      </c>
      <c r="W427" s="168" t="str">
        <f t="shared" si="43"/>
      </c>
      <c r="X427" s="169" t="str">
        <f t="shared" si="44"/>
      </c>
      <c r="Y427" s="168" t="str">
        <f>IF(ISBLANK(Table123[[#This Row],[Odds Spread]]), "",O427+IF(S427&lt;0, (O427/(S427/-100)), O427*(S427/100)))</f>
      </c>
      <c r="Z427" s="168" t="str">
        <f t="shared" si="45"/>
      </c>
      <c r="AA427" s="68" t="n">
        <f t="shared" si="46"/>
        <v>0</v>
      </c>
      <c r="AB427" s="68" t="n">
        <f t="shared" si="47"/>
        <v>0</v>
      </c>
      <c r="AC427" s="170" t="e">
        <f>IF('Prediction Log'!#REF!="Y", "W", IF('Prediction Log'!#REF!="N","L",""))</f>
        <v>#REF!</v>
      </c>
      <c r="AD427" s="171" t="e">
        <f>IF('Prediction Log'!#REF!="Y", "W", IF('Prediction Log'!#REF!="N","L",""))</f>
        <v>#REF!</v>
      </c>
      <c r="AE427" s="172" t="str">
        <f>IF(ISBLANK(Table123[[#This Row],[Odds Side - Difference Model]]), "",IF(AC427="W", W427, IF(AC427="L",-N427, "")))</f>
      </c>
      <c r="AF427" s="173" t="str">
        <f>IFERROR((IF(ISERR(Table123[[#This Row],[Potential Payout Side - Win Probability Model]]), "",IF(AD427="W", X427, IF(AD427="L",-N427, "")))), "")</f>
      </c>
      <c r="AG427" s="170" t="e">
        <f>IF('Prediction Log'!#REF!="Y", "W", IF('Prediction Log'!#REF!="N", "L", ""))</f>
        <v>#REF!</v>
      </c>
      <c r="AH427" s="172" t="str">
        <f>IF(ISBLANK(Table123[[#This Row],[Odds Spread]]), "",IF(AG427="W", Z427, IF(AG427="L",-O427, "")))</f>
      </c>
      <c r="AI427" s="184"/>
      <c r="AJ427" s="183" t="str">
        <f t="shared" si="48"/>
      </c>
      <c r="AK4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8">
      <c r="A428" s="65" t="e">
        <f>Games!#REF!</f>
        <v>#REF!</v>
      </c>
      <c r="B428" s="65" t="e">
        <f>IF('Prediction Log'!#REF!=0, "",'Prediction Log'!#REF!)</f>
        <v>#REF!</v>
      </c>
      <c r="C428" s="65" t="e">
        <f>IF('Prediction Log'!#REF!=0, "",'Prediction Log'!#REF!)</f>
        <v>#REF!</v>
      </c>
      <c r="D428" s="65" t="e">
        <f>IF('Prediction Log'!#REF!=0, "",'Prediction Log'!#REF!)</f>
        <v>#REF!</v>
      </c>
      <c r="E428" s="65" t="e">
        <f>IF('Prediction Log'!#REF!=0, "",'Prediction Log'!#REF!)</f>
        <v>#REF!</v>
      </c>
      <c r="F428" s="65" t="e">
        <f>IF('Prediction Log'!#REF!=0, "",'Prediction Log'!#REF!)</f>
        <v>#REF!</v>
      </c>
      <c r="G428" s="64" t="e">
        <f>IF(ISBLANK(Games!#REF!), "",'Prediction Log'!#REF!)</f>
        <v>#REF!</v>
      </c>
      <c r="H428" s="66" t="e">
        <f>'Prediction Log'!#REF!</f>
        <v>#REF!</v>
      </c>
      <c r="I428" s="65" t="e">
        <f>IF(ISBLANK(Games!#REF!), "",IF(AND(Games!#REF!="",Games!#REF!=""),"",IF(ISTEXT(Games!#REF!), "Side",Games!#REF!)))</f>
        <v>#REF!</v>
      </c>
      <c r="J428" s="65" t="e">
        <f>IF(ISBLANK(Games!#REF!), "",IF(Games!#REF!="Y", Games!#REF!, Games!#REF!))</f>
        <v>#REF!</v>
      </c>
      <c r="K428" s="65" t="e">
        <f>Games!#REF!</f>
        <v>#REF!</v>
      </c>
      <c r="L428" s="65" t="e">
        <f>IF(ISBLANK(Games!#REF!), "",Games!#REF!)</f>
        <v>#REF!</v>
      </c>
      <c r="M428" s="65"/>
      <c r="N428" s="167" t="str">
        <f>IF(ISBLANK(Table123[[#This Row],[Odds Side - Difference Model]]), "", 1)</f>
      </c>
      <c r="O428" s="167" t="str">
        <f>IF(ISBLANK(Table123[[#This Row],[Odds Spread]]), "", 1)</f>
      </c>
      <c r="P428" s="67"/>
      <c r="Q428" s="67"/>
      <c r="R4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8" s="67"/>
      <c r="T428" s="67"/>
      <c r="U428" s="168" t="str">
        <f>IF(ISBLANK(Table123[[#This Row],[Odds Side - Difference Model]]), "",N428+IF(Q428&lt;0, (N428/(Q428/-100)), N428*(Q428/100)))</f>
      </c>
      <c r="V428" s="169" t="str">
        <f>IFERROR(IF(ISBLANK(Table123[[#This Row],[Odds Side - Win Probability Model]]), "",N428+IF(R428&lt;0, (N428/(R428/-100)), N428*(R428/100))),"")</f>
      </c>
      <c r="W428" s="168" t="str">
        <f t="shared" si="43"/>
      </c>
      <c r="X428" s="169" t="str">
        <f t="shared" si="44"/>
      </c>
      <c r="Y428" s="168" t="str">
        <f>IF(ISBLANK(Table123[[#This Row],[Odds Spread]]), "",O428+IF(S428&lt;0, (O428/(S428/-100)), O428*(S428/100)))</f>
      </c>
      <c r="Z428" s="168" t="str">
        <f t="shared" si="45"/>
      </c>
      <c r="AA428" s="68" t="n">
        <f t="shared" si="46"/>
        <v>0</v>
      </c>
      <c r="AB428" s="68" t="n">
        <f t="shared" si="47"/>
        <v>0</v>
      </c>
      <c r="AC428" s="170" t="e">
        <f>IF('Prediction Log'!#REF!="Y", "W", IF('Prediction Log'!#REF!="N","L",""))</f>
        <v>#REF!</v>
      </c>
      <c r="AD428" s="171" t="e">
        <f>IF('Prediction Log'!#REF!="Y", "W", IF('Prediction Log'!#REF!="N","L",""))</f>
        <v>#REF!</v>
      </c>
      <c r="AE428" s="172" t="str">
        <f>IF(ISBLANK(Table123[[#This Row],[Odds Side - Difference Model]]), "",IF(AC428="W", W428, IF(AC428="L",-N428, "")))</f>
      </c>
      <c r="AF428" s="173" t="str">
        <f>IFERROR((IF(ISERR(Table123[[#This Row],[Potential Payout Side - Win Probability Model]]), "",IF(AD428="W", X428, IF(AD428="L",-N428, "")))), "")</f>
      </c>
      <c r="AG428" s="170" t="e">
        <f>IF('Prediction Log'!#REF!="Y", "W", IF('Prediction Log'!#REF!="N", "L", ""))</f>
        <v>#REF!</v>
      </c>
      <c r="AH428" s="172" t="str">
        <f>IF(ISBLANK(Table123[[#This Row],[Odds Spread]]), "",IF(AG428="W", Z428, IF(AG428="L",-O428, "")))</f>
      </c>
      <c r="AI428" s="184"/>
      <c r="AJ428" s="183" t="str">
        <f t="shared" si="48"/>
      </c>
      <c r="AK4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9">
      <c r="A429" s="65" t="e">
        <f>Games!#REF!</f>
        <v>#REF!</v>
      </c>
      <c r="B429" s="65" t="e">
        <f>IF('Prediction Log'!#REF!=0, "",'Prediction Log'!#REF!)</f>
        <v>#REF!</v>
      </c>
      <c r="C429" s="65" t="e">
        <f>IF('Prediction Log'!#REF!=0, "",'Prediction Log'!#REF!)</f>
        <v>#REF!</v>
      </c>
      <c r="D429" s="65" t="e">
        <f>IF('Prediction Log'!#REF!=0, "",'Prediction Log'!#REF!)</f>
        <v>#REF!</v>
      </c>
      <c r="E429" s="65" t="e">
        <f>IF('Prediction Log'!#REF!=0, "",'Prediction Log'!#REF!)</f>
        <v>#REF!</v>
      </c>
      <c r="F429" s="65" t="e">
        <f>IF('Prediction Log'!#REF!=0, "",'Prediction Log'!#REF!)</f>
        <v>#REF!</v>
      </c>
      <c r="G429" s="64" t="e">
        <f>IF(ISBLANK(Games!#REF!), "",'Prediction Log'!#REF!)</f>
        <v>#REF!</v>
      </c>
      <c r="H429" s="66" t="e">
        <f>'Prediction Log'!#REF!</f>
        <v>#REF!</v>
      </c>
      <c r="I429" s="65" t="e">
        <f>IF(ISBLANK(Games!#REF!), "",IF(AND(Games!#REF!="",Games!#REF!=""),"",IF(ISTEXT(Games!#REF!), "Side",Games!#REF!)))</f>
        <v>#REF!</v>
      </c>
      <c r="J429" s="65" t="e">
        <f>IF(ISBLANK(Games!#REF!), "",IF(Games!#REF!="Y", Games!#REF!, Games!#REF!))</f>
        <v>#REF!</v>
      </c>
      <c r="K429" s="65" t="e">
        <f>Games!#REF!</f>
        <v>#REF!</v>
      </c>
      <c r="L429" s="65" t="e">
        <f>IF(ISBLANK(Games!#REF!), "",Games!#REF!)</f>
        <v>#REF!</v>
      </c>
      <c r="M429" s="65"/>
      <c r="N429" s="167" t="str">
        <f>IF(ISBLANK(Table123[[#This Row],[Odds Side - Difference Model]]), "", 1)</f>
      </c>
      <c r="O429" s="167" t="str">
        <f>IF(ISBLANK(Table123[[#This Row],[Odds Spread]]), "", 1)</f>
      </c>
      <c r="P429" s="67"/>
      <c r="Q429" s="67"/>
      <c r="R4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9" s="67"/>
      <c r="T429" s="67"/>
      <c r="U429" s="168" t="str">
        <f>IF(ISBLANK(Table123[[#This Row],[Odds Side - Difference Model]]), "",N429+IF(Q429&lt;0, (N429/(Q429/-100)), N429*(Q429/100)))</f>
      </c>
      <c r="V429" s="169" t="str">
        <f>IFERROR(IF(ISBLANK(Table123[[#This Row],[Odds Side - Win Probability Model]]), "",N429+IF(R429&lt;0, (N429/(R429/-100)), N429*(R429/100))),"")</f>
      </c>
      <c r="W429" s="168" t="str">
        <f t="shared" si="43"/>
      </c>
      <c r="X429" s="169" t="str">
        <f t="shared" si="44"/>
      </c>
      <c r="Y429" s="168" t="str">
        <f>IF(ISBLANK(Table123[[#This Row],[Odds Spread]]), "",O429+IF(S429&lt;0, (O429/(S429/-100)), O429*(S429/100)))</f>
      </c>
      <c r="Z429" s="168" t="str">
        <f t="shared" si="45"/>
      </c>
      <c r="AA429" s="68" t="n">
        <f t="shared" si="46"/>
        <v>0</v>
      </c>
      <c r="AB429" s="68" t="n">
        <f t="shared" si="47"/>
        <v>0</v>
      </c>
      <c r="AC429" s="170" t="e">
        <f>IF('Prediction Log'!#REF!="Y", "W", IF('Prediction Log'!#REF!="N","L",""))</f>
        <v>#REF!</v>
      </c>
      <c r="AD429" s="171" t="e">
        <f>IF('Prediction Log'!#REF!="Y", "W", IF('Prediction Log'!#REF!="N","L",""))</f>
        <v>#REF!</v>
      </c>
      <c r="AE429" s="172" t="str">
        <f>IF(ISBLANK(Table123[[#This Row],[Odds Side - Difference Model]]), "",IF(AC429="W", W429, IF(AC429="L",-N429, "")))</f>
      </c>
      <c r="AF429" s="173" t="str">
        <f>IFERROR((IF(ISERR(Table123[[#This Row],[Potential Payout Side - Win Probability Model]]), "",IF(AD429="W", X429, IF(AD429="L",-N429, "")))), "")</f>
      </c>
      <c r="AG429" s="170" t="e">
        <f>IF('Prediction Log'!#REF!="Y", "W", IF('Prediction Log'!#REF!="N", "L", ""))</f>
        <v>#REF!</v>
      </c>
      <c r="AH429" s="172" t="str">
        <f>IF(ISBLANK(Table123[[#This Row],[Odds Spread]]), "",IF(AG429="W", Z429, IF(AG429="L",-O429, "")))</f>
      </c>
      <c r="AI429" s="184"/>
      <c r="AJ429" s="183" t="str">
        <f t="shared" si="48"/>
      </c>
      <c r="AK4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0">
      <c r="A430" s="65" t="e">
        <f>Games!#REF!</f>
        <v>#REF!</v>
      </c>
      <c r="B430" s="65" t="e">
        <f>IF('Prediction Log'!#REF!=0, "",'Prediction Log'!#REF!)</f>
        <v>#REF!</v>
      </c>
      <c r="C430" s="65" t="e">
        <f>IF('Prediction Log'!#REF!=0, "",'Prediction Log'!#REF!)</f>
        <v>#REF!</v>
      </c>
      <c r="D430" s="65" t="e">
        <f>IF('Prediction Log'!#REF!=0, "",'Prediction Log'!#REF!)</f>
        <v>#REF!</v>
      </c>
      <c r="E430" s="65" t="e">
        <f>IF('Prediction Log'!#REF!=0, "",'Prediction Log'!#REF!)</f>
        <v>#REF!</v>
      </c>
      <c r="F430" s="65" t="e">
        <f>IF('Prediction Log'!#REF!=0, "",'Prediction Log'!#REF!)</f>
        <v>#REF!</v>
      </c>
      <c r="G430" s="64" t="e">
        <f>IF(ISBLANK(Games!#REF!), "",'Prediction Log'!#REF!)</f>
        <v>#REF!</v>
      </c>
      <c r="H430" s="66" t="e">
        <f>'Prediction Log'!#REF!</f>
        <v>#REF!</v>
      </c>
      <c r="I430" s="65" t="e">
        <f>IF(ISBLANK(Games!#REF!), "",IF(AND(Games!#REF!="",Games!#REF!=""),"",IF(ISTEXT(Games!#REF!), "Side",Games!#REF!)))</f>
        <v>#REF!</v>
      </c>
      <c r="J430" s="65" t="e">
        <f>IF(ISBLANK(Games!#REF!), "",IF(Games!#REF!="Y", Games!#REF!, Games!#REF!))</f>
        <v>#REF!</v>
      </c>
      <c r="K430" s="65" t="e">
        <f>Games!#REF!</f>
        <v>#REF!</v>
      </c>
      <c r="L430" s="65" t="e">
        <f>IF(ISBLANK(Games!#REF!), "",Games!#REF!)</f>
        <v>#REF!</v>
      </c>
      <c r="M430" s="65"/>
      <c r="N430" s="167" t="str">
        <f>IF(ISBLANK(Table123[[#This Row],[Odds Side - Difference Model]]), "", 1)</f>
      </c>
      <c r="O430" s="167" t="str">
        <f>IF(ISBLANK(Table123[[#This Row],[Odds Spread]]), "", 1)</f>
      </c>
      <c r="P430" s="67"/>
      <c r="Q430" s="67"/>
      <c r="R4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0" s="67"/>
      <c r="T430" s="67"/>
      <c r="U430" s="168" t="str">
        <f>IF(ISBLANK(Table123[[#This Row],[Odds Side - Difference Model]]), "",N430+IF(Q430&lt;0, (N430/(Q430/-100)), N430*(Q430/100)))</f>
      </c>
      <c r="V430" s="169" t="str">
        <f>IFERROR(IF(ISBLANK(Table123[[#This Row],[Odds Side - Win Probability Model]]), "",N430+IF(R430&lt;0, (N430/(R430/-100)), N430*(R430/100))),"")</f>
      </c>
      <c r="W430" s="168" t="str">
        <f t="shared" si="43"/>
      </c>
      <c r="X430" s="169" t="str">
        <f t="shared" si="44"/>
      </c>
      <c r="Y430" s="168" t="str">
        <f>IF(ISBLANK(Table123[[#This Row],[Odds Spread]]), "",O430+IF(S430&lt;0, (O430/(S430/-100)), O430*(S430/100)))</f>
      </c>
      <c r="Z430" s="168" t="str">
        <f t="shared" si="45"/>
      </c>
      <c r="AA430" s="68" t="n">
        <f t="shared" si="46"/>
        <v>0</v>
      </c>
      <c r="AB430" s="68" t="n">
        <f t="shared" si="47"/>
        <v>0</v>
      </c>
      <c r="AC430" s="170" t="e">
        <f>IF('Prediction Log'!#REF!="Y", "W", IF('Prediction Log'!#REF!="N","L",""))</f>
        <v>#REF!</v>
      </c>
      <c r="AD430" s="171" t="e">
        <f>IF('Prediction Log'!#REF!="Y", "W", IF('Prediction Log'!#REF!="N","L",""))</f>
        <v>#REF!</v>
      </c>
      <c r="AE430" s="172" t="str">
        <f>IF(ISBLANK(Table123[[#This Row],[Odds Side - Difference Model]]), "",IF(AC430="W", W430, IF(AC430="L",-N430, "")))</f>
      </c>
      <c r="AF430" s="173" t="str">
        <f>IFERROR((IF(ISERR(Table123[[#This Row],[Potential Payout Side - Win Probability Model]]), "",IF(AD430="W", X430, IF(AD430="L",-N430, "")))), "")</f>
      </c>
      <c r="AG430" s="170" t="e">
        <f>IF('Prediction Log'!#REF!="Y", "W", IF('Prediction Log'!#REF!="N", "L", ""))</f>
        <v>#REF!</v>
      </c>
      <c r="AH430" s="172" t="str">
        <f>IF(ISBLANK(Table123[[#This Row],[Odds Spread]]), "",IF(AG430="W", Z430, IF(AG430="L",-O430, "")))</f>
      </c>
      <c r="AI430" s="184"/>
      <c r="AJ430" s="183" t="str">
        <f t="shared" si="48"/>
      </c>
      <c r="AK4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1">
      <c r="A431" s="65" t="e">
        <f>Games!#REF!</f>
        <v>#REF!</v>
      </c>
      <c r="B431" s="65" t="e">
        <f>IF('Prediction Log'!#REF!=0, "",'Prediction Log'!#REF!)</f>
        <v>#REF!</v>
      </c>
      <c r="C431" s="65" t="e">
        <f>IF('Prediction Log'!#REF!=0, "",'Prediction Log'!#REF!)</f>
        <v>#REF!</v>
      </c>
      <c r="D431" s="65" t="e">
        <f>IF('Prediction Log'!#REF!=0, "",'Prediction Log'!#REF!)</f>
        <v>#REF!</v>
      </c>
      <c r="E431" s="65" t="e">
        <f>IF('Prediction Log'!#REF!=0, "",'Prediction Log'!#REF!)</f>
        <v>#REF!</v>
      </c>
      <c r="F431" s="65" t="e">
        <f>IF('Prediction Log'!#REF!=0, "",'Prediction Log'!#REF!)</f>
        <v>#REF!</v>
      </c>
      <c r="G431" s="64" t="e">
        <f>IF(ISBLANK(Games!#REF!), "",'Prediction Log'!#REF!)</f>
        <v>#REF!</v>
      </c>
      <c r="H431" s="66" t="e">
        <f>'Prediction Log'!#REF!</f>
        <v>#REF!</v>
      </c>
      <c r="I431" s="65" t="e">
        <f>IF(ISBLANK(Games!#REF!), "",IF(AND(Games!#REF!="",Games!#REF!=""),"",IF(ISTEXT(Games!#REF!), "Side",Games!#REF!)))</f>
        <v>#REF!</v>
      </c>
      <c r="J431" s="65" t="e">
        <f>IF(ISBLANK(Games!#REF!), "",IF(Games!#REF!="Y", Games!#REF!, Games!#REF!))</f>
        <v>#REF!</v>
      </c>
      <c r="K431" s="65" t="e">
        <f>Games!#REF!</f>
        <v>#REF!</v>
      </c>
      <c r="L431" s="65" t="e">
        <f>IF(ISBLANK(Games!#REF!), "",Games!#REF!)</f>
        <v>#REF!</v>
      </c>
      <c r="M431" s="65"/>
      <c r="N431" s="167" t="str">
        <f>IF(ISBLANK(Table123[[#This Row],[Odds Side - Difference Model]]), "", 1)</f>
      </c>
      <c r="O431" s="167" t="str">
        <f>IF(ISBLANK(Table123[[#This Row],[Odds Spread]]), "", 1)</f>
      </c>
      <c r="P431" s="67"/>
      <c r="Q431" s="67"/>
      <c r="R4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1" s="67"/>
      <c r="T431" s="67"/>
      <c r="U431" s="168" t="str">
        <f>IF(ISBLANK(Table123[[#This Row],[Odds Side - Difference Model]]), "",N431+IF(Q431&lt;0, (N431/(Q431/-100)), N431*(Q431/100)))</f>
      </c>
      <c r="V431" s="169" t="str">
        <f>IFERROR(IF(ISBLANK(Table123[[#This Row],[Odds Side - Win Probability Model]]), "",N431+IF(R431&lt;0, (N431/(R431/-100)), N431*(R431/100))),"")</f>
      </c>
      <c r="W431" s="168" t="str">
        <f t="shared" si="43"/>
      </c>
      <c r="X431" s="169" t="str">
        <f t="shared" si="44"/>
      </c>
      <c r="Y431" s="168" t="str">
        <f>IF(ISBLANK(Table123[[#This Row],[Odds Spread]]), "",O431+IF(S431&lt;0, (O431/(S431/-100)), O431*(S431/100)))</f>
      </c>
      <c r="Z431" s="168" t="str">
        <f t="shared" si="45"/>
      </c>
      <c r="AA431" s="68" t="n">
        <f t="shared" si="46"/>
        <v>0</v>
      </c>
      <c r="AB431" s="68" t="n">
        <f t="shared" si="47"/>
        <v>0</v>
      </c>
      <c r="AC431" s="170" t="e">
        <f>IF('Prediction Log'!#REF!="Y", "W", IF('Prediction Log'!#REF!="N","L",""))</f>
        <v>#REF!</v>
      </c>
      <c r="AD431" s="171" t="e">
        <f>IF('Prediction Log'!#REF!="Y", "W", IF('Prediction Log'!#REF!="N","L",""))</f>
        <v>#REF!</v>
      </c>
      <c r="AE431" s="172" t="str">
        <f>IF(ISBLANK(Table123[[#This Row],[Odds Side - Difference Model]]), "",IF(AC431="W", W431, IF(AC431="L",-N431, "")))</f>
      </c>
      <c r="AF431" s="173" t="str">
        <f>IFERROR((IF(ISERR(Table123[[#This Row],[Potential Payout Side - Win Probability Model]]), "",IF(AD431="W", X431, IF(AD431="L",-N431, "")))), "")</f>
      </c>
      <c r="AG431" s="170" t="e">
        <f>IF('Prediction Log'!#REF!="Y", "W", IF('Prediction Log'!#REF!="N", "L", ""))</f>
        <v>#REF!</v>
      </c>
      <c r="AH431" s="172" t="str">
        <f>IF(ISBLANK(Table123[[#This Row],[Odds Spread]]), "",IF(AG431="W", Z431, IF(AG431="L",-O431, "")))</f>
      </c>
      <c r="AI431" s="184"/>
      <c r="AJ431" s="183" t="str">
        <f t="shared" si="48"/>
      </c>
      <c r="AK4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2">
      <c r="A432" s="65" t="e">
        <f>Games!#REF!</f>
        <v>#REF!</v>
      </c>
      <c r="B432" s="65" t="e">
        <f>IF('Prediction Log'!#REF!=0, "",'Prediction Log'!#REF!)</f>
        <v>#REF!</v>
      </c>
      <c r="C432" s="65" t="e">
        <f>IF('Prediction Log'!#REF!=0, "",'Prediction Log'!#REF!)</f>
        <v>#REF!</v>
      </c>
      <c r="D432" s="65" t="e">
        <f>IF('Prediction Log'!#REF!=0, "",'Prediction Log'!#REF!)</f>
        <v>#REF!</v>
      </c>
      <c r="E432" s="65" t="e">
        <f>IF('Prediction Log'!#REF!=0, "",'Prediction Log'!#REF!)</f>
        <v>#REF!</v>
      </c>
      <c r="F432" s="65" t="e">
        <f>IF('Prediction Log'!#REF!=0, "",'Prediction Log'!#REF!)</f>
        <v>#REF!</v>
      </c>
      <c r="G432" s="64" t="e">
        <f>IF(ISBLANK(Games!#REF!), "",'Prediction Log'!#REF!)</f>
        <v>#REF!</v>
      </c>
      <c r="H432" s="66" t="e">
        <f>'Prediction Log'!#REF!</f>
        <v>#REF!</v>
      </c>
      <c r="I432" s="65" t="e">
        <f>IF(ISBLANK(Games!#REF!), "",IF(AND(Games!#REF!="",Games!#REF!=""),"",IF(ISTEXT(Games!#REF!), "Side",Games!#REF!)))</f>
        <v>#REF!</v>
      </c>
      <c r="J432" s="65" t="e">
        <f>IF(ISBLANK(Games!#REF!), "",IF(Games!#REF!="Y", Games!#REF!, Games!#REF!))</f>
        <v>#REF!</v>
      </c>
      <c r="K432" s="65" t="e">
        <f>Games!#REF!</f>
        <v>#REF!</v>
      </c>
      <c r="L432" s="65" t="e">
        <f>IF(ISBLANK(Games!#REF!), "",Games!#REF!)</f>
        <v>#REF!</v>
      </c>
      <c r="M432" s="65"/>
      <c r="N432" s="167" t="str">
        <f>IF(ISBLANK(Table123[[#This Row],[Odds Side - Difference Model]]), "", 1)</f>
      </c>
      <c r="O432" s="167" t="str">
        <f>IF(ISBLANK(Table123[[#This Row],[Odds Spread]]), "", 1)</f>
      </c>
      <c r="P432" s="67"/>
      <c r="Q432" s="67"/>
      <c r="R4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2" s="67"/>
      <c r="T432" s="67"/>
      <c r="U432" s="168" t="str">
        <f>IF(ISBLANK(Table123[[#This Row],[Odds Side - Difference Model]]), "",N432+IF(Q432&lt;0, (N432/(Q432/-100)), N432*(Q432/100)))</f>
      </c>
      <c r="V432" s="169" t="str">
        <f>IFERROR(IF(ISBLANK(Table123[[#This Row],[Odds Side - Win Probability Model]]), "",N432+IF(R432&lt;0, (N432/(R432/-100)), N432*(R432/100))),"")</f>
      </c>
      <c r="W432" s="168" t="str">
        <f t="shared" si="43"/>
      </c>
      <c r="X432" s="169" t="str">
        <f t="shared" si="44"/>
      </c>
      <c r="Y432" s="168" t="str">
        <f>IF(ISBLANK(Table123[[#This Row],[Odds Spread]]), "",O432+IF(S432&lt;0, (O432/(S432/-100)), O432*(S432/100)))</f>
      </c>
      <c r="Z432" s="168" t="str">
        <f t="shared" si="45"/>
      </c>
      <c r="AA432" s="68" t="n">
        <f t="shared" si="46"/>
        <v>0</v>
      </c>
      <c r="AB432" s="68" t="n">
        <f t="shared" si="47"/>
        <v>0</v>
      </c>
      <c r="AC432" s="170" t="e">
        <f>IF('Prediction Log'!#REF!="Y", "W", IF('Prediction Log'!#REF!="N","L",""))</f>
        <v>#REF!</v>
      </c>
      <c r="AD432" s="171" t="e">
        <f>IF('Prediction Log'!#REF!="Y", "W", IF('Prediction Log'!#REF!="N","L",""))</f>
        <v>#REF!</v>
      </c>
      <c r="AE432" s="172" t="str">
        <f>IF(ISBLANK(Table123[[#This Row],[Odds Side - Difference Model]]), "",IF(AC432="W", W432, IF(AC432="L",-N432, "")))</f>
      </c>
      <c r="AF432" s="173" t="str">
        <f>IFERROR((IF(ISERR(Table123[[#This Row],[Potential Payout Side - Win Probability Model]]), "",IF(AD432="W", X432, IF(AD432="L",-N432, "")))), "")</f>
      </c>
      <c r="AG432" s="170" t="e">
        <f>IF('Prediction Log'!#REF!="Y", "W", IF('Prediction Log'!#REF!="N", "L", ""))</f>
        <v>#REF!</v>
      </c>
      <c r="AH432" s="172" t="str">
        <f>IF(ISBLANK(Table123[[#This Row],[Odds Spread]]), "",IF(AG432="W", Z432, IF(AG432="L",-O432, "")))</f>
      </c>
      <c r="AI432" s="184"/>
      <c r="AJ432" s="183" t="str">
        <f t="shared" si="48"/>
      </c>
      <c r="AK4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3">
      <c r="A433" s="65" t="e">
        <f>Games!#REF!</f>
        <v>#REF!</v>
      </c>
      <c r="B433" s="65" t="e">
        <f>IF('Prediction Log'!#REF!=0, "",'Prediction Log'!#REF!)</f>
        <v>#REF!</v>
      </c>
      <c r="C433" s="65" t="e">
        <f>IF('Prediction Log'!#REF!=0, "",'Prediction Log'!#REF!)</f>
        <v>#REF!</v>
      </c>
      <c r="D433" s="65" t="e">
        <f>IF('Prediction Log'!#REF!=0, "",'Prediction Log'!#REF!)</f>
        <v>#REF!</v>
      </c>
      <c r="E433" s="65" t="e">
        <f>IF('Prediction Log'!#REF!=0, "",'Prediction Log'!#REF!)</f>
        <v>#REF!</v>
      </c>
      <c r="F433" s="65" t="e">
        <f>IF('Prediction Log'!#REF!=0, "",'Prediction Log'!#REF!)</f>
        <v>#REF!</v>
      </c>
      <c r="G433" s="64" t="e">
        <f>IF(ISBLANK(Games!#REF!), "",'Prediction Log'!#REF!)</f>
        <v>#REF!</v>
      </c>
      <c r="H433" s="66" t="e">
        <f>'Prediction Log'!#REF!</f>
        <v>#REF!</v>
      </c>
      <c r="I433" s="65" t="e">
        <f>IF(ISBLANK(Games!#REF!), "",IF(AND(Games!#REF!="",Games!#REF!=""),"",IF(ISTEXT(Games!#REF!), "Side",Games!#REF!)))</f>
        <v>#REF!</v>
      </c>
      <c r="J433" s="65" t="e">
        <f>IF(ISBLANK(Games!#REF!), "",IF(Games!#REF!="Y", Games!#REF!, Games!#REF!))</f>
        <v>#REF!</v>
      </c>
      <c r="K433" s="65" t="e">
        <f>Games!#REF!</f>
        <v>#REF!</v>
      </c>
      <c r="L433" s="65" t="e">
        <f>IF(ISBLANK(Games!#REF!), "",Games!#REF!)</f>
        <v>#REF!</v>
      </c>
      <c r="M433" s="65"/>
      <c r="N433" s="167" t="str">
        <f>IF(ISBLANK(Table123[[#This Row],[Odds Side - Difference Model]]), "", 1)</f>
      </c>
      <c r="O433" s="167" t="str">
        <f>IF(ISBLANK(Table123[[#This Row],[Odds Spread]]), "", 1)</f>
      </c>
      <c r="P433" s="67"/>
      <c r="Q433" s="67"/>
      <c r="R4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3" s="67"/>
      <c r="T433" s="67"/>
      <c r="U433" s="168" t="str">
        <f>IF(ISBLANK(Table123[[#This Row],[Odds Side - Difference Model]]), "",N433+IF(Q433&lt;0, (N433/(Q433/-100)), N433*(Q433/100)))</f>
      </c>
      <c r="V433" s="169" t="str">
        <f>IFERROR(IF(ISBLANK(Table123[[#This Row],[Odds Side - Win Probability Model]]), "",N433+IF(R433&lt;0, (N433/(R433/-100)), N433*(R433/100))),"")</f>
      </c>
      <c r="W433" s="168" t="str">
        <f t="shared" si="43"/>
      </c>
      <c r="X433" s="169" t="str">
        <f t="shared" si="44"/>
      </c>
      <c r="Y433" s="168" t="str">
        <f>IF(ISBLANK(Table123[[#This Row],[Odds Spread]]), "",O433+IF(S433&lt;0, (O433/(S433/-100)), O433*(S433/100)))</f>
      </c>
      <c r="Z433" s="168" t="str">
        <f t="shared" si="45"/>
      </c>
      <c r="AA433" s="68" t="n">
        <f t="shared" si="46"/>
        <v>0</v>
      </c>
      <c r="AB433" s="68" t="n">
        <f t="shared" si="47"/>
        <v>0</v>
      </c>
      <c r="AC433" s="170" t="e">
        <f>IF('Prediction Log'!#REF!="Y", "W", IF('Prediction Log'!#REF!="N","L",""))</f>
        <v>#REF!</v>
      </c>
      <c r="AD433" s="171" t="e">
        <f>IF('Prediction Log'!#REF!="Y", "W", IF('Prediction Log'!#REF!="N","L",""))</f>
        <v>#REF!</v>
      </c>
      <c r="AE433" s="172" t="str">
        <f>IF(ISBLANK(Table123[[#This Row],[Odds Side - Difference Model]]), "",IF(AC433="W", W433, IF(AC433="L",-N433, "")))</f>
      </c>
      <c r="AF433" s="173" t="str">
        <f>IFERROR((IF(ISERR(Table123[[#This Row],[Potential Payout Side - Win Probability Model]]), "",IF(AD433="W", X433, IF(AD433="L",-N433, "")))), "")</f>
      </c>
      <c r="AG433" s="170" t="e">
        <f>IF('Prediction Log'!#REF!="Y", "W", IF('Prediction Log'!#REF!="N", "L", ""))</f>
        <v>#REF!</v>
      </c>
      <c r="AH433" s="172" t="str">
        <f>IF(ISBLANK(Table123[[#This Row],[Odds Spread]]), "",IF(AG433="W", Z433, IF(AG433="L",-O433, "")))</f>
      </c>
      <c r="AI433" s="184"/>
      <c r="AJ433" s="183" t="str">
        <f t="shared" si="48"/>
      </c>
      <c r="AK4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4">
      <c r="A434" s="65" t="e">
        <f>Games!#REF!</f>
        <v>#REF!</v>
      </c>
      <c r="B434" s="65" t="e">
        <f>IF('Prediction Log'!#REF!=0, "",'Prediction Log'!#REF!)</f>
        <v>#REF!</v>
      </c>
      <c r="C434" s="65" t="e">
        <f>IF('Prediction Log'!#REF!=0, "",'Prediction Log'!#REF!)</f>
        <v>#REF!</v>
      </c>
      <c r="D434" s="65" t="e">
        <f>IF('Prediction Log'!#REF!=0, "",'Prediction Log'!#REF!)</f>
        <v>#REF!</v>
      </c>
      <c r="E434" s="65" t="e">
        <f>IF('Prediction Log'!#REF!=0, "",'Prediction Log'!#REF!)</f>
        <v>#REF!</v>
      </c>
      <c r="F434" s="65" t="e">
        <f>IF('Prediction Log'!#REF!=0, "",'Prediction Log'!#REF!)</f>
        <v>#REF!</v>
      </c>
      <c r="G434" s="64" t="e">
        <f>IF(ISBLANK(Games!#REF!), "",'Prediction Log'!#REF!)</f>
        <v>#REF!</v>
      </c>
      <c r="H434" s="66" t="e">
        <f>'Prediction Log'!#REF!</f>
        <v>#REF!</v>
      </c>
      <c r="I434" s="65" t="e">
        <f>IF(ISBLANK(Games!#REF!), "",IF(AND(Games!#REF!="",Games!#REF!=""),"",IF(ISTEXT(Games!#REF!), "Side",Games!#REF!)))</f>
        <v>#REF!</v>
      </c>
      <c r="J434" s="65" t="e">
        <f>IF(ISBLANK(Games!#REF!), "",IF(Games!#REF!="Y", Games!#REF!, Games!#REF!))</f>
        <v>#REF!</v>
      </c>
      <c r="K434" s="65" t="e">
        <f>Games!#REF!</f>
        <v>#REF!</v>
      </c>
      <c r="L434" s="65" t="e">
        <f>IF(ISBLANK(Games!#REF!), "",Games!#REF!)</f>
        <v>#REF!</v>
      </c>
      <c r="M434" s="65"/>
      <c r="N434" s="167" t="str">
        <f>IF(ISBLANK(Table123[[#This Row],[Odds Side - Difference Model]]), "", 1)</f>
      </c>
      <c r="O434" s="167" t="str">
        <f>IF(ISBLANK(Table123[[#This Row],[Odds Spread]]), "", 1)</f>
      </c>
      <c r="P434" s="67"/>
      <c r="Q434" s="67"/>
      <c r="R4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4" s="67"/>
      <c r="T434" s="67"/>
      <c r="U434" s="168" t="str">
        <f>IF(ISBLANK(Table123[[#This Row],[Odds Side - Difference Model]]), "",N434+IF(Q434&lt;0, (N434/(Q434/-100)), N434*(Q434/100)))</f>
      </c>
      <c r="V434" s="169" t="str">
        <f>IFERROR(IF(ISBLANK(Table123[[#This Row],[Odds Side - Win Probability Model]]), "",N434+IF(R434&lt;0, (N434/(R434/-100)), N434*(R434/100))),"")</f>
      </c>
      <c r="W434" s="168" t="str">
        <f t="shared" si="43"/>
      </c>
      <c r="X434" s="169" t="str">
        <f t="shared" si="44"/>
      </c>
      <c r="Y434" s="168" t="str">
        <f>IF(ISBLANK(Table123[[#This Row],[Odds Spread]]), "",O434+IF(S434&lt;0, (O434/(S434/-100)), O434*(S434/100)))</f>
      </c>
      <c r="Z434" s="168" t="str">
        <f t="shared" si="45"/>
      </c>
      <c r="AA434" s="68" t="n">
        <f t="shared" si="46"/>
        <v>0</v>
      </c>
      <c r="AB434" s="68" t="n">
        <f t="shared" si="47"/>
        <v>0</v>
      </c>
      <c r="AC434" s="170" t="e">
        <f>IF('Prediction Log'!#REF!="Y", "W", IF('Prediction Log'!#REF!="N","L",""))</f>
        <v>#REF!</v>
      </c>
      <c r="AD434" s="171" t="e">
        <f>IF('Prediction Log'!#REF!="Y", "W", IF('Prediction Log'!#REF!="N","L",""))</f>
        <v>#REF!</v>
      </c>
      <c r="AE434" s="172" t="str">
        <f>IF(ISBLANK(Table123[[#This Row],[Odds Side - Difference Model]]), "",IF(AC434="W", W434, IF(AC434="L",-N434, "")))</f>
      </c>
      <c r="AF434" s="173" t="str">
        <f>IFERROR((IF(ISERR(Table123[[#This Row],[Potential Payout Side - Win Probability Model]]), "",IF(AD434="W", X434, IF(AD434="L",-N434, "")))), "")</f>
      </c>
      <c r="AG434" s="170" t="e">
        <f>IF('Prediction Log'!#REF!="Y", "W", IF('Prediction Log'!#REF!="N", "L", ""))</f>
        <v>#REF!</v>
      </c>
      <c r="AH434" s="172" t="str">
        <f>IF(ISBLANK(Table123[[#This Row],[Odds Spread]]), "",IF(AG434="W", Z434, IF(AG434="L",-O434, "")))</f>
      </c>
      <c r="AI434" s="184"/>
      <c r="AJ434" s="183" t="str">
        <f t="shared" si="48"/>
      </c>
      <c r="AK4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5">
      <c r="A435" s="65" t="e">
        <f>Games!#REF!</f>
        <v>#REF!</v>
      </c>
      <c r="B435" s="65" t="e">
        <f>IF('Prediction Log'!#REF!=0, "",'Prediction Log'!#REF!)</f>
        <v>#REF!</v>
      </c>
      <c r="C435" s="65" t="e">
        <f>IF('Prediction Log'!#REF!=0, "",'Prediction Log'!#REF!)</f>
        <v>#REF!</v>
      </c>
      <c r="D435" s="65" t="e">
        <f>IF('Prediction Log'!#REF!=0, "",'Prediction Log'!#REF!)</f>
        <v>#REF!</v>
      </c>
      <c r="E435" s="65" t="e">
        <f>IF('Prediction Log'!#REF!=0, "",'Prediction Log'!#REF!)</f>
        <v>#REF!</v>
      </c>
      <c r="F435" s="65" t="e">
        <f>IF('Prediction Log'!#REF!=0, "",'Prediction Log'!#REF!)</f>
        <v>#REF!</v>
      </c>
      <c r="G435" s="64" t="e">
        <f>IF(ISBLANK(Games!#REF!), "",'Prediction Log'!#REF!)</f>
        <v>#REF!</v>
      </c>
      <c r="H435" s="66" t="e">
        <f>'Prediction Log'!#REF!</f>
        <v>#REF!</v>
      </c>
      <c r="I435" s="65" t="e">
        <f>IF(ISBLANK(Games!#REF!), "",IF(AND(Games!#REF!="",Games!#REF!=""),"",IF(ISTEXT(Games!#REF!), "Side",Games!#REF!)))</f>
        <v>#REF!</v>
      </c>
      <c r="J435" s="65" t="e">
        <f>IF(ISBLANK(Games!#REF!), "",IF(Games!#REF!="Y", Games!#REF!, Games!#REF!))</f>
        <v>#REF!</v>
      </c>
      <c r="K435" s="65" t="e">
        <f>Games!#REF!</f>
        <v>#REF!</v>
      </c>
      <c r="L435" s="65" t="e">
        <f>IF(ISBLANK(Games!#REF!), "",Games!#REF!)</f>
        <v>#REF!</v>
      </c>
      <c r="M435" s="65"/>
      <c r="N435" s="167" t="str">
        <f>IF(ISBLANK(Table123[[#This Row],[Odds Side - Difference Model]]), "", 1)</f>
      </c>
      <c r="O435" s="167" t="str">
        <f>IF(ISBLANK(Table123[[#This Row],[Odds Spread]]), "", 1)</f>
      </c>
      <c r="P435" s="67"/>
      <c r="Q435" s="67"/>
      <c r="R4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5" s="67"/>
      <c r="T435" s="67"/>
      <c r="U435" s="168" t="str">
        <f>IF(ISBLANK(Table123[[#This Row],[Odds Side - Difference Model]]), "",N435+IF(Q435&lt;0, (N435/(Q435/-100)), N435*(Q435/100)))</f>
      </c>
      <c r="V435" s="169" t="str">
        <f>IFERROR(IF(ISBLANK(Table123[[#This Row],[Odds Side - Win Probability Model]]), "",N435+IF(R435&lt;0, (N435/(R435/-100)), N435*(R435/100))),"")</f>
      </c>
      <c r="W435" s="168" t="str">
        <f t="shared" si="43"/>
      </c>
      <c r="X435" s="169" t="str">
        <f t="shared" si="44"/>
      </c>
      <c r="Y435" s="168" t="str">
        <f>IF(ISBLANK(Table123[[#This Row],[Odds Spread]]), "",O435+IF(S435&lt;0, (O435/(S435/-100)), O435*(S435/100)))</f>
      </c>
      <c r="Z435" s="168" t="str">
        <f t="shared" si="45"/>
      </c>
      <c r="AA435" s="68" t="n">
        <f t="shared" si="46"/>
        <v>0</v>
      </c>
      <c r="AB435" s="68" t="n">
        <f t="shared" si="47"/>
        <v>0</v>
      </c>
      <c r="AC435" s="170" t="e">
        <f>IF('Prediction Log'!#REF!="Y", "W", IF('Prediction Log'!#REF!="N","L",""))</f>
        <v>#REF!</v>
      </c>
      <c r="AD435" s="171" t="e">
        <f>IF('Prediction Log'!#REF!="Y", "W", IF('Prediction Log'!#REF!="N","L",""))</f>
        <v>#REF!</v>
      </c>
      <c r="AE435" s="172" t="str">
        <f>IF(ISBLANK(Table123[[#This Row],[Odds Side - Difference Model]]), "",IF(AC435="W", W435, IF(AC435="L",-N435, "")))</f>
      </c>
      <c r="AF435" s="173" t="str">
        <f>IFERROR((IF(ISERR(Table123[[#This Row],[Potential Payout Side - Win Probability Model]]), "",IF(AD435="W", X435, IF(AD435="L",-N435, "")))), "")</f>
      </c>
      <c r="AG435" s="170" t="e">
        <f>IF('Prediction Log'!#REF!="Y", "W", IF('Prediction Log'!#REF!="N", "L", ""))</f>
        <v>#REF!</v>
      </c>
      <c r="AH435" s="172" t="str">
        <f>IF(ISBLANK(Table123[[#This Row],[Odds Spread]]), "",IF(AG435="W", Z435, IF(AG435="L",-O435, "")))</f>
      </c>
      <c r="AI435" s="184"/>
      <c r="AJ435" s="183" t="str">
        <f t="shared" si="48"/>
      </c>
      <c r="AK4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6">
      <c r="A436" s="65" t="e">
        <f>Games!#REF!</f>
        <v>#REF!</v>
      </c>
      <c r="B436" s="65" t="e">
        <f>IF('Prediction Log'!#REF!=0, "",'Prediction Log'!#REF!)</f>
        <v>#REF!</v>
      </c>
      <c r="C436" s="65" t="e">
        <f>IF('Prediction Log'!#REF!=0, "",'Prediction Log'!#REF!)</f>
        <v>#REF!</v>
      </c>
      <c r="D436" s="65" t="e">
        <f>IF('Prediction Log'!#REF!=0, "",'Prediction Log'!#REF!)</f>
        <v>#REF!</v>
      </c>
      <c r="E436" s="65" t="e">
        <f>IF('Prediction Log'!#REF!=0, "",'Prediction Log'!#REF!)</f>
        <v>#REF!</v>
      </c>
      <c r="F436" s="65" t="e">
        <f>IF('Prediction Log'!#REF!=0, "",'Prediction Log'!#REF!)</f>
        <v>#REF!</v>
      </c>
      <c r="G436" s="64" t="e">
        <f>IF(ISBLANK(Games!#REF!), "",'Prediction Log'!#REF!)</f>
        <v>#REF!</v>
      </c>
      <c r="H436" s="66" t="e">
        <f>'Prediction Log'!#REF!</f>
        <v>#REF!</v>
      </c>
      <c r="I436" s="65" t="e">
        <f>IF(ISBLANK(Games!#REF!), "",IF(AND(Games!#REF!="",Games!#REF!=""),"",IF(ISTEXT(Games!#REF!), "Side",Games!#REF!)))</f>
        <v>#REF!</v>
      </c>
      <c r="J436" s="65" t="e">
        <f>IF(ISBLANK(Games!#REF!), "",IF(Games!#REF!="Y", Games!#REF!, Games!#REF!))</f>
        <v>#REF!</v>
      </c>
      <c r="K436" s="65" t="e">
        <f>Games!#REF!</f>
        <v>#REF!</v>
      </c>
      <c r="L436" s="65" t="e">
        <f>IF(ISBLANK(Games!#REF!), "",Games!#REF!)</f>
        <v>#REF!</v>
      </c>
      <c r="M436" s="65"/>
      <c r="N436" s="167" t="str">
        <f>IF(ISBLANK(Table123[[#This Row],[Odds Side - Difference Model]]), "", 1)</f>
      </c>
      <c r="O436" s="167" t="str">
        <f>IF(ISBLANK(Table123[[#This Row],[Odds Spread]]), "", 1)</f>
      </c>
      <c r="P436" s="67"/>
      <c r="Q436" s="67"/>
      <c r="R4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6" s="67"/>
      <c r="T436" s="67"/>
      <c r="U436" s="168" t="str">
        <f>IF(ISBLANK(Table123[[#This Row],[Odds Side - Difference Model]]), "",N436+IF(Q436&lt;0, (N436/(Q436/-100)), N436*(Q436/100)))</f>
      </c>
      <c r="V436" s="169" t="str">
        <f>IFERROR(IF(ISBLANK(Table123[[#This Row],[Odds Side - Win Probability Model]]), "",N436+IF(R436&lt;0, (N436/(R436/-100)), N436*(R436/100))),"")</f>
      </c>
      <c r="W436" s="168" t="str">
        <f t="shared" si="43"/>
      </c>
      <c r="X436" s="169" t="str">
        <f t="shared" si="44"/>
      </c>
      <c r="Y436" s="168" t="str">
        <f>IF(ISBLANK(Table123[[#This Row],[Odds Spread]]), "",O436+IF(S436&lt;0, (O436/(S436/-100)), O436*(S436/100)))</f>
      </c>
      <c r="Z436" s="168" t="str">
        <f t="shared" si="45"/>
      </c>
      <c r="AA436" s="68" t="n">
        <f t="shared" si="46"/>
        <v>0</v>
      </c>
      <c r="AB436" s="68" t="n">
        <f t="shared" si="47"/>
        <v>0</v>
      </c>
      <c r="AC436" s="170" t="e">
        <f>IF('Prediction Log'!#REF!="Y", "W", IF('Prediction Log'!#REF!="N","L",""))</f>
        <v>#REF!</v>
      </c>
      <c r="AD436" s="171" t="e">
        <f>IF('Prediction Log'!#REF!="Y", "W", IF('Prediction Log'!#REF!="N","L",""))</f>
        <v>#REF!</v>
      </c>
      <c r="AE436" s="172" t="str">
        <f>IF(ISBLANK(Table123[[#This Row],[Odds Side - Difference Model]]), "",IF(AC436="W", W436, IF(AC436="L",-N436, "")))</f>
      </c>
      <c r="AF436" s="173" t="str">
        <f>IFERROR((IF(ISERR(Table123[[#This Row],[Potential Payout Side - Win Probability Model]]), "",IF(AD436="W", X436, IF(AD436="L",-N436, "")))), "")</f>
      </c>
      <c r="AG436" s="170" t="e">
        <f>IF('Prediction Log'!#REF!="Y", "W", IF('Prediction Log'!#REF!="N", "L", ""))</f>
        <v>#REF!</v>
      </c>
      <c r="AH436" s="172" t="str">
        <f>IF(ISBLANK(Table123[[#This Row],[Odds Spread]]), "",IF(AG436="W", Z436, IF(AG436="L",-O436, "")))</f>
      </c>
      <c r="AI436" s="184"/>
      <c r="AJ436" s="183" t="str">
        <f t="shared" si="48"/>
      </c>
      <c r="AK4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7">
      <c r="A437" s="65" t="e">
        <f>Games!#REF!</f>
        <v>#REF!</v>
      </c>
      <c r="B437" s="65" t="e">
        <f>IF('Prediction Log'!#REF!=0, "",'Prediction Log'!#REF!)</f>
        <v>#REF!</v>
      </c>
      <c r="C437" s="65" t="e">
        <f>IF('Prediction Log'!#REF!=0, "",'Prediction Log'!#REF!)</f>
        <v>#REF!</v>
      </c>
      <c r="D437" s="65" t="e">
        <f>IF('Prediction Log'!#REF!=0, "",'Prediction Log'!#REF!)</f>
        <v>#REF!</v>
      </c>
      <c r="E437" s="65" t="e">
        <f>IF('Prediction Log'!#REF!=0, "",'Prediction Log'!#REF!)</f>
        <v>#REF!</v>
      </c>
      <c r="F437" s="65" t="e">
        <f>IF('Prediction Log'!#REF!=0, "",'Prediction Log'!#REF!)</f>
        <v>#REF!</v>
      </c>
      <c r="G437" s="64" t="e">
        <f>IF(ISBLANK(Games!#REF!), "",'Prediction Log'!#REF!)</f>
        <v>#REF!</v>
      </c>
      <c r="H437" s="66" t="e">
        <f>'Prediction Log'!#REF!</f>
        <v>#REF!</v>
      </c>
      <c r="I437" s="65" t="e">
        <f>IF(ISBLANK(Games!#REF!), "",IF(AND(Games!#REF!="",Games!#REF!=""),"",IF(ISTEXT(Games!#REF!), "Side",Games!#REF!)))</f>
        <v>#REF!</v>
      </c>
      <c r="J437" s="65" t="e">
        <f>IF(ISBLANK(Games!#REF!), "",IF(Games!#REF!="Y", Games!#REF!, Games!#REF!))</f>
        <v>#REF!</v>
      </c>
      <c r="K437" s="65" t="e">
        <f>Games!#REF!</f>
        <v>#REF!</v>
      </c>
      <c r="L437" s="65" t="e">
        <f>IF(ISBLANK(Games!#REF!), "",Games!#REF!)</f>
        <v>#REF!</v>
      </c>
      <c r="M437" s="65"/>
      <c r="N437" s="167" t="str">
        <f>IF(ISBLANK(Table123[[#This Row],[Odds Side - Difference Model]]), "", 1)</f>
      </c>
      <c r="O437" s="167" t="str">
        <f>IF(ISBLANK(Table123[[#This Row],[Odds Spread]]), "", 1)</f>
      </c>
      <c r="P437" s="67"/>
      <c r="Q437" s="67"/>
      <c r="R4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7" s="67"/>
      <c r="T437" s="67"/>
      <c r="U437" s="168" t="str">
        <f>IF(ISBLANK(Table123[[#This Row],[Odds Side - Difference Model]]), "",N437+IF(Q437&lt;0, (N437/(Q437/-100)), N437*(Q437/100)))</f>
      </c>
      <c r="V437" s="169" t="str">
        <f>IFERROR(IF(ISBLANK(Table123[[#This Row],[Odds Side - Win Probability Model]]), "",N437+IF(R437&lt;0, (N437/(R437/-100)), N437*(R437/100))),"")</f>
      </c>
      <c r="W437" s="168" t="str">
        <f t="shared" si="43"/>
      </c>
      <c r="X437" s="169" t="str">
        <f t="shared" si="44"/>
      </c>
      <c r="Y437" s="168" t="str">
        <f>IF(ISBLANK(Table123[[#This Row],[Odds Spread]]), "",O437+IF(S437&lt;0, (O437/(S437/-100)), O437*(S437/100)))</f>
      </c>
      <c r="Z437" s="168" t="str">
        <f t="shared" si="45"/>
      </c>
      <c r="AA437" s="68" t="n">
        <f t="shared" si="46"/>
        <v>0</v>
      </c>
      <c r="AB437" s="68" t="n">
        <f t="shared" si="47"/>
        <v>0</v>
      </c>
      <c r="AC437" s="170" t="e">
        <f>IF('Prediction Log'!#REF!="Y", "W", IF('Prediction Log'!#REF!="N","L",""))</f>
        <v>#REF!</v>
      </c>
      <c r="AD437" s="171" t="e">
        <f>IF('Prediction Log'!#REF!="Y", "W", IF('Prediction Log'!#REF!="N","L",""))</f>
        <v>#REF!</v>
      </c>
      <c r="AE437" s="172" t="str">
        <f>IF(ISBLANK(Table123[[#This Row],[Odds Side - Difference Model]]), "",IF(AC437="W", W437, IF(AC437="L",-N437, "")))</f>
      </c>
      <c r="AF437" s="173" t="str">
        <f>IFERROR((IF(ISERR(Table123[[#This Row],[Potential Payout Side - Win Probability Model]]), "",IF(AD437="W", X437, IF(AD437="L",-N437, "")))), "")</f>
      </c>
      <c r="AG437" s="170" t="e">
        <f>IF('Prediction Log'!#REF!="Y", "W", IF('Prediction Log'!#REF!="N", "L", ""))</f>
        <v>#REF!</v>
      </c>
      <c r="AH437" s="172" t="str">
        <f>IF(ISBLANK(Table123[[#This Row],[Odds Spread]]), "",IF(AG437="W", Z437, IF(AG437="L",-O437, "")))</f>
      </c>
      <c r="AI437" s="184"/>
      <c r="AJ437" s="183" t="str">
        <f t="shared" si="48"/>
      </c>
      <c r="AK4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8">
      <c r="A438" s="65" t="e">
        <f>Games!#REF!</f>
        <v>#REF!</v>
      </c>
      <c r="B438" s="65" t="e">
        <f>IF('Prediction Log'!#REF!=0, "",'Prediction Log'!#REF!)</f>
        <v>#REF!</v>
      </c>
      <c r="C438" s="65" t="e">
        <f>IF('Prediction Log'!#REF!=0, "",'Prediction Log'!#REF!)</f>
        <v>#REF!</v>
      </c>
      <c r="D438" s="65" t="e">
        <f>IF('Prediction Log'!#REF!=0, "",'Prediction Log'!#REF!)</f>
        <v>#REF!</v>
      </c>
      <c r="E438" s="65" t="e">
        <f>IF('Prediction Log'!#REF!=0, "",'Prediction Log'!#REF!)</f>
        <v>#REF!</v>
      </c>
      <c r="F438" s="65" t="e">
        <f>IF('Prediction Log'!#REF!=0, "",'Prediction Log'!#REF!)</f>
        <v>#REF!</v>
      </c>
      <c r="G438" s="64" t="e">
        <f>IF(ISBLANK(Games!#REF!), "",'Prediction Log'!#REF!)</f>
        <v>#REF!</v>
      </c>
      <c r="H438" s="66" t="e">
        <f>'Prediction Log'!#REF!</f>
        <v>#REF!</v>
      </c>
      <c r="I438" s="65" t="e">
        <f>IF(ISBLANK(Games!#REF!), "",IF(AND(Games!#REF!="",Games!#REF!=""),"",IF(ISTEXT(Games!#REF!), "Side",Games!#REF!)))</f>
        <v>#REF!</v>
      </c>
      <c r="J438" s="65" t="e">
        <f>IF(ISBLANK(Games!#REF!), "",IF(Games!#REF!="Y", Games!#REF!, Games!#REF!))</f>
        <v>#REF!</v>
      </c>
      <c r="K438" s="65" t="e">
        <f>Games!#REF!</f>
        <v>#REF!</v>
      </c>
      <c r="L438" s="65" t="e">
        <f>IF(ISBLANK(Games!#REF!), "",Games!#REF!)</f>
        <v>#REF!</v>
      </c>
      <c r="M438" s="65"/>
      <c r="N438" s="167" t="str">
        <f>IF(ISBLANK(Table123[[#This Row],[Odds Side - Difference Model]]), "", 1)</f>
      </c>
      <c r="O438" s="167" t="str">
        <f>IF(ISBLANK(Table123[[#This Row],[Odds Spread]]), "", 1)</f>
      </c>
      <c r="P438" s="67"/>
      <c r="Q438" s="67"/>
      <c r="R4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8" s="67"/>
      <c r="T438" s="67"/>
      <c r="U438" s="168" t="str">
        <f>IF(ISBLANK(Table123[[#This Row],[Odds Side - Difference Model]]), "",N438+IF(Q438&lt;0, (N438/(Q438/-100)), N438*(Q438/100)))</f>
      </c>
      <c r="V438" s="169" t="str">
        <f>IFERROR(IF(ISBLANK(Table123[[#This Row],[Odds Side - Win Probability Model]]), "",N438+IF(R438&lt;0, (N438/(R438/-100)), N438*(R438/100))),"")</f>
      </c>
      <c r="W438" s="168" t="str">
        <f t="shared" si="43"/>
      </c>
      <c r="X438" s="169" t="str">
        <f t="shared" si="44"/>
      </c>
      <c r="Y438" s="168" t="str">
        <f>IF(ISBLANK(Table123[[#This Row],[Odds Spread]]), "",O438+IF(S438&lt;0, (O438/(S438/-100)), O438*(S438/100)))</f>
      </c>
      <c r="Z438" s="168" t="str">
        <f t="shared" si="45"/>
      </c>
      <c r="AA438" s="68" t="n">
        <f t="shared" si="46"/>
        <v>0</v>
      </c>
      <c r="AB438" s="68" t="n">
        <f t="shared" si="47"/>
        <v>0</v>
      </c>
      <c r="AC438" s="170" t="e">
        <f>IF('Prediction Log'!#REF!="Y", "W", IF('Prediction Log'!#REF!="N","L",""))</f>
        <v>#REF!</v>
      </c>
      <c r="AD438" s="171" t="e">
        <f>IF('Prediction Log'!#REF!="Y", "W", IF('Prediction Log'!#REF!="N","L",""))</f>
        <v>#REF!</v>
      </c>
      <c r="AE438" s="172" t="str">
        <f>IF(ISBLANK(Table123[[#This Row],[Odds Side - Difference Model]]), "",IF(AC438="W", W438, IF(AC438="L",-N438, "")))</f>
      </c>
      <c r="AF438" s="173" t="str">
        <f>IFERROR((IF(ISERR(Table123[[#This Row],[Potential Payout Side - Win Probability Model]]), "",IF(AD438="W", X438, IF(AD438="L",-N438, "")))), "")</f>
      </c>
      <c r="AG438" s="170" t="e">
        <f>IF('Prediction Log'!#REF!="Y", "W", IF('Prediction Log'!#REF!="N", "L", ""))</f>
        <v>#REF!</v>
      </c>
      <c r="AH438" s="172" t="str">
        <f>IF(ISBLANK(Table123[[#This Row],[Odds Spread]]), "",IF(AG438="W", Z438, IF(AG438="L",-O438, "")))</f>
      </c>
      <c r="AI438" s="184"/>
      <c r="AJ438" s="183" t="str">
        <f t="shared" si="48"/>
      </c>
      <c r="AK4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9">
      <c r="A439" s="65" t="e">
        <f>Games!#REF!</f>
        <v>#REF!</v>
      </c>
      <c r="B439" s="65" t="e">
        <f>IF('Prediction Log'!#REF!=0, "",'Prediction Log'!#REF!)</f>
        <v>#REF!</v>
      </c>
      <c r="C439" s="65" t="e">
        <f>IF('Prediction Log'!#REF!=0, "",'Prediction Log'!#REF!)</f>
        <v>#REF!</v>
      </c>
      <c r="D439" s="65" t="e">
        <f>IF('Prediction Log'!#REF!=0, "",'Prediction Log'!#REF!)</f>
        <v>#REF!</v>
      </c>
      <c r="E439" s="65" t="e">
        <f>IF('Prediction Log'!#REF!=0, "",'Prediction Log'!#REF!)</f>
        <v>#REF!</v>
      </c>
      <c r="F439" s="65" t="e">
        <f>IF('Prediction Log'!#REF!=0, "",'Prediction Log'!#REF!)</f>
        <v>#REF!</v>
      </c>
      <c r="G439" s="64" t="e">
        <f>IF(ISBLANK(Games!#REF!), "",'Prediction Log'!#REF!)</f>
        <v>#REF!</v>
      </c>
      <c r="H439" s="66" t="e">
        <f>'Prediction Log'!#REF!</f>
        <v>#REF!</v>
      </c>
      <c r="I439" s="65" t="e">
        <f>IF(ISBLANK(Games!#REF!), "",IF(AND(Games!#REF!="",Games!#REF!=""),"",IF(ISTEXT(Games!#REF!), "Side",Games!#REF!)))</f>
        <v>#REF!</v>
      </c>
      <c r="J439" s="65" t="e">
        <f>IF(ISBLANK(Games!#REF!), "",IF(Games!#REF!="Y", Games!#REF!, Games!#REF!))</f>
        <v>#REF!</v>
      </c>
      <c r="K439" s="65" t="e">
        <f>Games!#REF!</f>
        <v>#REF!</v>
      </c>
      <c r="L439" s="65" t="e">
        <f>IF(ISBLANK(Games!#REF!), "",Games!#REF!)</f>
        <v>#REF!</v>
      </c>
      <c r="M439" s="65"/>
      <c r="N439" s="167" t="str">
        <f>IF(ISBLANK(Table123[[#This Row],[Odds Side - Difference Model]]), "", 1)</f>
      </c>
      <c r="O439" s="167" t="str">
        <f>IF(ISBLANK(Table123[[#This Row],[Odds Spread]]), "", 1)</f>
      </c>
      <c r="P439" s="67"/>
      <c r="Q439" s="67"/>
      <c r="R4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9" s="67"/>
      <c r="T439" s="67"/>
      <c r="U439" s="168" t="str">
        <f>IF(ISBLANK(Table123[[#This Row],[Odds Side - Difference Model]]), "",N439+IF(Q439&lt;0, (N439/(Q439/-100)), N439*(Q439/100)))</f>
      </c>
      <c r="V439" s="169" t="str">
        <f>IFERROR(IF(ISBLANK(Table123[[#This Row],[Odds Side - Win Probability Model]]), "",N439+IF(R439&lt;0, (N439/(R439/-100)), N439*(R439/100))),"")</f>
      </c>
      <c r="W439" s="168" t="str">
        <f t="shared" si="43"/>
      </c>
      <c r="X439" s="169" t="str">
        <f t="shared" si="44"/>
      </c>
      <c r="Y439" s="168" t="str">
        <f>IF(ISBLANK(Table123[[#This Row],[Odds Spread]]), "",O439+IF(S439&lt;0, (O439/(S439/-100)), O439*(S439/100)))</f>
      </c>
      <c r="Z439" s="168" t="str">
        <f t="shared" si="45"/>
      </c>
      <c r="AA439" s="68" t="n">
        <f t="shared" si="46"/>
        <v>0</v>
      </c>
      <c r="AB439" s="68" t="n">
        <f t="shared" si="47"/>
        <v>0</v>
      </c>
      <c r="AC439" s="170" t="e">
        <f>IF('Prediction Log'!#REF!="Y", "W", IF('Prediction Log'!#REF!="N","L",""))</f>
        <v>#REF!</v>
      </c>
      <c r="AD439" s="171" t="e">
        <f>IF('Prediction Log'!#REF!="Y", "W", IF('Prediction Log'!#REF!="N","L",""))</f>
        <v>#REF!</v>
      </c>
      <c r="AE439" s="172" t="str">
        <f>IF(ISBLANK(Table123[[#This Row],[Odds Side - Difference Model]]), "",IF(AC439="W", W439, IF(AC439="L",-N439, "")))</f>
      </c>
      <c r="AF439" s="173" t="str">
        <f>IFERROR((IF(ISERR(Table123[[#This Row],[Potential Payout Side - Win Probability Model]]), "",IF(AD439="W", X439, IF(AD439="L",-N439, "")))), "")</f>
      </c>
      <c r="AG439" s="170" t="e">
        <f>IF('Prediction Log'!#REF!="Y", "W", IF('Prediction Log'!#REF!="N", "L", ""))</f>
        <v>#REF!</v>
      </c>
      <c r="AH439" s="172" t="str">
        <f>IF(ISBLANK(Table123[[#This Row],[Odds Spread]]), "",IF(AG439="W", Z439, IF(AG439="L",-O439, "")))</f>
      </c>
      <c r="AI439" s="184"/>
      <c r="AJ439" s="183" t="str">
        <f t="shared" si="48"/>
      </c>
      <c r="AK4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0">
      <c r="A440" s="65" t="e">
        <f>Games!#REF!</f>
        <v>#REF!</v>
      </c>
      <c r="B440" s="65" t="e">
        <f>IF('Prediction Log'!#REF!=0, "",'Prediction Log'!#REF!)</f>
        <v>#REF!</v>
      </c>
      <c r="C440" s="65" t="e">
        <f>IF('Prediction Log'!#REF!=0, "",'Prediction Log'!#REF!)</f>
        <v>#REF!</v>
      </c>
      <c r="D440" s="65" t="e">
        <f>IF('Prediction Log'!#REF!=0, "",'Prediction Log'!#REF!)</f>
        <v>#REF!</v>
      </c>
      <c r="E440" s="65" t="e">
        <f>IF('Prediction Log'!#REF!=0, "",'Prediction Log'!#REF!)</f>
        <v>#REF!</v>
      </c>
      <c r="F440" s="65" t="e">
        <f>IF('Prediction Log'!#REF!=0, "",'Prediction Log'!#REF!)</f>
        <v>#REF!</v>
      </c>
      <c r="G440" s="64" t="e">
        <f>IF(ISBLANK(Games!#REF!), "",'Prediction Log'!#REF!)</f>
        <v>#REF!</v>
      </c>
      <c r="H440" s="66" t="e">
        <f>'Prediction Log'!#REF!</f>
        <v>#REF!</v>
      </c>
      <c r="I440" s="65" t="e">
        <f>IF(ISBLANK(Games!#REF!), "",IF(AND(Games!#REF!="",Games!#REF!=""),"",IF(ISTEXT(Games!#REF!), "Side",Games!#REF!)))</f>
        <v>#REF!</v>
      </c>
      <c r="J440" s="65" t="e">
        <f>IF(ISBLANK(Games!#REF!), "",IF(Games!#REF!="Y", Games!#REF!, Games!#REF!))</f>
        <v>#REF!</v>
      </c>
      <c r="K440" s="65" t="e">
        <f>Games!#REF!</f>
        <v>#REF!</v>
      </c>
      <c r="L440" s="65" t="e">
        <f>IF(ISBLANK(Games!#REF!), "",Games!#REF!)</f>
        <v>#REF!</v>
      </c>
      <c r="M440" s="65"/>
      <c r="N440" s="167" t="str">
        <f>IF(ISBLANK(Table123[[#This Row],[Odds Side - Difference Model]]), "", 1)</f>
      </c>
      <c r="O440" s="167" t="str">
        <f>IF(ISBLANK(Table123[[#This Row],[Odds Spread]]), "", 1)</f>
      </c>
      <c r="P440" s="67"/>
      <c r="Q440" s="67"/>
      <c r="R4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0" s="67"/>
      <c r="T440" s="67"/>
      <c r="U440" s="168" t="str">
        <f>IF(ISBLANK(Table123[[#This Row],[Odds Side - Difference Model]]), "",N440+IF(Q440&lt;0, (N440/(Q440/-100)), N440*(Q440/100)))</f>
      </c>
      <c r="V440" s="169" t="str">
        <f>IFERROR(IF(ISBLANK(Table123[[#This Row],[Odds Side - Win Probability Model]]), "",N440+IF(R440&lt;0, (N440/(R440/-100)), N440*(R440/100))),"")</f>
      </c>
      <c r="W440" s="168" t="str">
        <f t="shared" si="43"/>
      </c>
      <c r="X440" s="169" t="str">
        <f t="shared" si="44"/>
      </c>
      <c r="Y440" s="168" t="str">
        <f>IF(ISBLANK(Table123[[#This Row],[Odds Spread]]), "",O440+IF(S440&lt;0, (O440/(S440/-100)), O440*(S440/100)))</f>
      </c>
      <c r="Z440" s="168" t="str">
        <f t="shared" si="45"/>
      </c>
      <c r="AA440" s="68" t="n">
        <f t="shared" si="46"/>
        <v>0</v>
      </c>
      <c r="AB440" s="68" t="n">
        <f t="shared" si="47"/>
        <v>0</v>
      </c>
      <c r="AC440" s="170" t="e">
        <f>IF('Prediction Log'!#REF!="Y", "W", IF('Prediction Log'!#REF!="N","L",""))</f>
        <v>#REF!</v>
      </c>
      <c r="AD440" s="171" t="e">
        <f>IF('Prediction Log'!#REF!="Y", "W", IF('Prediction Log'!#REF!="N","L",""))</f>
        <v>#REF!</v>
      </c>
      <c r="AE440" s="172" t="str">
        <f>IF(ISBLANK(Table123[[#This Row],[Odds Side - Difference Model]]), "",IF(AC440="W", W440, IF(AC440="L",-N440, "")))</f>
      </c>
      <c r="AF440" s="173" t="str">
        <f>IFERROR((IF(ISERR(Table123[[#This Row],[Potential Payout Side - Win Probability Model]]), "",IF(AD440="W", X440, IF(AD440="L",-N440, "")))), "")</f>
      </c>
      <c r="AG440" s="170" t="e">
        <f>IF('Prediction Log'!#REF!="Y", "W", IF('Prediction Log'!#REF!="N", "L", ""))</f>
        <v>#REF!</v>
      </c>
      <c r="AH440" s="172" t="str">
        <f>IF(ISBLANK(Table123[[#This Row],[Odds Spread]]), "",IF(AG440="W", Z440, IF(AG440="L",-O440, "")))</f>
      </c>
      <c r="AI440" s="184"/>
      <c r="AJ440" s="183" t="str">
        <f t="shared" si="48"/>
      </c>
      <c r="AK4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1">
      <c r="A441" s="65" t="e">
        <f>Games!#REF!</f>
        <v>#REF!</v>
      </c>
      <c r="B441" s="65" t="e">
        <f>IF('Prediction Log'!#REF!=0, "",'Prediction Log'!#REF!)</f>
        <v>#REF!</v>
      </c>
      <c r="C441" s="65" t="e">
        <f>IF('Prediction Log'!#REF!=0, "",'Prediction Log'!#REF!)</f>
        <v>#REF!</v>
      </c>
      <c r="D441" s="65" t="e">
        <f>IF('Prediction Log'!#REF!=0, "",'Prediction Log'!#REF!)</f>
        <v>#REF!</v>
      </c>
      <c r="E441" s="65" t="e">
        <f>IF('Prediction Log'!#REF!=0, "",'Prediction Log'!#REF!)</f>
        <v>#REF!</v>
      </c>
      <c r="F441" s="65" t="e">
        <f>IF('Prediction Log'!#REF!=0, "",'Prediction Log'!#REF!)</f>
        <v>#REF!</v>
      </c>
      <c r="G441" s="64" t="e">
        <f>IF(ISBLANK(Games!#REF!), "",'Prediction Log'!#REF!)</f>
        <v>#REF!</v>
      </c>
      <c r="H441" s="66" t="e">
        <f>'Prediction Log'!#REF!</f>
        <v>#REF!</v>
      </c>
      <c r="I441" s="65" t="e">
        <f>IF(ISBLANK(Games!#REF!), "",IF(AND(Games!#REF!="",Games!#REF!=""),"",IF(ISTEXT(Games!#REF!), "Side",Games!#REF!)))</f>
        <v>#REF!</v>
      </c>
      <c r="J441" s="65" t="e">
        <f>IF(ISBLANK(Games!#REF!), "",IF(Games!#REF!="Y", Games!#REF!, Games!#REF!))</f>
        <v>#REF!</v>
      </c>
      <c r="K441" s="65" t="e">
        <f>Games!#REF!</f>
        <v>#REF!</v>
      </c>
      <c r="L441" s="65" t="e">
        <f>IF(ISBLANK(Games!#REF!), "",Games!#REF!)</f>
        <v>#REF!</v>
      </c>
      <c r="M441" s="65"/>
      <c r="N441" s="167" t="str">
        <f>IF(ISBLANK(Table123[[#This Row],[Odds Side - Difference Model]]), "", 1)</f>
      </c>
      <c r="O441" s="167" t="str">
        <f>IF(ISBLANK(Table123[[#This Row],[Odds Spread]]), "", 1)</f>
      </c>
      <c r="P441" s="67"/>
      <c r="Q441" s="67"/>
      <c r="R4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1" s="67"/>
      <c r="T441" s="67"/>
      <c r="U441" s="168" t="str">
        <f>IF(ISBLANK(Table123[[#This Row],[Odds Side - Difference Model]]), "",N441+IF(Q441&lt;0, (N441/(Q441/-100)), N441*(Q441/100)))</f>
      </c>
      <c r="V441" s="169" t="str">
        <f>IFERROR(IF(ISBLANK(Table123[[#This Row],[Odds Side - Win Probability Model]]), "",N441+IF(R441&lt;0, (N441/(R441/-100)), N441*(R441/100))),"")</f>
      </c>
      <c r="W441" s="168" t="str">
        <f t="shared" si="43"/>
      </c>
      <c r="X441" s="169" t="str">
        <f t="shared" si="44"/>
      </c>
      <c r="Y441" s="168" t="str">
        <f>IF(ISBLANK(Table123[[#This Row],[Odds Spread]]), "",O441+IF(S441&lt;0, (O441/(S441/-100)), O441*(S441/100)))</f>
      </c>
      <c r="Z441" s="168" t="str">
        <f t="shared" si="45"/>
      </c>
      <c r="AA441" s="68" t="n">
        <f t="shared" si="46"/>
        <v>0</v>
      </c>
      <c r="AB441" s="68" t="n">
        <f t="shared" si="47"/>
        <v>0</v>
      </c>
      <c r="AC441" s="170" t="e">
        <f>IF('Prediction Log'!#REF!="Y", "W", IF('Prediction Log'!#REF!="N","L",""))</f>
        <v>#REF!</v>
      </c>
      <c r="AD441" s="171" t="e">
        <f>IF('Prediction Log'!#REF!="Y", "W", IF('Prediction Log'!#REF!="N","L",""))</f>
        <v>#REF!</v>
      </c>
      <c r="AE441" s="172" t="str">
        <f>IF(ISBLANK(Table123[[#This Row],[Odds Side - Difference Model]]), "",IF(AC441="W", W441, IF(AC441="L",-N441, "")))</f>
      </c>
      <c r="AF441" s="173" t="str">
        <f>IFERROR((IF(ISERR(Table123[[#This Row],[Potential Payout Side - Win Probability Model]]), "",IF(AD441="W", X441, IF(AD441="L",-N441, "")))), "")</f>
      </c>
      <c r="AG441" s="170" t="e">
        <f>IF('Prediction Log'!#REF!="Y", "W", IF('Prediction Log'!#REF!="N", "L", ""))</f>
        <v>#REF!</v>
      </c>
      <c r="AH441" s="172" t="str">
        <f>IF(ISBLANK(Table123[[#This Row],[Odds Spread]]), "",IF(AG441="W", Z441, IF(AG441="L",-O441, "")))</f>
      </c>
      <c r="AI441" s="184"/>
      <c r="AJ441" s="183" t="str">
        <f t="shared" si="48"/>
      </c>
      <c r="AK4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2">
      <c r="A442" s="65" t="e">
        <f>Games!#REF!</f>
        <v>#REF!</v>
      </c>
      <c r="B442" s="65" t="e">
        <f>IF('Prediction Log'!#REF!=0, "",'Prediction Log'!#REF!)</f>
        <v>#REF!</v>
      </c>
      <c r="C442" s="65" t="e">
        <f>IF('Prediction Log'!#REF!=0, "",'Prediction Log'!#REF!)</f>
        <v>#REF!</v>
      </c>
      <c r="D442" s="65" t="e">
        <f>IF('Prediction Log'!#REF!=0, "",'Prediction Log'!#REF!)</f>
        <v>#REF!</v>
      </c>
      <c r="E442" s="65" t="e">
        <f>IF('Prediction Log'!#REF!=0, "",'Prediction Log'!#REF!)</f>
        <v>#REF!</v>
      </c>
      <c r="F442" s="65" t="e">
        <f>IF('Prediction Log'!#REF!=0, "",'Prediction Log'!#REF!)</f>
        <v>#REF!</v>
      </c>
      <c r="G442" s="64" t="e">
        <f>IF(ISBLANK(Games!#REF!), "",'Prediction Log'!#REF!)</f>
        <v>#REF!</v>
      </c>
      <c r="H442" s="66" t="e">
        <f>'Prediction Log'!#REF!</f>
        <v>#REF!</v>
      </c>
      <c r="I442" s="65" t="e">
        <f>IF(ISBLANK(Games!#REF!), "",IF(AND(Games!#REF!="",Games!#REF!=""),"",IF(ISTEXT(Games!#REF!), "Side",Games!#REF!)))</f>
        <v>#REF!</v>
      </c>
      <c r="J442" s="65" t="e">
        <f>IF(ISBLANK(Games!#REF!), "",IF(Games!#REF!="Y", Games!#REF!, Games!#REF!))</f>
        <v>#REF!</v>
      </c>
      <c r="K442" s="65" t="e">
        <f>Games!#REF!</f>
        <v>#REF!</v>
      </c>
      <c r="L442" s="65" t="e">
        <f>IF(ISBLANK(Games!#REF!), "",Games!#REF!)</f>
        <v>#REF!</v>
      </c>
      <c r="M442" s="65"/>
      <c r="N442" s="167" t="str">
        <f>IF(ISBLANK(Table123[[#This Row],[Odds Side - Difference Model]]), "", 1)</f>
      </c>
      <c r="O442" s="167" t="str">
        <f>IF(ISBLANK(Table123[[#This Row],[Odds Spread]]), "", 1)</f>
      </c>
      <c r="P442" s="67"/>
      <c r="Q442" s="67"/>
      <c r="R4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2" s="67"/>
      <c r="T442" s="67"/>
      <c r="U442" s="168" t="str">
        <f>IF(ISBLANK(Table123[[#This Row],[Odds Side - Difference Model]]), "",N442+IF(Q442&lt;0, (N442/(Q442/-100)), N442*(Q442/100)))</f>
      </c>
      <c r="V442" s="169" t="str">
        <f>IFERROR(IF(ISBLANK(Table123[[#This Row],[Odds Side - Win Probability Model]]), "",N442+IF(R442&lt;0, (N442/(R442/-100)), N442*(R442/100))),"")</f>
      </c>
      <c r="W442" s="168" t="str">
        <f t="shared" si="43"/>
      </c>
      <c r="X442" s="169" t="str">
        <f t="shared" si="44"/>
      </c>
      <c r="Y442" s="168" t="str">
        <f>IF(ISBLANK(Table123[[#This Row],[Odds Spread]]), "",O442+IF(S442&lt;0, (O442/(S442/-100)), O442*(S442/100)))</f>
      </c>
      <c r="Z442" s="168" t="str">
        <f t="shared" si="45"/>
      </c>
      <c r="AA442" s="68" t="n">
        <f t="shared" si="46"/>
        <v>0</v>
      </c>
      <c r="AB442" s="68" t="n">
        <f t="shared" si="47"/>
        <v>0</v>
      </c>
      <c r="AC442" s="170" t="e">
        <f>IF('Prediction Log'!#REF!="Y", "W", IF('Prediction Log'!#REF!="N","L",""))</f>
        <v>#REF!</v>
      </c>
      <c r="AD442" s="171" t="e">
        <f>IF('Prediction Log'!#REF!="Y", "W", IF('Prediction Log'!#REF!="N","L",""))</f>
        <v>#REF!</v>
      </c>
      <c r="AE442" s="172" t="str">
        <f>IF(ISBLANK(Table123[[#This Row],[Odds Side - Difference Model]]), "",IF(AC442="W", W442, IF(AC442="L",-N442, "")))</f>
      </c>
      <c r="AF442" s="173" t="str">
        <f>IFERROR((IF(ISERR(Table123[[#This Row],[Potential Payout Side - Win Probability Model]]), "",IF(AD442="W", X442, IF(AD442="L",-N442, "")))), "")</f>
      </c>
      <c r="AG442" s="170" t="e">
        <f>IF('Prediction Log'!#REF!="Y", "W", IF('Prediction Log'!#REF!="N", "L", ""))</f>
        <v>#REF!</v>
      </c>
      <c r="AH442" s="172" t="str">
        <f>IF(ISBLANK(Table123[[#This Row],[Odds Spread]]), "",IF(AG442="W", Z442, IF(AG442="L",-O442, "")))</f>
      </c>
      <c r="AI442" s="184"/>
      <c r="AJ442" s="183" t="str">
        <f t="shared" si="48"/>
      </c>
      <c r="AK4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3">
      <c r="A443" s="65" t="e">
        <f>Games!#REF!</f>
        <v>#REF!</v>
      </c>
      <c r="B443" s="65" t="e">
        <f>IF('Prediction Log'!#REF!=0, "",'Prediction Log'!#REF!)</f>
        <v>#REF!</v>
      </c>
      <c r="C443" s="65" t="e">
        <f>IF('Prediction Log'!#REF!=0, "",'Prediction Log'!#REF!)</f>
        <v>#REF!</v>
      </c>
      <c r="D443" s="65" t="e">
        <f>IF('Prediction Log'!#REF!=0, "",'Prediction Log'!#REF!)</f>
        <v>#REF!</v>
      </c>
      <c r="E443" s="65" t="e">
        <f>IF('Prediction Log'!#REF!=0, "",'Prediction Log'!#REF!)</f>
        <v>#REF!</v>
      </c>
      <c r="F443" s="65" t="e">
        <f>IF('Prediction Log'!#REF!=0, "",'Prediction Log'!#REF!)</f>
        <v>#REF!</v>
      </c>
      <c r="G443" s="64" t="e">
        <f>IF(ISBLANK(Games!#REF!), "",'Prediction Log'!#REF!)</f>
        <v>#REF!</v>
      </c>
      <c r="H443" s="66" t="e">
        <f>'Prediction Log'!#REF!</f>
        <v>#REF!</v>
      </c>
      <c r="I443" s="65" t="e">
        <f>IF(ISBLANK(Games!#REF!), "",IF(AND(Games!#REF!="",Games!#REF!=""),"",IF(ISTEXT(Games!#REF!), "Side",Games!#REF!)))</f>
        <v>#REF!</v>
      </c>
      <c r="J443" s="65" t="e">
        <f>IF(ISBLANK(Games!#REF!), "",IF(Games!#REF!="Y", Games!#REF!, Games!#REF!))</f>
        <v>#REF!</v>
      </c>
      <c r="K443" s="65" t="e">
        <f>Games!#REF!</f>
        <v>#REF!</v>
      </c>
      <c r="L443" s="65" t="e">
        <f>IF(ISBLANK(Games!#REF!), "",Games!#REF!)</f>
        <v>#REF!</v>
      </c>
      <c r="M443" s="65"/>
      <c r="N443" s="167" t="str">
        <f>IF(ISBLANK(Table123[[#This Row],[Odds Side - Difference Model]]), "", 1)</f>
      </c>
      <c r="O443" s="167" t="str">
        <f>IF(ISBLANK(Table123[[#This Row],[Odds Spread]]), "", 1)</f>
      </c>
      <c r="P443" s="67"/>
      <c r="Q443" s="67"/>
      <c r="R4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3" s="67"/>
      <c r="T443" s="67"/>
      <c r="U443" s="168" t="str">
        <f>IF(ISBLANK(Table123[[#This Row],[Odds Side - Difference Model]]), "",N443+IF(Q443&lt;0, (N443/(Q443/-100)), N443*(Q443/100)))</f>
      </c>
      <c r="V443" s="169" t="str">
        <f>IFERROR(IF(ISBLANK(Table123[[#This Row],[Odds Side - Win Probability Model]]), "",N443+IF(R443&lt;0, (N443/(R443/-100)), N443*(R443/100))),"")</f>
      </c>
      <c r="W443" s="168" t="str">
        <f t="shared" si="43"/>
      </c>
      <c r="X443" s="169" t="str">
        <f t="shared" si="44"/>
      </c>
      <c r="Y443" s="168" t="str">
        <f>IF(ISBLANK(Table123[[#This Row],[Odds Spread]]), "",O443+IF(S443&lt;0, (O443/(S443/-100)), O443*(S443/100)))</f>
      </c>
      <c r="Z443" s="168" t="str">
        <f t="shared" si="45"/>
      </c>
      <c r="AA443" s="68" t="n">
        <f t="shared" si="46"/>
        <v>0</v>
      </c>
      <c r="AB443" s="68" t="n">
        <f t="shared" si="47"/>
        <v>0</v>
      </c>
      <c r="AC443" s="170" t="e">
        <f>IF('Prediction Log'!#REF!="Y", "W", IF('Prediction Log'!#REF!="N","L",""))</f>
        <v>#REF!</v>
      </c>
      <c r="AD443" s="171" t="e">
        <f>IF('Prediction Log'!#REF!="Y", "W", IF('Prediction Log'!#REF!="N","L",""))</f>
        <v>#REF!</v>
      </c>
      <c r="AE443" s="172" t="str">
        <f>IF(ISBLANK(Table123[[#This Row],[Odds Side - Difference Model]]), "",IF(AC443="W", W443, IF(AC443="L",-N443, "")))</f>
      </c>
      <c r="AF443" s="173" t="str">
        <f>IFERROR((IF(ISERR(Table123[[#This Row],[Potential Payout Side - Win Probability Model]]), "",IF(AD443="W", X443, IF(AD443="L",-N443, "")))), "")</f>
      </c>
      <c r="AG443" s="170" t="e">
        <f>IF('Prediction Log'!#REF!="Y", "W", IF('Prediction Log'!#REF!="N", "L", ""))</f>
        <v>#REF!</v>
      </c>
      <c r="AH443" s="172" t="str">
        <f>IF(ISBLANK(Table123[[#This Row],[Odds Spread]]), "",IF(AG443="W", Z443, IF(AG443="L",-O443, "")))</f>
      </c>
      <c r="AI443" s="184"/>
      <c r="AJ443" s="183" t="str">
        <f t="shared" si="48"/>
      </c>
      <c r="AK4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4">
      <c r="A444" s="65" t="e">
        <f>Games!#REF!</f>
        <v>#REF!</v>
      </c>
      <c r="B444" s="65" t="e">
        <f>IF('Prediction Log'!#REF!=0, "",'Prediction Log'!#REF!)</f>
        <v>#REF!</v>
      </c>
      <c r="C444" s="65" t="e">
        <f>IF('Prediction Log'!#REF!=0, "",'Prediction Log'!#REF!)</f>
        <v>#REF!</v>
      </c>
      <c r="D444" s="65" t="e">
        <f>IF('Prediction Log'!#REF!=0, "",'Prediction Log'!#REF!)</f>
        <v>#REF!</v>
      </c>
      <c r="E444" s="65" t="e">
        <f>IF('Prediction Log'!#REF!=0, "",'Prediction Log'!#REF!)</f>
        <v>#REF!</v>
      </c>
      <c r="F444" s="65" t="e">
        <f>IF('Prediction Log'!#REF!=0, "",'Prediction Log'!#REF!)</f>
        <v>#REF!</v>
      </c>
      <c r="G444" s="64" t="e">
        <f>IF(ISBLANK(Games!#REF!), "",'Prediction Log'!#REF!)</f>
        <v>#REF!</v>
      </c>
      <c r="H444" s="66" t="e">
        <f>'Prediction Log'!#REF!</f>
        <v>#REF!</v>
      </c>
      <c r="I444" s="65" t="e">
        <f>IF(ISBLANK(Games!#REF!), "",IF(AND(Games!#REF!="",Games!#REF!=""),"",IF(ISTEXT(Games!#REF!), "Side",Games!#REF!)))</f>
        <v>#REF!</v>
      </c>
      <c r="J444" s="65" t="e">
        <f>IF(ISBLANK(Games!#REF!), "",IF(Games!#REF!="Y", Games!#REF!, Games!#REF!))</f>
        <v>#REF!</v>
      </c>
      <c r="K444" s="65" t="e">
        <f>Games!#REF!</f>
        <v>#REF!</v>
      </c>
      <c r="L444" s="65" t="e">
        <f>IF(ISBLANK(Games!#REF!), "",Games!#REF!)</f>
        <v>#REF!</v>
      </c>
      <c r="M444" s="65"/>
      <c r="N444" s="167" t="str">
        <f>IF(ISBLANK(Table123[[#This Row],[Odds Side - Difference Model]]), "", 1)</f>
      </c>
      <c r="O444" s="167" t="str">
        <f>IF(ISBLANK(Table123[[#This Row],[Odds Spread]]), "", 1)</f>
      </c>
      <c r="P444" s="67"/>
      <c r="Q444" s="67"/>
      <c r="R4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4" s="67"/>
      <c r="T444" s="67"/>
      <c r="U444" s="168" t="str">
        <f>IF(ISBLANK(Table123[[#This Row],[Odds Side - Difference Model]]), "",N444+IF(Q444&lt;0, (N444/(Q444/-100)), N444*(Q444/100)))</f>
      </c>
      <c r="V444" s="169" t="str">
        <f>IFERROR(IF(ISBLANK(Table123[[#This Row],[Odds Side - Win Probability Model]]), "",N444+IF(R444&lt;0, (N444/(R444/-100)), N444*(R444/100))),"")</f>
      </c>
      <c r="W444" s="168" t="str">
        <f t="shared" si="43"/>
      </c>
      <c r="X444" s="169" t="str">
        <f t="shared" si="44"/>
      </c>
      <c r="Y444" s="168" t="str">
        <f>IF(ISBLANK(Table123[[#This Row],[Odds Spread]]), "",O444+IF(S444&lt;0, (O444/(S444/-100)), O444*(S444/100)))</f>
      </c>
      <c r="Z444" s="168" t="str">
        <f t="shared" si="45"/>
      </c>
      <c r="AA444" s="68" t="n">
        <f t="shared" si="46"/>
        <v>0</v>
      </c>
      <c r="AB444" s="68" t="n">
        <f t="shared" si="47"/>
        <v>0</v>
      </c>
      <c r="AC444" s="170" t="e">
        <f>IF('Prediction Log'!#REF!="Y", "W", IF('Prediction Log'!#REF!="N","L",""))</f>
        <v>#REF!</v>
      </c>
      <c r="AD444" s="171" t="e">
        <f>IF('Prediction Log'!#REF!="Y", "W", IF('Prediction Log'!#REF!="N","L",""))</f>
        <v>#REF!</v>
      </c>
      <c r="AE444" s="172" t="str">
        <f>IF(ISBLANK(Table123[[#This Row],[Odds Side - Difference Model]]), "",IF(AC444="W", W444, IF(AC444="L",-N444, "")))</f>
      </c>
      <c r="AF444" s="173" t="str">
        <f>IFERROR((IF(ISERR(Table123[[#This Row],[Potential Payout Side - Win Probability Model]]), "",IF(AD444="W", X444, IF(AD444="L",-N444, "")))), "")</f>
      </c>
      <c r="AG444" s="170" t="e">
        <f>IF('Prediction Log'!#REF!="Y", "W", IF('Prediction Log'!#REF!="N", "L", ""))</f>
        <v>#REF!</v>
      </c>
      <c r="AH444" s="172" t="str">
        <f>IF(ISBLANK(Table123[[#This Row],[Odds Spread]]), "",IF(AG444="W", Z444, IF(AG444="L",-O444, "")))</f>
      </c>
      <c r="AI444" s="184"/>
      <c r="AJ444" s="183" t="str">
        <f t="shared" si="48"/>
      </c>
      <c r="AK4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5">
      <c r="A445" s="65" t="e">
        <f>Games!#REF!</f>
        <v>#REF!</v>
      </c>
      <c r="B445" s="65" t="e">
        <f>IF('Prediction Log'!#REF!=0, "",'Prediction Log'!#REF!)</f>
        <v>#REF!</v>
      </c>
      <c r="C445" s="65" t="e">
        <f>IF('Prediction Log'!#REF!=0, "",'Prediction Log'!#REF!)</f>
        <v>#REF!</v>
      </c>
      <c r="D445" s="65" t="e">
        <f>IF('Prediction Log'!#REF!=0, "",'Prediction Log'!#REF!)</f>
        <v>#REF!</v>
      </c>
      <c r="E445" s="65" t="e">
        <f>IF('Prediction Log'!#REF!=0, "",'Prediction Log'!#REF!)</f>
        <v>#REF!</v>
      </c>
      <c r="F445" s="65" t="e">
        <f>IF('Prediction Log'!#REF!=0, "",'Prediction Log'!#REF!)</f>
        <v>#REF!</v>
      </c>
      <c r="G445" s="64" t="e">
        <f>IF(ISBLANK(Games!#REF!), "",'Prediction Log'!#REF!)</f>
        <v>#REF!</v>
      </c>
      <c r="H445" s="66" t="e">
        <f>'Prediction Log'!#REF!</f>
        <v>#REF!</v>
      </c>
      <c r="I445" s="65" t="e">
        <f>IF(ISBLANK(Games!#REF!), "",IF(AND(Games!#REF!="",Games!#REF!=""),"",IF(ISTEXT(Games!#REF!), "Side",Games!#REF!)))</f>
        <v>#REF!</v>
      </c>
      <c r="J445" s="65" t="e">
        <f>IF(ISBLANK(Games!#REF!), "",IF(Games!#REF!="Y", Games!#REF!, Games!#REF!))</f>
        <v>#REF!</v>
      </c>
      <c r="K445" s="65" t="e">
        <f>Games!#REF!</f>
        <v>#REF!</v>
      </c>
      <c r="L445" s="65" t="e">
        <f>IF(ISBLANK(Games!#REF!), "",Games!#REF!)</f>
        <v>#REF!</v>
      </c>
      <c r="M445" s="65"/>
      <c r="N445" s="167" t="str">
        <f>IF(ISBLANK(Table123[[#This Row],[Odds Side - Difference Model]]), "", 1)</f>
      </c>
      <c r="O445" s="167" t="str">
        <f>IF(ISBLANK(Table123[[#This Row],[Odds Spread]]), "", 1)</f>
      </c>
      <c r="P445" s="67"/>
      <c r="Q445" s="67"/>
      <c r="R4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5" s="67"/>
      <c r="T445" s="67"/>
      <c r="U445" s="168" t="str">
        <f>IF(ISBLANK(Table123[[#This Row],[Odds Side - Difference Model]]), "",N445+IF(Q445&lt;0, (N445/(Q445/-100)), N445*(Q445/100)))</f>
      </c>
      <c r="V445" s="169" t="str">
        <f>IFERROR(IF(ISBLANK(Table123[[#This Row],[Odds Side - Win Probability Model]]), "",N445+IF(R445&lt;0, (N445/(R445/-100)), N445*(R445/100))),"")</f>
      </c>
      <c r="W445" s="168" t="str">
        <f t="shared" si="43"/>
      </c>
      <c r="X445" s="169" t="str">
        <f t="shared" si="44"/>
      </c>
      <c r="Y445" s="168" t="str">
        <f>IF(ISBLANK(Table123[[#This Row],[Odds Spread]]), "",O445+IF(S445&lt;0, (O445/(S445/-100)), O445*(S445/100)))</f>
      </c>
      <c r="Z445" s="168" t="str">
        <f t="shared" si="45"/>
      </c>
      <c r="AA445" s="68" t="n">
        <f t="shared" si="46"/>
        <v>0</v>
      </c>
      <c r="AB445" s="68" t="n">
        <f t="shared" si="47"/>
        <v>0</v>
      </c>
      <c r="AC445" s="170" t="e">
        <f>IF('Prediction Log'!#REF!="Y", "W", IF('Prediction Log'!#REF!="N","L",""))</f>
        <v>#REF!</v>
      </c>
      <c r="AD445" s="171" t="e">
        <f>IF('Prediction Log'!#REF!="Y", "W", IF('Prediction Log'!#REF!="N","L",""))</f>
        <v>#REF!</v>
      </c>
      <c r="AE445" s="172" t="str">
        <f>IF(ISBLANK(Table123[[#This Row],[Odds Side - Difference Model]]), "",IF(AC445="W", W445, IF(AC445="L",-N445, "")))</f>
      </c>
      <c r="AF445" s="173" t="str">
        <f>IFERROR((IF(ISERR(Table123[[#This Row],[Potential Payout Side - Win Probability Model]]), "",IF(AD445="W", X445, IF(AD445="L",-N445, "")))), "")</f>
      </c>
      <c r="AG445" s="170" t="e">
        <f>IF('Prediction Log'!#REF!="Y", "W", IF('Prediction Log'!#REF!="N", "L", ""))</f>
        <v>#REF!</v>
      </c>
      <c r="AH445" s="172" t="str">
        <f>IF(ISBLANK(Table123[[#This Row],[Odds Spread]]), "",IF(AG445="W", Z445, IF(AG445="L",-O445, "")))</f>
      </c>
      <c r="AI445" s="184"/>
      <c r="AJ445" s="183" t="str">
        <f t="shared" si="48"/>
      </c>
      <c r="AK4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6">
      <c r="A446" s="65" t="e">
        <f>Games!#REF!</f>
        <v>#REF!</v>
      </c>
      <c r="B446" s="65" t="e">
        <f>IF('Prediction Log'!#REF!=0, "",'Prediction Log'!#REF!)</f>
        <v>#REF!</v>
      </c>
      <c r="C446" s="65" t="e">
        <f>IF('Prediction Log'!#REF!=0, "",'Prediction Log'!#REF!)</f>
        <v>#REF!</v>
      </c>
      <c r="D446" s="65" t="e">
        <f>IF('Prediction Log'!#REF!=0, "",'Prediction Log'!#REF!)</f>
        <v>#REF!</v>
      </c>
      <c r="E446" s="65" t="e">
        <f>IF('Prediction Log'!#REF!=0, "",'Prediction Log'!#REF!)</f>
        <v>#REF!</v>
      </c>
      <c r="F446" s="65" t="e">
        <f>IF('Prediction Log'!#REF!=0, "",'Prediction Log'!#REF!)</f>
        <v>#REF!</v>
      </c>
      <c r="G446" s="64" t="e">
        <f>IF(ISBLANK(Games!#REF!), "",'Prediction Log'!#REF!)</f>
        <v>#REF!</v>
      </c>
      <c r="H446" s="66" t="e">
        <f>'Prediction Log'!#REF!</f>
        <v>#REF!</v>
      </c>
      <c r="I446" s="65" t="e">
        <f>IF(ISBLANK(Games!#REF!), "",IF(AND(Games!#REF!="",Games!#REF!=""),"",IF(ISTEXT(Games!#REF!), "Side",Games!#REF!)))</f>
        <v>#REF!</v>
      </c>
      <c r="J446" s="65" t="e">
        <f>IF(ISBLANK(Games!#REF!), "",IF(Games!#REF!="Y", Games!#REF!, Games!#REF!))</f>
        <v>#REF!</v>
      </c>
      <c r="K446" s="65" t="e">
        <f>Games!#REF!</f>
        <v>#REF!</v>
      </c>
      <c r="L446" s="65" t="e">
        <f>IF(ISBLANK(Games!#REF!), "",Games!#REF!)</f>
        <v>#REF!</v>
      </c>
      <c r="M446" s="65"/>
      <c r="N446" s="167" t="str">
        <f>IF(ISBLANK(Table123[[#This Row],[Odds Side - Difference Model]]), "", 1)</f>
      </c>
      <c r="O446" s="167" t="str">
        <f>IF(ISBLANK(Table123[[#This Row],[Odds Spread]]), "", 1)</f>
      </c>
      <c r="P446" s="67"/>
      <c r="Q446" s="67"/>
      <c r="R4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6" s="67"/>
      <c r="T446" s="67"/>
      <c r="U446" s="168" t="str">
        <f>IF(ISBLANK(Table123[[#This Row],[Odds Side - Difference Model]]), "",N446+IF(Q446&lt;0, (N446/(Q446/-100)), N446*(Q446/100)))</f>
      </c>
      <c r="V446" s="169" t="str">
        <f>IFERROR(IF(ISBLANK(Table123[[#This Row],[Odds Side - Win Probability Model]]), "",N446+IF(R446&lt;0, (N446/(R446/-100)), N446*(R446/100))),"")</f>
      </c>
      <c r="W446" s="168" t="str">
        <f t="shared" si="43"/>
      </c>
      <c r="X446" s="169" t="str">
        <f t="shared" si="44"/>
      </c>
      <c r="Y446" s="168" t="str">
        <f>IF(ISBLANK(Table123[[#This Row],[Odds Spread]]), "",O446+IF(S446&lt;0, (O446/(S446/-100)), O446*(S446/100)))</f>
      </c>
      <c r="Z446" s="168" t="str">
        <f t="shared" si="45"/>
      </c>
      <c r="AA446" s="68" t="n">
        <f t="shared" si="46"/>
        <v>0</v>
      </c>
      <c r="AB446" s="68" t="n">
        <f t="shared" si="47"/>
        <v>0</v>
      </c>
      <c r="AC446" s="170" t="e">
        <f>IF('Prediction Log'!#REF!="Y", "W", IF('Prediction Log'!#REF!="N","L",""))</f>
        <v>#REF!</v>
      </c>
      <c r="AD446" s="171" t="e">
        <f>IF('Prediction Log'!#REF!="Y", "W", IF('Prediction Log'!#REF!="N","L",""))</f>
        <v>#REF!</v>
      </c>
      <c r="AE446" s="172" t="str">
        <f>IF(ISBLANK(Table123[[#This Row],[Odds Side - Difference Model]]), "",IF(AC446="W", W446, IF(AC446="L",-N446, "")))</f>
      </c>
      <c r="AF446" s="173" t="str">
        <f>IFERROR((IF(ISERR(Table123[[#This Row],[Potential Payout Side - Win Probability Model]]), "",IF(AD446="W", X446, IF(AD446="L",-N446, "")))), "")</f>
      </c>
      <c r="AG446" s="170" t="e">
        <f>IF('Prediction Log'!#REF!="Y", "W", IF('Prediction Log'!#REF!="N", "L", ""))</f>
        <v>#REF!</v>
      </c>
      <c r="AH446" s="172" t="str">
        <f>IF(ISBLANK(Table123[[#This Row],[Odds Spread]]), "",IF(AG446="W", Z446, IF(AG446="L",-O446, "")))</f>
      </c>
      <c r="AI446" s="184"/>
      <c r="AJ446" s="183" t="str">
        <f t="shared" si="48"/>
      </c>
      <c r="AK4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7">
      <c r="A447" s="65" t="e">
        <f>Games!#REF!</f>
        <v>#REF!</v>
      </c>
      <c r="B447" s="65" t="e">
        <f>IF('Prediction Log'!#REF!=0, "",'Prediction Log'!#REF!)</f>
        <v>#REF!</v>
      </c>
      <c r="C447" s="65" t="e">
        <f>IF('Prediction Log'!#REF!=0, "",'Prediction Log'!#REF!)</f>
        <v>#REF!</v>
      </c>
      <c r="D447" s="65" t="e">
        <f>IF('Prediction Log'!#REF!=0, "",'Prediction Log'!#REF!)</f>
        <v>#REF!</v>
      </c>
      <c r="E447" s="65" t="e">
        <f>IF('Prediction Log'!#REF!=0, "",'Prediction Log'!#REF!)</f>
        <v>#REF!</v>
      </c>
      <c r="F447" s="65" t="e">
        <f>IF('Prediction Log'!#REF!=0, "",'Prediction Log'!#REF!)</f>
        <v>#REF!</v>
      </c>
      <c r="G447" s="64" t="e">
        <f>IF(ISBLANK(Games!#REF!), "",'Prediction Log'!#REF!)</f>
        <v>#REF!</v>
      </c>
      <c r="H447" s="66" t="e">
        <f>'Prediction Log'!#REF!</f>
        <v>#REF!</v>
      </c>
      <c r="I447" s="65" t="e">
        <f>IF(ISBLANK(Games!#REF!), "",IF(AND(Games!#REF!="",Games!#REF!=""),"",IF(ISTEXT(Games!#REF!), "Side",Games!#REF!)))</f>
        <v>#REF!</v>
      </c>
      <c r="J447" s="65" t="e">
        <f>IF(ISBLANK(Games!#REF!), "",IF(Games!#REF!="Y", Games!#REF!, Games!#REF!))</f>
        <v>#REF!</v>
      </c>
      <c r="K447" s="65" t="e">
        <f>Games!#REF!</f>
        <v>#REF!</v>
      </c>
      <c r="L447" s="65" t="e">
        <f>IF(ISBLANK(Games!#REF!), "",Games!#REF!)</f>
        <v>#REF!</v>
      </c>
      <c r="M447" s="65"/>
      <c r="N447" s="167" t="str">
        <f>IF(ISBLANK(Table123[[#This Row],[Odds Side - Difference Model]]), "", 1)</f>
      </c>
      <c r="O447" s="167" t="str">
        <f>IF(ISBLANK(Table123[[#This Row],[Odds Spread]]), "", 1)</f>
      </c>
      <c r="P447" s="67"/>
      <c r="Q447" s="67"/>
      <c r="R4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7" s="67"/>
      <c r="T447" s="67"/>
      <c r="U447" s="168" t="str">
        <f>IF(ISBLANK(Table123[[#This Row],[Odds Side - Difference Model]]), "",N447+IF(Q447&lt;0, (N447/(Q447/-100)), N447*(Q447/100)))</f>
      </c>
      <c r="V447" s="169" t="str">
        <f>IFERROR(IF(ISBLANK(Table123[[#This Row],[Odds Side - Win Probability Model]]), "",N447+IF(R447&lt;0, (N447/(R447/-100)), N447*(R447/100))),"")</f>
      </c>
      <c r="W447" s="168" t="str">
        <f t="shared" si="43"/>
      </c>
      <c r="X447" s="169" t="str">
        <f t="shared" si="44"/>
      </c>
      <c r="Y447" s="168" t="str">
        <f>IF(ISBLANK(Table123[[#This Row],[Odds Spread]]), "",O447+IF(S447&lt;0, (O447/(S447/-100)), O447*(S447/100)))</f>
      </c>
      <c r="Z447" s="168" t="str">
        <f t="shared" si="45"/>
      </c>
      <c r="AA447" s="68" t="n">
        <f t="shared" si="46"/>
        <v>0</v>
      </c>
      <c r="AB447" s="68" t="n">
        <f t="shared" si="47"/>
        <v>0</v>
      </c>
      <c r="AC447" s="170" t="e">
        <f>IF('Prediction Log'!#REF!="Y", "W", IF('Prediction Log'!#REF!="N","L",""))</f>
        <v>#REF!</v>
      </c>
      <c r="AD447" s="171" t="e">
        <f>IF('Prediction Log'!#REF!="Y", "W", IF('Prediction Log'!#REF!="N","L",""))</f>
        <v>#REF!</v>
      </c>
      <c r="AE447" s="172" t="str">
        <f>IF(ISBLANK(Table123[[#This Row],[Odds Side - Difference Model]]), "",IF(AC447="W", W447, IF(AC447="L",-N447, "")))</f>
      </c>
      <c r="AF447" s="173" t="str">
        <f>IFERROR((IF(ISERR(Table123[[#This Row],[Potential Payout Side - Win Probability Model]]), "",IF(AD447="W", X447, IF(AD447="L",-N447, "")))), "")</f>
      </c>
      <c r="AG447" s="170" t="e">
        <f>IF('Prediction Log'!#REF!="Y", "W", IF('Prediction Log'!#REF!="N", "L", ""))</f>
        <v>#REF!</v>
      </c>
      <c r="AH447" s="172" t="str">
        <f>IF(ISBLANK(Table123[[#This Row],[Odds Spread]]), "",IF(AG447="W", Z447, IF(AG447="L",-O447, "")))</f>
      </c>
      <c r="AI447" s="184"/>
      <c r="AJ447" s="183" t="str">
        <f t="shared" si="48"/>
      </c>
      <c r="AK4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8">
      <c r="A448" s="65" t="e">
        <f>Games!#REF!</f>
        <v>#REF!</v>
      </c>
      <c r="B448" s="65" t="e">
        <f>IF('Prediction Log'!#REF!=0, "",'Prediction Log'!#REF!)</f>
        <v>#REF!</v>
      </c>
      <c r="C448" s="65" t="e">
        <f>IF('Prediction Log'!#REF!=0, "",'Prediction Log'!#REF!)</f>
        <v>#REF!</v>
      </c>
      <c r="D448" s="65" t="e">
        <f>IF('Prediction Log'!#REF!=0, "",'Prediction Log'!#REF!)</f>
        <v>#REF!</v>
      </c>
      <c r="E448" s="65" t="e">
        <f>IF('Prediction Log'!#REF!=0, "",'Prediction Log'!#REF!)</f>
        <v>#REF!</v>
      </c>
      <c r="F448" s="65" t="e">
        <f>IF('Prediction Log'!#REF!=0, "",'Prediction Log'!#REF!)</f>
        <v>#REF!</v>
      </c>
      <c r="G448" s="64" t="e">
        <f>IF(ISBLANK(Games!#REF!), "",'Prediction Log'!#REF!)</f>
        <v>#REF!</v>
      </c>
      <c r="H448" s="66" t="e">
        <f>'Prediction Log'!#REF!</f>
        <v>#REF!</v>
      </c>
      <c r="I448" s="65" t="e">
        <f>IF(ISBLANK(Games!#REF!), "",IF(AND(Games!#REF!="",Games!#REF!=""),"",IF(ISTEXT(Games!#REF!), "Side",Games!#REF!)))</f>
        <v>#REF!</v>
      </c>
      <c r="J448" s="65" t="e">
        <f>IF(ISBLANK(Games!#REF!), "",IF(Games!#REF!="Y", Games!#REF!, Games!#REF!))</f>
        <v>#REF!</v>
      </c>
      <c r="K448" s="65" t="e">
        <f>Games!#REF!</f>
        <v>#REF!</v>
      </c>
      <c r="L448" s="65" t="e">
        <f>IF(ISBLANK(Games!#REF!), "",Games!#REF!)</f>
        <v>#REF!</v>
      </c>
      <c r="M448" s="65"/>
      <c r="N448" s="167" t="str">
        <f>IF(ISBLANK(Table123[[#This Row],[Odds Side - Difference Model]]), "", 1)</f>
      </c>
      <c r="O448" s="167" t="str">
        <f>IF(ISBLANK(Table123[[#This Row],[Odds Spread]]), "", 1)</f>
      </c>
      <c r="P448" s="67"/>
      <c r="Q448" s="67"/>
      <c r="R4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8" s="67"/>
      <c r="T448" s="67"/>
      <c r="U448" s="168" t="str">
        <f>IF(ISBLANK(Table123[[#This Row],[Odds Side - Difference Model]]), "",N448+IF(Q448&lt;0, (N448/(Q448/-100)), N448*(Q448/100)))</f>
      </c>
      <c r="V448" s="169" t="str">
        <f>IFERROR(IF(ISBLANK(Table123[[#This Row],[Odds Side - Win Probability Model]]), "",N448+IF(R448&lt;0, (N448/(R448/-100)), N448*(R448/100))),"")</f>
      </c>
      <c r="W448" s="168" t="str">
        <f t="shared" si="43"/>
      </c>
      <c r="X448" s="169" t="str">
        <f t="shared" si="44"/>
      </c>
      <c r="Y448" s="168" t="str">
        <f>IF(ISBLANK(Table123[[#This Row],[Odds Spread]]), "",O448+IF(S448&lt;0, (O448/(S448/-100)), O448*(S448/100)))</f>
      </c>
      <c r="Z448" s="168" t="str">
        <f t="shared" si="45"/>
      </c>
      <c r="AA448" s="68" t="n">
        <f t="shared" si="46"/>
        <v>0</v>
      </c>
      <c r="AB448" s="68" t="n">
        <f t="shared" si="47"/>
        <v>0</v>
      </c>
      <c r="AC448" s="170" t="e">
        <f>IF('Prediction Log'!#REF!="Y", "W", IF('Prediction Log'!#REF!="N","L",""))</f>
        <v>#REF!</v>
      </c>
      <c r="AD448" s="171" t="e">
        <f>IF('Prediction Log'!#REF!="Y", "W", IF('Prediction Log'!#REF!="N","L",""))</f>
        <v>#REF!</v>
      </c>
      <c r="AE448" s="172" t="str">
        <f>IF(ISBLANK(Table123[[#This Row],[Odds Side - Difference Model]]), "",IF(AC448="W", W448, IF(AC448="L",-N448, "")))</f>
      </c>
      <c r="AF448" s="173" t="str">
        <f>IFERROR((IF(ISERR(Table123[[#This Row],[Potential Payout Side - Win Probability Model]]), "",IF(AD448="W", X448, IF(AD448="L",-N448, "")))), "")</f>
      </c>
      <c r="AG448" s="170" t="e">
        <f>IF('Prediction Log'!#REF!="Y", "W", IF('Prediction Log'!#REF!="N", "L", ""))</f>
        <v>#REF!</v>
      </c>
      <c r="AH448" s="172" t="str">
        <f>IF(ISBLANK(Table123[[#This Row],[Odds Spread]]), "",IF(AG448="W", Z448, IF(AG448="L",-O448, "")))</f>
      </c>
      <c r="AI448" s="184"/>
      <c r="AJ448" s="183" t="str">
        <f t="shared" si="48"/>
      </c>
      <c r="AK4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9">
      <c r="A449" s="65" t="e">
        <f>Games!#REF!</f>
        <v>#REF!</v>
      </c>
      <c r="B449" s="65" t="e">
        <f>IF('Prediction Log'!#REF!=0, "",'Prediction Log'!#REF!)</f>
        <v>#REF!</v>
      </c>
      <c r="C449" s="65" t="e">
        <f>IF('Prediction Log'!#REF!=0, "",'Prediction Log'!#REF!)</f>
        <v>#REF!</v>
      </c>
      <c r="D449" s="65" t="e">
        <f>IF('Prediction Log'!#REF!=0, "",'Prediction Log'!#REF!)</f>
        <v>#REF!</v>
      </c>
      <c r="E449" s="65" t="e">
        <f>IF('Prediction Log'!#REF!=0, "",'Prediction Log'!#REF!)</f>
        <v>#REF!</v>
      </c>
      <c r="F449" s="65" t="e">
        <f>IF('Prediction Log'!#REF!=0, "",'Prediction Log'!#REF!)</f>
        <v>#REF!</v>
      </c>
      <c r="G449" s="64" t="e">
        <f>IF(ISBLANK(Games!#REF!), "",'Prediction Log'!#REF!)</f>
        <v>#REF!</v>
      </c>
      <c r="H449" s="66" t="e">
        <f>'Prediction Log'!#REF!</f>
        <v>#REF!</v>
      </c>
      <c r="I449" s="65" t="e">
        <f>IF(ISBLANK(Games!#REF!), "",IF(AND(Games!#REF!="",Games!#REF!=""),"",IF(ISTEXT(Games!#REF!), "Side",Games!#REF!)))</f>
        <v>#REF!</v>
      </c>
      <c r="J449" s="65" t="e">
        <f>IF(ISBLANK(Games!#REF!), "",IF(Games!#REF!="Y", Games!#REF!, Games!#REF!))</f>
        <v>#REF!</v>
      </c>
      <c r="K449" s="65" t="e">
        <f>Games!#REF!</f>
        <v>#REF!</v>
      </c>
      <c r="L449" s="65" t="e">
        <f>IF(ISBLANK(Games!#REF!), "",Games!#REF!)</f>
        <v>#REF!</v>
      </c>
      <c r="M449" s="65"/>
      <c r="N449" s="167" t="str">
        <f>IF(ISBLANK(Table123[[#This Row],[Odds Side - Difference Model]]), "", 1)</f>
      </c>
      <c r="O449" s="167" t="str">
        <f>IF(ISBLANK(Table123[[#This Row],[Odds Spread]]), "", 1)</f>
      </c>
      <c r="P449" s="67"/>
      <c r="Q449" s="67"/>
      <c r="R4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9" s="67"/>
      <c r="T449" s="67"/>
      <c r="U449" s="168" t="str">
        <f>IF(ISBLANK(Table123[[#This Row],[Odds Side - Difference Model]]), "",N449+IF(Q449&lt;0, (N449/(Q449/-100)), N449*(Q449/100)))</f>
      </c>
      <c r="V449" s="169" t="str">
        <f>IFERROR(IF(ISBLANK(Table123[[#This Row],[Odds Side - Win Probability Model]]), "",N449+IF(R449&lt;0, (N449/(R449/-100)), N449*(R449/100))),"")</f>
      </c>
      <c r="W449" s="168" t="str">
        <f t="shared" si="43"/>
      </c>
      <c r="X449" s="169" t="str">
        <f t="shared" si="44"/>
      </c>
      <c r="Y449" s="168" t="str">
        <f>IF(ISBLANK(Table123[[#This Row],[Odds Spread]]), "",O449+IF(S449&lt;0, (O449/(S449/-100)), O449*(S449/100)))</f>
      </c>
      <c r="Z449" s="168" t="str">
        <f t="shared" si="45"/>
      </c>
      <c r="AA449" s="68" t="n">
        <f t="shared" si="46"/>
        <v>0</v>
      </c>
      <c r="AB449" s="68" t="n">
        <f t="shared" si="47"/>
        <v>0</v>
      </c>
      <c r="AC449" s="170" t="e">
        <f>IF('Prediction Log'!#REF!="Y", "W", IF('Prediction Log'!#REF!="N","L",""))</f>
        <v>#REF!</v>
      </c>
      <c r="AD449" s="171" t="e">
        <f>IF('Prediction Log'!#REF!="Y", "W", IF('Prediction Log'!#REF!="N","L",""))</f>
        <v>#REF!</v>
      </c>
      <c r="AE449" s="172" t="str">
        <f>IF(ISBLANK(Table123[[#This Row],[Odds Side - Difference Model]]), "",IF(AC449="W", W449, IF(AC449="L",-N449, "")))</f>
      </c>
      <c r="AF449" s="173" t="str">
        <f>IFERROR((IF(ISERR(Table123[[#This Row],[Potential Payout Side - Win Probability Model]]), "",IF(AD449="W", X449, IF(AD449="L",-N449, "")))), "")</f>
      </c>
      <c r="AG449" s="170" t="e">
        <f>IF('Prediction Log'!#REF!="Y", "W", IF('Prediction Log'!#REF!="N", "L", ""))</f>
        <v>#REF!</v>
      </c>
      <c r="AH449" s="172" t="str">
        <f>IF(ISBLANK(Table123[[#This Row],[Odds Spread]]), "",IF(AG449="W", Z449, IF(AG449="L",-O449, "")))</f>
      </c>
      <c r="AI449" s="184"/>
      <c r="AJ449" s="183" t="str">
        <f t="shared" si="48"/>
      </c>
      <c r="AK4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0">
      <c r="A450" s="65" t="e">
        <f>Games!#REF!</f>
        <v>#REF!</v>
      </c>
      <c r="B450" s="65" t="e">
        <f>IF('Prediction Log'!#REF!=0, "",'Prediction Log'!#REF!)</f>
        <v>#REF!</v>
      </c>
      <c r="C450" s="65" t="e">
        <f>IF('Prediction Log'!#REF!=0, "",'Prediction Log'!#REF!)</f>
        <v>#REF!</v>
      </c>
      <c r="D450" s="65" t="e">
        <f>IF('Prediction Log'!#REF!=0, "",'Prediction Log'!#REF!)</f>
        <v>#REF!</v>
      </c>
      <c r="E450" s="65" t="e">
        <f>IF('Prediction Log'!#REF!=0, "",'Prediction Log'!#REF!)</f>
        <v>#REF!</v>
      </c>
      <c r="F450" s="65" t="e">
        <f>IF('Prediction Log'!#REF!=0, "",'Prediction Log'!#REF!)</f>
        <v>#REF!</v>
      </c>
      <c r="G450" s="64" t="e">
        <f>IF(ISBLANK(Games!#REF!), "",'Prediction Log'!#REF!)</f>
        <v>#REF!</v>
      </c>
      <c r="H450" s="66" t="e">
        <f>'Prediction Log'!#REF!</f>
        <v>#REF!</v>
      </c>
      <c r="I450" s="65" t="e">
        <f>IF(ISBLANK(Games!#REF!), "",IF(AND(Games!#REF!="",Games!#REF!=""),"",IF(ISTEXT(Games!#REF!), "Side",Games!#REF!)))</f>
        <v>#REF!</v>
      </c>
      <c r="J450" s="65" t="e">
        <f>IF(ISBLANK(Games!#REF!), "",IF(Games!#REF!="Y", Games!#REF!, Games!#REF!))</f>
        <v>#REF!</v>
      </c>
      <c r="K450" s="65" t="e">
        <f>Games!#REF!</f>
        <v>#REF!</v>
      </c>
      <c r="L450" s="65" t="e">
        <f>IF(ISBLANK(Games!#REF!), "",Games!#REF!)</f>
        <v>#REF!</v>
      </c>
      <c r="M450" s="65"/>
      <c r="N450" s="167" t="str">
        <f>IF(ISBLANK(Table123[[#This Row],[Odds Side - Difference Model]]), "", 1)</f>
      </c>
      <c r="O450" s="167" t="str">
        <f>IF(ISBLANK(Table123[[#This Row],[Odds Spread]]), "", 1)</f>
      </c>
      <c r="P450" s="67"/>
      <c r="Q450" s="67"/>
      <c r="R4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0" s="67"/>
      <c r="T450" s="67"/>
      <c r="U450" s="168" t="str">
        <f>IF(ISBLANK(Table123[[#This Row],[Odds Side - Difference Model]]), "",N450+IF(Q450&lt;0, (N450/(Q450/-100)), N450*(Q450/100)))</f>
      </c>
      <c r="V450" s="169" t="str">
        <f>IFERROR(IF(ISBLANK(Table123[[#This Row],[Odds Side - Win Probability Model]]), "",N450+IF(R450&lt;0, (N450/(R450/-100)), N450*(R450/100))),"")</f>
      </c>
      <c r="W450" s="168" t="str">
        <f t="shared" si="43"/>
      </c>
      <c r="X450" s="169" t="str">
        <f t="shared" si="44"/>
      </c>
      <c r="Y450" s="168" t="str">
        <f>IF(ISBLANK(Table123[[#This Row],[Odds Spread]]), "",O450+IF(S450&lt;0, (O450/(S450/-100)), O450*(S450/100)))</f>
      </c>
      <c r="Z450" s="168" t="str">
        <f t="shared" si="45"/>
      </c>
      <c r="AA450" s="68" t="n">
        <f t="shared" si="46"/>
        <v>0</v>
      </c>
      <c r="AB450" s="68" t="n">
        <f t="shared" si="47"/>
        <v>0</v>
      </c>
      <c r="AC450" s="170" t="e">
        <f>IF('Prediction Log'!#REF!="Y", "W", IF('Prediction Log'!#REF!="N","L",""))</f>
        <v>#REF!</v>
      </c>
      <c r="AD450" s="171" t="e">
        <f>IF('Prediction Log'!#REF!="Y", "W", IF('Prediction Log'!#REF!="N","L",""))</f>
        <v>#REF!</v>
      </c>
      <c r="AE450" s="172" t="str">
        <f>IF(ISBLANK(Table123[[#This Row],[Odds Side - Difference Model]]), "",IF(AC450="W", W450, IF(AC450="L",-N450, "")))</f>
      </c>
      <c r="AF450" s="173" t="str">
        <f>IFERROR((IF(ISERR(Table123[[#This Row],[Potential Payout Side - Win Probability Model]]), "",IF(AD450="W", X450, IF(AD450="L",-N450, "")))), "")</f>
      </c>
      <c r="AG450" s="170" t="e">
        <f>IF('Prediction Log'!#REF!="Y", "W", IF('Prediction Log'!#REF!="N", "L", ""))</f>
        <v>#REF!</v>
      </c>
      <c r="AH450" s="172" t="str">
        <f>IF(ISBLANK(Table123[[#This Row],[Odds Spread]]), "",IF(AG450="W", Z450, IF(AG450="L",-O450, "")))</f>
      </c>
      <c r="AI450" s="184"/>
      <c r="AJ450" s="183" t="str">
        <f t="shared" si="48"/>
      </c>
      <c r="AK4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1">
      <c r="A451" s="65" t="e">
        <f>Games!#REF!</f>
        <v>#REF!</v>
      </c>
      <c r="B451" s="65" t="e">
        <f>IF('Prediction Log'!#REF!=0, "",'Prediction Log'!#REF!)</f>
        <v>#REF!</v>
      </c>
      <c r="C451" s="65" t="e">
        <f>IF('Prediction Log'!#REF!=0, "",'Prediction Log'!#REF!)</f>
        <v>#REF!</v>
      </c>
      <c r="D451" s="65" t="e">
        <f>IF('Prediction Log'!#REF!=0, "",'Prediction Log'!#REF!)</f>
        <v>#REF!</v>
      </c>
      <c r="E451" s="65" t="e">
        <f>IF('Prediction Log'!#REF!=0, "",'Prediction Log'!#REF!)</f>
        <v>#REF!</v>
      </c>
      <c r="F451" s="65" t="e">
        <f>IF('Prediction Log'!#REF!=0, "",'Prediction Log'!#REF!)</f>
        <v>#REF!</v>
      </c>
      <c r="G451" s="64" t="e">
        <f>IF(ISBLANK(Games!#REF!), "",'Prediction Log'!#REF!)</f>
        <v>#REF!</v>
      </c>
      <c r="H451" s="66" t="e">
        <f>'Prediction Log'!#REF!</f>
        <v>#REF!</v>
      </c>
      <c r="I451" s="65" t="e">
        <f>IF(ISBLANK(Games!#REF!), "",IF(AND(Games!#REF!="",Games!#REF!=""),"",IF(ISTEXT(Games!#REF!), "Side",Games!#REF!)))</f>
        <v>#REF!</v>
      </c>
      <c r="J451" s="65" t="e">
        <f>IF(ISBLANK(Games!#REF!), "",IF(Games!#REF!="Y", Games!#REF!, Games!#REF!))</f>
        <v>#REF!</v>
      </c>
      <c r="K451" s="65" t="e">
        <f>Games!#REF!</f>
        <v>#REF!</v>
      </c>
      <c r="L451" s="65" t="e">
        <f>IF(ISBLANK(Games!#REF!), "",Games!#REF!)</f>
        <v>#REF!</v>
      </c>
      <c r="M451" s="65"/>
      <c r="N451" s="167" t="str">
        <f>IF(ISBLANK(Table123[[#This Row],[Odds Side - Difference Model]]), "", 1)</f>
      </c>
      <c r="O451" s="167" t="str">
        <f>IF(ISBLANK(Table123[[#This Row],[Odds Spread]]), "", 1)</f>
      </c>
      <c r="P451" s="67"/>
      <c r="Q451" s="67"/>
      <c r="R4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1" s="67"/>
      <c r="T451" s="67"/>
      <c r="U451" s="168" t="str">
        <f>IF(ISBLANK(Table123[[#This Row],[Odds Side - Difference Model]]), "",N451+IF(Q451&lt;0, (N451/(Q451/-100)), N451*(Q451/100)))</f>
      </c>
      <c r="V451" s="169" t="str">
        <f>IFERROR(IF(ISBLANK(Table123[[#This Row],[Odds Side - Win Probability Model]]), "",N451+IF(R451&lt;0, (N451/(R451/-100)), N451*(R451/100))),"")</f>
      </c>
      <c r="W451" s="168" t="str">
        <f t="shared" ref="W451:W514" si="49">IFERROR(U451-N451, "")</f>
      </c>
      <c r="X451" s="169" t="str">
        <f t="shared" ref="X451:X514" si="50">IFERROR(V451-N451, "")</f>
      </c>
      <c r="Y451" s="168" t="str">
        <f>IF(ISBLANK(Table123[[#This Row],[Odds Spread]]), "",O451+IF(S451&lt;0, (O451/(S451/-100)), O451*(S451/100)))</f>
      </c>
      <c r="Z451" s="168" t="str">
        <f t="shared" ref="Z451:Z514" si="51">IFERROR(Y451-O451, "")</f>
      </c>
      <c r="AA451" s="68" t="n">
        <f t="shared" ref="AA451:AA514" si="52">P451+IF(T451&lt;0, (P451/(T451/-100)), P451*(T451/100))</f>
        <v>0</v>
      </c>
      <c r="AB451" s="68" t="n">
        <f t="shared" ref="AB451:AB514" si="53">T451-P451</f>
        <v>0</v>
      </c>
      <c r="AC451" s="170" t="e">
        <f>IF('Prediction Log'!#REF!="Y", "W", IF('Prediction Log'!#REF!="N","L",""))</f>
        <v>#REF!</v>
      </c>
      <c r="AD451" s="171" t="e">
        <f>IF('Prediction Log'!#REF!="Y", "W", IF('Prediction Log'!#REF!="N","L",""))</f>
        <v>#REF!</v>
      </c>
      <c r="AE451" s="172" t="str">
        <f>IF(ISBLANK(Table123[[#This Row],[Odds Side - Difference Model]]), "",IF(AC451="W", W451, IF(AC451="L",-N451, "")))</f>
      </c>
      <c r="AF451" s="173" t="str">
        <f>IFERROR((IF(ISERR(Table123[[#This Row],[Potential Payout Side - Win Probability Model]]), "",IF(AD451="W", X451, IF(AD451="L",-N451, "")))), "")</f>
      </c>
      <c r="AG451" s="170" t="e">
        <f>IF('Prediction Log'!#REF!="Y", "W", IF('Prediction Log'!#REF!="N", "L", ""))</f>
        <v>#REF!</v>
      </c>
      <c r="AH451" s="172" t="str">
        <f>IF(ISBLANK(Table123[[#This Row],[Odds Spread]]), "",IF(AG451="W", Z451, IF(AG451="L",-O451, "")))</f>
      </c>
      <c r="AI451" s="184"/>
      <c r="AJ451" s="183" t="str">
        <f t="shared" ref="AJ451:AJ514" si="54">IF(AI451="W", AB451, IF(AI451="L",-S451, ""))</f>
      </c>
      <c r="AK4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2">
      <c r="A452" s="65" t="e">
        <f>Games!#REF!</f>
        <v>#REF!</v>
      </c>
      <c r="B452" s="65" t="e">
        <f>IF('Prediction Log'!#REF!=0, "",'Prediction Log'!#REF!)</f>
        <v>#REF!</v>
      </c>
      <c r="C452" s="65" t="e">
        <f>IF('Prediction Log'!#REF!=0, "",'Prediction Log'!#REF!)</f>
        <v>#REF!</v>
      </c>
      <c r="D452" s="65" t="e">
        <f>IF('Prediction Log'!#REF!=0, "",'Prediction Log'!#REF!)</f>
        <v>#REF!</v>
      </c>
      <c r="E452" s="65" t="e">
        <f>IF('Prediction Log'!#REF!=0, "",'Prediction Log'!#REF!)</f>
        <v>#REF!</v>
      </c>
      <c r="F452" s="65" t="e">
        <f>IF('Prediction Log'!#REF!=0, "",'Prediction Log'!#REF!)</f>
        <v>#REF!</v>
      </c>
      <c r="G452" s="64" t="e">
        <f>IF(ISBLANK(Games!#REF!), "",'Prediction Log'!#REF!)</f>
        <v>#REF!</v>
      </c>
      <c r="H452" s="66" t="e">
        <f>'Prediction Log'!#REF!</f>
        <v>#REF!</v>
      </c>
      <c r="I452" s="65" t="e">
        <f>IF(ISBLANK(Games!#REF!), "",IF(AND(Games!#REF!="",Games!#REF!=""),"",IF(ISTEXT(Games!#REF!), "Side",Games!#REF!)))</f>
        <v>#REF!</v>
      </c>
      <c r="J452" s="65" t="e">
        <f>IF(ISBLANK(Games!#REF!), "",IF(Games!#REF!="Y", Games!#REF!, Games!#REF!))</f>
        <v>#REF!</v>
      </c>
      <c r="K452" s="65" t="e">
        <f>Games!#REF!</f>
        <v>#REF!</v>
      </c>
      <c r="L452" s="65" t="e">
        <f>IF(ISBLANK(Games!#REF!), "",Games!#REF!)</f>
        <v>#REF!</v>
      </c>
      <c r="M452" s="65"/>
      <c r="N452" s="167" t="str">
        <f>IF(ISBLANK(Table123[[#This Row],[Odds Side - Difference Model]]), "", 1)</f>
      </c>
      <c r="O452" s="167" t="str">
        <f>IF(ISBLANK(Table123[[#This Row],[Odds Spread]]), "", 1)</f>
      </c>
      <c r="P452" s="67"/>
      <c r="Q452" s="67"/>
      <c r="R4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2" s="67"/>
      <c r="T452" s="67"/>
      <c r="U452" s="168" t="str">
        <f>IF(ISBLANK(Table123[[#This Row],[Odds Side - Difference Model]]), "",N452+IF(Q452&lt;0, (N452/(Q452/-100)), N452*(Q452/100)))</f>
      </c>
      <c r="V452" s="169" t="str">
        <f>IFERROR(IF(ISBLANK(Table123[[#This Row],[Odds Side - Win Probability Model]]), "",N452+IF(R452&lt;0, (N452/(R452/-100)), N452*(R452/100))),"")</f>
      </c>
      <c r="W452" s="168" t="str">
        <f t="shared" si="49"/>
      </c>
      <c r="X452" s="169" t="str">
        <f t="shared" si="50"/>
      </c>
      <c r="Y452" s="168" t="str">
        <f>IF(ISBLANK(Table123[[#This Row],[Odds Spread]]), "",O452+IF(S452&lt;0, (O452/(S452/-100)), O452*(S452/100)))</f>
      </c>
      <c r="Z452" s="168" t="str">
        <f t="shared" si="51"/>
      </c>
      <c r="AA452" s="68" t="n">
        <f t="shared" si="52"/>
        <v>0</v>
      </c>
      <c r="AB452" s="68" t="n">
        <f t="shared" si="53"/>
        <v>0</v>
      </c>
      <c r="AC452" s="170" t="e">
        <f>IF('Prediction Log'!#REF!="Y", "W", IF('Prediction Log'!#REF!="N","L",""))</f>
        <v>#REF!</v>
      </c>
      <c r="AD452" s="171" t="e">
        <f>IF('Prediction Log'!#REF!="Y", "W", IF('Prediction Log'!#REF!="N","L",""))</f>
        <v>#REF!</v>
      </c>
      <c r="AE452" s="172" t="str">
        <f>IF(ISBLANK(Table123[[#This Row],[Odds Side - Difference Model]]), "",IF(AC452="W", W452, IF(AC452="L",-N452, "")))</f>
      </c>
      <c r="AF452" s="173" t="str">
        <f>IFERROR((IF(ISERR(Table123[[#This Row],[Potential Payout Side - Win Probability Model]]), "",IF(AD452="W", X452, IF(AD452="L",-N452, "")))), "")</f>
      </c>
      <c r="AG452" s="170" t="e">
        <f>IF('Prediction Log'!#REF!="Y", "W", IF('Prediction Log'!#REF!="N", "L", ""))</f>
        <v>#REF!</v>
      </c>
      <c r="AH452" s="172" t="str">
        <f>IF(ISBLANK(Table123[[#This Row],[Odds Spread]]), "",IF(AG452="W", Z452, IF(AG452="L",-O452, "")))</f>
      </c>
      <c r="AI452" s="184"/>
      <c r="AJ452" s="183" t="str">
        <f t="shared" si="54"/>
      </c>
      <c r="AK4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3">
      <c r="A453" s="65" t="e">
        <f>Games!#REF!</f>
        <v>#REF!</v>
      </c>
      <c r="B453" s="65" t="e">
        <f>IF('Prediction Log'!#REF!=0, "",'Prediction Log'!#REF!)</f>
        <v>#REF!</v>
      </c>
      <c r="C453" s="65" t="e">
        <f>IF('Prediction Log'!#REF!=0, "",'Prediction Log'!#REF!)</f>
        <v>#REF!</v>
      </c>
      <c r="D453" s="65" t="e">
        <f>IF('Prediction Log'!#REF!=0, "",'Prediction Log'!#REF!)</f>
        <v>#REF!</v>
      </c>
      <c r="E453" s="65" t="e">
        <f>IF('Prediction Log'!#REF!=0, "",'Prediction Log'!#REF!)</f>
        <v>#REF!</v>
      </c>
      <c r="F453" s="65" t="e">
        <f>IF('Prediction Log'!#REF!=0, "",'Prediction Log'!#REF!)</f>
        <v>#REF!</v>
      </c>
      <c r="G453" s="64" t="e">
        <f>IF(ISBLANK(Games!#REF!), "",'Prediction Log'!#REF!)</f>
        <v>#REF!</v>
      </c>
      <c r="H453" s="66" t="e">
        <f>'Prediction Log'!#REF!</f>
        <v>#REF!</v>
      </c>
      <c r="I453" s="65" t="e">
        <f>IF(ISBLANK(Games!#REF!), "",IF(AND(Games!#REF!="",Games!#REF!=""),"",IF(ISTEXT(Games!#REF!), "Side",Games!#REF!)))</f>
        <v>#REF!</v>
      </c>
      <c r="J453" s="65" t="e">
        <f>IF(ISBLANK(Games!#REF!), "",IF(Games!#REF!="Y", Games!#REF!, Games!#REF!))</f>
        <v>#REF!</v>
      </c>
      <c r="K453" s="65" t="e">
        <f>Games!#REF!</f>
        <v>#REF!</v>
      </c>
      <c r="L453" s="65" t="e">
        <f>IF(ISBLANK(Games!#REF!), "",Games!#REF!)</f>
        <v>#REF!</v>
      </c>
      <c r="M453" s="65"/>
      <c r="N453" s="167" t="str">
        <f>IF(ISBLANK(Table123[[#This Row],[Odds Side - Difference Model]]), "", 1)</f>
      </c>
      <c r="O453" s="167" t="str">
        <f>IF(ISBLANK(Table123[[#This Row],[Odds Spread]]), "", 1)</f>
      </c>
      <c r="P453" s="67"/>
      <c r="Q453" s="67"/>
      <c r="R4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3" s="67"/>
      <c r="T453" s="67"/>
      <c r="U453" s="168" t="str">
        <f>IF(ISBLANK(Table123[[#This Row],[Odds Side - Difference Model]]), "",N453+IF(Q453&lt;0, (N453/(Q453/-100)), N453*(Q453/100)))</f>
      </c>
      <c r="V453" s="169" t="str">
        <f>IFERROR(IF(ISBLANK(Table123[[#This Row],[Odds Side - Win Probability Model]]), "",N453+IF(R453&lt;0, (N453/(R453/-100)), N453*(R453/100))),"")</f>
      </c>
      <c r="W453" s="168" t="str">
        <f t="shared" si="49"/>
      </c>
      <c r="X453" s="169" t="str">
        <f t="shared" si="50"/>
      </c>
      <c r="Y453" s="168" t="str">
        <f>IF(ISBLANK(Table123[[#This Row],[Odds Spread]]), "",O453+IF(S453&lt;0, (O453/(S453/-100)), O453*(S453/100)))</f>
      </c>
      <c r="Z453" s="168" t="str">
        <f t="shared" si="51"/>
      </c>
      <c r="AA453" s="68" t="n">
        <f t="shared" si="52"/>
        <v>0</v>
      </c>
      <c r="AB453" s="68" t="n">
        <f t="shared" si="53"/>
        <v>0</v>
      </c>
      <c r="AC453" s="170" t="e">
        <f>IF('Prediction Log'!#REF!="Y", "W", IF('Prediction Log'!#REF!="N","L",""))</f>
        <v>#REF!</v>
      </c>
      <c r="AD453" s="171" t="e">
        <f>IF('Prediction Log'!#REF!="Y", "W", IF('Prediction Log'!#REF!="N","L",""))</f>
        <v>#REF!</v>
      </c>
      <c r="AE453" s="172" t="str">
        <f>IF(ISBLANK(Table123[[#This Row],[Odds Side - Difference Model]]), "",IF(AC453="W", W453, IF(AC453="L",-N453, "")))</f>
      </c>
      <c r="AF453" s="173" t="str">
        <f>IFERROR((IF(ISERR(Table123[[#This Row],[Potential Payout Side - Win Probability Model]]), "",IF(AD453="W", X453, IF(AD453="L",-N453, "")))), "")</f>
      </c>
      <c r="AG453" s="170" t="e">
        <f>IF('Prediction Log'!#REF!="Y", "W", IF('Prediction Log'!#REF!="N", "L", ""))</f>
        <v>#REF!</v>
      </c>
      <c r="AH453" s="172" t="str">
        <f>IF(ISBLANK(Table123[[#This Row],[Odds Spread]]), "",IF(AG453="W", Z453, IF(AG453="L",-O453, "")))</f>
      </c>
      <c r="AI453" s="184"/>
      <c r="AJ453" s="183" t="str">
        <f t="shared" si="54"/>
      </c>
      <c r="AK4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4">
      <c r="A454" s="65" t="e">
        <f>Games!#REF!</f>
        <v>#REF!</v>
      </c>
      <c r="B454" s="65" t="e">
        <f>IF('Prediction Log'!#REF!=0, "",'Prediction Log'!#REF!)</f>
        <v>#REF!</v>
      </c>
      <c r="C454" s="65" t="e">
        <f>IF('Prediction Log'!#REF!=0, "",'Prediction Log'!#REF!)</f>
        <v>#REF!</v>
      </c>
      <c r="D454" s="65" t="e">
        <f>IF('Prediction Log'!#REF!=0, "",'Prediction Log'!#REF!)</f>
        <v>#REF!</v>
      </c>
      <c r="E454" s="65" t="e">
        <f>IF('Prediction Log'!#REF!=0, "",'Prediction Log'!#REF!)</f>
        <v>#REF!</v>
      </c>
      <c r="F454" s="65" t="e">
        <f>IF('Prediction Log'!#REF!=0, "",'Prediction Log'!#REF!)</f>
        <v>#REF!</v>
      </c>
      <c r="G454" s="64" t="e">
        <f>IF(ISBLANK(Games!#REF!), "",'Prediction Log'!#REF!)</f>
        <v>#REF!</v>
      </c>
      <c r="H454" s="66" t="e">
        <f>'Prediction Log'!#REF!</f>
        <v>#REF!</v>
      </c>
      <c r="I454" s="65" t="e">
        <f>IF(ISBLANK(Games!#REF!), "",IF(AND(Games!#REF!="",Games!#REF!=""),"",IF(ISTEXT(Games!#REF!), "Side",Games!#REF!)))</f>
        <v>#REF!</v>
      </c>
      <c r="J454" s="65" t="e">
        <f>IF(ISBLANK(Games!#REF!), "",IF(Games!#REF!="Y", Games!#REF!, Games!#REF!))</f>
        <v>#REF!</v>
      </c>
      <c r="K454" s="65" t="e">
        <f>Games!#REF!</f>
        <v>#REF!</v>
      </c>
      <c r="L454" s="65" t="e">
        <f>IF(ISBLANK(Games!#REF!), "",Games!#REF!)</f>
        <v>#REF!</v>
      </c>
      <c r="M454" s="65"/>
      <c r="N454" s="167" t="str">
        <f>IF(ISBLANK(Table123[[#This Row],[Odds Side - Difference Model]]), "", 1)</f>
      </c>
      <c r="O454" s="167" t="str">
        <f>IF(ISBLANK(Table123[[#This Row],[Odds Spread]]), "", 1)</f>
      </c>
      <c r="P454" s="67"/>
      <c r="Q454" s="67"/>
      <c r="R4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4" s="67"/>
      <c r="T454" s="67"/>
      <c r="U454" s="168" t="str">
        <f>IF(ISBLANK(Table123[[#This Row],[Odds Side - Difference Model]]), "",N454+IF(Q454&lt;0, (N454/(Q454/-100)), N454*(Q454/100)))</f>
      </c>
      <c r="V454" s="169" t="str">
        <f>IFERROR(IF(ISBLANK(Table123[[#This Row],[Odds Side - Win Probability Model]]), "",N454+IF(R454&lt;0, (N454/(R454/-100)), N454*(R454/100))),"")</f>
      </c>
      <c r="W454" s="168" t="str">
        <f t="shared" si="49"/>
      </c>
      <c r="X454" s="169" t="str">
        <f t="shared" si="50"/>
      </c>
      <c r="Y454" s="168" t="str">
        <f>IF(ISBLANK(Table123[[#This Row],[Odds Spread]]), "",O454+IF(S454&lt;0, (O454/(S454/-100)), O454*(S454/100)))</f>
      </c>
      <c r="Z454" s="168" t="str">
        <f t="shared" si="51"/>
      </c>
      <c r="AA454" s="68" t="n">
        <f t="shared" si="52"/>
        <v>0</v>
      </c>
      <c r="AB454" s="68" t="n">
        <f t="shared" si="53"/>
        <v>0</v>
      </c>
      <c r="AC454" s="170" t="e">
        <f>IF('Prediction Log'!#REF!="Y", "W", IF('Prediction Log'!#REF!="N","L",""))</f>
        <v>#REF!</v>
      </c>
      <c r="AD454" s="171" t="e">
        <f>IF('Prediction Log'!#REF!="Y", "W", IF('Prediction Log'!#REF!="N","L",""))</f>
        <v>#REF!</v>
      </c>
      <c r="AE454" s="172" t="str">
        <f>IF(ISBLANK(Table123[[#This Row],[Odds Side - Difference Model]]), "",IF(AC454="W", W454, IF(AC454="L",-N454, "")))</f>
      </c>
      <c r="AF454" s="173" t="str">
        <f>IFERROR((IF(ISERR(Table123[[#This Row],[Potential Payout Side - Win Probability Model]]), "",IF(AD454="W", X454, IF(AD454="L",-N454, "")))), "")</f>
      </c>
      <c r="AG454" s="170" t="e">
        <f>IF('Prediction Log'!#REF!="Y", "W", IF('Prediction Log'!#REF!="N", "L", ""))</f>
        <v>#REF!</v>
      </c>
      <c r="AH454" s="172" t="str">
        <f>IF(ISBLANK(Table123[[#This Row],[Odds Spread]]), "",IF(AG454="W", Z454, IF(AG454="L",-O454, "")))</f>
      </c>
      <c r="AI454" s="184"/>
      <c r="AJ454" s="183" t="str">
        <f t="shared" si="54"/>
      </c>
      <c r="AK4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5">
      <c r="A455" s="65" t="e">
        <f>Games!#REF!</f>
        <v>#REF!</v>
      </c>
      <c r="B455" s="65" t="e">
        <f>IF('Prediction Log'!#REF!=0, "",'Prediction Log'!#REF!)</f>
        <v>#REF!</v>
      </c>
      <c r="C455" s="65" t="e">
        <f>IF('Prediction Log'!#REF!=0, "",'Prediction Log'!#REF!)</f>
        <v>#REF!</v>
      </c>
      <c r="D455" s="65" t="e">
        <f>IF('Prediction Log'!#REF!=0, "",'Prediction Log'!#REF!)</f>
        <v>#REF!</v>
      </c>
      <c r="E455" s="65" t="e">
        <f>IF('Prediction Log'!#REF!=0, "",'Prediction Log'!#REF!)</f>
        <v>#REF!</v>
      </c>
      <c r="F455" s="65" t="e">
        <f>IF('Prediction Log'!#REF!=0, "",'Prediction Log'!#REF!)</f>
        <v>#REF!</v>
      </c>
      <c r="G455" s="64" t="e">
        <f>IF(ISBLANK(Games!#REF!), "",'Prediction Log'!#REF!)</f>
        <v>#REF!</v>
      </c>
      <c r="H455" s="66" t="e">
        <f>'Prediction Log'!#REF!</f>
        <v>#REF!</v>
      </c>
      <c r="I455" s="65" t="e">
        <f>IF(ISBLANK(Games!#REF!), "",IF(AND(Games!#REF!="",Games!#REF!=""),"",IF(ISTEXT(Games!#REF!), "Side",Games!#REF!)))</f>
        <v>#REF!</v>
      </c>
      <c r="J455" s="65" t="e">
        <f>IF(ISBLANK(Games!#REF!), "",IF(Games!#REF!="Y", Games!#REF!, Games!#REF!))</f>
        <v>#REF!</v>
      </c>
      <c r="K455" s="65" t="e">
        <f>Games!#REF!</f>
        <v>#REF!</v>
      </c>
      <c r="L455" s="65" t="e">
        <f>IF(ISBLANK(Games!#REF!), "",Games!#REF!)</f>
        <v>#REF!</v>
      </c>
      <c r="M455" s="65"/>
      <c r="N455" s="167" t="str">
        <f>IF(ISBLANK(Table123[[#This Row],[Odds Side - Difference Model]]), "", 1)</f>
      </c>
      <c r="O455" s="167" t="str">
        <f>IF(ISBLANK(Table123[[#This Row],[Odds Spread]]), "", 1)</f>
      </c>
      <c r="P455" s="67"/>
      <c r="Q455" s="67"/>
      <c r="R4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5" s="67"/>
      <c r="T455" s="67"/>
      <c r="U455" s="168" t="str">
        <f>IF(ISBLANK(Table123[[#This Row],[Odds Side - Difference Model]]), "",N455+IF(Q455&lt;0, (N455/(Q455/-100)), N455*(Q455/100)))</f>
      </c>
      <c r="V455" s="169" t="str">
        <f>IFERROR(IF(ISBLANK(Table123[[#This Row],[Odds Side - Win Probability Model]]), "",N455+IF(R455&lt;0, (N455/(R455/-100)), N455*(R455/100))),"")</f>
      </c>
      <c r="W455" s="168" t="str">
        <f t="shared" si="49"/>
      </c>
      <c r="X455" s="169" t="str">
        <f t="shared" si="50"/>
      </c>
      <c r="Y455" s="168" t="str">
        <f>IF(ISBLANK(Table123[[#This Row],[Odds Spread]]), "",O455+IF(S455&lt;0, (O455/(S455/-100)), O455*(S455/100)))</f>
      </c>
      <c r="Z455" s="168" t="str">
        <f t="shared" si="51"/>
      </c>
      <c r="AA455" s="68" t="n">
        <f t="shared" si="52"/>
        <v>0</v>
      </c>
      <c r="AB455" s="68" t="n">
        <f t="shared" si="53"/>
        <v>0</v>
      </c>
      <c r="AC455" s="170" t="e">
        <f>IF('Prediction Log'!#REF!="Y", "W", IF('Prediction Log'!#REF!="N","L",""))</f>
        <v>#REF!</v>
      </c>
      <c r="AD455" s="171" t="e">
        <f>IF('Prediction Log'!#REF!="Y", "W", IF('Prediction Log'!#REF!="N","L",""))</f>
        <v>#REF!</v>
      </c>
      <c r="AE455" s="172" t="str">
        <f>IF(ISBLANK(Table123[[#This Row],[Odds Side - Difference Model]]), "",IF(AC455="W", W455, IF(AC455="L",-N455, "")))</f>
      </c>
      <c r="AF455" s="173" t="str">
        <f>IFERROR((IF(ISERR(Table123[[#This Row],[Potential Payout Side - Win Probability Model]]), "",IF(AD455="W", X455, IF(AD455="L",-N455, "")))), "")</f>
      </c>
      <c r="AG455" s="170" t="e">
        <f>IF('Prediction Log'!#REF!="Y", "W", IF('Prediction Log'!#REF!="N", "L", ""))</f>
        <v>#REF!</v>
      </c>
      <c r="AH455" s="172" t="str">
        <f>IF(ISBLANK(Table123[[#This Row],[Odds Spread]]), "",IF(AG455="W", Z455, IF(AG455="L",-O455, "")))</f>
      </c>
      <c r="AI455" s="184"/>
      <c r="AJ455" s="183" t="str">
        <f t="shared" si="54"/>
      </c>
      <c r="AK4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6">
      <c r="A456" s="65" t="e">
        <f>Games!#REF!</f>
        <v>#REF!</v>
      </c>
      <c r="B456" s="65" t="e">
        <f>IF('Prediction Log'!#REF!=0, "",'Prediction Log'!#REF!)</f>
        <v>#REF!</v>
      </c>
      <c r="C456" s="65" t="e">
        <f>IF('Prediction Log'!#REF!=0, "",'Prediction Log'!#REF!)</f>
        <v>#REF!</v>
      </c>
      <c r="D456" s="65" t="e">
        <f>IF('Prediction Log'!#REF!=0, "",'Prediction Log'!#REF!)</f>
        <v>#REF!</v>
      </c>
      <c r="E456" s="65" t="e">
        <f>IF('Prediction Log'!#REF!=0, "",'Prediction Log'!#REF!)</f>
        <v>#REF!</v>
      </c>
      <c r="F456" s="65" t="e">
        <f>IF('Prediction Log'!#REF!=0, "",'Prediction Log'!#REF!)</f>
        <v>#REF!</v>
      </c>
      <c r="G456" s="64" t="e">
        <f>IF(ISBLANK(Games!#REF!), "",'Prediction Log'!#REF!)</f>
        <v>#REF!</v>
      </c>
      <c r="H456" s="66" t="e">
        <f>'Prediction Log'!#REF!</f>
        <v>#REF!</v>
      </c>
      <c r="I456" s="65" t="e">
        <f>IF(ISBLANK(Games!#REF!), "",IF(AND(Games!#REF!="",Games!#REF!=""),"",IF(ISTEXT(Games!#REF!), "Side",Games!#REF!)))</f>
        <v>#REF!</v>
      </c>
      <c r="J456" s="65" t="e">
        <f>IF(ISBLANK(Games!#REF!), "",IF(Games!#REF!="Y", Games!#REF!, Games!#REF!))</f>
        <v>#REF!</v>
      </c>
      <c r="K456" s="65" t="e">
        <f>Games!#REF!</f>
        <v>#REF!</v>
      </c>
      <c r="L456" s="65" t="e">
        <f>IF(ISBLANK(Games!#REF!), "",Games!#REF!)</f>
        <v>#REF!</v>
      </c>
      <c r="M456" s="65"/>
      <c r="N456" s="167" t="str">
        <f>IF(ISBLANK(Table123[[#This Row],[Odds Side - Difference Model]]), "", 1)</f>
      </c>
      <c r="O456" s="167" t="str">
        <f>IF(ISBLANK(Table123[[#This Row],[Odds Spread]]), "", 1)</f>
      </c>
      <c r="P456" s="67"/>
      <c r="Q456" s="67"/>
      <c r="R4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6" s="67"/>
      <c r="T456" s="67"/>
      <c r="U456" s="168" t="str">
        <f>IF(ISBLANK(Table123[[#This Row],[Odds Side - Difference Model]]), "",N456+IF(Q456&lt;0, (N456/(Q456/-100)), N456*(Q456/100)))</f>
      </c>
      <c r="V456" s="169" t="str">
        <f>IFERROR(IF(ISBLANK(Table123[[#This Row],[Odds Side - Win Probability Model]]), "",N456+IF(R456&lt;0, (N456/(R456/-100)), N456*(R456/100))),"")</f>
      </c>
      <c r="W456" s="168" t="str">
        <f t="shared" si="49"/>
      </c>
      <c r="X456" s="169" t="str">
        <f t="shared" si="50"/>
      </c>
      <c r="Y456" s="168" t="str">
        <f>IF(ISBLANK(Table123[[#This Row],[Odds Spread]]), "",O456+IF(S456&lt;0, (O456/(S456/-100)), O456*(S456/100)))</f>
      </c>
      <c r="Z456" s="168" t="str">
        <f t="shared" si="51"/>
      </c>
      <c r="AA456" s="68" t="n">
        <f t="shared" si="52"/>
        <v>0</v>
      </c>
      <c r="AB456" s="68" t="n">
        <f t="shared" si="53"/>
        <v>0</v>
      </c>
      <c r="AC456" s="170" t="e">
        <f>IF('Prediction Log'!#REF!="Y", "W", IF('Prediction Log'!#REF!="N","L",""))</f>
        <v>#REF!</v>
      </c>
      <c r="AD456" s="171" t="e">
        <f>IF('Prediction Log'!#REF!="Y", "W", IF('Prediction Log'!#REF!="N","L",""))</f>
        <v>#REF!</v>
      </c>
      <c r="AE456" s="172" t="str">
        <f>IF(ISBLANK(Table123[[#This Row],[Odds Side - Difference Model]]), "",IF(AC456="W", W456, IF(AC456="L",-N456, "")))</f>
      </c>
      <c r="AF456" s="173" t="str">
        <f>IFERROR((IF(ISERR(Table123[[#This Row],[Potential Payout Side - Win Probability Model]]), "",IF(AD456="W", X456, IF(AD456="L",-N456, "")))), "")</f>
      </c>
      <c r="AG456" s="170" t="e">
        <f>IF('Prediction Log'!#REF!="Y", "W", IF('Prediction Log'!#REF!="N", "L", ""))</f>
        <v>#REF!</v>
      </c>
      <c r="AH456" s="172" t="str">
        <f>IF(ISBLANK(Table123[[#This Row],[Odds Spread]]), "",IF(AG456="W", Z456, IF(AG456="L",-O456, "")))</f>
      </c>
      <c r="AI456" s="184"/>
      <c r="AJ456" s="183" t="str">
        <f t="shared" si="54"/>
      </c>
      <c r="AK4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7">
      <c r="A457" s="65" t="e">
        <f>Games!#REF!</f>
        <v>#REF!</v>
      </c>
      <c r="B457" s="65" t="e">
        <f>IF('Prediction Log'!#REF!=0, "",'Prediction Log'!#REF!)</f>
        <v>#REF!</v>
      </c>
      <c r="C457" s="65" t="e">
        <f>IF('Prediction Log'!#REF!=0, "",'Prediction Log'!#REF!)</f>
        <v>#REF!</v>
      </c>
      <c r="D457" s="65" t="e">
        <f>IF('Prediction Log'!#REF!=0, "",'Prediction Log'!#REF!)</f>
        <v>#REF!</v>
      </c>
      <c r="E457" s="65" t="e">
        <f>IF('Prediction Log'!#REF!=0, "",'Prediction Log'!#REF!)</f>
        <v>#REF!</v>
      </c>
      <c r="F457" s="65" t="e">
        <f>IF('Prediction Log'!#REF!=0, "",'Prediction Log'!#REF!)</f>
        <v>#REF!</v>
      </c>
      <c r="G457" s="64" t="e">
        <f>IF(ISBLANK(Games!#REF!), "",'Prediction Log'!#REF!)</f>
        <v>#REF!</v>
      </c>
      <c r="H457" s="66" t="e">
        <f>'Prediction Log'!#REF!</f>
        <v>#REF!</v>
      </c>
      <c r="I457" s="65" t="e">
        <f>IF(ISBLANK(Games!#REF!), "",IF(AND(Games!#REF!="",Games!#REF!=""),"",IF(ISTEXT(Games!#REF!), "Side",Games!#REF!)))</f>
        <v>#REF!</v>
      </c>
      <c r="J457" s="65" t="e">
        <f>IF(ISBLANK(Games!#REF!), "",IF(Games!#REF!="Y", Games!#REF!, Games!#REF!))</f>
        <v>#REF!</v>
      </c>
      <c r="K457" s="65" t="e">
        <f>Games!#REF!</f>
        <v>#REF!</v>
      </c>
      <c r="L457" s="65" t="e">
        <f>IF(ISBLANK(Games!#REF!), "",Games!#REF!)</f>
        <v>#REF!</v>
      </c>
      <c r="M457" s="65"/>
      <c r="N457" s="167" t="str">
        <f>IF(ISBLANK(Table123[[#This Row],[Odds Side - Difference Model]]), "", 1)</f>
      </c>
      <c r="O457" s="167" t="str">
        <f>IF(ISBLANK(Table123[[#This Row],[Odds Spread]]), "", 1)</f>
      </c>
      <c r="P457" s="67"/>
      <c r="Q457" s="67"/>
      <c r="R4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7" s="67"/>
      <c r="T457" s="67"/>
      <c r="U457" s="168" t="str">
        <f>IF(ISBLANK(Table123[[#This Row],[Odds Side - Difference Model]]), "",N457+IF(Q457&lt;0, (N457/(Q457/-100)), N457*(Q457/100)))</f>
      </c>
      <c r="V457" s="169" t="str">
        <f>IFERROR(IF(ISBLANK(Table123[[#This Row],[Odds Side - Win Probability Model]]), "",N457+IF(R457&lt;0, (N457/(R457/-100)), N457*(R457/100))),"")</f>
      </c>
      <c r="W457" s="168" t="str">
        <f t="shared" si="49"/>
      </c>
      <c r="X457" s="169" t="str">
        <f t="shared" si="50"/>
      </c>
      <c r="Y457" s="168" t="str">
        <f>IF(ISBLANK(Table123[[#This Row],[Odds Spread]]), "",O457+IF(S457&lt;0, (O457/(S457/-100)), O457*(S457/100)))</f>
      </c>
      <c r="Z457" s="168" t="str">
        <f t="shared" si="51"/>
      </c>
      <c r="AA457" s="68" t="n">
        <f t="shared" si="52"/>
        <v>0</v>
      </c>
      <c r="AB457" s="68" t="n">
        <f t="shared" si="53"/>
        <v>0</v>
      </c>
      <c r="AC457" s="170" t="e">
        <f>IF('Prediction Log'!#REF!="Y", "W", IF('Prediction Log'!#REF!="N","L",""))</f>
        <v>#REF!</v>
      </c>
      <c r="AD457" s="171" t="e">
        <f>IF('Prediction Log'!#REF!="Y", "W", IF('Prediction Log'!#REF!="N","L",""))</f>
        <v>#REF!</v>
      </c>
      <c r="AE457" s="172" t="str">
        <f>IF(ISBLANK(Table123[[#This Row],[Odds Side - Difference Model]]), "",IF(AC457="W", W457, IF(AC457="L",-N457, "")))</f>
      </c>
      <c r="AF457" s="173" t="str">
        <f>IFERROR((IF(ISERR(Table123[[#This Row],[Potential Payout Side - Win Probability Model]]), "",IF(AD457="W", X457, IF(AD457="L",-N457, "")))), "")</f>
      </c>
      <c r="AG457" s="170" t="e">
        <f>IF('Prediction Log'!#REF!="Y", "W", IF('Prediction Log'!#REF!="N", "L", ""))</f>
        <v>#REF!</v>
      </c>
      <c r="AH457" s="172" t="str">
        <f>IF(ISBLANK(Table123[[#This Row],[Odds Spread]]), "",IF(AG457="W", Z457, IF(AG457="L",-O457, "")))</f>
      </c>
      <c r="AI457" s="184"/>
      <c r="AJ457" s="183" t="str">
        <f t="shared" si="54"/>
      </c>
      <c r="AK4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8">
      <c r="A458" s="65" t="e">
        <f>Games!#REF!</f>
        <v>#REF!</v>
      </c>
      <c r="B458" s="65" t="e">
        <f>IF('Prediction Log'!#REF!=0, "",'Prediction Log'!#REF!)</f>
        <v>#REF!</v>
      </c>
      <c r="C458" s="65" t="e">
        <f>IF('Prediction Log'!#REF!=0, "",'Prediction Log'!#REF!)</f>
        <v>#REF!</v>
      </c>
      <c r="D458" s="65" t="e">
        <f>IF('Prediction Log'!#REF!=0, "",'Prediction Log'!#REF!)</f>
        <v>#REF!</v>
      </c>
      <c r="E458" s="65" t="e">
        <f>IF('Prediction Log'!#REF!=0, "",'Prediction Log'!#REF!)</f>
        <v>#REF!</v>
      </c>
      <c r="F458" s="65" t="e">
        <f>IF('Prediction Log'!#REF!=0, "",'Prediction Log'!#REF!)</f>
        <v>#REF!</v>
      </c>
      <c r="G458" s="64" t="e">
        <f>IF(ISBLANK(Games!#REF!), "",'Prediction Log'!#REF!)</f>
        <v>#REF!</v>
      </c>
      <c r="H458" s="66" t="e">
        <f>'Prediction Log'!#REF!</f>
        <v>#REF!</v>
      </c>
      <c r="I458" s="65" t="e">
        <f>IF(ISBLANK(Games!#REF!), "",IF(AND(Games!#REF!="",Games!#REF!=""),"",IF(ISTEXT(Games!#REF!), "Side",Games!#REF!)))</f>
        <v>#REF!</v>
      </c>
      <c r="J458" s="65" t="e">
        <f>IF(ISBLANK(Games!#REF!), "",IF(Games!#REF!="Y", Games!#REF!, Games!#REF!))</f>
        <v>#REF!</v>
      </c>
      <c r="K458" s="65" t="e">
        <f>Games!#REF!</f>
        <v>#REF!</v>
      </c>
      <c r="L458" s="65" t="e">
        <f>IF(ISBLANK(Games!#REF!), "",Games!#REF!)</f>
        <v>#REF!</v>
      </c>
      <c r="M458" s="65"/>
      <c r="N458" s="167" t="str">
        <f>IF(ISBLANK(Table123[[#This Row],[Odds Side - Difference Model]]), "", 1)</f>
      </c>
      <c r="O458" s="167" t="str">
        <f>IF(ISBLANK(Table123[[#This Row],[Odds Spread]]), "", 1)</f>
      </c>
      <c r="P458" s="67"/>
      <c r="Q458" s="67"/>
      <c r="R4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8" s="67"/>
      <c r="T458" s="67"/>
      <c r="U458" s="168" t="str">
        <f>IF(ISBLANK(Table123[[#This Row],[Odds Side - Difference Model]]), "",N458+IF(Q458&lt;0, (N458/(Q458/-100)), N458*(Q458/100)))</f>
      </c>
      <c r="V458" s="169" t="str">
        <f>IFERROR(IF(ISBLANK(Table123[[#This Row],[Odds Side - Win Probability Model]]), "",N458+IF(R458&lt;0, (N458/(R458/-100)), N458*(R458/100))),"")</f>
      </c>
      <c r="W458" s="168" t="str">
        <f t="shared" si="49"/>
      </c>
      <c r="X458" s="169" t="str">
        <f t="shared" si="50"/>
      </c>
      <c r="Y458" s="168" t="str">
        <f>IF(ISBLANK(Table123[[#This Row],[Odds Spread]]), "",O458+IF(S458&lt;0, (O458/(S458/-100)), O458*(S458/100)))</f>
      </c>
      <c r="Z458" s="168" t="str">
        <f t="shared" si="51"/>
      </c>
      <c r="AA458" s="68" t="n">
        <f t="shared" si="52"/>
        <v>0</v>
      </c>
      <c r="AB458" s="68" t="n">
        <f t="shared" si="53"/>
        <v>0</v>
      </c>
      <c r="AC458" s="170" t="e">
        <f>IF('Prediction Log'!#REF!="Y", "W", IF('Prediction Log'!#REF!="N","L",""))</f>
        <v>#REF!</v>
      </c>
      <c r="AD458" s="171" t="e">
        <f>IF('Prediction Log'!#REF!="Y", "W", IF('Prediction Log'!#REF!="N","L",""))</f>
        <v>#REF!</v>
      </c>
      <c r="AE458" s="172" t="str">
        <f>IF(ISBLANK(Table123[[#This Row],[Odds Side - Difference Model]]), "",IF(AC458="W", W458, IF(AC458="L",-N458, "")))</f>
      </c>
      <c r="AF458" s="173" t="str">
        <f>IFERROR((IF(ISERR(Table123[[#This Row],[Potential Payout Side - Win Probability Model]]), "",IF(AD458="W", X458, IF(AD458="L",-N458, "")))), "")</f>
      </c>
      <c r="AG458" s="170" t="e">
        <f>IF('Prediction Log'!#REF!="Y", "W", IF('Prediction Log'!#REF!="N", "L", ""))</f>
        <v>#REF!</v>
      </c>
      <c r="AH458" s="172" t="str">
        <f>IF(ISBLANK(Table123[[#This Row],[Odds Spread]]), "",IF(AG458="W", Z458, IF(AG458="L",-O458, "")))</f>
      </c>
      <c r="AI458" s="184"/>
      <c r="AJ458" s="183" t="str">
        <f t="shared" si="54"/>
      </c>
      <c r="AK4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9">
      <c r="A459" s="65" t="e">
        <f>Games!#REF!</f>
        <v>#REF!</v>
      </c>
      <c r="B459" s="65" t="e">
        <f>IF('Prediction Log'!#REF!=0, "",'Prediction Log'!#REF!)</f>
        <v>#REF!</v>
      </c>
      <c r="C459" s="65" t="e">
        <f>IF('Prediction Log'!#REF!=0, "",'Prediction Log'!#REF!)</f>
        <v>#REF!</v>
      </c>
      <c r="D459" s="65" t="e">
        <f>IF('Prediction Log'!#REF!=0, "",'Prediction Log'!#REF!)</f>
        <v>#REF!</v>
      </c>
      <c r="E459" s="65" t="e">
        <f>IF('Prediction Log'!#REF!=0, "",'Prediction Log'!#REF!)</f>
        <v>#REF!</v>
      </c>
      <c r="F459" s="65" t="e">
        <f>IF('Prediction Log'!#REF!=0, "",'Prediction Log'!#REF!)</f>
        <v>#REF!</v>
      </c>
      <c r="G459" s="64" t="e">
        <f>IF(ISBLANK(Games!#REF!), "",'Prediction Log'!#REF!)</f>
        <v>#REF!</v>
      </c>
      <c r="H459" s="66" t="e">
        <f>'Prediction Log'!#REF!</f>
        <v>#REF!</v>
      </c>
      <c r="I459" s="65" t="e">
        <f>IF(ISBLANK(Games!#REF!), "",IF(AND(Games!#REF!="",Games!#REF!=""),"",IF(ISTEXT(Games!#REF!), "Side",Games!#REF!)))</f>
        <v>#REF!</v>
      </c>
      <c r="J459" s="65" t="e">
        <f>IF(ISBLANK(Games!#REF!), "",IF(Games!#REF!="Y", Games!#REF!, Games!#REF!))</f>
        <v>#REF!</v>
      </c>
      <c r="K459" s="65" t="e">
        <f>Games!#REF!</f>
        <v>#REF!</v>
      </c>
      <c r="L459" s="65" t="e">
        <f>IF(ISBLANK(Games!#REF!), "",Games!#REF!)</f>
        <v>#REF!</v>
      </c>
      <c r="M459" s="65"/>
      <c r="N459" s="167" t="str">
        <f>IF(ISBLANK(Table123[[#This Row],[Odds Side - Difference Model]]), "", 1)</f>
      </c>
      <c r="O459" s="167" t="str">
        <f>IF(ISBLANK(Table123[[#This Row],[Odds Spread]]), "", 1)</f>
      </c>
      <c r="P459" s="67"/>
      <c r="Q459" s="67"/>
      <c r="R4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9" s="67"/>
      <c r="T459" s="67"/>
      <c r="U459" s="168" t="str">
        <f>IF(ISBLANK(Table123[[#This Row],[Odds Side - Difference Model]]), "",N459+IF(Q459&lt;0, (N459/(Q459/-100)), N459*(Q459/100)))</f>
      </c>
      <c r="V459" s="169" t="str">
        <f>IFERROR(IF(ISBLANK(Table123[[#This Row],[Odds Side - Win Probability Model]]), "",N459+IF(R459&lt;0, (N459/(R459/-100)), N459*(R459/100))),"")</f>
      </c>
      <c r="W459" s="168" t="str">
        <f t="shared" si="49"/>
      </c>
      <c r="X459" s="169" t="str">
        <f t="shared" si="50"/>
      </c>
      <c r="Y459" s="168" t="str">
        <f>IF(ISBLANK(Table123[[#This Row],[Odds Spread]]), "",O459+IF(S459&lt;0, (O459/(S459/-100)), O459*(S459/100)))</f>
      </c>
      <c r="Z459" s="168" t="str">
        <f t="shared" si="51"/>
      </c>
      <c r="AA459" s="68" t="n">
        <f t="shared" si="52"/>
        <v>0</v>
      </c>
      <c r="AB459" s="68" t="n">
        <f t="shared" si="53"/>
        <v>0</v>
      </c>
      <c r="AC459" s="170" t="e">
        <f>IF('Prediction Log'!#REF!="Y", "W", IF('Prediction Log'!#REF!="N","L",""))</f>
        <v>#REF!</v>
      </c>
      <c r="AD459" s="171" t="e">
        <f>IF('Prediction Log'!#REF!="Y", "W", IF('Prediction Log'!#REF!="N","L",""))</f>
        <v>#REF!</v>
      </c>
      <c r="AE459" s="172" t="str">
        <f>IF(ISBLANK(Table123[[#This Row],[Odds Side - Difference Model]]), "",IF(AC459="W", W459, IF(AC459="L",-N459, "")))</f>
      </c>
      <c r="AF459" s="173" t="str">
        <f>IFERROR((IF(ISERR(Table123[[#This Row],[Potential Payout Side - Win Probability Model]]), "",IF(AD459="W", X459, IF(AD459="L",-N459, "")))), "")</f>
      </c>
      <c r="AG459" s="170" t="e">
        <f>IF('Prediction Log'!#REF!="Y", "W", IF('Prediction Log'!#REF!="N", "L", ""))</f>
        <v>#REF!</v>
      </c>
      <c r="AH459" s="172" t="str">
        <f>IF(ISBLANK(Table123[[#This Row],[Odds Spread]]), "",IF(AG459="W", Z459, IF(AG459="L",-O459, "")))</f>
      </c>
      <c r="AI459" s="184"/>
      <c r="AJ459" s="183" t="str">
        <f t="shared" si="54"/>
      </c>
      <c r="AK4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0">
      <c r="A460" s="65" t="e">
        <f>Games!#REF!</f>
        <v>#REF!</v>
      </c>
      <c r="B460" s="65" t="e">
        <f>IF('Prediction Log'!#REF!=0, "",'Prediction Log'!#REF!)</f>
        <v>#REF!</v>
      </c>
      <c r="C460" s="65" t="e">
        <f>IF('Prediction Log'!#REF!=0, "",'Prediction Log'!#REF!)</f>
        <v>#REF!</v>
      </c>
      <c r="D460" s="65" t="e">
        <f>IF('Prediction Log'!#REF!=0, "",'Prediction Log'!#REF!)</f>
        <v>#REF!</v>
      </c>
      <c r="E460" s="65" t="e">
        <f>IF('Prediction Log'!#REF!=0, "",'Prediction Log'!#REF!)</f>
        <v>#REF!</v>
      </c>
      <c r="F460" s="65" t="e">
        <f>IF('Prediction Log'!#REF!=0, "",'Prediction Log'!#REF!)</f>
        <v>#REF!</v>
      </c>
      <c r="G460" s="64" t="e">
        <f>IF(ISBLANK(Games!#REF!), "",'Prediction Log'!#REF!)</f>
        <v>#REF!</v>
      </c>
      <c r="H460" s="66" t="e">
        <f>'Prediction Log'!#REF!</f>
        <v>#REF!</v>
      </c>
      <c r="I460" s="65" t="e">
        <f>IF(ISBLANK(Games!#REF!), "",IF(AND(Games!#REF!="",Games!#REF!=""),"",IF(ISTEXT(Games!#REF!), "Side",Games!#REF!)))</f>
        <v>#REF!</v>
      </c>
      <c r="J460" s="65" t="e">
        <f>IF(ISBLANK(Games!#REF!), "",IF(Games!#REF!="Y", Games!#REF!, Games!#REF!))</f>
        <v>#REF!</v>
      </c>
      <c r="K460" s="65" t="e">
        <f>Games!#REF!</f>
        <v>#REF!</v>
      </c>
      <c r="L460" s="65" t="e">
        <f>IF(ISBLANK(Games!#REF!), "",Games!#REF!)</f>
        <v>#REF!</v>
      </c>
      <c r="M460" s="65"/>
      <c r="N460" s="167" t="str">
        <f>IF(ISBLANK(Table123[[#This Row],[Odds Side - Difference Model]]), "", 1)</f>
      </c>
      <c r="O460" s="167" t="str">
        <f>IF(ISBLANK(Table123[[#This Row],[Odds Spread]]), "", 1)</f>
      </c>
      <c r="P460" s="67"/>
      <c r="Q460" s="67"/>
      <c r="R4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0" s="67"/>
      <c r="T460" s="67"/>
      <c r="U460" s="168" t="str">
        <f>IF(ISBLANK(Table123[[#This Row],[Odds Side - Difference Model]]), "",N460+IF(Q460&lt;0, (N460/(Q460/-100)), N460*(Q460/100)))</f>
      </c>
      <c r="V460" s="169" t="str">
        <f>IFERROR(IF(ISBLANK(Table123[[#This Row],[Odds Side - Win Probability Model]]), "",N460+IF(R460&lt;0, (N460/(R460/-100)), N460*(R460/100))),"")</f>
      </c>
      <c r="W460" s="168" t="str">
        <f t="shared" si="49"/>
      </c>
      <c r="X460" s="169" t="str">
        <f t="shared" si="50"/>
      </c>
      <c r="Y460" s="168" t="str">
        <f>IF(ISBLANK(Table123[[#This Row],[Odds Spread]]), "",O460+IF(S460&lt;0, (O460/(S460/-100)), O460*(S460/100)))</f>
      </c>
      <c r="Z460" s="168" t="str">
        <f t="shared" si="51"/>
      </c>
      <c r="AA460" s="68" t="n">
        <f t="shared" si="52"/>
        <v>0</v>
      </c>
      <c r="AB460" s="68" t="n">
        <f t="shared" si="53"/>
        <v>0</v>
      </c>
      <c r="AC460" s="170" t="e">
        <f>IF('Prediction Log'!#REF!="Y", "W", IF('Prediction Log'!#REF!="N","L",""))</f>
        <v>#REF!</v>
      </c>
      <c r="AD460" s="171" t="e">
        <f>IF('Prediction Log'!#REF!="Y", "W", IF('Prediction Log'!#REF!="N","L",""))</f>
        <v>#REF!</v>
      </c>
      <c r="AE460" s="172" t="str">
        <f>IF(ISBLANK(Table123[[#This Row],[Odds Side - Difference Model]]), "",IF(AC460="W", W460, IF(AC460="L",-N460, "")))</f>
      </c>
      <c r="AF460" s="173" t="str">
        <f>IFERROR((IF(ISERR(Table123[[#This Row],[Potential Payout Side - Win Probability Model]]), "",IF(AD460="W", X460, IF(AD460="L",-N460, "")))), "")</f>
      </c>
      <c r="AG460" s="170" t="e">
        <f>IF('Prediction Log'!#REF!="Y", "W", IF('Prediction Log'!#REF!="N", "L", ""))</f>
        <v>#REF!</v>
      </c>
      <c r="AH460" s="172" t="str">
        <f>IF(ISBLANK(Table123[[#This Row],[Odds Spread]]), "",IF(AG460="W", Z460, IF(AG460="L",-O460, "")))</f>
      </c>
      <c r="AI460" s="184"/>
      <c r="AJ460" s="183" t="str">
        <f t="shared" si="54"/>
      </c>
      <c r="AK4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1">
      <c r="A461" s="65" t="e">
        <f>Games!#REF!</f>
        <v>#REF!</v>
      </c>
      <c r="B461" s="65" t="e">
        <f>IF('Prediction Log'!#REF!=0, "",'Prediction Log'!#REF!)</f>
        <v>#REF!</v>
      </c>
      <c r="C461" s="65" t="e">
        <f>IF('Prediction Log'!#REF!=0, "",'Prediction Log'!#REF!)</f>
        <v>#REF!</v>
      </c>
      <c r="D461" s="65" t="e">
        <f>IF('Prediction Log'!#REF!=0, "",'Prediction Log'!#REF!)</f>
        <v>#REF!</v>
      </c>
      <c r="E461" s="65" t="e">
        <f>IF('Prediction Log'!#REF!=0, "",'Prediction Log'!#REF!)</f>
        <v>#REF!</v>
      </c>
      <c r="F461" s="65" t="e">
        <f>IF('Prediction Log'!#REF!=0, "",'Prediction Log'!#REF!)</f>
        <v>#REF!</v>
      </c>
      <c r="G461" s="64" t="e">
        <f>IF(ISBLANK(Games!#REF!), "",'Prediction Log'!#REF!)</f>
        <v>#REF!</v>
      </c>
      <c r="H461" s="66" t="e">
        <f>'Prediction Log'!#REF!</f>
        <v>#REF!</v>
      </c>
      <c r="I461" s="65" t="e">
        <f>IF(ISBLANK(Games!#REF!), "",IF(AND(Games!#REF!="",Games!#REF!=""),"",IF(ISTEXT(Games!#REF!), "Side",Games!#REF!)))</f>
        <v>#REF!</v>
      </c>
      <c r="J461" s="65" t="e">
        <f>IF(ISBLANK(Games!#REF!), "",IF(Games!#REF!="Y", Games!#REF!, Games!#REF!))</f>
        <v>#REF!</v>
      </c>
      <c r="K461" s="65" t="e">
        <f>Games!#REF!</f>
        <v>#REF!</v>
      </c>
      <c r="L461" s="65" t="e">
        <f>IF(ISBLANK(Games!#REF!), "",Games!#REF!)</f>
        <v>#REF!</v>
      </c>
      <c r="M461" s="65"/>
      <c r="N461" s="167" t="str">
        <f>IF(ISBLANK(Table123[[#This Row],[Odds Side - Difference Model]]), "", 1)</f>
      </c>
      <c r="O461" s="167" t="str">
        <f>IF(ISBLANK(Table123[[#This Row],[Odds Spread]]), "", 1)</f>
      </c>
      <c r="P461" s="67"/>
      <c r="Q461" s="67"/>
      <c r="R4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1" s="67"/>
      <c r="T461" s="67"/>
      <c r="U461" s="168" t="str">
        <f>IF(ISBLANK(Table123[[#This Row],[Odds Side - Difference Model]]), "",N461+IF(Q461&lt;0, (N461/(Q461/-100)), N461*(Q461/100)))</f>
      </c>
      <c r="V461" s="169" t="str">
        <f>IFERROR(IF(ISBLANK(Table123[[#This Row],[Odds Side - Win Probability Model]]), "",N461+IF(R461&lt;0, (N461/(R461/-100)), N461*(R461/100))),"")</f>
      </c>
      <c r="W461" s="168" t="str">
        <f t="shared" si="49"/>
      </c>
      <c r="X461" s="169" t="str">
        <f t="shared" si="50"/>
      </c>
      <c r="Y461" s="168" t="str">
        <f>IF(ISBLANK(Table123[[#This Row],[Odds Spread]]), "",O461+IF(S461&lt;0, (O461/(S461/-100)), O461*(S461/100)))</f>
      </c>
      <c r="Z461" s="168" t="str">
        <f t="shared" si="51"/>
      </c>
      <c r="AA461" s="68" t="n">
        <f t="shared" si="52"/>
        <v>0</v>
      </c>
      <c r="AB461" s="68" t="n">
        <f t="shared" si="53"/>
        <v>0</v>
      </c>
      <c r="AC461" s="170" t="e">
        <f>IF('Prediction Log'!#REF!="Y", "W", IF('Prediction Log'!#REF!="N","L",""))</f>
        <v>#REF!</v>
      </c>
      <c r="AD461" s="171" t="e">
        <f>IF('Prediction Log'!#REF!="Y", "W", IF('Prediction Log'!#REF!="N","L",""))</f>
        <v>#REF!</v>
      </c>
      <c r="AE461" s="172" t="str">
        <f>IF(ISBLANK(Table123[[#This Row],[Odds Side - Difference Model]]), "",IF(AC461="W", W461, IF(AC461="L",-N461, "")))</f>
      </c>
      <c r="AF461" s="173" t="str">
        <f>IFERROR((IF(ISERR(Table123[[#This Row],[Potential Payout Side - Win Probability Model]]), "",IF(AD461="W", X461, IF(AD461="L",-N461, "")))), "")</f>
      </c>
      <c r="AG461" s="170" t="e">
        <f>IF('Prediction Log'!#REF!="Y", "W", IF('Prediction Log'!#REF!="N", "L", ""))</f>
        <v>#REF!</v>
      </c>
      <c r="AH461" s="172" t="str">
        <f>IF(ISBLANK(Table123[[#This Row],[Odds Spread]]), "",IF(AG461="W", Z461, IF(AG461="L",-O461, "")))</f>
      </c>
      <c r="AI461" s="184"/>
      <c r="AJ461" s="183" t="str">
        <f t="shared" si="54"/>
      </c>
      <c r="AK4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2">
      <c r="A462" s="65" t="e">
        <f>Games!#REF!</f>
        <v>#REF!</v>
      </c>
      <c r="B462" s="65" t="e">
        <f>IF('Prediction Log'!#REF!=0, "",'Prediction Log'!#REF!)</f>
        <v>#REF!</v>
      </c>
      <c r="C462" s="65" t="e">
        <f>IF('Prediction Log'!#REF!=0, "",'Prediction Log'!#REF!)</f>
        <v>#REF!</v>
      </c>
      <c r="D462" s="65" t="e">
        <f>IF('Prediction Log'!#REF!=0, "",'Prediction Log'!#REF!)</f>
        <v>#REF!</v>
      </c>
      <c r="E462" s="65" t="e">
        <f>IF('Prediction Log'!#REF!=0, "",'Prediction Log'!#REF!)</f>
        <v>#REF!</v>
      </c>
      <c r="F462" s="65" t="e">
        <f>IF('Prediction Log'!#REF!=0, "",'Prediction Log'!#REF!)</f>
        <v>#REF!</v>
      </c>
      <c r="G462" s="64" t="e">
        <f>IF(ISBLANK(Games!#REF!), "",'Prediction Log'!#REF!)</f>
        <v>#REF!</v>
      </c>
      <c r="H462" s="66" t="e">
        <f>'Prediction Log'!#REF!</f>
        <v>#REF!</v>
      </c>
      <c r="I462" s="65" t="e">
        <f>IF(ISBLANK(Games!#REF!), "",IF(AND(Games!#REF!="",Games!#REF!=""),"",IF(ISTEXT(Games!#REF!), "Side",Games!#REF!)))</f>
        <v>#REF!</v>
      </c>
      <c r="J462" s="65" t="e">
        <f>IF(ISBLANK(Games!#REF!), "",IF(Games!#REF!="Y", Games!#REF!, Games!#REF!))</f>
        <v>#REF!</v>
      </c>
      <c r="K462" s="65" t="e">
        <f>Games!#REF!</f>
        <v>#REF!</v>
      </c>
      <c r="L462" s="65" t="e">
        <f>IF(ISBLANK(Games!#REF!), "",Games!#REF!)</f>
        <v>#REF!</v>
      </c>
      <c r="M462" s="65"/>
      <c r="N462" s="167" t="str">
        <f>IF(ISBLANK(Table123[[#This Row],[Odds Side - Difference Model]]), "", 1)</f>
      </c>
      <c r="O462" s="167" t="str">
        <f>IF(ISBLANK(Table123[[#This Row],[Odds Spread]]), "", 1)</f>
      </c>
      <c r="P462" s="67"/>
      <c r="Q462" s="67"/>
      <c r="R4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2" s="67"/>
      <c r="T462" s="67"/>
      <c r="U462" s="168" t="str">
        <f>IF(ISBLANK(Table123[[#This Row],[Odds Side - Difference Model]]), "",N462+IF(Q462&lt;0, (N462/(Q462/-100)), N462*(Q462/100)))</f>
      </c>
      <c r="V462" s="169" t="str">
        <f>IFERROR(IF(ISBLANK(Table123[[#This Row],[Odds Side - Win Probability Model]]), "",N462+IF(R462&lt;0, (N462/(R462/-100)), N462*(R462/100))),"")</f>
      </c>
      <c r="W462" s="168" t="str">
        <f t="shared" si="49"/>
      </c>
      <c r="X462" s="169" t="str">
        <f t="shared" si="50"/>
      </c>
      <c r="Y462" s="168" t="str">
        <f>IF(ISBLANK(Table123[[#This Row],[Odds Spread]]), "",O462+IF(S462&lt;0, (O462/(S462/-100)), O462*(S462/100)))</f>
      </c>
      <c r="Z462" s="168" t="str">
        <f t="shared" si="51"/>
      </c>
      <c r="AA462" s="68" t="n">
        <f t="shared" si="52"/>
        <v>0</v>
      </c>
      <c r="AB462" s="68" t="n">
        <f t="shared" si="53"/>
        <v>0</v>
      </c>
      <c r="AC462" s="170" t="e">
        <f>IF('Prediction Log'!#REF!="Y", "W", IF('Prediction Log'!#REF!="N","L",""))</f>
        <v>#REF!</v>
      </c>
      <c r="AD462" s="171" t="e">
        <f>IF('Prediction Log'!#REF!="Y", "W", IF('Prediction Log'!#REF!="N","L",""))</f>
        <v>#REF!</v>
      </c>
      <c r="AE462" s="172" t="str">
        <f>IF(ISBLANK(Table123[[#This Row],[Odds Side - Difference Model]]), "",IF(AC462="W", W462, IF(AC462="L",-N462, "")))</f>
      </c>
      <c r="AF462" s="173" t="str">
        <f>IFERROR((IF(ISERR(Table123[[#This Row],[Potential Payout Side - Win Probability Model]]), "",IF(AD462="W", X462, IF(AD462="L",-N462, "")))), "")</f>
      </c>
      <c r="AG462" s="170" t="e">
        <f>IF('Prediction Log'!#REF!="Y", "W", IF('Prediction Log'!#REF!="N", "L", ""))</f>
        <v>#REF!</v>
      </c>
      <c r="AH462" s="172" t="str">
        <f>IF(ISBLANK(Table123[[#This Row],[Odds Spread]]), "",IF(AG462="W", Z462, IF(AG462="L",-O462, "")))</f>
      </c>
      <c r="AI462" s="184"/>
      <c r="AJ462" s="183" t="str">
        <f t="shared" si="54"/>
      </c>
      <c r="AK4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3">
      <c r="A463" s="65" t="e">
        <f>Games!#REF!</f>
        <v>#REF!</v>
      </c>
      <c r="B463" s="65" t="e">
        <f>IF('Prediction Log'!#REF!=0, "",'Prediction Log'!#REF!)</f>
        <v>#REF!</v>
      </c>
      <c r="C463" s="65" t="e">
        <f>IF('Prediction Log'!#REF!=0, "",'Prediction Log'!#REF!)</f>
        <v>#REF!</v>
      </c>
      <c r="D463" s="65" t="e">
        <f>IF('Prediction Log'!#REF!=0, "",'Prediction Log'!#REF!)</f>
        <v>#REF!</v>
      </c>
      <c r="E463" s="65" t="e">
        <f>IF('Prediction Log'!#REF!=0, "",'Prediction Log'!#REF!)</f>
        <v>#REF!</v>
      </c>
      <c r="F463" s="65" t="e">
        <f>IF('Prediction Log'!#REF!=0, "",'Prediction Log'!#REF!)</f>
        <v>#REF!</v>
      </c>
      <c r="G463" s="64" t="e">
        <f>IF(ISBLANK(Games!#REF!), "",'Prediction Log'!#REF!)</f>
        <v>#REF!</v>
      </c>
      <c r="H463" s="66" t="e">
        <f>'Prediction Log'!#REF!</f>
        <v>#REF!</v>
      </c>
      <c r="I463" s="65" t="e">
        <f>IF(ISBLANK(Games!#REF!), "",IF(AND(Games!#REF!="",Games!#REF!=""),"",IF(ISTEXT(Games!#REF!), "Side",Games!#REF!)))</f>
        <v>#REF!</v>
      </c>
      <c r="J463" s="65" t="e">
        <f>IF(ISBLANK(Games!#REF!), "",IF(Games!#REF!="Y", Games!#REF!, Games!#REF!))</f>
        <v>#REF!</v>
      </c>
      <c r="K463" s="65" t="e">
        <f>Games!#REF!</f>
        <v>#REF!</v>
      </c>
      <c r="L463" s="65" t="e">
        <f>IF(ISBLANK(Games!#REF!), "",Games!#REF!)</f>
        <v>#REF!</v>
      </c>
      <c r="M463" s="65"/>
      <c r="N463" s="167" t="str">
        <f>IF(ISBLANK(Table123[[#This Row],[Odds Side - Difference Model]]), "", 1)</f>
      </c>
      <c r="O463" s="167" t="str">
        <f>IF(ISBLANK(Table123[[#This Row],[Odds Spread]]), "", 1)</f>
      </c>
      <c r="P463" s="67"/>
      <c r="Q463" s="67"/>
      <c r="R4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3" s="67"/>
      <c r="T463" s="67"/>
      <c r="U463" s="168" t="str">
        <f>IF(ISBLANK(Table123[[#This Row],[Odds Side - Difference Model]]), "",N463+IF(Q463&lt;0, (N463/(Q463/-100)), N463*(Q463/100)))</f>
      </c>
      <c r="V463" s="169" t="str">
        <f>IFERROR(IF(ISBLANK(Table123[[#This Row],[Odds Side - Win Probability Model]]), "",N463+IF(R463&lt;0, (N463/(R463/-100)), N463*(R463/100))),"")</f>
      </c>
      <c r="W463" s="168" t="str">
        <f t="shared" si="49"/>
      </c>
      <c r="X463" s="169" t="str">
        <f t="shared" si="50"/>
      </c>
      <c r="Y463" s="168" t="str">
        <f>IF(ISBLANK(Table123[[#This Row],[Odds Spread]]), "",O463+IF(S463&lt;0, (O463/(S463/-100)), O463*(S463/100)))</f>
      </c>
      <c r="Z463" s="168" t="str">
        <f t="shared" si="51"/>
      </c>
      <c r="AA463" s="68" t="n">
        <f t="shared" si="52"/>
        <v>0</v>
      </c>
      <c r="AB463" s="68" t="n">
        <f t="shared" si="53"/>
        <v>0</v>
      </c>
      <c r="AC463" s="170" t="e">
        <f>IF('Prediction Log'!#REF!="Y", "W", IF('Prediction Log'!#REF!="N","L",""))</f>
        <v>#REF!</v>
      </c>
      <c r="AD463" s="171" t="e">
        <f>IF('Prediction Log'!#REF!="Y", "W", IF('Prediction Log'!#REF!="N","L",""))</f>
        <v>#REF!</v>
      </c>
      <c r="AE463" s="172" t="str">
        <f>IF(ISBLANK(Table123[[#This Row],[Odds Side - Difference Model]]), "",IF(AC463="W", W463, IF(AC463="L",-N463, "")))</f>
      </c>
      <c r="AF463" s="173" t="str">
        <f>IFERROR((IF(ISERR(Table123[[#This Row],[Potential Payout Side - Win Probability Model]]), "",IF(AD463="W", X463, IF(AD463="L",-N463, "")))), "")</f>
      </c>
      <c r="AG463" s="170" t="e">
        <f>IF('Prediction Log'!#REF!="Y", "W", IF('Prediction Log'!#REF!="N", "L", ""))</f>
        <v>#REF!</v>
      </c>
      <c r="AH463" s="172" t="str">
        <f>IF(ISBLANK(Table123[[#This Row],[Odds Spread]]), "",IF(AG463="W", Z463, IF(AG463="L",-O463, "")))</f>
      </c>
      <c r="AI463" s="184"/>
      <c r="AJ463" s="183" t="str">
        <f t="shared" si="54"/>
      </c>
      <c r="AK4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4">
      <c r="A464" s="65" t="e">
        <f>Games!#REF!</f>
        <v>#REF!</v>
      </c>
      <c r="B464" s="65" t="e">
        <f>IF('Prediction Log'!#REF!=0, "",'Prediction Log'!#REF!)</f>
        <v>#REF!</v>
      </c>
      <c r="C464" s="65" t="e">
        <f>IF('Prediction Log'!#REF!=0, "",'Prediction Log'!#REF!)</f>
        <v>#REF!</v>
      </c>
      <c r="D464" s="65" t="e">
        <f>IF('Prediction Log'!#REF!=0, "",'Prediction Log'!#REF!)</f>
        <v>#REF!</v>
      </c>
      <c r="E464" s="65" t="e">
        <f>IF('Prediction Log'!#REF!=0, "",'Prediction Log'!#REF!)</f>
        <v>#REF!</v>
      </c>
      <c r="F464" s="65" t="e">
        <f>IF('Prediction Log'!#REF!=0, "",'Prediction Log'!#REF!)</f>
        <v>#REF!</v>
      </c>
      <c r="G464" s="64" t="e">
        <f>IF(ISBLANK(Games!#REF!), "",'Prediction Log'!#REF!)</f>
        <v>#REF!</v>
      </c>
      <c r="H464" s="66" t="e">
        <f>'Prediction Log'!#REF!</f>
        <v>#REF!</v>
      </c>
      <c r="I464" s="65" t="e">
        <f>IF(ISBLANK(Games!#REF!), "",IF(AND(Games!#REF!="",Games!#REF!=""),"",IF(ISTEXT(Games!#REF!), "Side",Games!#REF!)))</f>
        <v>#REF!</v>
      </c>
      <c r="J464" s="65" t="e">
        <f>IF(ISBLANK(Games!#REF!), "",IF(Games!#REF!="Y", Games!#REF!, Games!#REF!))</f>
        <v>#REF!</v>
      </c>
      <c r="K464" s="65" t="e">
        <f>Games!#REF!</f>
        <v>#REF!</v>
      </c>
      <c r="L464" s="65" t="e">
        <f>IF(ISBLANK(Games!#REF!), "",Games!#REF!)</f>
        <v>#REF!</v>
      </c>
      <c r="M464" s="65"/>
      <c r="N464" s="167" t="str">
        <f>IF(ISBLANK(Table123[[#This Row],[Odds Side - Difference Model]]), "", 1)</f>
      </c>
      <c r="O464" s="167" t="str">
        <f>IF(ISBLANK(Table123[[#This Row],[Odds Spread]]), "", 1)</f>
      </c>
      <c r="P464" s="67"/>
      <c r="Q464" s="67"/>
      <c r="R4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4" s="67"/>
      <c r="T464" s="67"/>
      <c r="U464" s="168" t="str">
        <f>IF(ISBLANK(Table123[[#This Row],[Odds Side - Difference Model]]), "",N464+IF(Q464&lt;0, (N464/(Q464/-100)), N464*(Q464/100)))</f>
      </c>
      <c r="V464" s="169" t="str">
        <f>IFERROR(IF(ISBLANK(Table123[[#This Row],[Odds Side - Win Probability Model]]), "",N464+IF(R464&lt;0, (N464/(R464/-100)), N464*(R464/100))),"")</f>
      </c>
      <c r="W464" s="168" t="str">
        <f t="shared" si="49"/>
      </c>
      <c r="X464" s="169" t="str">
        <f t="shared" si="50"/>
      </c>
      <c r="Y464" s="168" t="str">
        <f>IF(ISBLANK(Table123[[#This Row],[Odds Spread]]), "",O464+IF(S464&lt;0, (O464/(S464/-100)), O464*(S464/100)))</f>
      </c>
      <c r="Z464" s="168" t="str">
        <f t="shared" si="51"/>
      </c>
      <c r="AA464" s="68" t="n">
        <f t="shared" si="52"/>
        <v>0</v>
      </c>
      <c r="AB464" s="68" t="n">
        <f t="shared" si="53"/>
        <v>0</v>
      </c>
      <c r="AC464" s="170" t="e">
        <f>IF('Prediction Log'!#REF!="Y", "W", IF('Prediction Log'!#REF!="N","L",""))</f>
        <v>#REF!</v>
      </c>
      <c r="AD464" s="171" t="e">
        <f>IF('Prediction Log'!#REF!="Y", "W", IF('Prediction Log'!#REF!="N","L",""))</f>
        <v>#REF!</v>
      </c>
      <c r="AE464" s="172" t="str">
        <f>IF(ISBLANK(Table123[[#This Row],[Odds Side - Difference Model]]), "",IF(AC464="W", W464, IF(AC464="L",-N464, "")))</f>
      </c>
      <c r="AF464" s="173" t="str">
        <f>IFERROR((IF(ISERR(Table123[[#This Row],[Potential Payout Side - Win Probability Model]]), "",IF(AD464="W", X464, IF(AD464="L",-N464, "")))), "")</f>
      </c>
      <c r="AG464" s="170" t="e">
        <f>IF('Prediction Log'!#REF!="Y", "W", IF('Prediction Log'!#REF!="N", "L", ""))</f>
        <v>#REF!</v>
      </c>
      <c r="AH464" s="172" t="str">
        <f>IF(ISBLANK(Table123[[#This Row],[Odds Spread]]), "",IF(AG464="W", Z464, IF(AG464="L",-O464, "")))</f>
      </c>
      <c r="AI464" s="184"/>
      <c r="AJ464" s="183" t="str">
        <f t="shared" si="54"/>
      </c>
      <c r="AK4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5">
      <c r="A465" s="65" t="e">
        <f>Games!#REF!</f>
        <v>#REF!</v>
      </c>
      <c r="B465" s="65" t="e">
        <f>IF('Prediction Log'!#REF!=0, "",'Prediction Log'!#REF!)</f>
        <v>#REF!</v>
      </c>
      <c r="C465" s="65" t="e">
        <f>IF('Prediction Log'!#REF!=0, "",'Prediction Log'!#REF!)</f>
        <v>#REF!</v>
      </c>
      <c r="D465" s="65" t="e">
        <f>IF('Prediction Log'!#REF!=0, "",'Prediction Log'!#REF!)</f>
        <v>#REF!</v>
      </c>
      <c r="E465" s="65" t="e">
        <f>IF('Prediction Log'!#REF!=0, "",'Prediction Log'!#REF!)</f>
        <v>#REF!</v>
      </c>
      <c r="F465" s="65" t="e">
        <f>IF('Prediction Log'!#REF!=0, "",'Prediction Log'!#REF!)</f>
        <v>#REF!</v>
      </c>
      <c r="G465" s="64" t="e">
        <f>IF(ISBLANK(Games!#REF!), "",'Prediction Log'!#REF!)</f>
        <v>#REF!</v>
      </c>
      <c r="H465" s="66" t="e">
        <f>'Prediction Log'!#REF!</f>
        <v>#REF!</v>
      </c>
      <c r="I465" s="65" t="e">
        <f>IF(ISBLANK(Games!#REF!), "",IF(AND(Games!#REF!="",Games!#REF!=""),"",IF(ISTEXT(Games!#REF!), "Side",Games!#REF!)))</f>
        <v>#REF!</v>
      </c>
      <c r="J465" s="65" t="e">
        <f>IF(ISBLANK(Games!#REF!), "",IF(Games!#REF!="Y", Games!#REF!, Games!#REF!))</f>
        <v>#REF!</v>
      </c>
      <c r="K465" s="65" t="e">
        <f>Games!#REF!</f>
        <v>#REF!</v>
      </c>
      <c r="L465" s="65" t="e">
        <f>IF(ISBLANK(Games!#REF!), "",Games!#REF!)</f>
        <v>#REF!</v>
      </c>
      <c r="M465" s="65"/>
      <c r="N465" s="167" t="str">
        <f>IF(ISBLANK(Table123[[#This Row],[Odds Side - Difference Model]]), "", 1)</f>
      </c>
      <c r="O465" s="167" t="str">
        <f>IF(ISBLANK(Table123[[#This Row],[Odds Spread]]), "", 1)</f>
      </c>
      <c r="P465" s="67"/>
      <c r="Q465" s="67"/>
      <c r="R4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5" s="67"/>
      <c r="T465" s="67"/>
      <c r="U465" s="168" t="str">
        <f>IF(ISBLANK(Table123[[#This Row],[Odds Side - Difference Model]]), "",N465+IF(Q465&lt;0, (N465/(Q465/-100)), N465*(Q465/100)))</f>
      </c>
      <c r="V465" s="169" t="str">
        <f>IFERROR(IF(ISBLANK(Table123[[#This Row],[Odds Side - Win Probability Model]]), "",N465+IF(R465&lt;0, (N465/(R465/-100)), N465*(R465/100))),"")</f>
      </c>
      <c r="W465" s="168" t="str">
        <f t="shared" si="49"/>
      </c>
      <c r="X465" s="169" t="str">
        <f t="shared" si="50"/>
      </c>
      <c r="Y465" s="168" t="str">
        <f>IF(ISBLANK(Table123[[#This Row],[Odds Spread]]), "",O465+IF(S465&lt;0, (O465/(S465/-100)), O465*(S465/100)))</f>
      </c>
      <c r="Z465" s="168" t="str">
        <f t="shared" si="51"/>
      </c>
      <c r="AA465" s="68" t="n">
        <f t="shared" si="52"/>
        <v>0</v>
      </c>
      <c r="AB465" s="68" t="n">
        <f t="shared" si="53"/>
        <v>0</v>
      </c>
      <c r="AC465" s="170" t="e">
        <f>IF('Prediction Log'!#REF!="Y", "W", IF('Prediction Log'!#REF!="N","L",""))</f>
        <v>#REF!</v>
      </c>
      <c r="AD465" s="171" t="e">
        <f>IF('Prediction Log'!#REF!="Y", "W", IF('Prediction Log'!#REF!="N","L",""))</f>
        <v>#REF!</v>
      </c>
      <c r="AE465" s="172" t="str">
        <f>IF(ISBLANK(Table123[[#This Row],[Odds Side - Difference Model]]), "",IF(AC465="W", W465, IF(AC465="L",-N465, "")))</f>
      </c>
      <c r="AF465" s="173" t="str">
        <f>IFERROR((IF(ISERR(Table123[[#This Row],[Potential Payout Side - Win Probability Model]]), "",IF(AD465="W", X465, IF(AD465="L",-N465, "")))), "")</f>
      </c>
      <c r="AG465" s="170" t="e">
        <f>IF('Prediction Log'!#REF!="Y", "W", IF('Prediction Log'!#REF!="N", "L", ""))</f>
        <v>#REF!</v>
      </c>
      <c r="AH465" s="172" t="str">
        <f>IF(ISBLANK(Table123[[#This Row],[Odds Spread]]), "",IF(AG465="W", Z465, IF(AG465="L",-O465, "")))</f>
      </c>
      <c r="AI465" s="184"/>
      <c r="AJ465" s="183" t="str">
        <f t="shared" si="54"/>
      </c>
      <c r="AK4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6">
      <c r="A466" s="65" t="e">
        <f>Games!#REF!</f>
        <v>#REF!</v>
      </c>
      <c r="B466" s="65" t="e">
        <f>IF('Prediction Log'!#REF!=0, "",'Prediction Log'!#REF!)</f>
        <v>#REF!</v>
      </c>
      <c r="C466" s="65" t="e">
        <f>IF('Prediction Log'!#REF!=0, "",'Prediction Log'!#REF!)</f>
        <v>#REF!</v>
      </c>
      <c r="D466" s="65" t="e">
        <f>IF('Prediction Log'!#REF!=0, "",'Prediction Log'!#REF!)</f>
        <v>#REF!</v>
      </c>
      <c r="E466" s="65" t="e">
        <f>IF('Prediction Log'!#REF!=0, "",'Prediction Log'!#REF!)</f>
        <v>#REF!</v>
      </c>
      <c r="F466" s="65" t="e">
        <f>IF('Prediction Log'!#REF!=0, "",'Prediction Log'!#REF!)</f>
        <v>#REF!</v>
      </c>
      <c r="G466" s="64" t="e">
        <f>IF(ISBLANK(Games!#REF!), "",'Prediction Log'!#REF!)</f>
        <v>#REF!</v>
      </c>
      <c r="H466" s="66" t="e">
        <f>'Prediction Log'!#REF!</f>
        <v>#REF!</v>
      </c>
      <c r="I466" s="65" t="e">
        <f>IF(ISBLANK(Games!#REF!), "",IF(AND(Games!#REF!="",Games!#REF!=""),"",IF(ISTEXT(Games!#REF!), "Side",Games!#REF!)))</f>
        <v>#REF!</v>
      </c>
      <c r="J466" s="65" t="e">
        <f>IF(ISBLANK(Games!#REF!), "",IF(Games!#REF!="Y", Games!#REF!, Games!#REF!))</f>
        <v>#REF!</v>
      </c>
      <c r="K466" s="65" t="e">
        <f>Games!#REF!</f>
        <v>#REF!</v>
      </c>
      <c r="L466" s="65" t="e">
        <f>IF(ISBLANK(Games!#REF!), "",Games!#REF!)</f>
        <v>#REF!</v>
      </c>
      <c r="M466" s="65"/>
      <c r="N466" s="167" t="str">
        <f>IF(ISBLANK(Table123[[#This Row],[Odds Side - Difference Model]]), "", 1)</f>
      </c>
      <c r="O466" s="167" t="str">
        <f>IF(ISBLANK(Table123[[#This Row],[Odds Spread]]), "", 1)</f>
      </c>
      <c r="P466" s="67"/>
      <c r="Q466" s="67"/>
      <c r="R4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6" s="67"/>
      <c r="T466" s="67"/>
      <c r="U466" s="168" t="str">
        <f>IF(ISBLANK(Table123[[#This Row],[Odds Side - Difference Model]]), "",N466+IF(Q466&lt;0, (N466/(Q466/-100)), N466*(Q466/100)))</f>
      </c>
      <c r="V466" s="169" t="str">
        <f>IFERROR(IF(ISBLANK(Table123[[#This Row],[Odds Side - Win Probability Model]]), "",N466+IF(R466&lt;0, (N466/(R466/-100)), N466*(R466/100))),"")</f>
      </c>
      <c r="W466" s="168" t="str">
        <f t="shared" si="49"/>
      </c>
      <c r="X466" s="169" t="str">
        <f t="shared" si="50"/>
      </c>
      <c r="Y466" s="168" t="str">
        <f>IF(ISBLANK(Table123[[#This Row],[Odds Spread]]), "",O466+IF(S466&lt;0, (O466/(S466/-100)), O466*(S466/100)))</f>
      </c>
      <c r="Z466" s="168" t="str">
        <f t="shared" si="51"/>
      </c>
      <c r="AA466" s="68" t="n">
        <f t="shared" si="52"/>
        <v>0</v>
      </c>
      <c r="AB466" s="68" t="n">
        <f t="shared" si="53"/>
        <v>0</v>
      </c>
      <c r="AC466" s="170" t="e">
        <f>IF('Prediction Log'!#REF!="Y", "W", IF('Prediction Log'!#REF!="N","L",""))</f>
        <v>#REF!</v>
      </c>
      <c r="AD466" s="171" t="e">
        <f>IF('Prediction Log'!#REF!="Y", "W", IF('Prediction Log'!#REF!="N","L",""))</f>
        <v>#REF!</v>
      </c>
      <c r="AE466" s="172" t="str">
        <f>IF(ISBLANK(Table123[[#This Row],[Odds Side - Difference Model]]), "",IF(AC466="W", W466, IF(AC466="L",-N466, "")))</f>
      </c>
      <c r="AF466" s="173" t="str">
        <f>IFERROR((IF(ISERR(Table123[[#This Row],[Potential Payout Side - Win Probability Model]]), "",IF(AD466="W", X466, IF(AD466="L",-N466, "")))), "")</f>
      </c>
      <c r="AG466" s="170" t="e">
        <f>IF('Prediction Log'!#REF!="Y", "W", IF('Prediction Log'!#REF!="N", "L", ""))</f>
        <v>#REF!</v>
      </c>
      <c r="AH466" s="172" t="str">
        <f>IF(ISBLANK(Table123[[#This Row],[Odds Spread]]), "",IF(AG466="W", Z466, IF(AG466="L",-O466, "")))</f>
      </c>
      <c r="AI466" s="184"/>
      <c r="AJ466" s="183" t="str">
        <f t="shared" si="54"/>
      </c>
      <c r="AK4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7">
      <c r="A467" s="65" t="e">
        <f>Games!#REF!</f>
        <v>#REF!</v>
      </c>
      <c r="B467" s="65" t="e">
        <f>IF('Prediction Log'!#REF!=0, "",'Prediction Log'!#REF!)</f>
        <v>#REF!</v>
      </c>
      <c r="C467" s="65" t="e">
        <f>IF('Prediction Log'!#REF!=0, "",'Prediction Log'!#REF!)</f>
        <v>#REF!</v>
      </c>
      <c r="D467" s="65" t="e">
        <f>IF('Prediction Log'!#REF!=0, "",'Prediction Log'!#REF!)</f>
        <v>#REF!</v>
      </c>
      <c r="E467" s="65" t="e">
        <f>IF('Prediction Log'!#REF!=0, "",'Prediction Log'!#REF!)</f>
        <v>#REF!</v>
      </c>
      <c r="F467" s="65" t="e">
        <f>IF('Prediction Log'!#REF!=0, "",'Prediction Log'!#REF!)</f>
        <v>#REF!</v>
      </c>
      <c r="G467" s="64" t="e">
        <f>IF(ISBLANK(Games!#REF!), "",'Prediction Log'!#REF!)</f>
        <v>#REF!</v>
      </c>
      <c r="H467" s="66" t="e">
        <f>'Prediction Log'!#REF!</f>
        <v>#REF!</v>
      </c>
      <c r="I467" s="65" t="e">
        <f>IF(ISBLANK(Games!#REF!), "",IF(AND(Games!#REF!="",Games!#REF!=""),"",IF(ISTEXT(Games!#REF!), "Side",Games!#REF!)))</f>
        <v>#REF!</v>
      </c>
      <c r="J467" s="65" t="e">
        <f>IF(ISBLANK(Games!#REF!), "",IF(Games!#REF!="Y", Games!#REF!, Games!#REF!))</f>
        <v>#REF!</v>
      </c>
      <c r="K467" s="65" t="e">
        <f>Games!#REF!</f>
        <v>#REF!</v>
      </c>
      <c r="L467" s="65" t="e">
        <f>IF(ISBLANK(Games!#REF!), "",Games!#REF!)</f>
        <v>#REF!</v>
      </c>
      <c r="M467" s="65"/>
      <c r="N467" s="167" t="str">
        <f>IF(ISBLANK(Table123[[#This Row],[Odds Side - Difference Model]]), "", 1)</f>
      </c>
      <c r="O467" s="167" t="str">
        <f>IF(ISBLANK(Table123[[#This Row],[Odds Spread]]), "", 1)</f>
      </c>
      <c r="P467" s="67"/>
      <c r="Q467" s="67"/>
      <c r="R4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7" s="67"/>
      <c r="T467" s="67"/>
      <c r="U467" s="168" t="str">
        <f>IF(ISBLANK(Table123[[#This Row],[Odds Side - Difference Model]]), "",N467+IF(Q467&lt;0, (N467/(Q467/-100)), N467*(Q467/100)))</f>
      </c>
      <c r="V467" s="169" t="str">
        <f>IFERROR(IF(ISBLANK(Table123[[#This Row],[Odds Side - Win Probability Model]]), "",N467+IF(R467&lt;0, (N467/(R467/-100)), N467*(R467/100))),"")</f>
      </c>
      <c r="W467" s="168" t="str">
        <f t="shared" si="49"/>
      </c>
      <c r="X467" s="169" t="str">
        <f t="shared" si="50"/>
      </c>
      <c r="Y467" s="168" t="str">
        <f>IF(ISBLANK(Table123[[#This Row],[Odds Spread]]), "",O467+IF(S467&lt;0, (O467/(S467/-100)), O467*(S467/100)))</f>
      </c>
      <c r="Z467" s="168" t="str">
        <f t="shared" si="51"/>
      </c>
      <c r="AA467" s="68" t="n">
        <f t="shared" si="52"/>
        <v>0</v>
      </c>
      <c r="AB467" s="68" t="n">
        <f t="shared" si="53"/>
        <v>0</v>
      </c>
      <c r="AC467" s="170" t="e">
        <f>IF('Prediction Log'!#REF!="Y", "W", IF('Prediction Log'!#REF!="N","L",""))</f>
        <v>#REF!</v>
      </c>
      <c r="AD467" s="171" t="e">
        <f>IF('Prediction Log'!#REF!="Y", "W", IF('Prediction Log'!#REF!="N","L",""))</f>
        <v>#REF!</v>
      </c>
      <c r="AE467" s="172" t="str">
        <f>IF(ISBLANK(Table123[[#This Row],[Odds Side - Difference Model]]), "",IF(AC467="W", W467, IF(AC467="L",-N467, "")))</f>
      </c>
      <c r="AF467" s="173" t="str">
        <f>IFERROR((IF(ISERR(Table123[[#This Row],[Potential Payout Side - Win Probability Model]]), "",IF(AD467="W", X467, IF(AD467="L",-N467, "")))), "")</f>
      </c>
      <c r="AG467" s="170" t="e">
        <f>IF('Prediction Log'!#REF!="Y", "W", IF('Prediction Log'!#REF!="N", "L", ""))</f>
        <v>#REF!</v>
      </c>
      <c r="AH467" s="172" t="str">
        <f>IF(ISBLANK(Table123[[#This Row],[Odds Spread]]), "",IF(AG467="W", Z467, IF(AG467="L",-O467, "")))</f>
      </c>
      <c r="AI467" s="184"/>
      <c r="AJ467" s="183" t="str">
        <f t="shared" si="54"/>
      </c>
      <c r="AK4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8">
      <c r="A468" s="65" t="e">
        <f>Games!#REF!</f>
        <v>#REF!</v>
      </c>
      <c r="B468" s="65" t="e">
        <f>IF('Prediction Log'!#REF!=0, "",'Prediction Log'!#REF!)</f>
        <v>#REF!</v>
      </c>
      <c r="C468" s="65" t="e">
        <f>IF('Prediction Log'!#REF!=0, "",'Prediction Log'!#REF!)</f>
        <v>#REF!</v>
      </c>
      <c r="D468" s="65" t="e">
        <f>IF('Prediction Log'!#REF!=0, "",'Prediction Log'!#REF!)</f>
        <v>#REF!</v>
      </c>
      <c r="E468" s="65" t="e">
        <f>IF('Prediction Log'!#REF!=0, "",'Prediction Log'!#REF!)</f>
        <v>#REF!</v>
      </c>
      <c r="F468" s="65" t="e">
        <f>IF('Prediction Log'!#REF!=0, "",'Prediction Log'!#REF!)</f>
        <v>#REF!</v>
      </c>
      <c r="G468" s="64" t="e">
        <f>IF(ISBLANK(Games!#REF!), "",'Prediction Log'!#REF!)</f>
        <v>#REF!</v>
      </c>
      <c r="H468" s="66" t="e">
        <f>'Prediction Log'!#REF!</f>
        <v>#REF!</v>
      </c>
      <c r="I468" s="65" t="e">
        <f>IF(ISBLANK(Games!#REF!), "",IF(AND(Games!#REF!="",Games!#REF!=""),"",IF(ISTEXT(Games!#REF!), "Side",Games!#REF!)))</f>
        <v>#REF!</v>
      </c>
      <c r="J468" s="65" t="e">
        <f>IF(ISBLANK(Games!#REF!), "",IF(Games!#REF!="Y", Games!#REF!, Games!#REF!))</f>
        <v>#REF!</v>
      </c>
      <c r="K468" s="65" t="e">
        <f>Games!#REF!</f>
        <v>#REF!</v>
      </c>
      <c r="L468" s="65" t="e">
        <f>IF(ISBLANK(Games!#REF!), "",Games!#REF!)</f>
        <v>#REF!</v>
      </c>
      <c r="M468" s="65"/>
      <c r="N468" s="167" t="str">
        <f>IF(ISBLANK(Table123[[#This Row],[Odds Side - Difference Model]]), "", 1)</f>
      </c>
      <c r="O468" s="167" t="str">
        <f>IF(ISBLANK(Table123[[#This Row],[Odds Spread]]), "", 1)</f>
      </c>
      <c r="P468" s="67"/>
      <c r="Q468" s="67"/>
      <c r="R4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8" s="67"/>
      <c r="T468" s="67"/>
      <c r="U468" s="168" t="str">
        <f>IF(ISBLANK(Table123[[#This Row],[Odds Side - Difference Model]]), "",N468+IF(Q468&lt;0, (N468/(Q468/-100)), N468*(Q468/100)))</f>
      </c>
      <c r="V468" s="169" t="str">
        <f>IFERROR(IF(ISBLANK(Table123[[#This Row],[Odds Side - Win Probability Model]]), "",N468+IF(R468&lt;0, (N468/(R468/-100)), N468*(R468/100))),"")</f>
      </c>
      <c r="W468" s="168" t="str">
        <f t="shared" si="49"/>
      </c>
      <c r="X468" s="169" t="str">
        <f t="shared" si="50"/>
      </c>
      <c r="Y468" s="168" t="str">
        <f>IF(ISBLANK(Table123[[#This Row],[Odds Spread]]), "",O468+IF(S468&lt;0, (O468/(S468/-100)), O468*(S468/100)))</f>
      </c>
      <c r="Z468" s="168" t="str">
        <f t="shared" si="51"/>
      </c>
      <c r="AA468" s="68" t="n">
        <f t="shared" si="52"/>
        <v>0</v>
      </c>
      <c r="AB468" s="68" t="n">
        <f t="shared" si="53"/>
        <v>0</v>
      </c>
      <c r="AC468" s="170" t="e">
        <f>IF('Prediction Log'!#REF!="Y", "W", IF('Prediction Log'!#REF!="N","L",""))</f>
        <v>#REF!</v>
      </c>
      <c r="AD468" s="171" t="e">
        <f>IF('Prediction Log'!#REF!="Y", "W", IF('Prediction Log'!#REF!="N","L",""))</f>
        <v>#REF!</v>
      </c>
      <c r="AE468" s="172" t="str">
        <f>IF(ISBLANK(Table123[[#This Row],[Odds Side - Difference Model]]), "",IF(AC468="W", W468, IF(AC468="L",-N468, "")))</f>
      </c>
      <c r="AF468" s="173" t="str">
        <f>IFERROR((IF(ISERR(Table123[[#This Row],[Potential Payout Side - Win Probability Model]]), "",IF(AD468="W", X468, IF(AD468="L",-N468, "")))), "")</f>
      </c>
      <c r="AG468" s="170" t="e">
        <f>IF('Prediction Log'!#REF!="Y", "W", IF('Prediction Log'!#REF!="N", "L", ""))</f>
        <v>#REF!</v>
      </c>
      <c r="AH468" s="172" t="str">
        <f>IF(ISBLANK(Table123[[#This Row],[Odds Spread]]), "",IF(AG468="W", Z468, IF(AG468="L",-O468, "")))</f>
      </c>
      <c r="AI468" s="184"/>
      <c r="AJ468" s="183" t="str">
        <f t="shared" si="54"/>
      </c>
      <c r="AK4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9">
      <c r="A469" s="65" t="e">
        <f>Games!#REF!</f>
        <v>#REF!</v>
      </c>
      <c r="B469" s="65" t="e">
        <f>IF('Prediction Log'!#REF!=0, "",'Prediction Log'!#REF!)</f>
        <v>#REF!</v>
      </c>
      <c r="C469" s="65" t="e">
        <f>IF('Prediction Log'!#REF!=0, "",'Prediction Log'!#REF!)</f>
        <v>#REF!</v>
      </c>
      <c r="D469" s="65" t="e">
        <f>IF('Prediction Log'!#REF!=0, "",'Prediction Log'!#REF!)</f>
        <v>#REF!</v>
      </c>
      <c r="E469" s="65" t="e">
        <f>IF('Prediction Log'!#REF!=0, "",'Prediction Log'!#REF!)</f>
        <v>#REF!</v>
      </c>
      <c r="F469" s="65" t="e">
        <f>IF('Prediction Log'!#REF!=0, "",'Prediction Log'!#REF!)</f>
        <v>#REF!</v>
      </c>
      <c r="G469" s="64" t="e">
        <f>IF(ISBLANK(Games!#REF!), "",'Prediction Log'!#REF!)</f>
        <v>#REF!</v>
      </c>
      <c r="H469" s="66" t="e">
        <f>'Prediction Log'!#REF!</f>
        <v>#REF!</v>
      </c>
      <c r="I469" s="65" t="e">
        <f>IF(ISBLANK(Games!#REF!), "",IF(AND(Games!#REF!="",Games!#REF!=""),"",IF(ISTEXT(Games!#REF!), "Side",Games!#REF!)))</f>
        <v>#REF!</v>
      </c>
      <c r="J469" s="65" t="e">
        <f>IF(ISBLANK(Games!#REF!), "",IF(Games!#REF!="Y", Games!#REF!, Games!#REF!))</f>
        <v>#REF!</v>
      </c>
      <c r="K469" s="65" t="e">
        <f>Games!#REF!</f>
        <v>#REF!</v>
      </c>
      <c r="L469" s="65" t="e">
        <f>IF(ISBLANK(Games!#REF!), "",Games!#REF!)</f>
        <v>#REF!</v>
      </c>
      <c r="M469" s="65"/>
      <c r="N469" s="167" t="str">
        <f>IF(ISBLANK(Table123[[#This Row],[Odds Side - Difference Model]]), "", 1)</f>
      </c>
      <c r="O469" s="167" t="str">
        <f>IF(ISBLANK(Table123[[#This Row],[Odds Spread]]), "", 1)</f>
      </c>
      <c r="P469" s="67"/>
      <c r="Q469" s="67"/>
      <c r="R4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9" s="67"/>
      <c r="T469" s="67"/>
      <c r="U469" s="168" t="str">
        <f>IF(ISBLANK(Table123[[#This Row],[Odds Side - Difference Model]]), "",N469+IF(Q469&lt;0, (N469/(Q469/-100)), N469*(Q469/100)))</f>
      </c>
      <c r="V469" s="169" t="str">
        <f>IFERROR(IF(ISBLANK(Table123[[#This Row],[Odds Side - Win Probability Model]]), "",N469+IF(R469&lt;0, (N469/(R469/-100)), N469*(R469/100))),"")</f>
      </c>
      <c r="W469" s="168" t="str">
        <f t="shared" si="49"/>
      </c>
      <c r="X469" s="169" t="str">
        <f t="shared" si="50"/>
      </c>
      <c r="Y469" s="168" t="str">
        <f>IF(ISBLANK(Table123[[#This Row],[Odds Spread]]), "",O469+IF(S469&lt;0, (O469/(S469/-100)), O469*(S469/100)))</f>
      </c>
      <c r="Z469" s="168" t="str">
        <f t="shared" si="51"/>
      </c>
      <c r="AA469" s="68" t="n">
        <f t="shared" si="52"/>
        <v>0</v>
      </c>
      <c r="AB469" s="68" t="n">
        <f t="shared" si="53"/>
        <v>0</v>
      </c>
      <c r="AC469" s="170" t="e">
        <f>IF('Prediction Log'!#REF!="Y", "W", IF('Prediction Log'!#REF!="N","L",""))</f>
        <v>#REF!</v>
      </c>
      <c r="AD469" s="171" t="e">
        <f>IF('Prediction Log'!#REF!="Y", "W", IF('Prediction Log'!#REF!="N","L",""))</f>
        <v>#REF!</v>
      </c>
      <c r="AE469" s="172" t="str">
        <f>IF(ISBLANK(Table123[[#This Row],[Odds Side - Difference Model]]), "",IF(AC469="W", W469, IF(AC469="L",-N469, "")))</f>
      </c>
      <c r="AF469" s="173" t="str">
        <f>IFERROR((IF(ISERR(Table123[[#This Row],[Potential Payout Side - Win Probability Model]]), "",IF(AD469="W", X469, IF(AD469="L",-N469, "")))), "")</f>
      </c>
      <c r="AG469" s="170" t="e">
        <f>IF('Prediction Log'!#REF!="Y", "W", IF('Prediction Log'!#REF!="N", "L", ""))</f>
        <v>#REF!</v>
      </c>
      <c r="AH469" s="172" t="str">
        <f>IF(ISBLANK(Table123[[#This Row],[Odds Spread]]), "",IF(AG469="W", Z469, IF(AG469="L",-O469, "")))</f>
      </c>
      <c r="AI469" s="184"/>
      <c r="AJ469" s="183" t="str">
        <f t="shared" si="54"/>
      </c>
      <c r="AK4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0">
      <c r="A470" s="65" t="e">
        <f>Games!#REF!</f>
        <v>#REF!</v>
      </c>
      <c r="B470" s="65" t="e">
        <f>IF('Prediction Log'!#REF!=0, "",'Prediction Log'!#REF!)</f>
        <v>#REF!</v>
      </c>
      <c r="C470" s="65" t="e">
        <f>IF('Prediction Log'!#REF!=0, "",'Prediction Log'!#REF!)</f>
        <v>#REF!</v>
      </c>
      <c r="D470" s="65" t="e">
        <f>IF('Prediction Log'!#REF!=0, "",'Prediction Log'!#REF!)</f>
        <v>#REF!</v>
      </c>
      <c r="E470" s="65" t="e">
        <f>IF('Prediction Log'!#REF!=0, "",'Prediction Log'!#REF!)</f>
        <v>#REF!</v>
      </c>
      <c r="F470" s="65" t="e">
        <f>IF('Prediction Log'!#REF!=0, "",'Prediction Log'!#REF!)</f>
        <v>#REF!</v>
      </c>
      <c r="G470" s="64" t="e">
        <f>IF(ISBLANK(Games!#REF!), "",'Prediction Log'!#REF!)</f>
        <v>#REF!</v>
      </c>
      <c r="H470" s="66" t="e">
        <f>'Prediction Log'!#REF!</f>
        <v>#REF!</v>
      </c>
      <c r="I470" s="65" t="e">
        <f>IF(ISBLANK(Games!#REF!), "",IF(AND(Games!#REF!="",Games!#REF!=""),"",IF(ISTEXT(Games!#REF!), "Side",Games!#REF!)))</f>
        <v>#REF!</v>
      </c>
      <c r="J470" s="65" t="e">
        <f>IF(ISBLANK(Games!#REF!), "",IF(Games!#REF!="Y", Games!#REF!, Games!#REF!))</f>
        <v>#REF!</v>
      </c>
      <c r="K470" s="65" t="e">
        <f>Games!#REF!</f>
        <v>#REF!</v>
      </c>
      <c r="L470" s="65" t="e">
        <f>IF(ISBLANK(Games!#REF!), "",Games!#REF!)</f>
        <v>#REF!</v>
      </c>
      <c r="M470" s="65"/>
      <c r="N470" s="167" t="str">
        <f>IF(ISBLANK(Table123[[#This Row],[Odds Side - Difference Model]]), "", 1)</f>
      </c>
      <c r="O470" s="167" t="str">
        <f>IF(ISBLANK(Table123[[#This Row],[Odds Spread]]), "", 1)</f>
      </c>
      <c r="P470" s="67"/>
      <c r="Q470" s="67"/>
      <c r="R4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0" s="67"/>
      <c r="T470" s="67"/>
      <c r="U470" s="168" t="str">
        <f>IF(ISBLANK(Table123[[#This Row],[Odds Side - Difference Model]]), "",N470+IF(Q470&lt;0, (N470/(Q470/-100)), N470*(Q470/100)))</f>
      </c>
      <c r="V470" s="169" t="str">
        <f>IFERROR(IF(ISBLANK(Table123[[#This Row],[Odds Side - Win Probability Model]]), "",N470+IF(R470&lt;0, (N470/(R470/-100)), N470*(R470/100))),"")</f>
      </c>
      <c r="W470" s="168" t="str">
        <f t="shared" si="49"/>
      </c>
      <c r="X470" s="169" t="str">
        <f t="shared" si="50"/>
      </c>
      <c r="Y470" s="168" t="str">
        <f>IF(ISBLANK(Table123[[#This Row],[Odds Spread]]), "",O470+IF(S470&lt;0, (O470/(S470/-100)), O470*(S470/100)))</f>
      </c>
      <c r="Z470" s="168" t="str">
        <f t="shared" si="51"/>
      </c>
      <c r="AA470" s="68" t="n">
        <f t="shared" si="52"/>
        <v>0</v>
      </c>
      <c r="AB470" s="68" t="n">
        <f t="shared" si="53"/>
        <v>0</v>
      </c>
      <c r="AC470" s="170" t="e">
        <f>IF('Prediction Log'!#REF!="Y", "W", IF('Prediction Log'!#REF!="N","L",""))</f>
        <v>#REF!</v>
      </c>
      <c r="AD470" s="171" t="e">
        <f>IF('Prediction Log'!#REF!="Y", "W", IF('Prediction Log'!#REF!="N","L",""))</f>
        <v>#REF!</v>
      </c>
      <c r="AE470" s="172" t="str">
        <f>IF(ISBLANK(Table123[[#This Row],[Odds Side - Difference Model]]), "",IF(AC470="W", W470, IF(AC470="L",-N470, "")))</f>
      </c>
      <c r="AF470" s="173" t="str">
        <f>IFERROR((IF(ISERR(Table123[[#This Row],[Potential Payout Side - Win Probability Model]]), "",IF(AD470="W", X470, IF(AD470="L",-N470, "")))), "")</f>
      </c>
      <c r="AG470" s="170" t="e">
        <f>IF('Prediction Log'!#REF!="Y", "W", IF('Prediction Log'!#REF!="N", "L", ""))</f>
        <v>#REF!</v>
      </c>
      <c r="AH470" s="172" t="str">
        <f>IF(ISBLANK(Table123[[#This Row],[Odds Spread]]), "",IF(AG470="W", Z470, IF(AG470="L",-O470, "")))</f>
      </c>
      <c r="AI470" s="184"/>
      <c r="AJ470" s="183" t="str">
        <f t="shared" si="54"/>
      </c>
      <c r="AK4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1">
      <c r="A471" s="65" t="e">
        <f>Games!#REF!</f>
        <v>#REF!</v>
      </c>
      <c r="B471" s="65" t="e">
        <f>IF('Prediction Log'!#REF!=0, "",'Prediction Log'!#REF!)</f>
        <v>#REF!</v>
      </c>
      <c r="C471" s="65" t="e">
        <f>IF('Prediction Log'!#REF!=0, "",'Prediction Log'!#REF!)</f>
        <v>#REF!</v>
      </c>
      <c r="D471" s="65" t="e">
        <f>IF('Prediction Log'!#REF!=0, "",'Prediction Log'!#REF!)</f>
        <v>#REF!</v>
      </c>
      <c r="E471" s="65" t="e">
        <f>IF('Prediction Log'!#REF!=0, "",'Prediction Log'!#REF!)</f>
        <v>#REF!</v>
      </c>
      <c r="F471" s="65" t="e">
        <f>IF('Prediction Log'!#REF!=0, "",'Prediction Log'!#REF!)</f>
        <v>#REF!</v>
      </c>
      <c r="G471" s="64" t="e">
        <f>IF(ISBLANK(Games!#REF!), "",'Prediction Log'!#REF!)</f>
        <v>#REF!</v>
      </c>
      <c r="H471" s="66" t="e">
        <f>'Prediction Log'!#REF!</f>
        <v>#REF!</v>
      </c>
      <c r="I471" s="65" t="e">
        <f>IF(ISBLANK(Games!#REF!), "",IF(AND(Games!#REF!="",Games!#REF!=""),"",IF(ISTEXT(Games!#REF!), "Side",Games!#REF!)))</f>
        <v>#REF!</v>
      </c>
      <c r="J471" s="65" t="e">
        <f>IF(ISBLANK(Games!#REF!), "",IF(Games!#REF!="Y", Games!#REF!, Games!#REF!))</f>
        <v>#REF!</v>
      </c>
      <c r="K471" s="65" t="e">
        <f>Games!#REF!</f>
        <v>#REF!</v>
      </c>
      <c r="L471" s="65" t="e">
        <f>IF(ISBLANK(Games!#REF!), "",Games!#REF!)</f>
        <v>#REF!</v>
      </c>
      <c r="M471" s="65"/>
      <c r="N471" s="167" t="str">
        <f>IF(ISBLANK(Table123[[#This Row],[Odds Side - Difference Model]]), "", 1)</f>
      </c>
      <c r="O471" s="167" t="str">
        <f>IF(ISBLANK(Table123[[#This Row],[Odds Spread]]), "", 1)</f>
      </c>
      <c r="P471" s="67"/>
      <c r="Q471" s="67"/>
      <c r="R4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1" s="67"/>
      <c r="T471" s="67"/>
      <c r="U471" s="168" t="str">
        <f>IF(ISBLANK(Table123[[#This Row],[Odds Side - Difference Model]]), "",N471+IF(Q471&lt;0, (N471/(Q471/-100)), N471*(Q471/100)))</f>
      </c>
      <c r="V471" s="169" t="str">
        <f>IFERROR(IF(ISBLANK(Table123[[#This Row],[Odds Side - Win Probability Model]]), "",N471+IF(R471&lt;0, (N471/(R471/-100)), N471*(R471/100))),"")</f>
      </c>
      <c r="W471" s="168" t="str">
        <f t="shared" si="49"/>
      </c>
      <c r="X471" s="169" t="str">
        <f t="shared" si="50"/>
      </c>
      <c r="Y471" s="168" t="str">
        <f>IF(ISBLANK(Table123[[#This Row],[Odds Spread]]), "",O471+IF(S471&lt;0, (O471/(S471/-100)), O471*(S471/100)))</f>
      </c>
      <c r="Z471" s="168" t="str">
        <f t="shared" si="51"/>
      </c>
      <c r="AA471" s="68" t="n">
        <f t="shared" si="52"/>
        <v>0</v>
      </c>
      <c r="AB471" s="68" t="n">
        <f t="shared" si="53"/>
        <v>0</v>
      </c>
      <c r="AC471" s="170" t="e">
        <f>IF('Prediction Log'!#REF!="Y", "W", IF('Prediction Log'!#REF!="N","L",""))</f>
        <v>#REF!</v>
      </c>
      <c r="AD471" s="171" t="e">
        <f>IF('Prediction Log'!#REF!="Y", "W", IF('Prediction Log'!#REF!="N","L",""))</f>
        <v>#REF!</v>
      </c>
      <c r="AE471" s="172" t="str">
        <f>IF(ISBLANK(Table123[[#This Row],[Odds Side - Difference Model]]), "",IF(AC471="W", W471, IF(AC471="L",-N471, "")))</f>
      </c>
      <c r="AF471" s="173" t="str">
        <f>IFERROR((IF(ISERR(Table123[[#This Row],[Potential Payout Side - Win Probability Model]]), "",IF(AD471="W", X471, IF(AD471="L",-N471, "")))), "")</f>
      </c>
      <c r="AG471" s="170" t="e">
        <f>IF('Prediction Log'!#REF!="Y", "W", IF('Prediction Log'!#REF!="N", "L", ""))</f>
        <v>#REF!</v>
      </c>
      <c r="AH471" s="172" t="str">
        <f>IF(ISBLANK(Table123[[#This Row],[Odds Spread]]), "",IF(AG471="W", Z471, IF(AG471="L",-O471, "")))</f>
      </c>
      <c r="AI471" s="184"/>
      <c r="AJ471" s="183" t="str">
        <f t="shared" si="54"/>
      </c>
      <c r="AK4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2">
      <c r="A472" s="65" t="e">
        <f>Games!#REF!</f>
        <v>#REF!</v>
      </c>
      <c r="B472" s="65" t="e">
        <f>IF('Prediction Log'!#REF!=0, "",'Prediction Log'!#REF!)</f>
        <v>#REF!</v>
      </c>
      <c r="C472" s="65" t="e">
        <f>IF('Prediction Log'!#REF!=0, "",'Prediction Log'!#REF!)</f>
        <v>#REF!</v>
      </c>
      <c r="D472" s="65" t="e">
        <f>IF('Prediction Log'!#REF!=0, "",'Prediction Log'!#REF!)</f>
        <v>#REF!</v>
      </c>
      <c r="E472" s="65" t="e">
        <f>IF('Prediction Log'!#REF!=0, "",'Prediction Log'!#REF!)</f>
        <v>#REF!</v>
      </c>
      <c r="F472" s="65" t="e">
        <f>IF('Prediction Log'!#REF!=0, "",'Prediction Log'!#REF!)</f>
        <v>#REF!</v>
      </c>
      <c r="G472" s="64" t="e">
        <f>IF(ISBLANK(Games!#REF!), "",'Prediction Log'!#REF!)</f>
        <v>#REF!</v>
      </c>
      <c r="H472" s="66" t="e">
        <f>'Prediction Log'!#REF!</f>
        <v>#REF!</v>
      </c>
      <c r="I472" s="65" t="e">
        <f>IF(ISBLANK(Games!#REF!), "",IF(AND(Games!#REF!="",Games!#REF!=""),"",IF(ISTEXT(Games!#REF!), "Side",Games!#REF!)))</f>
        <v>#REF!</v>
      </c>
      <c r="J472" s="65" t="e">
        <f>IF(ISBLANK(Games!#REF!), "",IF(Games!#REF!="Y", Games!#REF!, Games!#REF!))</f>
        <v>#REF!</v>
      </c>
      <c r="K472" s="65" t="e">
        <f>Games!#REF!</f>
        <v>#REF!</v>
      </c>
      <c r="L472" s="65" t="e">
        <f>IF(ISBLANK(Games!#REF!), "",Games!#REF!)</f>
        <v>#REF!</v>
      </c>
      <c r="M472" s="65"/>
      <c r="N472" s="167" t="str">
        <f>IF(ISBLANK(Table123[[#This Row],[Odds Side - Difference Model]]), "", 1)</f>
      </c>
      <c r="O472" s="167" t="str">
        <f>IF(ISBLANK(Table123[[#This Row],[Odds Spread]]), "", 1)</f>
      </c>
      <c r="P472" s="67"/>
      <c r="Q472" s="67"/>
      <c r="R4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2" s="67"/>
      <c r="T472" s="67"/>
      <c r="U472" s="168" t="str">
        <f>IF(ISBLANK(Table123[[#This Row],[Odds Side - Difference Model]]), "",N472+IF(Q472&lt;0, (N472/(Q472/-100)), N472*(Q472/100)))</f>
      </c>
      <c r="V472" s="169" t="str">
        <f>IFERROR(IF(ISBLANK(Table123[[#This Row],[Odds Side - Win Probability Model]]), "",N472+IF(R472&lt;0, (N472/(R472/-100)), N472*(R472/100))),"")</f>
      </c>
      <c r="W472" s="168" t="str">
        <f t="shared" si="49"/>
      </c>
      <c r="X472" s="169" t="str">
        <f t="shared" si="50"/>
      </c>
      <c r="Y472" s="168" t="str">
        <f>IF(ISBLANK(Table123[[#This Row],[Odds Spread]]), "",O472+IF(S472&lt;0, (O472/(S472/-100)), O472*(S472/100)))</f>
      </c>
      <c r="Z472" s="168" t="str">
        <f t="shared" si="51"/>
      </c>
      <c r="AA472" s="68" t="n">
        <f t="shared" si="52"/>
        <v>0</v>
      </c>
      <c r="AB472" s="68" t="n">
        <f t="shared" si="53"/>
        <v>0</v>
      </c>
      <c r="AC472" s="170" t="e">
        <f>IF('Prediction Log'!#REF!="Y", "W", IF('Prediction Log'!#REF!="N","L",""))</f>
        <v>#REF!</v>
      </c>
      <c r="AD472" s="171" t="e">
        <f>IF('Prediction Log'!#REF!="Y", "W", IF('Prediction Log'!#REF!="N","L",""))</f>
        <v>#REF!</v>
      </c>
      <c r="AE472" s="172" t="str">
        <f>IF(ISBLANK(Table123[[#This Row],[Odds Side - Difference Model]]), "",IF(AC472="W", W472, IF(AC472="L",-N472, "")))</f>
      </c>
      <c r="AF472" s="173" t="str">
        <f>IFERROR((IF(ISERR(Table123[[#This Row],[Potential Payout Side - Win Probability Model]]), "",IF(AD472="W", X472, IF(AD472="L",-N472, "")))), "")</f>
      </c>
      <c r="AG472" s="170" t="e">
        <f>IF('Prediction Log'!#REF!="Y", "W", IF('Prediction Log'!#REF!="N", "L", ""))</f>
        <v>#REF!</v>
      </c>
      <c r="AH472" s="172" t="str">
        <f>IF(ISBLANK(Table123[[#This Row],[Odds Spread]]), "",IF(AG472="W", Z472, IF(AG472="L",-O472, "")))</f>
      </c>
      <c r="AI472" s="184"/>
      <c r="AJ472" s="183" t="str">
        <f t="shared" si="54"/>
      </c>
      <c r="AK4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3">
      <c r="A473" s="65" t="e">
        <f>Games!#REF!</f>
        <v>#REF!</v>
      </c>
      <c r="B473" s="65" t="e">
        <f>IF('Prediction Log'!#REF!=0, "",'Prediction Log'!#REF!)</f>
        <v>#REF!</v>
      </c>
      <c r="C473" s="65" t="e">
        <f>IF('Prediction Log'!#REF!=0, "",'Prediction Log'!#REF!)</f>
        <v>#REF!</v>
      </c>
      <c r="D473" s="65" t="e">
        <f>IF('Prediction Log'!#REF!=0, "",'Prediction Log'!#REF!)</f>
        <v>#REF!</v>
      </c>
      <c r="E473" s="65" t="e">
        <f>IF('Prediction Log'!#REF!=0, "",'Prediction Log'!#REF!)</f>
        <v>#REF!</v>
      </c>
      <c r="F473" s="65" t="e">
        <f>IF('Prediction Log'!#REF!=0, "",'Prediction Log'!#REF!)</f>
        <v>#REF!</v>
      </c>
      <c r="G473" s="64" t="e">
        <f>IF(ISBLANK(Games!#REF!), "",'Prediction Log'!#REF!)</f>
        <v>#REF!</v>
      </c>
      <c r="H473" s="66" t="e">
        <f>'Prediction Log'!#REF!</f>
        <v>#REF!</v>
      </c>
      <c r="I473" s="65" t="e">
        <f>IF(ISBLANK(Games!#REF!), "",IF(AND(Games!#REF!="",Games!#REF!=""),"",IF(ISTEXT(Games!#REF!), "Side",Games!#REF!)))</f>
        <v>#REF!</v>
      </c>
      <c r="J473" s="65" t="e">
        <f>IF(ISBLANK(Games!#REF!), "",IF(Games!#REF!="Y", Games!#REF!, Games!#REF!))</f>
        <v>#REF!</v>
      </c>
      <c r="K473" s="65" t="e">
        <f>Games!#REF!</f>
        <v>#REF!</v>
      </c>
      <c r="L473" s="65" t="e">
        <f>IF(ISBLANK(Games!#REF!), "",Games!#REF!)</f>
        <v>#REF!</v>
      </c>
      <c r="M473" s="65"/>
      <c r="N473" s="167" t="str">
        <f>IF(ISBLANK(Table123[[#This Row],[Odds Side - Difference Model]]), "", 1)</f>
      </c>
      <c r="O473" s="167" t="str">
        <f>IF(ISBLANK(Table123[[#This Row],[Odds Spread]]), "", 1)</f>
      </c>
      <c r="P473" s="67"/>
      <c r="Q473" s="67"/>
      <c r="R4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3" s="67"/>
      <c r="T473" s="67"/>
      <c r="U473" s="168" t="str">
        <f>IF(ISBLANK(Table123[[#This Row],[Odds Side - Difference Model]]), "",N473+IF(Q473&lt;0, (N473/(Q473/-100)), N473*(Q473/100)))</f>
      </c>
      <c r="V473" s="169" t="str">
        <f>IFERROR(IF(ISBLANK(Table123[[#This Row],[Odds Side - Win Probability Model]]), "",N473+IF(R473&lt;0, (N473/(R473/-100)), N473*(R473/100))),"")</f>
      </c>
      <c r="W473" s="168" t="str">
        <f t="shared" si="49"/>
      </c>
      <c r="X473" s="169" t="str">
        <f t="shared" si="50"/>
      </c>
      <c r="Y473" s="168" t="str">
        <f>IF(ISBLANK(Table123[[#This Row],[Odds Spread]]), "",O473+IF(S473&lt;0, (O473/(S473/-100)), O473*(S473/100)))</f>
      </c>
      <c r="Z473" s="168" t="str">
        <f t="shared" si="51"/>
      </c>
      <c r="AA473" s="68" t="n">
        <f t="shared" si="52"/>
        <v>0</v>
      </c>
      <c r="AB473" s="68" t="n">
        <f t="shared" si="53"/>
        <v>0</v>
      </c>
      <c r="AC473" s="170" t="e">
        <f>IF('Prediction Log'!#REF!="Y", "W", IF('Prediction Log'!#REF!="N","L",""))</f>
        <v>#REF!</v>
      </c>
      <c r="AD473" s="171" t="e">
        <f>IF('Prediction Log'!#REF!="Y", "W", IF('Prediction Log'!#REF!="N","L",""))</f>
        <v>#REF!</v>
      </c>
      <c r="AE473" s="172" t="str">
        <f>IF(ISBLANK(Table123[[#This Row],[Odds Side - Difference Model]]), "",IF(AC473="W", W473, IF(AC473="L",-N473, "")))</f>
      </c>
      <c r="AF473" s="173" t="str">
        <f>IFERROR((IF(ISERR(Table123[[#This Row],[Potential Payout Side - Win Probability Model]]), "",IF(AD473="W", X473, IF(AD473="L",-N473, "")))), "")</f>
      </c>
      <c r="AG473" s="170" t="e">
        <f>IF('Prediction Log'!#REF!="Y", "W", IF('Prediction Log'!#REF!="N", "L", ""))</f>
        <v>#REF!</v>
      </c>
      <c r="AH473" s="172" t="str">
        <f>IF(ISBLANK(Table123[[#This Row],[Odds Spread]]), "",IF(AG473="W", Z473, IF(AG473="L",-O473, "")))</f>
      </c>
      <c r="AI473" s="184"/>
      <c r="AJ473" s="183" t="str">
        <f t="shared" si="54"/>
      </c>
      <c r="AK4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4">
      <c r="A474" s="65" t="e">
        <f>Games!#REF!</f>
        <v>#REF!</v>
      </c>
      <c r="B474" s="65" t="e">
        <f>IF('Prediction Log'!#REF!=0, "",'Prediction Log'!#REF!)</f>
        <v>#REF!</v>
      </c>
      <c r="C474" s="65" t="e">
        <f>IF('Prediction Log'!#REF!=0, "",'Prediction Log'!#REF!)</f>
        <v>#REF!</v>
      </c>
      <c r="D474" s="65" t="e">
        <f>IF('Prediction Log'!#REF!=0, "",'Prediction Log'!#REF!)</f>
        <v>#REF!</v>
      </c>
      <c r="E474" s="65" t="e">
        <f>IF('Prediction Log'!#REF!=0, "",'Prediction Log'!#REF!)</f>
        <v>#REF!</v>
      </c>
      <c r="F474" s="65" t="e">
        <f>IF('Prediction Log'!#REF!=0, "",'Prediction Log'!#REF!)</f>
        <v>#REF!</v>
      </c>
      <c r="G474" s="64" t="e">
        <f>IF(ISBLANK(Games!#REF!), "",'Prediction Log'!#REF!)</f>
        <v>#REF!</v>
      </c>
      <c r="H474" s="66" t="e">
        <f>'Prediction Log'!#REF!</f>
        <v>#REF!</v>
      </c>
      <c r="I474" s="65" t="e">
        <f>IF(ISBLANK(Games!#REF!), "",IF(AND(Games!#REF!="",Games!#REF!=""),"",IF(ISTEXT(Games!#REF!), "Side",Games!#REF!)))</f>
        <v>#REF!</v>
      </c>
      <c r="J474" s="65" t="e">
        <f>IF(ISBLANK(Games!#REF!), "",IF(Games!#REF!="Y", Games!#REF!, Games!#REF!))</f>
        <v>#REF!</v>
      </c>
      <c r="K474" s="65" t="e">
        <f>Games!#REF!</f>
        <v>#REF!</v>
      </c>
      <c r="L474" s="65" t="e">
        <f>IF(ISBLANK(Games!#REF!), "",Games!#REF!)</f>
        <v>#REF!</v>
      </c>
      <c r="M474" s="65"/>
      <c r="N474" s="167" t="str">
        <f>IF(ISBLANK(Table123[[#This Row],[Odds Side - Difference Model]]), "", 1)</f>
      </c>
      <c r="O474" s="167" t="str">
        <f>IF(ISBLANK(Table123[[#This Row],[Odds Spread]]), "", 1)</f>
      </c>
      <c r="P474" s="67"/>
      <c r="Q474" s="67"/>
      <c r="R4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4" s="67"/>
      <c r="T474" s="67"/>
      <c r="U474" s="168" t="str">
        <f>IF(ISBLANK(Table123[[#This Row],[Odds Side - Difference Model]]), "",N474+IF(Q474&lt;0, (N474/(Q474/-100)), N474*(Q474/100)))</f>
      </c>
      <c r="V474" s="169" t="str">
        <f>IFERROR(IF(ISBLANK(Table123[[#This Row],[Odds Side - Win Probability Model]]), "",N474+IF(R474&lt;0, (N474/(R474/-100)), N474*(R474/100))),"")</f>
      </c>
      <c r="W474" s="168" t="str">
        <f t="shared" si="49"/>
      </c>
      <c r="X474" s="169" t="str">
        <f t="shared" si="50"/>
      </c>
      <c r="Y474" s="168" t="str">
        <f>IF(ISBLANK(Table123[[#This Row],[Odds Spread]]), "",O474+IF(S474&lt;0, (O474/(S474/-100)), O474*(S474/100)))</f>
      </c>
      <c r="Z474" s="168" t="str">
        <f t="shared" si="51"/>
      </c>
      <c r="AA474" s="68" t="n">
        <f t="shared" si="52"/>
        <v>0</v>
      </c>
      <c r="AB474" s="68" t="n">
        <f t="shared" si="53"/>
        <v>0</v>
      </c>
      <c r="AC474" s="170" t="e">
        <f>IF('Prediction Log'!#REF!="Y", "W", IF('Prediction Log'!#REF!="N","L",""))</f>
        <v>#REF!</v>
      </c>
      <c r="AD474" s="171" t="e">
        <f>IF('Prediction Log'!#REF!="Y", "W", IF('Prediction Log'!#REF!="N","L",""))</f>
        <v>#REF!</v>
      </c>
      <c r="AE474" s="172" t="str">
        <f>IF(ISBLANK(Table123[[#This Row],[Odds Side - Difference Model]]), "",IF(AC474="W", W474, IF(AC474="L",-N474, "")))</f>
      </c>
      <c r="AF474" s="173" t="str">
        <f>IFERROR((IF(ISERR(Table123[[#This Row],[Potential Payout Side - Win Probability Model]]), "",IF(AD474="W", X474, IF(AD474="L",-N474, "")))), "")</f>
      </c>
      <c r="AG474" s="170" t="e">
        <f>IF('Prediction Log'!#REF!="Y", "W", IF('Prediction Log'!#REF!="N", "L", ""))</f>
        <v>#REF!</v>
      </c>
      <c r="AH474" s="172" t="str">
        <f>IF(ISBLANK(Table123[[#This Row],[Odds Spread]]), "",IF(AG474="W", Z474, IF(AG474="L",-O474, "")))</f>
      </c>
      <c r="AI474" s="184"/>
      <c r="AJ474" s="183" t="str">
        <f t="shared" si="54"/>
      </c>
      <c r="AK4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5">
      <c r="A475" s="65" t="e">
        <f>Games!#REF!</f>
        <v>#REF!</v>
      </c>
      <c r="B475" s="65" t="e">
        <f>IF('Prediction Log'!#REF!=0, "",'Prediction Log'!#REF!)</f>
        <v>#REF!</v>
      </c>
      <c r="C475" s="65" t="e">
        <f>IF('Prediction Log'!#REF!=0, "",'Prediction Log'!#REF!)</f>
        <v>#REF!</v>
      </c>
      <c r="D475" s="65" t="e">
        <f>IF('Prediction Log'!#REF!=0, "",'Prediction Log'!#REF!)</f>
        <v>#REF!</v>
      </c>
      <c r="E475" s="65" t="e">
        <f>IF('Prediction Log'!#REF!=0, "",'Prediction Log'!#REF!)</f>
        <v>#REF!</v>
      </c>
      <c r="F475" s="65" t="e">
        <f>IF('Prediction Log'!#REF!=0, "",'Prediction Log'!#REF!)</f>
        <v>#REF!</v>
      </c>
      <c r="G475" s="64" t="e">
        <f>IF(ISBLANK(Games!#REF!), "",'Prediction Log'!#REF!)</f>
        <v>#REF!</v>
      </c>
      <c r="H475" s="66" t="e">
        <f>'Prediction Log'!#REF!</f>
        <v>#REF!</v>
      </c>
      <c r="I475" s="65" t="e">
        <f>IF(ISBLANK(Games!#REF!), "",IF(AND(Games!#REF!="",Games!#REF!=""),"",IF(ISTEXT(Games!#REF!), "Side",Games!#REF!)))</f>
        <v>#REF!</v>
      </c>
      <c r="J475" s="65" t="e">
        <f>IF(ISBLANK(Games!#REF!), "",IF(Games!#REF!="Y", Games!#REF!, Games!#REF!))</f>
        <v>#REF!</v>
      </c>
      <c r="K475" s="65" t="e">
        <f>Games!#REF!</f>
        <v>#REF!</v>
      </c>
      <c r="L475" s="65" t="e">
        <f>IF(ISBLANK(Games!#REF!), "",Games!#REF!)</f>
        <v>#REF!</v>
      </c>
      <c r="M475" s="65"/>
      <c r="N475" s="167" t="str">
        <f>IF(ISBLANK(Table123[[#This Row],[Odds Side - Difference Model]]), "", 1)</f>
      </c>
      <c r="O475" s="167" t="str">
        <f>IF(ISBLANK(Table123[[#This Row],[Odds Spread]]), "", 1)</f>
      </c>
      <c r="P475" s="67"/>
      <c r="Q475" s="67"/>
      <c r="R4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5" s="67"/>
      <c r="T475" s="67"/>
      <c r="U475" s="168" t="str">
        <f>IF(ISBLANK(Table123[[#This Row],[Odds Side - Difference Model]]), "",N475+IF(Q475&lt;0, (N475/(Q475/-100)), N475*(Q475/100)))</f>
      </c>
      <c r="V475" s="169" t="str">
        <f>IFERROR(IF(ISBLANK(Table123[[#This Row],[Odds Side - Win Probability Model]]), "",N475+IF(R475&lt;0, (N475/(R475/-100)), N475*(R475/100))),"")</f>
      </c>
      <c r="W475" s="168" t="str">
        <f t="shared" si="49"/>
      </c>
      <c r="X475" s="169" t="str">
        <f t="shared" si="50"/>
      </c>
      <c r="Y475" s="168" t="str">
        <f>IF(ISBLANK(Table123[[#This Row],[Odds Spread]]), "",O475+IF(S475&lt;0, (O475/(S475/-100)), O475*(S475/100)))</f>
      </c>
      <c r="Z475" s="168" t="str">
        <f t="shared" si="51"/>
      </c>
      <c r="AA475" s="68" t="n">
        <f t="shared" si="52"/>
        <v>0</v>
      </c>
      <c r="AB475" s="68" t="n">
        <f t="shared" si="53"/>
        <v>0</v>
      </c>
      <c r="AC475" s="170" t="e">
        <f>IF('Prediction Log'!#REF!="Y", "W", IF('Prediction Log'!#REF!="N","L",""))</f>
        <v>#REF!</v>
      </c>
      <c r="AD475" s="171" t="e">
        <f>IF('Prediction Log'!#REF!="Y", "W", IF('Prediction Log'!#REF!="N","L",""))</f>
        <v>#REF!</v>
      </c>
      <c r="AE475" s="172" t="str">
        <f>IF(ISBLANK(Table123[[#This Row],[Odds Side - Difference Model]]), "",IF(AC475="W", W475, IF(AC475="L",-N475, "")))</f>
      </c>
      <c r="AF475" s="173" t="str">
        <f>IFERROR((IF(ISERR(Table123[[#This Row],[Potential Payout Side - Win Probability Model]]), "",IF(AD475="W", X475, IF(AD475="L",-N475, "")))), "")</f>
      </c>
      <c r="AG475" s="170" t="e">
        <f>IF('Prediction Log'!#REF!="Y", "W", IF('Prediction Log'!#REF!="N", "L", ""))</f>
        <v>#REF!</v>
      </c>
      <c r="AH475" s="172" t="str">
        <f>IF(ISBLANK(Table123[[#This Row],[Odds Spread]]), "",IF(AG475="W", Z475, IF(AG475="L",-O475, "")))</f>
      </c>
      <c r="AI475" s="184"/>
      <c r="AJ475" s="183" t="str">
        <f t="shared" si="54"/>
      </c>
      <c r="AK4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6">
      <c r="A476" s="65" t="e">
        <f>Games!#REF!</f>
        <v>#REF!</v>
      </c>
      <c r="B476" s="65" t="e">
        <f>IF('Prediction Log'!#REF!=0, "",'Prediction Log'!#REF!)</f>
        <v>#REF!</v>
      </c>
      <c r="C476" s="65" t="e">
        <f>IF('Prediction Log'!#REF!=0, "",'Prediction Log'!#REF!)</f>
        <v>#REF!</v>
      </c>
      <c r="D476" s="65" t="e">
        <f>IF('Prediction Log'!#REF!=0, "",'Prediction Log'!#REF!)</f>
        <v>#REF!</v>
      </c>
      <c r="E476" s="65" t="e">
        <f>IF('Prediction Log'!#REF!=0, "",'Prediction Log'!#REF!)</f>
        <v>#REF!</v>
      </c>
      <c r="F476" s="65" t="e">
        <f>IF('Prediction Log'!#REF!=0, "",'Prediction Log'!#REF!)</f>
        <v>#REF!</v>
      </c>
      <c r="G476" s="64" t="e">
        <f>IF(ISBLANK(Games!#REF!), "",'Prediction Log'!#REF!)</f>
        <v>#REF!</v>
      </c>
      <c r="H476" s="66" t="e">
        <f>'Prediction Log'!#REF!</f>
        <v>#REF!</v>
      </c>
      <c r="I476" s="65" t="e">
        <f>IF(ISBLANK(Games!#REF!), "",IF(AND(Games!#REF!="",Games!#REF!=""),"",IF(ISTEXT(Games!#REF!), "Side",Games!#REF!)))</f>
        <v>#REF!</v>
      </c>
      <c r="J476" s="65" t="e">
        <f>IF(ISBLANK(Games!#REF!), "",IF(Games!#REF!="Y", Games!#REF!, Games!#REF!))</f>
        <v>#REF!</v>
      </c>
      <c r="K476" s="65" t="e">
        <f>Games!#REF!</f>
        <v>#REF!</v>
      </c>
      <c r="L476" s="65" t="e">
        <f>IF(ISBLANK(Games!#REF!), "",Games!#REF!)</f>
        <v>#REF!</v>
      </c>
      <c r="M476" s="65"/>
      <c r="N476" s="167" t="str">
        <f>IF(ISBLANK(Table123[[#This Row],[Odds Side - Difference Model]]), "", 1)</f>
      </c>
      <c r="O476" s="167" t="str">
        <f>IF(ISBLANK(Table123[[#This Row],[Odds Spread]]), "", 1)</f>
      </c>
      <c r="P476" s="67"/>
      <c r="Q476" s="67"/>
      <c r="R4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6" s="67"/>
      <c r="T476" s="67"/>
      <c r="U476" s="168" t="str">
        <f>IF(ISBLANK(Table123[[#This Row],[Odds Side - Difference Model]]), "",N476+IF(Q476&lt;0, (N476/(Q476/-100)), N476*(Q476/100)))</f>
      </c>
      <c r="V476" s="169" t="str">
        <f>IFERROR(IF(ISBLANK(Table123[[#This Row],[Odds Side - Win Probability Model]]), "",N476+IF(R476&lt;0, (N476/(R476/-100)), N476*(R476/100))),"")</f>
      </c>
      <c r="W476" s="168" t="str">
        <f t="shared" si="49"/>
      </c>
      <c r="X476" s="169" t="str">
        <f t="shared" si="50"/>
      </c>
      <c r="Y476" s="168" t="str">
        <f>IF(ISBLANK(Table123[[#This Row],[Odds Spread]]), "",O476+IF(S476&lt;0, (O476/(S476/-100)), O476*(S476/100)))</f>
      </c>
      <c r="Z476" s="168" t="str">
        <f t="shared" si="51"/>
      </c>
      <c r="AA476" s="68" t="n">
        <f t="shared" si="52"/>
        <v>0</v>
      </c>
      <c r="AB476" s="68" t="n">
        <f t="shared" si="53"/>
        <v>0</v>
      </c>
      <c r="AC476" s="170" t="e">
        <f>IF('Prediction Log'!#REF!="Y", "W", IF('Prediction Log'!#REF!="N","L",""))</f>
        <v>#REF!</v>
      </c>
      <c r="AD476" s="171" t="e">
        <f>IF('Prediction Log'!#REF!="Y", "W", IF('Prediction Log'!#REF!="N","L",""))</f>
        <v>#REF!</v>
      </c>
      <c r="AE476" s="172" t="str">
        <f>IF(ISBLANK(Table123[[#This Row],[Odds Side - Difference Model]]), "",IF(AC476="W", W476, IF(AC476="L",-N476, "")))</f>
      </c>
      <c r="AF476" s="173" t="str">
        <f>IFERROR((IF(ISERR(Table123[[#This Row],[Potential Payout Side - Win Probability Model]]), "",IF(AD476="W", X476, IF(AD476="L",-N476, "")))), "")</f>
      </c>
      <c r="AG476" s="170" t="e">
        <f>IF('Prediction Log'!#REF!="Y", "W", IF('Prediction Log'!#REF!="N", "L", ""))</f>
        <v>#REF!</v>
      </c>
      <c r="AH476" s="172" t="str">
        <f>IF(ISBLANK(Table123[[#This Row],[Odds Spread]]), "",IF(AG476="W", Z476, IF(AG476="L",-O476, "")))</f>
      </c>
      <c r="AI476" s="184"/>
      <c r="AJ476" s="183" t="str">
        <f t="shared" si="54"/>
      </c>
      <c r="AK4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7">
      <c r="A477" s="65" t="e">
        <f>Games!#REF!</f>
        <v>#REF!</v>
      </c>
      <c r="B477" s="65" t="e">
        <f>IF('Prediction Log'!#REF!=0, "",'Prediction Log'!#REF!)</f>
        <v>#REF!</v>
      </c>
      <c r="C477" s="65" t="e">
        <f>IF('Prediction Log'!#REF!=0, "",'Prediction Log'!#REF!)</f>
        <v>#REF!</v>
      </c>
      <c r="D477" s="65" t="e">
        <f>IF('Prediction Log'!#REF!=0, "",'Prediction Log'!#REF!)</f>
        <v>#REF!</v>
      </c>
      <c r="E477" s="65" t="e">
        <f>IF('Prediction Log'!#REF!=0, "",'Prediction Log'!#REF!)</f>
        <v>#REF!</v>
      </c>
      <c r="F477" s="65" t="e">
        <f>IF('Prediction Log'!#REF!=0, "",'Prediction Log'!#REF!)</f>
        <v>#REF!</v>
      </c>
      <c r="G477" s="64" t="e">
        <f>IF(ISBLANK(Games!#REF!), "",'Prediction Log'!#REF!)</f>
        <v>#REF!</v>
      </c>
      <c r="H477" s="66" t="e">
        <f>'Prediction Log'!#REF!</f>
        <v>#REF!</v>
      </c>
      <c r="I477" s="65" t="e">
        <f>IF(ISBLANK(Games!#REF!), "",IF(AND(Games!#REF!="",Games!#REF!=""),"",IF(ISTEXT(Games!#REF!), "Side",Games!#REF!)))</f>
        <v>#REF!</v>
      </c>
      <c r="J477" s="65" t="e">
        <f>IF(ISBLANK(Games!#REF!), "",IF(Games!#REF!="Y", Games!#REF!, Games!#REF!))</f>
        <v>#REF!</v>
      </c>
      <c r="K477" s="65" t="e">
        <f>Games!#REF!</f>
        <v>#REF!</v>
      </c>
      <c r="L477" s="65" t="e">
        <f>IF(ISBLANK(Games!#REF!), "",Games!#REF!)</f>
        <v>#REF!</v>
      </c>
      <c r="M477" s="65"/>
      <c r="N477" s="167" t="str">
        <f>IF(ISBLANK(Table123[[#This Row],[Odds Side - Difference Model]]), "", 1)</f>
      </c>
      <c r="O477" s="167" t="str">
        <f>IF(ISBLANK(Table123[[#This Row],[Odds Spread]]), "", 1)</f>
      </c>
      <c r="P477" s="67"/>
      <c r="Q477" s="67"/>
      <c r="R4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7" s="67"/>
      <c r="T477" s="67"/>
      <c r="U477" s="168" t="str">
        <f>IF(ISBLANK(Table123[[#This Row],[Odds Side - Difference Model]]), "",N477+IF(Q477&lt;0, (N477/(Q477/-100)), N477*(Q477/100)))</f>
      </c>
      <c r="V477" s="169" t="str">
        <f>IFERROR(IF(ISBLANK(Table123[[#This Row],[Odds Side - Win Probability Model]]), "",N477+IF(R477&lt;0, (N477/(R477/-100)), N477*(R477/100))),"")</f>
      </c>
      <c r="W477" s="168" t="str">
        <f t="shared" si="49"/>
      </c>
      <c r="X477" s="169" t="str">
        <f t="shared" si="50"/>
      </c>
      <c r="Y477" s="168" t="str">
        <f>IF(ISBLANK(Table123[[#This Row],[Odds Spread]]), "",O477+IF(S477&lt;0, (O477/(S477/-100)), O477*(S477/100)))</f>
      </c>
      <c r="Z477" s="168" t="str">
        <f t="shared" si="51"/>
      </c>
      <c r="AA477" s="68" t="n">
        <f t="shared" si="52"/>
        <v>0</v>
      </c>
      <c r="AB477" s="68" t="n">
        <f t="shared" si="53"/>
        <v>0</v>
      </c>
      <c r="AC477" s="170" t="e">
        <f>IF('Prediction Log'!#REF!="Y", "W", IF('Prediction Log'!#REF!="N","L",""))</f>
        <v>#REF!</v>
      </c>
      <c r="AD477" s="171" t="e">
        <f>IF('Prediction Log'!#REF!="Y", "W", IF('Prediction Log'!#REF!="N","L",""))</f>
        <v>#REF!</v>
      </c>
      <c r="AE477" s="172" t="str">
        <f>IF(ISBLANK(Table123[[#This Row],[Odds Side - Difference Model]]), "",IF(AC477="W", W477, IF(AC477="L",-N477, "")))</f>
      </c>
      <c r="AF477" s="173" t="str">
        <f>IFERROR((IF(ISERR(Table123[[#This Row],[Potential Payout Side - Win Probability Model]]), "",IF(AD477="W", X477, IF(AD477="L",-N477, "")))), "")</f>
      </c>
      <c r="AG477" s="170" t="e">
        <f>IF('Prediction Log'!#REF!="Y", "W", IF('Prediction Log'!#REF!="N", "L", ""))</f>
        <v>#REF!</v>
      </c>
      <c r="AH477" s="172" t="str">
        <f>IF(ISBLANK(Table123[[#This Row],[Odds Spread]]), "",IF(AG477="W", Z477, IF(AG477="L",-O477, "")))</f>
      </c>
      <c r="AI477" s="184"/>
      <c r="AJ477" s="183" t="str">
        <f t="shared" si="54"/>
      </c>
      <c r="AK4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8">
      <c r="A478" s="65" t="e">
        <f>Games!#REF!</f>
        <v>#REF!</v>
      </c>
      <c r="B478" s="65" t="e">
        <f>IF('Prediction Log'!#REF!=0, "",'Prediction Log'!#REF!)</f>
        <v>#REF!</v>
      </c>
      <c r="C478" s="65" t="e">
        <f>IF('Prediction Log'!#REF!=0, "",'Prediction Log'!#REF!)</f>
        <v>#REF!</v>
      </c>
      <c r="D478" s="65" t="e">
        <f>IF('Prediction Log'!#REF!=0, "",'Prediction Log'!#REF!)</f>
        <v>#REF!</v>
      </c>
      <c r="E478" s="65" t="e">
        <f>IF('Prediction Log'!#REF!=0, "",'Prediction Log'!#REF!)</f>
        <v>#REF!</v>
      </c>
      <c r="F478" s="65" t="e">
        <f>IF('Prediction Log'!#REF!=0, "",'Prediction Log'!#REF!)</f>
        <v>#REF!</v>
      </c>
      <c r="G478" s="64" t="e">
        <f>IF(ISBLANK(Games!#REF!), "",'Prediction Log'!#REF!)</f>
        <v>#REF!</v>
      </c>
      <c r="H478" s="66" t="e">
        <f>'Prediction Log'!#REF!</f>
        <v>#REF!</v>
      </c>
      <c r="I478" s="65" t="e">
        <f>IF(ISBLANK(Games!#REF!), "",IF(AND(Games!#REF!="",Games!#REF!=""),"",IF(ISTEXT(Games!#REF!), "Side",Games!#REF!)))</f>
        <v>#REF!</v>
      </c>
      <c r="J478" s="65" t="e">
        <f>IF(ISBLANK(Games!#REF!), "",IF(Games!#REF!="Y", Games!#REF!, Games!#REF!))</f>
        <v>#REF!</v>
      </c>
      <c r="K478" s="65" t="e">
        <f>Games!#REF!</f>
        <v>#REF!</v>
      </c>
      <c r="L478" s="65" t="e">
        <f>IF(ISBLANK(Games!#REF!), "",Games!#REF!)</f>
        <v>#REF!</v>
      </c>
      <c r="M478" s="65"/>
      <c r="N478" s="167" t="str">
        <f>IF(ISBLANK(Table123[[#This Row],[Odds Side - Difference Model]]), "", 1)</f>
      </c>
      <c r="O478" s="167" t="str">
        <f>IF(ISBLANK(Table123[[#This Row],[Odds Spread]]), "", 1)</f>
      </c>
      <c r="P478" s="67"/>
      <c r="Q478" s="67"/>
      <c r="R4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8" s="67"/>
      <c r="T478" s="67"/>
      <c r="U478" s="168" t="str">
        <f>IF(ISBLANK(Table123[[#This Row],[Odds Side - Difference Model]]), "",N478+IF(Q478&lt;0, (N478/(Q478/-100)), N478*(Q478/100)))</f>
      </c>
      <c r="V478" s="169" t="str">
        <f>IFERROR(IF(ISBLANK(Table123[[#This Row],[Odds Side - Win Probability Model]]), "",N478+IF(R478&lt;0, (N478/(R478/-100)), N478*(R478/100))),"")</f>
      </c>
      <c r="W478" s="168" t="str">
        <f t="shared" si="49"/>
      </c>
      <c r="X478" s="169" t="str">
        <f t="shared" si="50"/>
      </c>
      <c r="Y478" s="168" t="str">
        <f>IF(ISBLANK(Table123[[#This Row],[Odds Spread]]), "",O478+IF(S478&lt;0, (O478/(S478/-100)), O478*(S478/100)))</f>
      </c>
      <c r="Z478" s="168" t="str">
        <f t="shared" si="51"/>
      </c>
      <c r="AA478" s="68" t="n">
        <f t="shared" si="52"/>
        <v>0</v>
      </c>
      <c r="AB478" s="68" t="n">
        <f t="shared" si="53"/>
        <v>0</v>
      </c>
      <c r="AC478" s="170" t="e">
        <f>IF('Prediction Log'!#REF!="Y", "W", IF('Prediction Log'!#REF!="N","L",""))</f>
        <v>#REF!</v>
      </c>
      <c r="AD478" s="171" t="e">
        <f>IF('Prediction Log'!#REF!="Y", "W", IF('Prediction Log'!#REF!="N","L",""))</f>
        <v>#REF!</v>
      </c>
      <c r="AE478" s="172" t="str">
        <f>IF(ISBLANK(Table123[[#This Row],[Odds Side - Difference Model]]), "",IF(AC478="W", W478, IF(AC478="L",-N478, "")))</f>
      </c>
      <c r="AF478" s="173" t="str">
        <f>IFERROR((IF(ISERR(Table123[[#This Row],[Potential Payout Side - Win Probability Model]]), "",IF(AD478="W", X478, IF(AD478="L",-N478, "")))), "")</f>
      </c>
      <c r="AG478" s="170" t="e">
        <f>IF('Prediction Log'!#REF!="Y", "W", IF('Prediction Log'!#REF!="N", "L", ""))</f>
        <v>#REF!</v>
      </c>
      <c r="AH478" s="172" t="str">
        <f>IF(ISBLANK(Table123[[#This Row],[Odds Spread]]), "",IF(AG478="W", Z478, IF(AG478="L",-O478, "")))</f>
      </c>
      <c r="AI478" s="184"/>
      <c r="AJ478" s="183" t="str">
        <f t="shared" si="54"/>
      </c>
      <c r="AK4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9">
      <c r="A479" s="65" t="e">
        <f>Games!#REF!</f>
        <v>#REF!</v>
      </c>
      <c r="B479" s="65" t="e">
        <f>IF('Prediction Log'!#REF!=0, "",'Prediction Log'!#REF!)</f>
        <v>#REF!</v>
      </c>
      <c r="C479" s="65" t="e">
        <f>IF('Prediction Log'!#REF!=0, "",'Prediction Log'!#REF!)</f>
        <v>#REF!</v>
      </c>
      <c r="D479" s="65" t="e">
        <f>IF('Prediction Log'!#REF!=0, "",'Prediction Log'!#REF!)</f>
        <v>#REF!</v>
      </c>
      <c r="E479" s="65" t="e">
        <f>IF('Prediction Log'!#REF!=0, "",'Prediction Log'!#REF!)</f>
        <v>#REF!</v>
      </c>
      <c r="F479" s="65" t="e">
        <f>IF('Prediction Log'!#REF!=0, "",'Prediction Log'!#REF!)</f>
        <v>#REF!</v>
      </c>
      <c r="G479" s="64" t="e">
        <f>IF(ISBLANK(Games!#REF!), "",'Prediction Log'!#REF!)</f>
        <v>#REF!</v>
      </c>
      <c r="H479" s="66" t="e">
        <f>'Prediction Log'!#REF!</f>
        <v>#REF!</v>
      </c>
      <c r="I479" s="65" t="e">
        <f>IF(ISBLANK(Games!#REF!), "",IF(AND(Games!#REF!="",Games!#REF!=""),"",IF(ISTEXT(Games!#REF!), "Side",Games!#REF!)))</f>
        <v>#REF!</v>
      </c>
      <c r="J479" s="65" t="e">
        <f>IF(ISBLANK(Games!#REF!), "",IF(Games!#REF!="Y", Games!#REF!, Games!#REF!))</f>
        <v>#REF!</v>
      </c>
      <c r="K479" s="65" t="e">
        <f>Games!#REF!</f>
        <v>#REF!</v>
      </c>
      <c r="L479" s="65" t="e">
        <f>IF(ISBLANK(Games!#REF!), "",Games!#REF!)</f>
        <v>#REF!</v>
      </c>
      <c r="M479" s="65"/>
      <c r="N479" s="167" t="str">
        <f>IF(ISBLANK(Table123[[#This Row],[Odds Side - Difference Model]]), "", 1)</f>
      </c>
      <c r="O479" s="167" t="str">
        <f>IF(ISBLANK(Table123[[#This Row],[Odds Spread]]), "", 1)</f>
      </c>
      <c r="P479" s="67"/>
      <c r="Q479" s="67"/>
      <c r="R4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9" s="67"/>
      <c r="T479" s="67"/>
      <c r="U479" s="168" t="str">
        <f>IF(ISBLANK(Table123[[#This Row],[Odds Side - Difference Model]]), "",N479+IF(Q479&lt;0, (N479/(Q479/-100)), N479*(Q479/100)))</f>
      </c>
      <c r="V479" s="169" t="str">
        <f>IFERROR(IF(ISBLANK(Table123[[#This Row],[Odds Side - Win Probability Model]]), "",N479+IF(R479&lt;0, (N479/(R479/-100)), N479*(R479/100))),"")</f>
      </c>
      <c r="W479" s="168" t="str">
        <f t="shared" si="49"/>
      </c>
      <c r="X479" s="169" t="str">
        <f t="shared" si="50"/>
      </c>
      <c r="Y479" s="168" t="str">
        <f>IF(ISBLANK(Table123[[#This Row],[Odds Spread]]), "",O479+IF(S479&lt;0, (O479/(S479/-100)), O479*(S479/100)))</f>
      </c>
      <c r="Z479" s="168" t="str">
        <f t="shared" si="51"/>
      </c>
      <c r="AA479" s="68" t="n">
        <f t="shared" si="52"/>
        <v>0</v>
      </c>
      <c r="AB479" s="68" t="n">
        <f t="shared" si="53"/>
        <v>0</v>
      </c>
      <c r="AC479" s="170" t="e">
        <f>IF('Prediction Log'!#REF!="Y", "W", IF('Prediction Log'!#REF!="N","L",""))</f>
        <v>#REF!</v>
      </c>
      <c r="AD479" s="171" t="e">
        <f>IF('Prediction Log'!#REF!="Y", "W", IF('Prediction Log'!#REF!="N","L",""))</f>
        <v>#REF!</v>
      </c>
      <c r="AE479" s="172" t="str">
        <f>IF(ISBLANK(Table123[[#This Row],[Odds Side - Difference Model]]), "",IF(AC479="W", W479, IF(AC479="L",-N479, "")))</f>
      </c>
      <c r="AF479" s="173" t="str">
        <f>IFERROR((IF(ISERR(Table123[[#This Row],[Potential Payout Side - Win Probability Model]]), "",IF(AD479="W", X479, IF(AD479="L",-N479, "")))), "")</f>
      </c>
      <c r="AG479" s="170" t="e">
        <f>IF('Prediction Log'!#REF!="Y", "W", IF('Prediction Log'!#REF!="N", "L", ""))</f>
        <v>#REF!</v>
      </c>
      <c r="AH479" s="172" t="str">
        <f>IF(ISBLANK(Table123[[#This Row],[Odds Spread]]), "",IF(AG479="W", Z479, IF(AG479="L",-O479, "")))</f>
      </c>
      <c r="AI479" s="184"/>
      <c r="AJ479" s="183" t="str">
        <f t="shared" si="54"/>
      </c>
      <c r="AK4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0">
      <c r="A480" s="65" t="e">
        <f>Games!#REF!</f>
        <v>#REF!</v>
      </c>
      <c r="B480" s="65" t="e">
        <f>IF('Prediction Log'!#REF!=0, "",'Prediction Log'!#REF!)</f>
        <v>#REF!</v>
      </c>
      <c r="C480" s="65" t="e">
        <f>IF('Prediction Log'!#REF!=0, "",'Prediction Log'!#REF!)</f>
        <v>#REF!</v>
      </c>
      <c r="D480" s="65" t="e">
        <f>IF('Prediction Log'!#REF!=0, "",'Prediction Log'!#REF!)</f>
        <v>#REF!</v>
      </c>
      <c r="E480" s="65" t="e">
        <f>IF('Prediction Log'!#REF!=0, "",'Prediction Log'!#REF!)</f>
        <v>#REF!</v>
      </c>
      <c r="F480" s="65" t="e">
        <f>IF('Prediction Log'!#REF!=0, "",'Prediction Log'!#REF!)</f>
        <v>#REF!</v>
      </c>
      <c r="G480" s="64" t="e">
        <f>IF(ISBLANK(Games!#REF!), "",'Prediction Log'!#REF!)</f>
        <v>#REF!</v>
      </c>
      <c r="H480" s="66" t="e">
        <f>'Prediction Log'!#REF!</f>
        <v>#REF!</v>
      </c>
      <c r="I480" s="65" t="e">
        <f>IF(ISBLANK(Games!#REF!), "",IF(AND(Games!#REF!="",Games!#REF!=""),"",IF(ISTEXT(Games!#REF!), "Side",Games!#REF!)))</f>
        <v>#REF!</v>
      </c>
      <c r="J480" s="65" t="e">
        <f>IF(ISBLANK(Games!#REF!), "",IF(Games!#REF!="Y", Games!#REF!, Games!#REF!))</f>
        <v>#REF!</v>
      </c>
      <c r="K480" s="65" t="e">
        <f>Games!#REF!</f>
        <v>#REF!</v>
      </c>
      <c r="L480" s="65" t="e">
        <f>IF(ISBLANK(Games!#REF!), "",Games!#REF!)</f>
        <v>#REF!</v>
      </c>
      <c r="M480" s="65"/>
      <c r="N480" s="167" t="str">
        <f>IF(ISBLANK(Table123[[#This Row],[Odds Side - Difference Model]]), "", 1)</f>
      </c>
      <c r="O480" s="167" t="str">
        <f>IF(ISBLANK(Table123[[#This Row],[Odds Spread]]), "", 1)</f>
      </c>
      <c r="P480" s="67"/>
      <c r="Q480" s="67"/>
      <c r="R4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0" s="67"/>
      <c r="T480" s="67"/>
      <c r="U480" s="168" t="str">
        <f>IF(ISBLANK(Table123[[#This Row],[Odds Side - Difference Model]]), "",N480+IF(Q480&lt;0, (N480/(Q480/-100)), N480*(Q480/100)))</f>
      </c>
      <c r="V480" s="169" t="str">
        <f>IFERROR(IF(ISBLANK(Table123[[#This Row],[Odds Side - Win Probability Model]]), "",N480+IF(R480&lt;0, (N480/(R480/-100)), N480*(R480/100))),"")</f>
      </c>
      <c r="W480" s="168" t="str">
        <f t="shared" si="49"/>
      </c>
      <c r="X480" s="169" t="str">
        <f t="shared" si="50"/>
      </c>
      <c r="Y480" s="168" t="str">
        <f>IF(ISBLANK(Table123[[#This Row],[Odds Spread]]), "",O480+IF(S480&lt;0, (O480/(S480/-100)), O480*(S480/100)))</f>
      </c>
      <c r="Z480" s="168" t="str">
        <f t="shared" si="51"/>
      </c>
      <c r="AA480" s="68" t="n">
        <f t="shared" si="52"/>
        <v>0</v>
      </c>
      <c r="AB480" s="68" t="n">
        <f t="shared" si="53"/>
        <v>0</v>
      </c>
      <c r="AC480" s="170" t="e">
        <f>IF('Prediction Log'!#REF!="Y", "W", IF('Prediction Log'!#REF!="N","L",""))</f>
        <v>#REF!</v>
      </c>
      <c r="AD480" s="171" t="e">
        <f>IF('Prediction Log'!#REF!="Y", "W", IF('Prediction Log'!#REF!="N","L",""))</f>
        <v>#REF!</v>
      </c>
      <c r="AE480" s="172" t="str">
        <f>IF(ISBLANK(Table123[[#This Row],[Odds Side - Difference Model]]), "",IF(AC480="W", W480, IF(AC480="L",-N480, "")))</f>
      </c>
      <c r="AF480" s="173" t="str">
        <f>IFERROR((IF(ISERR(Table123[[#This Row],[Potential Payout Side - Win Probability Model]]), "",IF(AD480="W", X480, IF(AD480="L",-N480, "")))), "")</f>
      </c>
      <c r="AG480" s="170" t="e">
        <f>IF('Prediction Log'!#REF!="Y", "W", IF('Prediction Log'!#REF!="N", "L", ""))</f>
        <v>#REF!</v>
      </c>
      <c r="AH480" s="172" t="str">
        <f>IF(ISBLANK(Table123[[#This Row],[Odds Spread]]), "",IF(AG480="W", Z480, IF(AG480="L",-O480, "")))</f>
      </c>
      <c r="AI480" s="184"/>
      <c r="AJ480" s="183" t="str">
        <f t="shared" si="54"/>
      </c>
      <c r="AK4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1">
      <c r="A481" s="65" t="e">
        <f>Games!#REF!</f>
        <v>#REF!</v>
      </c>
      <c r="B481" s="65" t="e">
        <f>IF('Prediction Log'!#REF!=0, "",'Prediction Log'!#REF!)</f>
        <v>#REF!</v>
      </c>
      <c r="C481" s="65" t="e">
        <f>IF('Prediction Log'!#REF!=0, "",'Prediction Log'!#REF!)</f>
        <v>#REF!</v>
      </c>
      <c r="D481" s="65" t="e">
        <f>IF('Prediction Log'!#REF!=0, "",'Prediction Log'!#REF!)</f>
        <v>#REF!</v>
      </c>
      <c r="E481" s="65" t="e">
        <f>IF('Prediction Log'!#REF!=0, "",'Prediction Log'!#REF!)</f>
        <v>#REF!</v>
      </c>
      <c r="F481" s="65" t="e">
        <f>IF('Prediction Log'!#REF!=0, "",'Prediction Log'!#REF!)</f>
        <v>#REF!</v>
      </c>
      <c r="G481" s="64" t="e">
        <f>IF(ISBLANK(Games!#REF!), "",'Prediction Log'!#REF!)</f>
        <v>#REF!</v>
      </c>
      <c r="H481" s="66" t="e">
        <f>'Prediction Log'!#REF!</f>
        <v>#REF!</v>
      </c>
      <c r="I481" s="65" t="e">
        <f>IF(ISBLANK(Games!#REF!), "",IF(AND(Games!#REF!="",Games!#REF!=""),"",IF(ISTEXT(Games!#REF!), "Side",Games!#REF!)))</f>
        <v>#REF!</v>
      </c>
      <c r="J481" s="65" t="e">
        <f>IF(ISBLANK(Games!#REF!), "",IF(Games!#REF!="Y", Games!#REF!, Games!#REF!))</f>
        <v>#REF!</v>
      </c>
      <c r="K481" s="65" t="e">
        <f>Games!#REF!</f>
        <v>#REF!</v>
      </c>
      <c r="L481" s="65" t="e">
        <f>IF(ISBLANK(Games!#REF!), "",Games!#REF!)</f>
        <v>#REF!</v>
      </c>
      <c r="M481" s="65"/>
      <c r="N481" s="167" t="str">
        <f>IF(ISBLANK(Table123[[#This Row],[Odds Side - Difference Model]]), "", 1)</f>
      </c>
      <c r="O481" s="167" t="str">
        <f>IF(ISBLANK(Table123[[#This Row],[Odds Spread]]), "", 1)</f>
      </c>
      <c r="P481" s="67"/>
      <c r="Q481" s="67"/>
      <c r="R4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1" s="67"/>
      <c r="T481" s="67"/>
      <c r="U481" s="168" t="str">
        <f>IF(ISBLANK(Table123[[#This Row],[Odds Side - Difference Model]]), "",N481+IF(Q481&lt;0, (N481/(Q481/-100)), N481*(Q481/100)))</f>
      </c>
      <c r="V481" s="169" t="str">
        <f>IFERROR(IF(ISBLANK(Table123[[#This Row],[Odds Side - Win Probability Model]]), "",N481+IF(R481&lt;0, (N481/(R481/-100)), N481*(R481/100))),"")</f>
      </c>
      <c r="W481" s="168" t="str">
        <f t="shared" si="49"/>
      </c>
      <c r="X481" s="169" t="str">
        <f t="shared" si="50"/>
      </c>
      <c r="Y481" s="168" t="str">
        <f>IF(ISBLANK(Table123[[#This Row],[Odds Spread]]), "",O481+IF(S481&lt;0, (O481/(S481/-100)), O481*(S481/100)))</f>
      </c>
      <c r="Z481" s="168" t="str">
        <f t="shared" si="51"/>
      </c>
      <c r="AA481" s="68" t="n">
        <f t="shared" si="52"/>
        <v>0</v>
      </c>
      <c r="AB481" s="68" t="n">
        <f t="shared" si="53"/>
        <v>0</v>
      </c>
      <c r="AC481" s="170" t="e">
        <f>IF('Prediction Log'!#REF!="Y", "W", IF('Prediction Log'!#REF!="N","L",""))</f>
        <v>#REF!</v>
      </c>
      <c r="AD481" s="171" t="e">
        <f>IF('Prediction Log'!#REF!="Y", "W", IF('Prediction Log'!#REF!="N","L",""))</f>
        <v>#REF!</v>
      </c>
      <c r="AE481" s="172" t="str">
        <f>IF(ISBLANK(Table123[[#This Row],[Odds Side - Difference Model]]), "",IF(AC481="W", W481, IF(AC481="L",-N481, "")))</f>
      </c>
      <c r="AF481" s="173" t="str">
        <f>IFERROR((IF(ISERR(Table123[[#This Row],[Potential Payout Side - Win Probability Model]]), "",IF(AD481="W", X481, IF(AD481="L",-N481, "")))), "")</f>
      </c>
      <c r="AG481" s="170" t="e">
        <f>IF('Prediction Log'!#REF!="Y", "W", IF('Prediction Log'!#REF!="N", "L", ""))</f>
        <v>#REF!</v>
      </c>
      <c r="AH481" s="172" t="str">
        <f>IF(ISBLANK(Table123[[#This Row],[Odds Spread]]), "",IF(AG481="W", Z481, IF(AG481="L",-O481, "")))</f>
      </c>
      <c r="AI481" s="184"/>
      <c r="AJ481" s="183" t="str">
        <f t="shared" si="54"/>
      </c>
      <c r="AK4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2">
      <c r="A482" s="65" t="e">
        <f>Games!#REF!</f>
        <v>#REF!</v>
      </c>
      <c r="B482" s="65" t="e">
        <f>IF('Prediction Log'!#REF!=0, "",'Prediction Log'!#REF!)</f>
        <v>#REF!</v>
      </c>
      <c r="C482" s="65" t="e">
        <f>IF('Prediction Log'!#REF!=0, "",'Prediction Log'!#REF!)</f>
        <v>#REF!</v>
      </c>
      <c r="D482" s="65" t="e">
        <f>IF('Prediction Log'!#REF!=0, "",'Prediction Log'!#REF!)</f>
        <v>#REF!</v>
      </c>
      <c r="E482" s="65" t="e">
        <f>IF('Prediction Log'!#REF!=0, "",'Prediction Log'!#REF!)</f>
        <v>#REF!</v>
      </c>
      <c r="F482" s="65" t="e">
        <f>IF('Prediction Log'!#REF!=0, "",'Prediction Log'!#REF!)</f>
        <v>#REF!</v>
      </c>
      <c r="G482" s="64" t="e">
        <f>IF(ISBLANK(Games!#REF!), "",'Prediction Log'!#REF!)</f>
        <v>#REF!</v>
      </c>
      <c r="H482" s="66" t="e">
        <f>'Prediction Log'!#REF!</f>
        <v>#REF!</v>
      </c>
      <c r="I482" s="65" t="e">
        <f>IF(ISBLANK(Games!#REF!), "",IF(AND(Games!#REF!="",Games!#REF!=""),"",IF(ISTEXT(Games!#REF!), "Side",Games!#REF!)))</f>
        <v>#REF!</v>
      </c>
      <c r="J482" s="65" t="e">
        <f>IF(ISBLANK(Games!#REF!), "",IF(Games!#REF!="Y", Games!#REF!, Games!#REF!))</f>
        <v>#REF!</v>
      </c>
      <c r="K482" s="65" t="e">
        <f>Games!#REF!</f>
        <v>#REF!</v>
      </c>
      <c r="L482" s="65" t="e">
        <f>IF(ISBLANK(Games!#REF!), "",Games!#REF!)</f>
        <v>#REF!</v>
      </c>
      <c r="M482" s="65"/>
      <c r="N482" s="167" t="str">
        <f>IF(ISBLANK(Table123[[#This Row],[Odds Side - Difference Model]]), "", 1)</f>
      </c>
      <c r="O482" s="167" t="str">
        <f>IF(ISBLANK(Table123[[#This Row],[Odds Spread]]), "", 1)</f>
      </c>
      <c r="P482" s="67"/>
      <c r="Q482" s="67"/>
      <c r="R4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2" s="67"/>
      <c r="T482" s="67"/>
      <c r="U482" s="168" t="str">
        <f>IF(ISBLANK(Table123[[#This Row],[Odds Side - Difference Model]]), "",N482+IF(Q482&lt;0, (N482/(Q482/-100)), N482*(Q482/100)))</f>
      </c>
      <c r="V482" s="169" t="str">
        <f>IFERROR(IF(ISBLANK(Table123[[#This Row],[Odds Side - Win Probability Model]]), "",N482+IF(R482&lt;0, (N482/(R482/-100)), N482*(R482/100))),"")</f>
      </c>
      <c r="W482" s="168" t="str">
        <f t="shared" si="49"/>
      </c>
      <c r="X482" s="169" t="str">
        <f t="shared" si="50"/>
      </c>
      <c r="Y482" s="168" t="str">
        <f>IF(ISBLANK(Table123[[#This Row],[Odds Spread]]), "",O482+IF(S482&lt;0, (O482/(S482/-100)), O482*(S482/100)))</f>
      </c>
      <c r="Z482" s="168" t="str">
        <f t="shared" si="51"/>
      </c>
      <c r="AA482" s="68" t="n">
        <f t="shared" si="52"/>
        <v>0</v>
      </c>
      <c r="AB482" s="68" t="n">
        <f t="shared" si="53"/>
        <v>0</v>
      </c>
      <c r="AC482" s="170" t="e">
        <f>IF('Prediction Log'!#REF!="Y", "W", IF('Prediction Log'!#REF!="N","L",""))</f>
        <v>#REF!</v>
      </c>
      <c r="AD482" s="171" t="e">
        <f>IF('Prediction Log'!#REF!="Y", "W", IF('Prediction Log'!#REF!="N","L",""))</f>
        <v>#REF!</v>
      </c>
      <c r="AE482" s="172" t="str">
        <f>IF(ISBLANK(Table123[[#This Row],[Odds Side - Difference Model]]), "",IF(AC482="W", W482, IF(AC482="L",-N482, "")))</f>
      </c>
      <c r="AF482" s="173" t="str">
        <f>IFERROR((IF(ISERR(Table123[[#This Row],[Potential Payout Side - Win Probability Model]]), "",IF(AD482="W", X482, IF(AD482="L",-N482, "")))), "")</f>
      </c>
      <c r="AG482" s="170" t="e">
        <f>IF('Prediction Log'!#REF!="Y", "W", IF('Prediction Log'!#REF!="N", "L", ""))</f>
        <v>#REF!</v>
      </c>
      <c r="AH482" s="172" t="str">
        <f>IF(ISBLANK(Table123[[#This Row],[Odds Spread]]), "",IF(AG482="W", Z482, IF(AG482="L",-O482, "")))</f>
      </c>
      <c r="AI482" s="184"/>
      <c r="AJ482" s="183" t="str">
        <f t="shared" si="54"/>
      </c>
      <c r="AK4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3">
      <c r="A483" s="65" t="e">
        <f>Games!#REF!</f>
        <v>#REF!</v>
      </c>
      <c r="B483" s="65" t="e">
        <f>IF('Prediction Log'!#REF!=0, "",'Prediction Log'!#REF!)</f>
        <v>#REF!</v>
      </c>
      <c r="C483" s="65" t="e">
        <f>IF('Prediction Log'!#REF!=0, "",'Prediction Log'!#REF!)</f>
        <v>#REF!</v>
      </c>
      <c r="D483" s="65" t="e">
        <f>IF('Prediction Log'!#REF!=0, "",'Prediction Log'!#REF!)</f>
        <v>#REF!</v>
      </c>
      <c r="E483" s="65" t="e">
        <f>IF('Prediction Log'!#REF!=0, "",'Prediction Log'!#REF!)</f>
        <v>#REF!</v>
      </c>
      <c r="F483" s="65" t="e">
        <f>IF('Prediction Log'!#REF!=0, "",'Prediction Log'!#REF!)</f>
        <v>#REF!</v>
      </c>
      <c r="G483" s="64" t="e">
        <f>IF(ISBLANK(Games!#REF!), "",'Prediction Log'!#REF!)</f>
        <v>#REF!</v>
      </c>
      <c r="H483" s="66" t="e">
        <f>'Prediction Log'!#REF!</f>
        <v>#REF!</v>
      </c>
      <c r="I483" s="65" t="e">
        <f>IF(ISBLANK(Games!#REF!), "",IF(AND(Games!#REF!="",Games!#REF!=""),"",IF(ISTEXT(Games!#REF!), "Side",Games!#REF!)))</f>
        <v>#REF!</v>
      </c>
      <c r="J483" s="65" t="e">
        <f>IF(ISBLANK(Games!#REF!), "",IF(Games!#REF!="Y", Games!#REF!, Games!#REF!))</f>
        <v>#REF!</v>
      </c>
      <c r="K483" s="65" t="e">
        <f>Games!#REF!</f>
        <v>#REF!</v>
      </c>
      <c r="L483" s="65" t="e">
        <f>IF(ISBLANK(Games!#REF!), "",Games!#REF!)</f>
        <v>#REF!</v>
      </c>
      <c r="M483" s="65"/>
      <c r="N483" s="167" t="str">
        <f>IF(ISBLANK(Table123[[#This Row],[Odds Side - Difference Model]]), "", 1)</f>
      </c>
      <c r="O483" s="167" t="str">
        <f>IF(ISBLANK(Table123[[#This Row],[Odds Spread]]), "", 1)</f>
      </c>
      <c r="P483" s="67"/>
      <c r="Q483" s="67"/>
      <c r="R4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3" s="67"/>
      <c r="T483" s="67"/>
      <c r="U483" s="168" t="str">
        <f>IF(ISBLANK(Table123[[#This Row],[Odds Side - Difference Model]]), "",N483+IF(Q483&lt;0, (N483/(Q483/-100)), N483*(Q483/100)))</f>
      </c>
      <c r="V483" s="169" t="str">
        <f>IFERROR(IF(ISBLANK(Table123[[#This Row],[Odds Side - Win Probability Model]]), "",N483+IF(R483&lt;0, (N483/(R483/-100)), N483*(R483/100))),"")</f>
      </c>
      <c r="W483" s="168" t="str">
        <f t="shared" si="49"/>
      </c>
      <c r="X483" s="169" t="str">
        <f t="shared" si="50"/>
      </c>
      <c r="Y483" s="168" t="str">
        <f>IF(ISBLANK(Table123[[#This Row],[Odds Spread]]), "",O483+IF(S483&lt;0, (O483/(S483/-100)), O483*(S483/100)))</f>
      </c>
      <c r="Z483" s="168" t="str">
        <f t="shared" si="51"/>
      </c>
      <c r="AA483" s="68" t="n">
        <f t="shared" si="52"/>
        <v>0</v>
      </c>
      <c r="AB483" s="68" t="n">
        <f t="shared" si="53"/>
        <v>0</v>
      </c>
      <c r="AC483" s="170" t="e">
        <f>IF('Prediction Log'!#REF!="Y", "W", IF('Prediction Log'!#REF!="N","L",""))</f>
        <v>#REF!</v>
      </c>
      <c r="AD483" s="171" t="e">
        <f>IF('Prediction Log'!#REF!="Y", "W", IF('Prediction Log'!#REF!="N","L",""))</f>
        <v>#REF!</v>
      </c>
      <c r="AE483" s="172" t="str">
        <f>IF(ISBLANK(Table123[[#This Row],[Odds Side - Difference Model]]), "",IF(AC483="W", W483, IF(AC483="L",-N483, "")))</f>
      </c>
      <c r="AF483" s="173" t="str">
        <f>IFERROR((IF(ISERR(Table123[[#This Row],[Potential Payout Side - Win Probability Model]]), "",IF(AD483="W", X483, IF(AD483="L",-N483, "")))), "")</f>
      </c>
      <c r="AG483" s="170" t="e">
        <f>IF('Prediction Log'!#REF!="Y", "W", IF('Prediction Log'!#REF!="N", "L", ""))</f>
        <v>#REF!</v>
      </c>
      <c r="AH483" s="172" t="str">
        <f>IF(ISBLANK(Table123[[#This Row],[Odds Spread]]), "",IF(AG483="W", Z483, IF(AG483="L",-O483, "")))</f>
      </c>
      <c r="AI483" s="184"/>
      <c r="AJ483" s="183" t="str">
        <f t="shared" si="54"/>
      </c>
      <c r="AK4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4">
      <c r="A484" s="65" t="e">
        <f>Games!#REF!</f>
        <v>#REF!</v>
      </c>
      <c r="B484" s="65" t="e">
        <f>IF('Prediction Log'!#REF!=0, "",'Prediction Log'!#REF!)</f>
        <v>#REF!</v>
      </c>
      <c r="C484" s="65" t="e">
        <f>IF('Prediction Log'!#REF!=0, "",'Prediction Log'!#REF!)</f>
        <v>#REF!</v>
      </c>
      <c r="D484" s="65" t="e">
        <f>IF('Prediction Log'!#REF!=0, "",'Prediction Log'!#REF!)</f>
        <v>#REF!</v>
      </c>
      <c r="E484" s="65" t="e">
        <f>IF('Prediction Log'!#REF!=0, "",'Prediction Log'!#REF!)</f>
        <v>#REF!</v>
      </c>
      <c r="F484" s="65" t="e">
        <f>IF('Prediction Log'!#REF!=0, "",'Prediction Log'!#REF!)</f>
        <v>#REF!</v>
      </c>
      <c r="G484" s="64" t="e">
        <f>IF(ISBLANK(Games!#REF!), "",'Prediction Log'!#REF!)</f>
        <v>#REF!</v>
      </c>
      <c r="H484" s="66" t="e">
        <f>'Prediction Log'!#REF!</f>
        <v>#REF!</v>
      </c>
      <c r="I484" s="65" t="e">
        <f>IF(ISBLANK(Games!#REF!), "",IF(AND(Games!#REF!="",Games!#REF!=""),"",IF(ISTEXT(Games!#REF!), "Side",Games!#REF!)))</f>
        <v>#REF!</v>
      </c>
      <c r="J484" s="65" t="e">
        <f>IF(ISBLANK(Games!#REF!), "",IF(Games!#REF!="Y", Games!#REF!, Games!#REF!))</f>
        <v>#REF!</v>
      </c>
      <c r="K484" s="65" t="e">
        <f>Games!#REF!</f>
        <v>#REF!</v>
      </c>
      <c r="L484" s="65" t="e">
        <f>IF(ISBLANK(Games!#REF!), "",Games!#REF!)</f>
        <v>#REF!</v>
      </c>
      <c r="M484" s="65"/>
      <c r="N484" s="167" t="str">
        <f>IF(ISBLANK(Table123[[#This Row],[Odds Side - Difference Model]]), "", 1)</f>
      </c>
      <c r="O484" s="167" t="str">
        <f>IF(ISBLANK(Table123[[#This Row],[Odds Spread]]), "", 1)</f>
      </c>
      <c r="P484" s="67"/>
      <c r="Q484" s="67"/>
      <c r="R4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4" s="67"/>
      <c r="T484" s="67"/>
      <c r="U484" s="168" t="str">
        <f>IF(ISBLANK(Table123[[#This Row],[Odds Side - Difference Model]]), "",N484+IF(Q484&lt;0, (N484/(Q484/-100)), N484*(Q484/100)))</f>
      </c>
      <c r="V484" s="169" t="str">
        <f>IFERROR(IF(ISBLANK(Table123[[#This Row],[Odds Side - Win Probability Model]]), "",N484+IF(R484&lt;0, (N484/(R484/-100)), N484*(R484/100))),"")</f>
      </c>
      <c r="W484" s="168" t="str">
        <f t="shared" si="49"/>
      </c>
      <c r="X484" s="169" t="str">
        <f t="shared" si="50"/>
      </c>
      <c r="Y484" s="168" t="str">
        <f>IF(ISBLANK(Table123[[#This Row],[Odds Spread]]), "",O484+IF(S484&lt;0, (O484/(S484/-100)), O484*(S484/100)))</f>
      </c>
      <c r="Z484" s="168" t="str">
        <f t="shared" si="51"/>
      </c>
      <c r="AA484" s="68" t="n">
        <f t="shared" si="52"/>
        <v>0</v>
      </c>
      <c r="AB484" s="68" t="n">
        <f t="shared" si="53"/>
        <v>0</v>
      </c>
      <c r="AC484" s="170" t="e">
        <f>IF('Prediction Log'!#REF!="Y", "W", IF('Prediction Log'!#REF!="N","L",""))</f>
        <v>#REF!</v>
      </c>
      <c r="AD484" s="171" t="e">
        <f>IF('Prediction Log'!#REF!="Y", "W", IF('Prediction Log'!#REF!="N","L",""))</f>
        <v>#REF!</v>
      </c>
      <c r="AE484" s="172" t="str">
        <f>IF(ISBLANK(Table123[[#This Row],[Odds Side - Difference Model]]), "",IF(AC484="W", W484, IF(AC484="L",-N484, "")))</f>
      </c>
      <c r="AF484" s="173" t="str">
        <f>IFERROR((IF(ISERR(Table123[[#This Row],[Potential Payout Side - Win Probability Model]]), "",IF(AD484="W", X484, IF(AD484="L",-N484, "")))), "")</f>
      </c>
      <c r="AG484" s="170" t="e">
        <f>IF('Prediction Log'!#REF!="Y", "W", IF('Prediction Log'!#REF!="N", "L", ""))</f>
        <v>#REF!</v>
      </c>
      <c r="AH484" s="172" t="str">
        <f>IF(ISBLANK(Table123[[#This Row],[Odds Spread]]), "",IF(AG484="W", Z484, IF(AG484="L",-O484, "")))</f>
      </c>
      <c r="AI484" s="184"/>
      <c r="AJ484" s="183" t="str">
        <f t="shared" si="54"/>
      </c>
      <c r="AK4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5">
      <c r="A485" s="65" t="e">
        <f>Games!#REF!</f>
        <v>#REF!</v>
      </c>
      <c r="B485" s="65" t="e">
        <f>IF('Prediction Log'!#REF!=0, "",'Prediction Log'!#REF!)</f>
        <v>#REF!</v>
      </c>
      <c r="C485" s="65" t="e">
        <f>IF('Prediction Log'!#REF!=0, "",'Prediction Log'!#REF!)</f>
        <v>#REF!</v>
      </c>
      <c r="D485" s="65" t="e">
        <f>IF('Prediction Log'!#REF!=0, "",'Prediction Log'!#REF!)</f>
        <v>#REF!</v>
      </c>
      <c r="E485" s="65" t="e">
        <f>IF('Prediction Log'!#REF!=0, "",'Prediction Log'!#REF!)</f>
        <v>#REF!</v>
      </c>
      <c r="F485" s="65" t="e">
        <f>IF('Prediction Log'!#REF!=0, "",'Prediction Log'!#REF!)</f>
        <v>#REF!</v>
      </c>
      <c r="G485" s="64" t="e">
        <f>IF(ISBLANK(Games!#REF!), "",'Prediction Log'!#REF!)</f>
        <v>#REF!</v>
      </c>
      <c r="H485" s="66" t="e">
        <f>'Prediction Log'!#REF!</f>
        <v>#REF!</v>
      </c>
      <c r="I485" s="65" t="e">
        <f>IF(ISBLANK(Games!#REF!), "",IF(AND(Games!#REF!="",Games!#REF!=""),"",IF(ISTEXT(Games!#REF!), "Side",Games!#REF!)))</f>
        <v>#REF!</v>
      </c>
      <c r="J485" s="65" t="e">
        <f>IF(ISBLANK(Games!#REF!), "",IF(Games!#REF!="Y", Games!#REF!, Games!#REF!))</f>
        <v>#REF!</v>
      </c>
      <c r="K485" s="65" t="e">
        <f>Games!#REF!</f>
        <v>#REF!</v>
      </c>
      <c r="L485" s="65" t="e">
        <f>IF(ISBLANK(Games!#REF!), "",Games!#REF!)</f>
        <v>#REF!</v>
      </c>
      <c r="M485" s="65"/>
      <c r="N485" s="167" t="str">
        <f>IF(ISBLANK(Table123[[#This Row],[Odds Side - Difference Model]]), "", 1)</f>
      </c>
      <c r="O485" s="167" t="str">
        <f>IF(ISBLANK(Table123[[#This Row],[Odds Spread]]), "", 1)</f>
      </c>
      <c r="P485" s="67"/>
      <c r="Q485" s="67"/>
      <c r="R4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5" s="67"/>
      <c r="T485" s="67"/>
      <c r="U485" s="168" t="str">
        <f>IF(ISBLANK(Table123[[#This Row],[Odds Side - Difference Model]]), "",N485+IF(Q485&lt;0, (N485/(Q485/-100)), N485*(Q485/100)))</f>
      </c>
      <c r="V485" s="169" t="str">
        <f>IFERROR(IF(ISBLANK(Table123[[#This Row],[Odds Side - Win Probability Model]]), "",N485+IF(R485&lt;0, (N485/(R485/-100)), N485*(R485/100))),"")</f>
      </c>
      <c r="W485" s="168" t="str">
        <f t="shared" si="49"/>
      </c>
      <c r="X485" s="169" t="str">
        <f t="shared" si="50"/>
      </c>
      <c r="Y485" s="168" t="str">
        <f>IF(ISBLANK(Table123[[#This Row],[Odds Spread]]), "",O485+IF(S485&lt;0, (O485/(S485/-100)), O485*(S485/100)))</f>
      </c>
      <c r="Z485" s="168" t="str">
        <f t="shared" si="51"/>
      </c>
      <c r="AA485" s="68" t="n">
        <f t="shared" si="52"/>
        <v>0</v>
      </c>
      <c r="AB485" s="68" t="n">
        <f t="shared" si="53"/>
        <v>0</v>
      </c>
      <c r="AC485" s="170" t="e">
        <f>IF('Prediction Log'!#REF!="Y", "W", IF('Prediction Log'!#REF!="N","L",""))</f>
        <v>#REF!</v>
      </c>
      <c r="AD485" s="171" t="e">
        <f>IF('Prediction Log'!#REF!="Y", "W", IF('Prediction Log'!#REF!="N","L",""))</f>
        <v>#REF!</v>
      </c>
      <c r="AE485" s="172" t="str">
        <f>IF(ISBLANK(Table123[[#This Row],[Odds Side - Difference Model]]), "",IF(AC485="W", W485, IF(AC485="L",-N485, "")))</f>
      </c>
      <c r="AF485" s="173" t="str">
        <f>IFERROR((IF(ISERR(Table123[[#This Row],[Potential Payout Side - Win Probability Model]]), "",IF(AD485="W", X485, IF(AD485="L",-N485, "")))), "")</f>
      </c>
      <c r="AG485" s="170" t="e">
        <f>IF('Prediction Log'!#REF!="Y", "W", IF('Prediction Log'!#REF!="N", "L", ""))</f>
        <v>#REF!</v>
      </c>
      <c r="AH485" s="172" t="str">
        <f>IF(ISBLANK(Table123[[#This Row],[Odds Spread]]), "",IF(AG485="W", Z485, IF(AG485="L",-O485, "")))</f>
      </c>
      <c r="AI485" s="184"/>
      <c r="AJ485" s="183" t="str">
        <f t="shared" si="54"/>
      </c>
      <c r="AK4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6">
      <c r="A486" s="65" t="e">
        <f>Games!#REF!</f>
        <v>#REF!</v>
      </c>
      <c r="B486" s="65" t="e">
        <f>IF('Prediction Log'!#REF!=0, "",'Prediction Log'!#REF!)</f>
        <v>#REF!</v>
      </c>
      <c r="C486" s="65" t="e">
        <f>IF('Prediction Log'!#REF!=0, "",'Prediction Log'!#REF!)</f>
        <v>#REF!</v>
      </c>
      <c r="D486" s="65" t="e">
        <f>IF('Prediction Log'!#REF!=0, "",'Prediction Log'!#REF!)</f>
        <v>#REF!</v>
      </c>
      <c r="E486" s="65" t="e">
        <f>IF('Prediction Log'!#REF!=0, "",'Prediction Log'!#REF!)</f>
        <v>#REF!</v>
      </c>
      <c r="F486" s="65" t="e">
        <f>IF('Prediction Log'!#REF!=0, "",'Prediction Log'!#REF!)</f>
        <v>#REF!</v>
      </c>
      <c r="G486" s="64" t="e">
        <f>IF(ISBLANK(Games!#REF!), "",'Prediction Log'!#REF!)</f>
        <v>#REF!</v>
      </c>
      <c r="H486" s="66" t="e">
        <f>'Prediction Log'!#REF!</f>
        <v>#REF!</v>
      </c>
      <c r="I486" s="65" t="e">
        <f>IF(ISBLANK(Games!#REF!), "",IF(AND(Games!#REF!="",Games!#REF!=""),"",IF(ISTEXT(Games!#REF!), "Side",Games!#REF!)))</f>
        <v>#REF!</v>
      </c>
      <c r="J486" s="65" t="e">
        <f>IF(ISBLANK(Games!#REF!), "",IF(Games!#REF!="Y", Games!#REF!, Games!#REF!))</f>
        <v>#REF!</v>
      </c>
      <c r="K486" s="65" t="e">
        <f>Games!#REF!</f>
        <v>#REF!</v>
      </c>
      <c r="L486" s="65" t="e">
        <f>IF(ISBLANK(Games!#REF!), "",Games!#REF!)</f>
        <v>#REF!</v>
      </c>
      <c r="M486" s="65"/>
      <c r="N486" s="167" t="str">
        <f>IF(ISBLANK(Table123[[#This Row],[Odds Side - Difference Model]]), "", 1)</f>
      </c>
      <c r="O486" s="167" t="str">
        <f>IF(ISBLANK(Table123[[#This Row],[Odds Spread]]), "", 1)</f>
      </c>
      <c r="P486" s="67"/>
      <c r="Q486" s="67"/>
      <c r="R4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6" s="67"/>
      <c r="T486" s="67"/>
      <c r="U486" s="168" t="str">
        <f>IF(ISBLANK(Table123[[#This Row],[Odds Side - Difference Model]]), "",N486+IF(Q486&lt;0, (N486/(Q486/-100)), N486*(Q486/100)))</f>
      </c>
      <c r="V486" s="169" t="str">
        <f>IFERROR(IF(ISBLANK(Table123[[#This Row],[Odds Side - Win Probability Model]]), "",N486+IF(R486&lt;0, (N486/(R486/-100)), N486*(R486/100))),"")</f>
      </c>
      <c r="W486" s="168" t="str">
        <f t="shared" si="49"/>
      </c>
      <c r="X486" s="169" t="str">
        <f t="shared" si="50"/>
      </c>
      <c r="Y486" s="168" t="str">
        <f>IF(ISBLANK(Table123[[#This Row],[Odds Spread]]), "",O486+IF(S486&lt;0, (O486/(S486/-100)), O486*(S486/100)))</f>
      </c>
      <c r="Z486" s="168" t="str">
        <f t="shared" si="51"/>
      </c>
      <c r="AA486" s="68" t="n">
        <f t="shared" si="52"/>
        <v>0</v>
      </c>
      <c r="AB486" s="68" t="n">
        <f t="shared" si="53"/>
        <v>0</v>
      </c>
      <c r="AC486" s="170" t="e">
        <f>IF('Prediction Log'!#REF!="Y", "W", IF('Prediction Log'!#REF!="N","L",""))</f>
        <v>#REF!</v>
      </c>
      <c r="AD486" s="171" t="e">
        <f>IF('Prediction Log'!#REF!="Y", "W", IF('Prediction Log'!#REF!="N","L",""))</f>
        <v>#REF!</v>
      </c>
      <c r="AE486" s="172" t="str">
        <f>IF(ISBLANK(Table123[[#This Row],[Odds Side - Difference Model]]), "",IF(AC486="W", W486, IF(AC486="L",-N486, "")))</f>
      </c>
      <c r="AF486" s="173" t="str">
        <f>IFERROR((IF(ISERR(Table123[[#This Row],[Potential Payout Side - Win Probability Model]]), "",IF(AD486="W", X486, IF(AD486="L",-N486, "")))), "")</f>
      </c>
      <c r="AG486" s="170" t="e">
        <f>IF('Prediction Log'!#REF!="Y", "W", IF('Prediction Log'!#REF!="N", "L", ""))</f>
        <v>#REF!</v>
      </c>
      <c r="AH486" s="172" t="str">
        <f>IF(ISBLANK(Table123[[#This Row],[Odds Spread]]), "",IF(AG486="W", Z486, IF(AG486="L",-O486, "")))</f>
      </c>
      <c r="AI486" s="184"/>
      <c r="AJ486" s="183" t="str">
        <f t="shared" si="54"/>
      </c>
      <c r="AK4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7">
      <c r="A487" s="65" t="e">
        <f>Games!#REF!</f>
        <v>#REF!</v>
      </c>
      <c r="B487" s="65" t="e">
        <f>IF('Prediction Log'!#REF!=0, "",'Prediction Log'!#REF!)</f>
        <v>#REF!</v>
      </c>
      <c r="C487" s="65" t="e">
        <f>IF('Prediction Log'!#REF!=0, "",'Prediction Log'!#REF!)</f>
        <v>#REF!</v>
      </c>
      <c r="D487" s="65" t="e">
        <f>IF('Prediction Log'!#REF!=0, "",'Prediction Log'!#REF!)</f>
        <v>#REF!</v>
      </c>
      <c r="E487" s="65" t="e">
        <f>IF('Prediction Log'!#REF!=0, "",'Prediction Log'!#REF!)</f>
        <v>#REF!</v>
      </c>
      <c r="F487" s="65" t="e">
        <f>IF('Prediction Log'!#REF!=0, "",'Prediction Log'!#REF!)</f>
        <v>#REF!</v>
      </c>
      <c r="G487" s="64" t="e">
        <f>IF(ISBLANK(Games!#REF!), "",'Prediction Log'!#REF!)</f>
        <v>#REF!</v>
      </c>
      <c r="H487" s="66" t="e">
        <f>'Prediction Log'!#REF!</f>
        <v>#REF!</v>
      </c>
      <c r="I487" s="65" t="e">
        <f>IF(ISBLANK(Games!#REF!), "",IF(AND(Games!#REF!="",Games!#REF!=""),"",IF(ISTEXT(Games!#REF!), "Side",Games!#REF!)))</f>
        <v>#REF!</v>
      </c>
      <c r="J487" s="65" t="e">
        <f>IF(ISBLANK(Games!#REF!), "",IF(Games!#REF!="Y", Games!#REF!, Games!#REF!))</f>
        <v>#REF!</v>
      </c>
      <c r="K487" s="65" t="e">
        <f>Games!#REF!</f>
        <v>#REF!</v>
      </c>
      <c r="L487" s="65" t="e">
        <f>IF(ISBLANK(Games!#REF!), "",Games!#REF!)</f>
        <v>#REF!</v>
      </c>
      <c r="M487" s="65"/>
      <c r="N487" s="167" t="str">
        <f>IF(ISBLANK(Table123[[#This Row],[Odds Side - Difference Model]]), "", 1)</f>
      </c>
      <c r="O487" s="167" t="str">
        <f>IF(ISBLANK(Table123[[#This Row],[Odds Spread]]), "", 1)</f>
      </c>
      <c r="P487" s="67"/>
      <c r="Q487" s="67"/>
      <c r="R4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7" s="67"/>
      <c r="T487" s="67"/>
      <c r="U487" s="168" t="str">
        <f>IF(ISBLANK(Table123[[#This Row],[Odds Side - Difference Model]]), "",N487+IF(Q487&lt;0, (N487/(Q487/-100)), N487*(Q487/100)))</f>
      </c>
      <c r="V487" s="169" t="str">
        <f>IFERROR(IF(ISBLANK(Table123[[#This Row],[Odds Side - Win Probability Model]]), "",N487+IF(R487&lt;0, (N487/(R487/-100)), N487*(R487/100))),"")</f>
      </c>
      <c r="W487" s="168" t="str">
        <f t="shared" si="49"/>
      </c>
      <c r="X487" s="169" t="str">
        <f t="shared" si="50"/>
      </c>
      <c r="Y487" s="168" t="str">
        <f>IF(ISBLANK(Table123[[#This Row],[Odds Spread]]), "",O487+IF(S487&lt;0, (O487/(S487/-100)), O487*(S487/100)))</f>
      </c>
      <c r="Z487" s="168" t="str">
        <f t="shared" si="51"/>
      </c>
      <c r="AA487" s="68" t="n">
        <f t="shared" si="52"/>
        <v>0</v>
      </c>
      <c r="AB487" s="68" t="n">
        <f t="shared" si="53"/>
        <v>0</v>
      </c>
      <c r="AC487" s="170" t="e">
        <f>IF('Prediction Log'!#REF!="Y", "W", IF('Prediction Log'!#REF!="N","L",""))</f>
        <v>#REF!</v>
      </c>
      <c r="AD487" s="171" t="e">
        <f>IF('Prediction Log'!#REF!="Y", "W", IF('Prediction Log'!#REF!="N","L",""))</f>
        <v>#REF!</v>
      </c>
      <c r="AE487" s="172" t="str">
        <f>IF(ISBLANK(Table123[[#This Row],[Odds Side - Difference Model]]), "",IF(AC487="W", W487, IF(AC487="L",-N487, "")))</f>
      </c>
      <c r="AF487" s="173" t="str">
        <f>IFERROR((IF(ISERR(Table123[[#This Row],[Potential Payout Side - Win Probability Model]]), "",IF(AD487="W", X487, IF(AD487="L",-N487, "")))), "")</f>
      </c>
      <c r="AG487" s="170" t="e">
        <f>IF('Prediction Log'!#REF!="Y", "W", IF('Prediction Log'!#REF!="N", "L", ""))</f>
        <v>#REF!</v>
      </c>
      <c r="AH487" s="172" t="str">
        <f>IF(ISBLANK(Table123[[#This Row],[Odds Spread]]), "",IF(AG487="W", Z487, IF(AG487="L",-O487, "")))</f>
      </c>
      <c r="AI487" s="184"/>
      <c r="AJ487" s="183" t="str">
        <f t="shared" si="54"/>
      </c>
      <c r="AK4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8">
      <c r="A488" s="65" t="e">
        <f>Games!#REF!</f>
        <v>#REF!</v>
      </c>
      <c r="B488" s="65" t="e">
        <f>IF('Prediction Log'!#REF!=0, "",'Prediction Log'!#REF!)</f>
        <v>#REF!</v>
      </c>
      <c r="C488" s="65" t="e">
        <f>IF('Prediction Log'!#REF!=0, "",'Prediction Log'!#REF!)</f>
        <v>#REF!</v>
      </c>
      <c r="D488" s="65" t="e">
        <f>IF('Prediction Log'!#REF!=0, "",'Prediction Log'!#REF!)</f>
        <v>#REF!</v>
      </c>
      <c r="E488" s="65" t="e">
        <f>IF('Prediction Log'!#REF!=0, "",'Prediction Log'!#REF!)</f>
        <v>#REF!</v>
      </c>
      <c r="F488" s="65" t="e">
        <f>IF('Prediction Log'!#REF!=0, "",'Prediction Log'!#REF!)</f>
        <v>#REF!</v>
      </c>
      <c r="G488" s="64" t="e">
        <f>IF(ISBLANK(Games!#REF!), "",'Prediction Log'!#REF!)</f>
        <v>#REF!</v>
      </c>
      <c r="H488" s="66" t="e">
        <f>'Prediction Log'!#REF!</f>
        <v>#REF!</v>
      </c>
      <c r="I488" s="65" t="e">
        <f>IF(ISBLANK(Games!#REF!), "",IF(AND(Games!#REF!="",Games!#REF!=""),"",IF(ISTEXT(Games!#REF!), "Side",Games!#REF!)))</f>
        <v>#REF!</v>
      </c>
      <c r="J488" s="65" t="e">
        <f>IF(ISBLANK(Games!#REF!), "",IF(Games!#REF!="Y", Games!#REF!, Games!#REF!))</f>
        <v>#REF!</v>
      </c>
      <c r="K488" s="65" t="e">
        <f>Games!#REF!</f>
        <v>#REF!</v>
      </c>
      <c r="L488" s="65" t="e">
        <f>IF(ISBLANK(Games!#REF!), "",Games!#REF!)</f>
        <v>#REF!</v>
      </c>
      <c r="M488" s="65"/>
      <c r="N488" s="167" t="str">
        <f>IF(ISBLANK(Table123[[#This Row],[Odds Side - Difference Model]]), "", 1)</f>
      </c>
      <c r="O488" s="167" t="str">
        <f>IF(ISBLANK(Table123[[#This Row],[Odds Spread]]), "", 1)</f>
      </c>
      <c r="P488" s="67"/>
      <c r="Q488" s="67"/>
      <c r="R4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8" s="67"/>
      <c r="T488" s="67"/>
      <c r="U488" s="168" t="str">
        <f>IF(ISBLANK(Table123[[#This Row],[Odds Side - Difference Model]]), "",N488+IF(Q488&lt;0, (N488/(Q488/-100)), N488*(Q488/100)))</f>
      </c>
      <c r="V488" s="169" t="str">
        <f>IFERROR(IF(ISBLANK(Table123[[#This Row],[Odds Side - Win Probability Model]]), "",N488+IF(R488&lt;0, (N488/(R488/-100)), N488*(R488/100))),"")</f>
      </c>
      <c r="W488" s="168" t="str">
        <f t="shared" si="49"/>
      </c>
      <c r="X488" s="169" t="str">
        <f t="shared" si="50"/>
      </c>
      <c r="Y488" s="168" t="str">
        <f>IF(ISBLANK(Table123[[#This Row],[Odds Spread]]), "",O488+IF(S488&lt;0, (O488/(S488/-100)), O488*(S488/100)))</f>
      </c>
      <c r="Z488" s="168" t="str">
        <f t="shared" si="51"/>
      </c>
      <c r="AA488" s="68" t="n">
        <f t="shared" si="52"/>
        <v>0</v>
      </c>
      <c r="AB488" s="68" t="n">
        <f t="shared" si="53"/>
        <v>0</v>
      </c>
      <c r="AC488" s="170" t="e">
        <f>IF('Prediction Log'!#REF!="Y", "W", IF('Prediction Log'!#REF!="N","L",""))</f>
        <v>#REF!</v>
      </c>
      <c r="AD488" s="171" t="e">
        <f>IF('Prediction Log'!#REF!="Y", "W", IF('Prediction Log'!#REF!="N","L",""))</f>
        <v>#REF!</v>
      </c>
      <c r="AE488" s="172" t="str">
        <f>IF(ISBLANK(Table123[[#This Row],[Odds Side - Difference Model]]), "",IF(AC488="W", W488, IF(AC488="L",-N488, "")))</f>
      </c>
      <c r="AF488" s="173" t="str">
        <f>IFERROR((IF(ISERR(Table123[[#This Row],[Potential Payout Side - Win Probability Model]]), "",IF(AD488="W", X488, IF(AD488="L",-N488, "")))), "")</f>
      </c>
      <c r="AG488" s="170" t="e">
        <f>IF('Prediction Log'!#REF!="Y", "W", IF('Prediction Log'!#REF!="N", "L", ""))</f>
        <v>#REF!</v>
      </c>
      <c r="AH488" s="172" t="str">
        <f>IF(ISBLANK(Table123[[#This Row],[Odds Spread]]), "",IF(AG488="W", Z488, IF(AG488="L",-O488, "")))</f>
      </c>
      <c r="AI488" s="184"/>
      <c r="AJ488" s="183" t="str">
        <f t="shared" si="54"/>
      </c>
      <c r="AK4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9">
      <c r="A489" s="65" t="e">
        <f>Games!#REF!</f>
        <v>#REF!</v>
      </c>
      <c r="B489" s="65" t="e">
        <f>IF('Prediction Log'!#REF!=0, "",'Prediction Log'!#REF!)</f>
        <v>#REF!</v>
      </c>
      <c r="C489" s="65" t="e">
        <f>IF('Prediction Log'!#REF!=0, "",'Prediction Log'!#REF!)</f>
        <v>#REF!</v>
      </c>
      <c r="D489" s="65" t="e">
        <f>IF('Prediction Log'!#REF!=0, "",'Prediction Log'!#REF!)</f>
        <v>#REF!</v>
      </c>
      <c r="E489" s="65" t="e">
        <f>IF('Prediction Log'!#REF!=0, "",'Prediction Log'!#REF!)</f>
        <v>#REF!</v>
      </c>
      <c r="F489" s="65" t="e">
        <f>IF('Prediction Log'!#REF!=0, "",'Prediction Log'!#REF!)</f>
        <v>#REF!</v>
      </c>
      <c r="G489" s="64" t="e">
        <f>IF(ISBLANK(Games!#REF!), "",'Prediction Log'!#REF!)</f>
        <v>#REF!</v>
      </c>
      <c r="H489" s="66" t="e">
        <f>'Prediction Log'!#REF!</f>
        <v>#REF!</v>
      </c>
      <c r="I489" s="65" t="e">
        <f>IF(ISBLANK(Games!#REF!), "",IF(AND(Games!#REF!="",Games!#REF!=""),"",IF(ISTEXT(Games!#REF!), "Side",Games!#REF!)))</f>
        <v>#REF!</v>
      </c>
      <c r="J489" s="65" t="e">
        <f>IF(ISBLANK(Games!#REF!), "",IF(Games!#REF!="Y", Games!#REF!, Games!#REF!))</f>
        <v>#REF!</v>
      </c>
      <c r="K489" s="65" t="e">
        <f>Games!#REF!</f>
        <v>#REF!</v>
      </c>
      <c r="L489" s="65" t="e">
        <f>IF(ISBLANK(Games!#REF!), "",Games!#REF!)</f>
        <v>#REF!</v>
      </c>
      <c r="M489" s="65"/>
      <c r="N489" s="167" t="str">
        <f>IF(ISBLANK(Table123[[#This Row],[Odds Side - Difference Model]]), "", 1)</f>
      </c>
      <c r="O489" s="167" t="str">
        <f>IF(ISBLANK(Table123[[#This Row],[Odds Spread]]), "", 1)</f>
      </c>
      <c r="P489" s="67"/>
      <c r="Q489" s="67"/>
      <c r="R4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9" s="67"/>
      <c r="T489" s="67"/>
      <c r="U489" s="168" t="str">
        <f>IF(ISBLANK(Table123[[#This Row],[Odds Side - Difference Model]]), "",N489+IF(Q489&lt;0, (N489/(Q489/-100)), N489*(Q489/100)))</f>
      </c>
      <c r="V489" s="169" t="str">
        <f>IFERROR(IF(ISBLANK(Table123[[#This Row],[Odds Side - Win Probability Model]]), "",N489+IF(R489&lt;0, (N489/(R489/-100)), N489*(R489/100))),"")</f>
      </c>
      <c r="W489" s="168" t="str">
        <f t="shared" si="49"/>
      </c>
      <c r="X489" s="169" t="str">
        <f t="shared" si="50"/>
      </c>
      <c r="Y489" s="168" t="str">
        <f>IF(ISBLANK(Table123[[#This Row],[Odds Spread]]), "",O489+IF(S489&lt;0, (O489/(S489/-100)), O489*(S489/100)))</f>
      </c>
      <c r="Z489" s="168" t="str">
        <f t="shared" si="51"/>
      </c>
      <c r="AA489" s="68" t="n">
        <f t="shared" si="52"/>
        <v>0</v>
      </c>
      <c r="AB489" s="68" t="n">
        <f t="shared" si="53"/>
        <v>0</v>
      </c>
      <c r="AC489" s="170" t="e">
        <f>IF('Prediction Log'!#REF!="Y", "W", IF('Prediction Log'!#REF!="N","L",""))</f>
        <v>#REF!</v>
      </c>
      <c r="AD489" s="171" t="e">
        <f>IF('Prediction Log'!#REF!="Y", "W", IF('Prediction Log'!#REF!="N","L",""))</f>
        <v>#REF!</v>
      </c>
      <c r="AE489" s="172" t="str">
        <f>IF(ISBLANK(Table123[[#This Row],[Odds Side - Difference Model]]), "",IF(AC489="W", W489, IF(AC489="L",-N489, "")))</f>
      </c>
      <c r="AF489" s="173" t="str">
        <f>IFERROR((IF(ISERR(Table123[[#This Row],[Potential Payout Side - Win Probability Model]]), "",IF(AD489="W", X489, IF(AD489="L",-N489, "")))), "")</f>
      </c>
      <c r="AG489" s="170" t="e">
        <f>IF('Prediction Log'!#REF!="Y", "W", IF('Prediction Log'!#REF!="N", "L", ""))</f>
        <v>#REF!</v>
      </c>
      <c r="AH489" s="172" t="str">
        <f>IF(ISBLANK(Table123[[#This Row],[Odds Spread]]), "",IF(AG489="W", Z489, IF(AG489="L",-O489, "")))</f>
      </c>
      <c r="AI489" s="184"/>
      <c r="AJ489" s="183" t="str">
        <f t="shared" si="54"/>
      </c>
      <c r="AK4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0">
      <c r="A490" s="65" t="e">
        <f>Games!#REF!</f>
        <v>#REF!</v>
      </c>
      <c r="B490" s="65" t="e">
        <f>IF('Prediction Log'!#REF!=0, "",'Prediction Log'!#REF!)</f>
        <v>#REF!</v>
      </c>
      <c r="C490" s="65" t="e">
        <f>IF('Prediction Log'!#REF!=0, "",'Prediction Log'!#REF!)</f>
        <v>#REF!</v>
      </c>
      <c r="D490" s="65" t="e">
        <f>IF('Prediction Log'!#REF!=0, "",'Prediction Log'!#REF!)</f>
        <v>#REF!</v>
      </c>
      <c r="E490" s="65" t="e">
        <f>IF('Prediction Log'!#REF!=0, "",'Prediction Log'!#REF!)</f>
        <v>#REF!</v>
      </c>
      <c r="F490" s="65" t="e">
        <f>IF('Prediction Log'!#REF!=0, "",'Prediction Log'!#REF!)</f>
        <v>#REF!</v>
      </c>
      <c r="G490" s="64" t="e">
        <f>IF(ISBLANK(Games!#REF!), "",'Prediction Log'!#REF!)</f>
        <v>#REF!</v>
      </c>
      <c r="H490" s="66" t="e">
        <f>'Prediction Log'!#REF!</f>
        <v>#REF!</v>
      </c>
      <c r="I490" s="65" t="e">
        <f>IF(ISBLANK(Games!#REF!), "",IF(AND(Games!#REF!="",Games!#REF!=""),"",IF(ISTEXT(Games!#REF!), "Side",Games!#REF!)))</f>
        <v>#REF!</v>
      </c>
      <c r="J490" s="65" t="e">
        <f>IF(ISBLANK(Games!#REF!), "",IF(Games!#REF!="Y", Games!#REF!, Games!#REF!))</f>
        <v>#REF!</v>
      </c>
      <c r="K490" s="65" t="e">
        <f>Games!#REF!</f>
        <v>#REF!</v>
      </c>
      <c r="L490" s="65" t="e">
        <f>IF(ISBLANK(Games!#REF!), "",Games!#REF!)</f>
        <v>#REF!</v>
      </c>
      <c r="M490" s="65"/>
      <c r="N490" s="167" t="str">
        <f>IF(ISBLANK(Table123[[#This Row],[Odds Side - Difference Model]]), "", 1)</f>
      </c>
      <c r="O490" s="167" t="str">
        <f>IF(ISBLANK(Table123[[#This Row],[Odds Spread]]), "", 1)</f>
      </c>
      <c r="P490" s="67"/>
      <c r="Q490" s="67"/>
      <c r="R4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0" s="67"/>
      <c r="T490" s="67"/>
      <c r="U490" s="168" t="str">
        <f>IF(ISBLANK(Table123[[#This Row],[Odds Side - Difference Model]]), "",N490+IF(Q490&lt;0, (N490/(Q490/-100)), N490*(Q490/100)))</f>
      </c>
      <c r="V490" s="169" t="str">
        <f>IFERROR(IF(ISBLANK(Table123[[#This Row],[Odds Side - Win Probability Model]]), "",N490+IF(R490&lt;0, (N490/(R490/-100)), N490*(R490/100))),"")</f>
      </c>
      <c r="W490" s="168" t="str">
        <f t="shared" si="49"/>
      </c>
      <c r="X490" s="169" t="str">
        <f t="shared" si="50"/>
      </c>
      <c r="Y490" s="168" t="str">
        <f>IF(ISBLANK(Table123[[#This Row],[Odds Spread]]), "",O490+IF(S490&lt;0, (O490/(S490/-100)), O490*(S490/100)))</f>
      </c>
      <c r="Z490" s="168" t="str">
        <f t="shared" si="51"/>
      </c>
      <c r="AA490" s="68" t="n">
        <f t="shared" si="52"/>
        <v>0</v>
      </c>
      <c r="AB490" s="68" t="n">
        <f t="shared" si="53"/>
        <v>0</v>
      </c>
      <c r="AC490" s="170" t="e">
        <f>IF('Prediction Log'!#REF!="Y", "W", IF('Prediction Log'!#REF!="N","L",""))</f>
        <v>#REF!</v>
      </c>
      <c r="AD490" s="171" t="e">
        <f>IF('Prediction Log'!#REF!="Y", "W", IF('Prediction Log'!#REF!="N","L",""))</f>
        <v>#REF!</v>
      </c>
      <c r="AE490" s="172" t="str">
        <f>IF(ISBLANK(Table123[[#This Row],[Odds Side - Difference Model]]), "",IF(AC490="W", W490, IF(AC490="L",-N490, "")))</f>
      </c>
      <c r="AF490" s="173" t="str">
        <f>IFERROR((IF(ISERR(Table123[[#This Row],[Potential Payout Side - Win Probability Model]]), "",IF(AD490="W", X490, IF(AD490="L",-N490, "")))), "")</f>
      </c>
      <c r="AG490" s="170" t="e">
        <f>IF('Prediction Log'!#REF!="Y", "W", IF('Prediction Log'!#REF!="N", "L", ""))</f>
        <v>#REF!</v>
      </c>
      <c r="AH490" s="172" t="str">
        <f>IF(ISBLANK(Table123[[#This Row],[Odds Spread]]), "",IF(AG490="W", Z490, IF(AG490="L",-O490, "")))</f>
      </c>
      <c r="AI490" s="184"/>
      <c r="AJ490" s="183" t="str">
        <f t="shared" si="54"/>
      </c>
      <c r="AK4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1">
      <c r="A491" s="65" t="e">
        <f>Games!#REF!</f>
        <v>#REF!</v>
      </c>
      <c r="B491" s="65" t="e">
        <f>IF('Prediction Log'!#REF!=0, "",'Prediction Log'!#REF!)</f>
        <v>#REF!</v>
      </c>
      <c r="C491" s="65" t="e">
        <f>IF('Prediction Log'!#REF!=0, "",'Prediction Log'!#REF!)</f>
        <v>#REF!</v>
      </c>
      <c r="D491" s="65" t="e">
        <f>IF('Prediction Log'!#REF!=0, "",'Prediction Log'!#REF!)</f>
        <v>#REF!</v>
      </c>
      <c r="E491" s="65" t="e">
        <f>IF('Prediction Log'!#REF!=0, "",'Prediction Log'!#REF!)</f>
        <v>#REF!</v>
      </c>
      <c r="F491" s="65" t="e">
        <f>IF('Prediction Log'!#REF!=0, "",'Prediction Log'!#REF!)</f>
        <v>#REF!</v>
      </c>
      <c r="G491" s="64" t="e">
        <f>IF(ISBLANK(Games!#REF!), "",'Prediction Log'!#REF!)</f>
        <v>#REF!</v>
      </c>
      <c r="H491" s="66" t="e">
        <f>'Prediction Log'!#REF!</f>
        <v>#REF!</v>
      </c>
      <c r="I491" s="65" t="e">
        <f>IF(ISBLANK(Games!#REF!), "",IF(AND(Games!#REF!="",Games!#REF!=""),"",IF(ISTEXT(Games!#REF!), "Side",Games!#REF!)))</f>
        <v>#REF!</v>
      </c>
      <c r="J491" s="65" t="e">
        <f>IF(ISBLANK(Games!#REF!), "",IF(Games!#REF!="Y", Games!#REF!, Games!#REF!))</f>
        <v>#REF!</v>
      </c>
      <c r="K491" s="65" t="e">
        <f>Games!#REF!</f>
        <v>#REF!</v>
      </c>
      <c r="L491" s="65" t="e">
        <f>IF(ISBLANK(Games!#REF!), "",Games!#REF!)</f>
        <v>#REF!</v>
      </c>
      <c r="M491" s="65"/>
      <c r="N491" s="167" t="str">
        <f>IF(ISBLANK(Table123[[#This Row],[Odds Side - Difference Model]]), "", 1)</f>
      </c>
      <c r="O491" s="167" t="str">
        <f>IF(ISBLANK(Table123[[#This Row],[Odds Spread]]), "", 1)</f>
      </c>
      <c r="P491" s="67"/>
      <c r="Q491" s="67"/>
      <c r="R4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1" s="67"/>
      <c r="T491" s="67"/>
      <c r="U491" s="168" t="str">
        <f>IF(ISBLANK(Table123[[#This Row],[Odds Side - Difference Model]]), "",N491+IF(Q491&lt;0, (N491/(Q491/-100)), N491*(Q491/100)))</f>
      </c>
      <c r="V491" s="169" t="str">
        <f>IFERROR(IF(ISBLANK(Table123[[#This Row],[Odds Side - Win Probability Model]]), "",N491+IF(R491&lt;0, (N491/(R491/-100)), N491*(R491/100))),"")</f>
      </c>
      <c r="W491" s="168" t="str">
        <f t="shared" si="49"/>
      </c>
      <c r="X491" s="169" t="str">
        <f t="shared" si="50"/>
      </c>
      <c r="Y491" s="168" t="str">
        <f>IF(ISBLANK(Table123[[#This Row],[Odds Spread]]), "",O491+IF(S491&lt;0, (O491/(S491/-100)), O491*(S491/100)))</f>
      </c>
      <c r="Z491" s="168" t="str">
        <f t="shared" si="51"/>
      </c>
      <c r="AA491" s="68" t="n">
        <f t="shared" si="52"/>
        <v>0</v>
      </c>
      <c r="AB491" s="68" t="n">
        <f t="shared" si="53"/>
        <v>0</v>
      </c>
      <c r="AC491" s="170" t="e">
        <f>IF('Prediction Log'!#REF!="Y", "W", IF('Prediction Log'!#REF!="N","L",""))</f>
        <v>#REF!</v>
      </c>
      <c r="AD491" s="171" t="e">
        <f>IF('Prediction Log'!#REF!="Y", "W", IF('Prediction Log'!#REF!="N","L",""))</f>
        <v>#REF!</v>
      </c>
      <c r="AE491" s="172" t="str">
        <f>IF(ISBLANK(Table123[[#This Row],[Odds Side - Difference Model]]), "",IF(AC491="W", W491, IF(AC491="L",-N491, "")))</f>
      </c>
      <c r="AF491" s="173" t="str">
        <f>IFERROR((IF(ISERR(Table123[[#This Row],[Potential Payout Side - Win Probability Model]]), "",IF(AD491="W", X491, IF(AD491="L",-N491, "")))), "")</f>
      </c>
      <c r="AG491" s="170" t="e">
        <f>IF('Prediction Log'!#REF!="Y", "W", IF('Prediction Log'!#REF!="N", "L", ""))</f>
        <v>#REF!</v>
      </c>
      <c r="AH491" s="172" t="str">
        <f>IF(ISBLANK(Table123[[#This Row],[Odds Spread]]), "",IF(AG491="W", Z491, IF(AG491="L",-O491, "")))</f>
      </c>
      <c r="AI491" s="184"/>
      <c r="AJ491" s="183" t="str">
        <f t="shared" si="54"/>
      </c>
      <c r="AK4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2">
      <c r="A492" s="65" t="e">
        <f>Games!#REF!</f>
        <v>#REF!</v>
      </c>
      <c r="B492" s="65" t="e">
        <f>IF('Prediction Log'!#REF!=0, "",'Prediction Log'!#REF!)</f>
        <v>#REF!</v>
      </c>
      <c r="C492" s="65" t="e">
        <f>IF('Prediction Log'!#REF!=0, "",'Prediction Log'!#REF!)</f>
        <v>#REF!</v>
      </c>
      <c r="D492" s="65" t="e">
        <f>IF('Prediction Log'!#REF!=0, "",'Prediction Log'!#REF!)</f>
        <v>#REF!</v>
      </c>
      <c r="E492" s="65" t="e">
        <f>IF('Prediction Log'!#REF!=0, "",'Prediction Log'!#REF!)</f>
        <v>#REF!</v>
      </c>
      <c r="F492" s="65" t="e">
        <f>IF('Prediction Log'!#REF!=0, "",'Prediction Log'!#REF!)</f>
        <v>#REF!</v>
      </c>
      <c r="G492" s="64" t="e">
        <f>IF(ISBLANK(Games!#REF!), "",'Prediction Log'!#REF!)</f>
        <v>#REF!</v>
      </c>
      <c r="H492" s="66" t="e">
        <f>'Prediction Log'!#REF!</f>
        <v>#REF!</v>
      </c>
      <c r="I492" s="65" t="e">
        <f>IF(ISBLANK(Games!#REF!), "",IF(AND(Games!#REF!="",Games!#REF!=""),"",IF(ISTEXT(Games!#REF!), "Side",Games!#REF!)))</f>
        <v>#REF!</v>
      </c>
      <c r="J492" s="65" t="e">
        <f>IF(ISBLANK(Games!#REF!), "",IF(Games!#REF!="Y", Games!#REF!, Games!#REF!))</f>
        <v>#REF!</v>
      </c>
      <c r="K492" s="65" t="e">
        <f>Games!#REF!</f>
        <v>#REF!</v>
      </c>
      <c r="L492" s="65" t="e">
        <f>IF(ISBLANK(Games!#REF!), "",Games!#REF!)</f>
        <v>#REF!</v>
      </c>
      <c r="M492" s="65"/>
      <c r="N492" s="167" t="str">
        <f>IF(ISBLANK(Table123[[#This Row],[Odds Side - Difference Model]]), "", 1)</f>
      </c>
      <c r="O492" s="167" t="str">
        <f>IF(ISBLANK(Table123[[#This Row],[Odds Spread]]), "", 1)</f>
      </c>
      <c r="P492" s="67"/>
      <c r="Q492" s="67"/>
      <c r="R4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2" s="67"/>
      <c r="T492" s="67"/>
      <c r="U492" s="168" t="str">
        <f>IF(ISBLANK(Table123[[#This Row],[Odds Side - Difference Model]]), "",N492+IF(Q492&lt;0, (N492/(Q492/-100)), N492*(Q492/100)))</f>
      </c>
      <c r="V492" s="169" t="str">
        <f>IFERROR(IF(ISBLANK(Table123[[#This Row],[Odds Side - Win Probability Model]]), "",N492+IF(R492&lt;0, (N492/(R492/-100)), N492*(R492/100))),"")</f>
      </c>
      <c r="W492" s="168" t="str">
        <f t="shared" si="49"/>
      </c>
      <c r="X492" s="169" t="str">
        <f t="shared" si="50"/>
      </c>
      <c r="Y492" s="168" t="str">
        <f>IF(ISBLANK(Table123[[#This Row],[Odds Spread]]), "",O492+IF(S492&lt;0, (O492/(S492/-100)), O492*(S492/100)))</f>
      </c>
      <c r="Z492" s="168" t="str">
        <f t="shared" si="51"/>
      </c>
      <c r="AA492" s="68" t="n">
        <f t="shared" si="52"/>
        <v>0</v>
      </c>
      <c r="AB492" s="68" t="n">
        <f t="shared" si="53"/>
        <v>0</v>
      </c>
      <c r="AC492" s="170" t="e">
        <f>IF('Prediction Log'!#REF!="Y", "W", IF('Prediction Log'!#REF!="N","L",""))</f>
        <v>#REF!</v>
      </c>
      <c r="AD492" s="171" t="e">
        <f>IF('Prediction Log'!#REF!="Y", "W", IF('Prediction Log'!#REF!="N","L",""))</f>
        <v>#REF!</v>
      </c>
      <c r="AE492" s="172" t="str">
        <f>IF(ISBLANK(Table123[[#This Row],[Odds Side - Difference Model]]), "",IF(AC492="W", W492, IF(AC492="L",-N492, "")))</f>
      </c>
      <c r="AF492" s="173" t="str">
        <f>IFERROR((IF(ISERR(Table123[[#This Row],[Potential Payout Side - Win Probability Model]]), "",IF(AD492="W", X492, IF(AD492="L",-N492, "")))), "")</f>
      </c>
      <c r="AG492" s="170" t="e">
        <f>IF('Prediction Log'!#REF!="Y", "W", IF('Prediction Log'!#REF!="N", "L", ""))</f>
        <v>#REF!</v>
      </c>
      <c r="AH492" s="172" t="str">
        <f>IF(ISBLANK(Table123[[#This Row],[Odds Spread]]), "",IF(AG492="W", Z492, IF(AG492="L",-O492, "")))</f>
      </c>
      <c r="AI492" s="184"/>
      <c r="AJ492" s="183" t="str">
        <f t="shared" si="54"/>
      </c>
      <c r="AK4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3">
      <c r="A493" s="65" t="e">
        <f>Games!#REF!</f>
        <v>#REF!</v>
      </c>
      <c r="B493" s="65" t="e">
        <f>IF('Prediction Log'!#REF!=0, "",'Prediction Log'!#REF!)</f>
        <v>#REF!</v>
      </c>
      <c r="C493" s="65" t="e">
        <f>IF('Prediction Log'!#REF!=0, "",'Prediction Log'!#REF!)</f>
        <v>#REF!</v>
      </c>
      <c r="D493" s="65" t="e">
        <f>IF('Prediction Log'!#REF!=0, "",'Prediction Log'!#REF!)</f>
        <v>#REF!</v>
      </c>
      <c r="E493" s="65" t="e">
        <f>IF('Prediction Log'!#REF!=0, "",'Prediction Log'!#REF!)</f>
        <v>#REF!</v>
      </c>
      <c r="F493" s="65" t="e">
        <f>IF('Prediction Log'!#REF!=0, "",'Prediction Log'!#REF!)</f>
        <v>#REF!</v>
      </c>
      <c r="G493" s="64" t="e">
        <f>IF(ISBLANK(Games!#REF!), "",'Prediction Log'!#REF!)</f>
        <v>#REF!</v>
      </c>
      <c r="H493" s="66" t="e">
        <f>'Prediction Log'!#REF!</f>
        <v>#REF!</v>
      </c>
      <c r="I493" s="65" t="e">
        <f>IF(ISBLANK(Games!#REF!), "",IF(AND(Games!#REF!="",Games!#REF!=""),"",IF(ISTEXT(Games!#REF!), "Side",Games!#REF!)))</f>
        <v>#REF!</v>
      </c>
      <c r="J493" s="65" t="e">
        <f>IF(ISBLANK(Games!#REF!), "",IF(Games!#REF!="Y", Games!#REF!, Games!#REF!))</f>
        <v>#REF!</v>
      </c>
      <c r="K493" s="65" t="e">
        <f>Games!#REF!</f>
        <v>#REF!</v>
      </c>
      <c r="L493" s="65" t="e">
        <f>IF(ISBLANK(Games!#REF!), "",Games!#REF!)</f>
        <v>#REF!</v>
      </c>
      <c r="M493" s="65"/>
      <c r="N493" s="167" t="str">
        <f>IF(ISBLANK(Table123[[#This Row],[Odds Side - Difference Model]]), "", 1)</f>
      </c>
      <c r="O493" s="167" t="str">
        <f>IF(ISBLANK(Table123[[#This Row],[Odds Spread]]), "", 1)</f>
      </c>
      <c r="P493" s="67"/>
      <c r="Q493" s="67"/>
      <c r="R4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3" s="67"/>
      <c r="T493" s="67"/>
      <c r="U493" s="168" t="str">
        <f>IF(ISBLANK(Table123[[#This Row],[Odds Side - Difference Model]]), "",N493+IF(Q493&lt;0, (N493/(Q493/-100)), N493*(Q493/100)))</f>
      </c>
      <c r="V493" s="169" t="str">
        <f>IFERROR(IF(ISBLANK(Table123[[#This Row],[Odds Side - Win Probability Model]]), "",N493+IF(R493&lt;0, (N493/(R493/-100)), N493*(R493/100))),"")</f>
      </c>
      <c r="W493" s="168" t="str">
        <f t="shared" si="49"/>
      </c>
      <c r="X493" s="169" t="str">
        <f t="shared" si="50"/>
      </c>
      <c r="Y493" s="168" t="str">
        <f>IF(ISBLANK(Table123[[#This Row],[Odds Spread]]), "",O493+IF(S493&lt;0, (O493/(S493/-100)), O493*(S493/100)))</f>
      </c>
      <c r="Z493" s="168" t="str">
        <f t="shared" si="51"/>
      </c>
      <c r="AA493" s="68" t="n">
        <f t="shared" si="52"/>
        <v>0</v>
      </c>
      <c r="AB493" s="68" t="n">
        <f t="shared" si="53"/>
        <v>0</v>
      </c>
      <c r="AC493" s="170" t="e">
        <f>IF('Prediction Log'!#REF!="Y", "W", IF('Prediction Log'!#REF!="N","L",""))</f>
        <v>#REF!</v>
      </c>
      <c r="AD493" s="171" t="e">
        <f>IF('Prediction Log'!#REF!="Y", "W", IF('Prediction Log'!#REF!="N","L",""))</f>
        <v>#REF!</v>
      </c>
      <c r="AE493" s="172" t="str">
        <f>IF(ISBLANK(Table123[[#This Row],[Odds Side - Difference Model]]), "",IF(AC493="W", W493, IF(AC493="L",-N493, "")))</f>
      </c>
      <c r="AF493" s="173" t="str">
        <f>IFERROR((IF(ISERR(Table123[[#This Row],[Potential Payout Side - Win Probability Model]]), "",IF(AD493="W", X493, IF(AD493="L",-N493, "")))), "")</f>
      </c>
      <c r="AG493" s="170" t="e">
        <f>IF('Prediction Log'!#REF!="Y", "W", IF('Prediction Log'!#REF!="N", "L", ""))</f>
        <v>#REF!</v>
      </c>
      <c r="AH493" s="172" t="str">
        <f>IF(ISBLANK(Table123[[#This Row],[Odds Spread]]), "",IF(AG493="W", Z493, IF(AG493="L",-O493, "")))</f>
      </c>
      <c r="AI493" s="184"/>
      <c r="AJ493" s="183" t="str">
        <f t="shared" si="54"/>
      </c>
      <c r="AK4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4">
      <c r="A494" s="65" t="e">
        <f>Games!#REF!</f>
        <v>#REF!</v>
      </c>
      <c r="B494" s="65" t="e">
        <f>IF('Prediction Log'!#REF!=0, "",'Prediction Log'!#REF!)</f>
        <v>#REF!</v>
      </c>
      <c r="C494" s="65" t="e">
        <f>IF('Prediction Log'!#REF!=0, "",'Prediction Log'!#REF!)</f>
        <v>#REF!</v>
      </c>
      <c r="D494" s="65" t="e">
        <f>IF('Prediction Log'!#REF!=0, "",'Prediction Log'!#REF!)</f>
        <v>#REF!</v>
      </c>
      <c r="E494" s="65" t="e">
        <f>IF('Prediction Log'!#REF!=0, "",'Prediction Log'!#REF!)</f>
        <v>#REF!</v>
      </c>
      <c r="F494" s="65" t="e">
        <f>IF('Prediction Log'!#REF!=0, "",'Prediction Log'!#REF!)</f>
        <v>#REF!</v>
      </c>
      <c r="G494" s="64" t="e">
        <f>IF(ISBLANK(Games!#REF!), "",'Prediction Log'!#REF!)</f>
        <v>#REF!</v>
      </c>
      <c r="H494" s="66" t="e">
        <f>'Prediction Log'!#REF!</f>
        <v>#REF!</v>
      </c>
      <c r="I494" s="65" t="e">
        <f>IF(ISBLANK(Games!#REF!), "",IF(AND(Games!#REF!="",Games!#REF!=""),"",IF(ISTEXT(Games!#REF!), "Side",Games!#REF!)))</f>
        <v>#REF!</v>
      </c>
      <c r="J494" s="65" t="e">
        <f>IF(ISBLANK(Games!#REF!), "",IF(Games!#REF!="Y", Games!#REF!, Games!#REF!))</f>
        <v>#REF!</v>
      </c>
      <c r="K494" s="65" t="e">
        <f>Games!#REF!</f>
        <v>#REF!</v>
      </c>
      <c r="L494" s="65" t="e">
        <f>IF(ISBLANK(Games!#REF!), "",Games!#REF!)</f>
        <v>#REF!</v>
      </c>
      <c r="M494" s="65"/>
      <c r="N494" s="167" t="str">
        <f>IF(ISBLANK(Table123[[#This Row],[Odds Side - Difference Model]]), "", 1)</f>
      </c>
      <c r="O494" s="167" t="str">
        <f>IF(ISBLANK(Table123[[#This Row],[Odds Spread]]), "", 1)</f>
      </c>
      <c r="P494" s="67"/>
      <c r="Q494" s="67"/>
      <c r="R4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4" s="67"/>
      <c r="T494" s="67"/>
      <c r="U494" s="168" t="str">
        <f>IF(ISBLANK(Table123[[#This Row],[Odds Side - Difference Model]]), "",N494+IF(Q494&lt;0, (N494/(Q494/-100)), N494*(Q494/100)))</f>
      </c>
      <c r="V494" s="169" t="str">
        <f>IFERROR(IF(ISBLANK(Table123[[#This Row],[Odds Side - Win Probability Model]]), "",N494+IF(R494&lt;0, (N494/(R494/-100)), N494*(R494/100))),"")</f>
      </c>
      <c r="W494" s="168" t="str">
        <f t="shared" si="49"/>
      </c>
      <c r="X494" s="169" t="str">
        <f t="shared" si="50"/>
      </c>
      <c r="Y494" s="168" t="str">
        <f>IF(ISBLANK(Table123[[#This Row],[Odds Spread]]), "",O494+IF(S494&lt;0, (O494/(S494/-100)), O494*(S494/100)))</f>
      </c>
      <c r="Z494" s="168" t="str">
        <f t="shared" si="51"/>
      </c>
      <c r="AA494" s="68" t="n">
        <f t="shared" si="52"/>
        <v>0</v>
      </c>
      <c r="AB494" s="68" t="n">
        <f t="shared" si="53"/>
        <v>0</v>
      </c>
      <c r="AC494" s="170" t="e">
        <f>IF('Prediction Log'!#REF!="Y", "W", IF('Prediction Log'!#REF!="N","L",""))</f>
        <v>#REF!</v>
      </c>
      <c r="AD494" s="171" t="e">
        <f>IF('Prediction Log'!#REF!="Y", "W", IF('Prediction Log'!#REF!="N","L",""))</f>
        <v>#REF!</v>
      </c>
      <c r="AE494" s="172" t="str">
        <f>IF(ISBLANK(Table123[[#This Row],[Odds Side - Difference Model]]), "",IF(AC494="W", W494, IF(AC494="L",-N494, "")))</f>
      </c>
      <c r="AF494" s="173" t="str">
        <f>IFERROR((IF(ISERR(Table123[[#This Row],[Potential Payout Side - Win Probability Model]]), "",IF(AD494="W", X494, IF(AD494="L",-N494, "")))), "")</f>
      </c>
      <c r="AG494" s="170" t="e">
        <f>IF('Prediction Log'!#REF!="Y", "W", IF('Prediction Log'!#REF!="N", "L", ""))</f>
        <v>#REF!</v>
      </c>
      <c r="AH494" s="172" t="str">
        <f>IF(ISBLANK(Table123[[#This Row],[Odds Spread]]), "",IF(AG494="W", Z494, IF(AG494="L",-O494, "")))</f>
      </c>
      <c r="AI494" s="184"/>
      <c r="AJ494" s="183" t="str">
        <f t="shared" si="54"/>
      </c>
      <c r="AK4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5">
      <c r="A495" s="65" t="e">
        <f>Games!#REF!</f>
        <v>#REF!</v>
      </c>
      <c r="B495" s="65" t="e">
        <f>IF('Prediction Log'!#REF!=0, "",'Prediction Log'!#REF!)</f>
        <v>#REF!</v>
      </c>
      <c r="C495" s="65" t="e">
        <f>IF('Prediction Log'!#REF!=0, "",'Prediction Log'!#REF!)</f>
        <v>#REF!</v>
      </c>
      <c r="D495" s="65" t="e">
        <f>IF('Prediction Log'!#REF!=0, "",'Prediction Log'!#REF!)</f>
        <v>#REF!</v>
      </c>
      <c r="E495" s="65" t="e">
        <f>IF('Prediction Log'!#REF!=0, "",'Prediction Log'!#REF!)</f>
        <v>#REF!</v>
      </c>
      <c r="F495" s="65" t="e">
        <f>IF('Prediction Log'!#REF!=0, "",'Prediction Log'!#REF!)</f>
        <v>#REF!</v>
      </c>
      <c r="G495" s="64" t="e">
        <f>IF(ISBLANK(Games!#REF!), "",'Prediction Log'!#REF!)</f>
        <v>#REF!</v>
      </c>
      <c r="H495" s="66" t="e">
        <f>'Prediction Log'!#REF!</f>
        <v>#REF!</v>
      </c>
      <c r="I495" s="65" t="e">
        <f>IF(ISBLANK(Games!#REF!), "",IF(AND(Games!#REF!="",Games!#REF!=""),"",IF(ISTEXT(Games!#REF!), "Side",Games!#REF!)))</f>
        <v>#REF!</v>
      </c>
      <c r="J495" s="65" t="e">
        <f>IF(ISBLANK(Games!#REF!), "",IF(Games!#REF!="Y", Games!#REF!, Games!#REF!))</f>
        <v>#REF!</v>
      </c>
      <c r="K495" s="65" t="e">
        <f>Games!#REF!</f>
        <v>#REF!</v>
      </c>
      <c r="L495" s="65" t="e">
        <f>IF(ISBLANK(Games!#REF!), "",Games!#REF!)</f>
        <v>#REF!</v>
      </c>
      <c r="M495" s="65"/>
      <c r="N495" s="167" t="str">
        <f>IF(ISBLANK(Table123[[#This Row],[Odds Side - Difference Model]]), "", 1)</f>
      </c>
      <c r="O495" s="167" t="str">
        <f>IF(ISBLANK(Table123[[#This Row],[Odds Spread]]), "", 1)</f>
      </c>
      <c r="P495" s="67"/>
      <c r="Q495" s="67"/>
      <c r="R4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5" s="67"/>
      <c r="T495" s="67"/>
      <c r="U495" s="168" t="str">
        <f>IF(ISBLANK(Table123[[#This Row],[Odds Side - Difference Model]]), "",N495+IF(Q495&lt;0, (N495/(Q495/-100)), N495*(Q495/100)))</f>
      </c>
      <c r="V495" s="169" t="str">
        <f>IFERROR(IF(ISBLANK(Table123[[#This Row],[Odds Side - Win Probability Model]]), "",N495+IF(R495&lt;0, (N495/(R495/-100)), N495*(R495/100))),"")</f>
      </c>
      <c r="W495" s="168" t="str">
        <f t="shared" si="49"/>
      </c>
      <c r="X495" s="169" t="str">
        <f t="shared" si="50"/>
      </c>
      <c r="Y495" s="168" t="str">
        <f>IF(ISBLANK(Table123[[#This Row],[Odds Spread]]), "",O495+IF(S495&lt;0, (O495/(S495/-100)), O495*(S495/100)))</f>
      </c>
      <c r="Z495" s="168" t="str">
        <f t="shared" si="51"/>
      </c>
      <c r="AA495" s="68" t="n">
        <f t="shared" si="52"/>
        <v>0</v>
      </c>
      <c r="AB495" s="68" t="n">
        <f t="shared" si="53"/>
        <v>0</v>
      </c>
      <c r="AC495" s="170" t="e">
        <f>IF('Prediction Log'!#REF!="Y", "W", IF('Prediction Log'!#REF!="N","L",""))</f>
        <v>#REF!</v>
      </c>
      <c r="AD495" s="171" t="e">
        <f>IF('Prediction Log'!#REF!="Y", "W", IF('Prediction Log'!#REF!="N","L",""))</f>
        <v>#REF!</v>
      </c>
      <c r="AE495" s="172" t="str">
        <f>IF(ISBLANK(Table123[[#This Row],[Odds Side - Difference Model]]), "",IF(AC495="W", W495, IF(AC495="L",-N495, "")))</f>
      </c>
      <c r="AF495" s="173" t="str">
        <f>IFERROR((IF(ISERR(Table123[[#This Row],[Potential Payout Side - Win Probability Model]]), "",IF(AD495="W", X495, IF(AD495="L",-N495, "")))), "")</f>
      </c>
      <c r="AG495" s="170" t="e">
        <f>IF('Prediction Log'!#REF!="Y", "W", IF('Prediction Log'!#REF!="N", "L", ""))</f>
        <v>#REF!</v>
      </c>
      <c r="AH495" s="172" t="str">
        <f>IF(ISBLANK(Table123[[#This Row],[Odds Spread]]), "",IF(AG495="W", Z495, IF(AG495="L",-O495, "")))</f>
      </c>
      <c r="AI495" s="184"/>
      <c r="AJ495" s="183" t="str">
        <f t="shared" si="54"/>
      </c>
      <c r="AK4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6">
      <c r="A496" s="65" t="e">
        <f>Games!#REF!</f>
        <v>#REF!</v>
      </c>
      <c r="B496" s="65" t="e">
        <f>IF('Prediction Log'!#REF!=0, "",'Prediction Log'!#REF!)</f>
        <v>#REF!</v>
      </c>
      <c r="C496" s="65" t="e">
        <f>IF('Prediction Log'!#REF!=0, "",'Prediction Log'!#REF!)</f>
        <v>#REF!</v>
      </c>
      <c r="D496" s="65" t="e">
        <f>IF('Prediction Log'!#REF!=0, "",'Prediction Log'!#REF!)</f>
        <v>#REF!</v>
      </c>
      <c r="E496" s="65" t="e">
        <f>IF('Prediction Log'!#REF!=0, "",'Prediction Log'!#REF!)</f>
        <v>#REF!</v>
      </c>
      <c r="F496" s="65" t="e">
        <f>IF('Prediction Log'!#REF!=0, "",'Prediction Log'!#REF!)</f>
        <v>#REF!</v>
      </c>
      <c r="G496" s="64" t="e">
        <f>IF(ISBLANK(Games!#REF!), "",'Prediction Log'!#REF!)</f>
        <v>#REF!</v>
      </c>
      <c r="H496" s="66" t="e">
        <f>'Prediction Log'!#REF!</f>
        <v>#REF!</v>
      </c>
      <c r="I496" s="65" t="e">
        <f>IF(ISBLANK(Games!#REF!), "",IF(AND(Games!#REF!="",Games!#REF!=""),"",IF(ISTEXT(Games!#REF!), "Side",Games!#REF!)))</f>
        <v>#REF!</v>
      </c>
      <c r="J496" s="65" t="e">
        <f>IF(ISBLANK(Games!#REF!), "",IF(Games!#REF!="Y", Games!#REF!, Games!#REF!))</f>
        <v>#REF!</v>
      </c>
      <c r="K496" s="65" t="e">
        <f>Games!#REF!</f>
        <v>#REF!</v>
      </c>
      <c r="L496" s="65" t="e">
        <f>IF(ISBLANK(Games!#REF!), "",Games!#REF!)</f>
        <v>#REF!</v>
      </c>
      <c r="M496" s="65"/>
      <c r="N496" s="167" t="str">
        <f>IF(ISBLANK(Table123[[#This Row],[Odds Side - Difference Model]]), "", 1)</f>
      </c>
      <c r="O496" s="167" t="str">
        <f>IF(ISBLANK(Table123[[#This Row],[Odds Spread]]), "", 1)</f>
      </c>
      <c r="P496" s="67"/>
      <c r="Q496" s="67"/>
      <c r="R4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6" s="67"/>
      <c r="T496" s="67"/>
      <c r="U496" s="168" t="str">
        <f>IF(ISBLANK(Table123[[#This Row],[Odds Side - Difference Model]]), "",N496+IF(Q496&lt;0, (N496/(Q496/-100)), N496*(Q496/100)))</f>
      </c>
      <c r="V496" s="169" t="str">
        <f>IFERROR(IF(ISBLANK(Table123[[#This Row],[Odds Side - Win Probability Model]]), "",N496+IF(R496&lt;0, (N496/(R496/-100)), N496*(R496/100))),"")</f>
      </c>
      <c r="W496" s="168" t="str">
        <f t="shared" si="49"/>
      </c>
      <c r="X496" s="169" t="str">
        <f t="shared" si="50"/>
      </c>
      <c r="Y496" s="168" t="str">
        <f>IF(ISBLANK(Table123[[#This Row],[Odds Spread]]), "",O496+IF(S496&lt;0, (O496/(S496/-100)), O496*(S496/100)))</f>
      </c>
      <c r="Z496" s="168" t="str">
        <f t="shared" si="51"/>
      </c>
      <c r="AA496" s="68" t="n">
        <f t="shared" si="52"/>
        <v>0</v>
      </c>
      <c r="AB496" s="68" t="n">
        <f t="shared" si="53"/>
        <v>0</v>
      </c>
      <c r="AC496" s="170" t="e">
        <f>IF('Prediction Log'!#REF!="Y", "W", IF('Prediction Log'!#REF!="N","L",""))</f>
        <v>#REF!</v>
      </c>
      <c r="AD496" s="171" t="e">
        <f>IF('Prediction Log'!#REF!="Y", "W", IF('Prediction Log'!#REF!="N","L",""))</f>
        <v>#REF!</v>
      </c>
      <c r="AE496" s="172" t="str">
        <f>IF(ISBLANK(Table123[[#This Row],[Odds Side - Difference Model]]), "",IF(AC496="W", W496, IF(AC496="L",-N496, "")))</f>
      </c>
      <c r="AF496" s="173" t="str">
        <f>IFERROR((IF(ISERR(Table123[[#This Row],[Potential Payout Side - Win Probability Model]]), "",IF(AD496="W", X496, IF(AD496="L",-N496, "")))), "")</f>
      </c>
      <c r="AG496" s="170" t="e">
        <f>IF('Prediction Log'!#REF!="Y", "W", IF('Prediction Log'!#REF!="N", "L", ""))</f>
        <v>#REF!</v>
      </c>
      <c r="AH496" s="172" t="str">
        <f>IF(ISBLANK(Table123[[#This Row],[Odds Spread]]), "",IF(AG496="W", Z496, IF(AG496="L",-O496, "")))</f>
      </c>
      <c r="AI496" s="184"/>
      <c r="AJ496" s="183" t="str">
        <f t="shared" si="54"/>
      </c>
      <c r="AK4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7">
      <c r="A497" s="65" t="e">
        <f>Games!#REF!</f>
        <v>#REF!</v>
      </c>
      <c r="B497" s="65" t="e">
        <f>IF('Prediction Log'!#REF!=0, "",'Prediction Log'!#REF!)</f>
        <v>#REF!</v>
      </c>
      <c r="C497" s="65" t="e">
        <f>IF('Prediction Log'!#REF!=0, "",'Prediction Log'!#REF!)</f>
        <v>#REF!</v>
      </c>
      <c r="D497" s="65" t="e">
        <f>IF('Prediction Log'!#REF!=0, "",'Prediction Log'!#REF!)</f>
        <v>#REF!</v>
      </c>
      <c r="E497" s="65" t="e">
        <f>IF('Prediction Log'!#REF!=0, "",'Prediction Log'!#REF!)</f>
        <v>#REF!</v>
      </c>
      <c r="F497" s="65" t="e">
        <f>IF('Prediction Log'!#REF!=0, "",'Prediction Log'!#REF!)</f>
        <v>#REF!</v>
      </c>
      <c r="G497" s="64" t="e">
        <f>IF(ISBLANK(Games!#REF!), "",'Prediction Log'!#REF!)</f>
        <v>#REF!</v>
      </c>
      <c r="H497" s="66" t="e">
        <f>'Prediction Log'!#REF!</f>
        <v>#REF!</v>
      </c>
      <c r="I497" s="65" t="e">
        <f>IF(ISBLANK(Games!#REF!), "",IF(AND(Games!#REF!="",Games!#REF!=""),"",IF(ISTEXT(Games!#REF!), "Side",Games!#REF!)))</f>
        <v>#REF!</v>
      </c>
      <c r="J497" s="65" t="e">
        <f>IF(ISBLANK(Games!#REF!), "",IF(Games!#REF!="Y", Games!#REF!, Games!#REF!))</f>
        <v>#REF!</v>
      </c>
      <c r="K497" s="65" t="e">
        <f>Games!#REF!</f>
        <v>#REF!</v>
      </c>
      <c r="L497" s="65" t="e">
        <f>IF(ISBLANK(Games!#REF!), "",Games!#REF!)</f>
        <v>#REF!</v>
      </c>
      <c r="M497" s="65"/>
      <c r="N497" s="167" t="str">
        <f>IF(ISBLANK(Table123[[#This Row],[Odds Side - Difference Model]]), "", 1)</f>
      </c>
      <c r="O497" s="167" t="str">
        <f>IF(ISBLANK(Table123[[#This Row],[Odds Spread]]), "", 1)</f>
      </c>
      <c r="P497" s="67"/>
      <c r="Q497" s="67"/>
      <c r="R4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7" s="67"/>
      <c r="T497" s="67"/>
      <c r="U497" s="168" t="str">
        <f>IF(ISBLANK(Table123[[#This Row],[Odds Side - Difference Model]]), "",N497+IF(Q497&lt;0, (N497/(Q497/-100)), N497*(Q497/100)))</f>
      </c>
      <c r="V497" s="169" t="str">
        <f>IFERROR(IF(ISBLANK(Table123[[#This Row],[Odds Side - Win Probability Model]]), "",N497+IF(R497&lt;0, (N497/(R497/-100)), N497*(R497/100))),"")</f>
      </c>
      <c r="W497" s="168" t="str">
        <f t="shared" si="49"/>
      </c>
      <c r="X497" s="169" t="str">
        <f t="shared" si="50"/>
      </c>
      <c r="Y497" s="168" t="str">
        <f>IF(ISBLANK(Table123[[#This Row],[Odds Spread]]), "",O497+IF(S497&lt;0, (O497/(S497/-100)), O497*(S497/100)))</f>
      </c>
      <c r="Z497" s="168" t="str">
        <f t="shared" si="51"/>
      </c>
      <c r="AA497" s="68" t="n">
        <f t="shared" si="52"/>
        <v>0</v>
      </c>
      <c r="AB497" s="68" t="n">
        <f t="shared" si="53"/>
        <v>0</v>
      </c>
      <c r="AC497" s="170" t="e">
        <f>IF('Prediction Log'!#REF!="Y", "W", IF('Prediction Log'!#REF!="N","L",""))</f>
        <v>#REF!</v>
      </c>
      <c r="AD497" s="171" t="e">
        <f>IF('Prediction Log'!#REF!="Y", "W", IF('Prediction Log'!#REF!="N","L",""))</f>
        <v>#REF!</v>
      </c>
      <c r="AE497" s="172" t="str">
        <f>IF(ISBLANK(Table123[[#This Row],[Odds Side - Difference Model]]), "",IF(AC497="W", W497, IF(AC497="L",-N497, "")))</f>
      </c>
      <c r="AF497" s="173" t="str">
        <f>IFERROR((IF(ISERR(Table123[[#This Row],[Potential Payout Side - Win Probability Model]]), "",IF(AD497="W", X497, IF(AD497="L",-N497, "")))), "")</f>
      </c>
      <c r="AG497" s="170" t="e">
        <f>IF('Prediction Log'!#REF!="Y", "W", IF('Prediction Log'!#REF!="N", "L", ""))</f>
        <v>#REF!</v>
      </c>
      <c r="AH497" s="172" t="str">
        <f>IF(ISBLANK(Table123[[#This Row],[Odds Spread]]), "",IF(AG497="W", Z497, IF(AG497="L",-O497, "")))</f>
      </c>
      <c r="AI497" s="184"/>
      <c r="AJ497" s="183" t="str">
        <f t="shared" si="54"/>
      </c>
      <c r="AK4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8">
      <c r="A498" s="65" t="e">
        <f>Games!#REF!</f>
        <v>#REF!</v>
      </c>
      <c r="B498" s="65" t="e">
        <f>IF('Prediction Log'!#REF!=0, "",'Prediction Log'!#REF!)</f>
        <v>#REF!</v>
      </c>
      <c r="C498" s="65" t="e">
        <f>IF('Prediction Log'!#REF!=0, "",'Prediction Log'!#REF!)</f>
        <v>#REF!</v>
      </c>
      <c r="D498" s="65" t="e">
        <f>IF('Prediction Log'!#REF!=0, "",'Prediction Log'!#REF!)</f>
        <v>#REF!</v>
      </c>
      <c r="E498" s="65" t="e">
        <f>IF('Prediction Log'!#REF!=0, "",'Prediction Log'!#REF!)</f>
        <v>#REF!</v>
      </c>
      <c r="F498" s="65" t="e">
        <f>IF('Prediction Log'!#REF!=0, "",'Prediction Log'!#REF!)</f>
        <v>#REF!</v>
      </c>
      <c r="G498" s="64" t="e">
        <f>IF(ISBLANK(Games!#REF!), "",'Prediction Log'!#REF!)</f>
        <v>#REF!</v>
      </c>
      <c r="H498" s="66" t="e">
        <f>'Prediction Log'!#REF!</f>
        <v>#REF!</v>
      </c>
      <c r="I498" s="65" t="e">
        <f>IF(ISBLANK(Games!#REF!), "",IF(AND(Games!#REF!="",Games!#REF!=""),"",IF(ISTEXT(Games!#REF!), "Side",Games!#REF!)))</f>
        <v>#REF!</v>
      </c>
      <c r="J498" s="65" t="e">
        <f>IF(ISBLANK(Games!#REF!), "",IF(Games!#REF!="Y", Games!#REF!, Games!#REF!))</f>
        <v>#REF!</v>
      </c>
      <c r="K498" s="65" t="e">
        <f>Games!#REF!</f>
        <v>#REF!</v>
      </c>
      <c r="L498" s="65" t="e">
        <f>IF(ISBLANK(Games!#REF!), "",Games!#REF!)</f>
        <v>#REF!</v>
      </c>
      <c r="M498" s="65"/>
      <c r="N498" s="167" t="str">
        <f>IF(ISBLANK(Table123[[#This Row],[Odds Side - Difference Model]]), "", 1)</f>
      </c>
      <c r="O498" s="167" t="str">
        <f>IF(ISBLANK(Table123[[#This Row],[Odds Spread]]), "", 1)</f>
      </c>
      <c r="P498" s="67"/>
      <c r="Q498" s="67"/>
      <c r="R4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8" s="67"/>
      <c r="T498" s="67"/>
      <c r="U498" s="168" t="str">
        <f>IF(ISBLANK(Table123[[#This Row],[Odds Side - Difference Model]]), "",N498+IF(Q498&lt;0, (N498/(Q498/-100)), N498*(Q498/100)))</f>
      </c>
      <c r="V498" s="169" t="str">
        <f>IFERROR(IF(ISBLANK(Table123[[#This Row],[Odds Side - Win Probability Model]]), "",N498+IF(R498&lt;0, (N498/(R498/-100)), N498*(R498/100))),"")</f>
      </c>
      <c r="W498" s="168" t="str">
        <f t="shared" si="49"/>
      </c>
      <c r="X498" s="169" t="str">
        <f t="shared" si="50"/>
      </c>
      <c r="Y498" s="168" t="str">
        <f>IF(ISBLANK(Table123[[#This Row],[Odds Spread]]), "",O498+IF(S498&lt;0, (O498/(S498/-100)), O498*(S498/100)))</f>
      </c>
      <c r="Z498" s="168" t="str">
        <f t="shared" si="51"/>
      </c>
      <c r="AA498" s="68" t="n">
        <f t="shared" si="52"/>
        <v>0</v>
      </c>
      <c r="AB498" s="68" t="n">
        <f t="shared" si="53"/>
        <v>0</v>
      </c>
      <c r="AC498" s="170" t="e">
        <f>IF('Prediction Log'!#REF!="Y", "W", IF('Prediction Log'!#REF!="N","L",""))</f>
        <v>#REF!</v>
      </c>
      <c r="AD498" s="171" t="e">
        <f>IF('Prediction Log'!#REF!="Y", "W", IF('Prediction Log'!#REF!="N","L",""))</f>
        <v>#REF!</v>
      </c>
      <c r="AE498" s="172" t="str">
        <f>IF(ISBLANK(Table123[[#This Row],[Odds Side - Difference Model]]), "",IF(AC498="W", W498, IF(AC498="L",-N498, "")))</f>
      </c>
      <c r="AF498" s="173" t="str">
        <f>IFERROR((IF(ISERR(Table123[[#This Row],[Potential Payout Side - Win Probability Model]]), "",IF(AD498="W", X498, IF(AD498="L",-N498, "")))), "")</f>
      </c>
      <c r="AG498" s="170" t="e">
        <f>IF('Prediction Log'!#REF!="Y", "W", IF('Prediction Log'!#REF!="N", "L", ""))</f>
        <v>#REF!</v>
      </c>
      <c r="AH498" s="172" t="str">
        <f>IF(ISBLANK(Table123[[#This Row],[Odds Spread]]), "",IF(AG498="W", Z498, IF(AG498="L",-O498, "")))</f>
      </c>
      <c r="AI498" s="184"/>
      <c r="AJ498" s="183" t="str">
        <f t="shared" si="54"/>
      </c>
      <c r="AK4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9">
      <c r="A499" s="65" t="e">
        <f>Games!#REF!</f>
        <v>#REF!</v>
      </c>
      <c r="B499" s="65" t="e">
        <f>IF('Prediction Log'!#REF!=0, "",'Prediction Log'!#REF!)</f>
        <v>#REF!</v>
      </c>
      <c r="C499" s="65" t="e">
        <f>IF('Prediction Log'!#REF!=0, "",'Prediction Log'!#REF!)</f>
        <v>#REF!</v>
      </c>
      <c r="D499" s="65" t="e">
        <f>IF('Prediction Log'!#REF!=0, "",'Prediction Log'!#REF!)</f>
        <v>#REF!</v>
      </c>
      <c r="E499" s="65" t="e">
        <f>IF('Prediction Log'!#REF!=0, "",'Prediction Log'!#REF!)</f>
        <v>#REF!</v>
      </c>
      <c r="F499" s="65" t="e">
        <f>IF('Prediction Log'!#REF!=0, "",'Prediction Log'!#REF!)</f>
        <v>#REF!</v>
      </c>
      <c r="G499" s="64" t="e">
        <f>IF(ISBLANK(Games!#REF!), "",'Prediction Log'!#REF!)</f>
        <v>#REF!</v>
      </c>
      <c r="H499" s="66" t="e">
        <f>'Prediction Log'!#REF!</f>
        <v>#REF!</v>
      </c>
      <c r="I499" s="65" t="e">
        <f>IF(ISBLANK(Games!#REF!), "",IF(AND(Games!#REF!="",Games!#REF!=""),"",IF(ISTEXT(Games!#REF!), "Side",Games!#REF!)))</f>
        <v>#REF!</v>
      </c>
      <c r="J499" s="65" t="e">
        <f>IF(ISBLANK(Games!#REF!), "",IF(Games!#REF!="Y", Games!#REF!, Games!#REF!))</f>
        <v>#REF!</v>
      </c>
      <c r="K499" s="65" t="e">
        <f>Games!#REF!</f>
        <v>#REF!</v>
      </c>
      <c r="L499" s="65" t="e">
        <f>IF(ISBLANK(Games!#REF!), "",Games!#REF!)</f>
        <v>#REF!</v>
      </c>
      <c r="M499" s="65"/>
      <c r="N499" s="167" t="str">
        <f>IF(ISBLANK(Table123[[#This Row],[Odds Side - Difference Model]]), "", 1)</f>
      </c>
      <c r="O499" s="167" t="str">
        <f>IF(ISBLANK(Table123[[#This Row],[Odds Spread]]), "", 1)</f>
      </c>
      <c r="P499" s="67"/>
      <c r="Q499" s="67"/>
      <c r="R4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9" s="67"/>
      <c r="T499" s="67"/>
      <c r="U499" s="168" t="str">
        <f>IF(ISBLANK(Table123[[#This Row],[Odds Side - Difference Model]]), "",N499+IF(Q499&lt;0, (N499/(Q499/-100)), N499*(Q499/100)))</f>
      </c>
      <c r="V499" s="169" t="str">
        <f>IFERROR(IF(ISBLANK(Table123[[#This Row],[Odds Side - Win Probability Model]]), "",N499+IF(R499&lt;0, (N499/(R499/-100)), N499*(R499/100))),"")</f>
      </c>
      <c r="W499" s="168" t="str">
        <f t="shared" si="49"/>
      </c>
      <c r="X499" s="169" t="str">
        <f t="shared" si="50"/>
      </c>
      <c r="Y499" s="168" t="str">
        <f>IF(ISBLANK(Table123[[#This Row],[Odds Spread]]), "",O499+IF(S499&lt;0, (O499/(S499/-100)), O499*(S499/100)))</f>
      </c>
      <c r="Z499" s="168" t="str">
        <f t="shared" si="51"/>
      </c>
      <c r="AA499" s="68" t="n">
        <f t="shared" si="52"/>
        <v>0</v>
      </c>
      <c r="AB499" s="68" t="n">
        <f t="shared" si="53"/>
        <v>0</v>
      </c>
      <c r="AC499" s="170" t="e">
        <f>IF('Prediction Log'!#REF!="Y", "W", IF('Prediction Log'!#REF!="N","L",""))</f>
        <v>#REF!</v>
      </c>
      <c r="AD499" s="171" t="e">
        <f>IF('Prediction Log'!#REF!="Y", "W", IF('Prediction Log'!#REF!="N","L",""))</f>
        <v>#REF!</v>
      </c>
      <c r="AE499" s="172" t="str">
        <f>IF(ISBLANK(Table123[[#This Row],[Odds Side - Difference Model]]), "",IF(AC499="W", W499, IF(AC499="L",-N499, "")))</f>
      </c>
      <c r="AF499" s="173" t="str">
        <f>IFERROR((IF(ISERR(Table123[[#This Row],[Potential Payout Side - Win Probability Model]]), "",IF(AD499="W", X499, IF(AD499="L",-N499, "")))), "")</f>
      </c>
      <c r="AG499" s="170" t="e">
        <f>IF('Prediction Log'!#REF!="Y", "W", IF('Prediction Log'!#REF!="N", "L", ""))</f>
        <v>#REF!</v>
      </c>
      <c r="AH499" s="172" t="str">
        <f>IF(ISBLANK(Table123[[#This Row],[Odds Spread]]), "",IF(AG499="W", Z499, IF(AG499="L",-O499, "")))</f>
      </c>
      <c r="AI499" s="184"/>
      <c r="AJ499" s="183" t="str">
        <f t="shared" si="54"/>
      </c>
      <c r="AK4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0">
      <c r="A500" s="65" t="e">
        <f>Games!#REF!</f>
        <v>#REF!</v>
      </c>
      <c r="B500" s="65" t="e">
        <f>IF('Prediction Log'!#REF!=0, "",'Prediction Log'!#REF!)</f>
        <v>#REF!</v>
      </c>
      <c r="C500" s="65" t="e">
        <f>IF('Prediction Log'!#REF!=0, "",'Prediction Log'!#REF!)</f>
        <v>#REF!</v>
      </c>
      <c r="D500" s="65" t="e">
        <f>IF('Prediction Log'!#REF!=0, "",'Prediction Log'!#REF!)</f>
        <v>#REF!</v>
      </c>
      <c r="E500" s="65" t="e">
        <f>IF('Prediction Log'!#REF!=0, "",'Prediction Log'!#REF!)</f>
        <v>#REF!</v>
      </c>
      <c r="F500" s="65" t="e">
        <f>IF('Prediction Log'!#REF!=0, "",'Prediction Log'!#REF!)</f>
        <v>#REF!</v>
      </c>
      <c r="G500" s="64" t="e">
        <f>IF(ISBLANK(Games!#REF!), "",'Prediction Log'!#REF!)</f>
        <v>#REF!</v>
      </c>
      <c r="H500" s="66" t="e">
        <f>'Prediction Log'!#REF!</f>
        <v>#REF!</v>
      </c>
      <c r="I500" s="65" t="e">
        <f>IF(ISBLANK(Games!#REF!), "",IF(AND(Games!#REF!="",Games!#REF!=""),"",IF(ISTEXT(Games!#REF!), "Side",Games!#REF!)))</f>
        <v>#REF!</v>
      </c>
      <c r="J500" s="65" t="e">
        <f>IF(ISBLANK(Games!#REF!), "",IF(Games!#REF!="Y", Games!#REF!, Games!#REF!))</f>
        <v>#REF!</v>
      </c>
      <c r="K500" s="65" t="e">
        <f>Games!#REF!</f>
        <v>#REF!</v>
      </c>
      <c r="L500" s="65" t="e">
        <f>IF(ISBLANK(Games!#REF!), "",Games!#REF!)</f>
        <v>#REF!</v>
      </c>
      <c r="M500" s="65"/>
      <c r="N500" s="167" t="str">
        <f>IF(ISBLANK(Table123[[#This Row],[Odds Side - Difference Model]]), "", 1)</f>
      </c>
      <c r="O500" s="167" t="str">
        <f>IF(ISBLANK(Table123[[#This Row],[Odds Spread]]), "", 1)</f>
      </c>
      <c r="P500" s="67"/>
      <c r="Q500" s="67"/>
      <c r="R5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0" s="67"/>
      <c r="T500" s="67"/>
      <c r="U500" s="168" t="str">
        <f>IF(ISBLANK(Table123[[#This Row],[Odds Side - Difference Model]]), "",N500+IF(Q500&lt;0, (N500/(Q500/-100)), N500*(Q500/100)))</f>
      </c>
      <c r="V500" s="169" t="str">
        <f>IFERROR(IF(ISBLANK(Table123[[#This Row],[Odds Side - Win Probability Model]]), "",N500+IF(R500&lt;0, (N500/(R500/-100)), N500*(R500/100))),"")</f>
      </c>
      <c r="W500" s="168" t="str">
        <f t="shared" si="49"/>
      </c>
      <c r="X500" s="169" t="str">
        <f t="shared" si="50"/>
      </c>
      <c r="Y500" s="168" t="str">
        <f>IF(ISBLANK(Table123[[#This Row],[Odds Spread]]), "",O500+IF(S500&lt;0, (O500/(S500/-100)), O500*(S500/100)))</f>
      </c>
      <c r="Z500" s="168" t="str">
        <f t="shared" si="51"/>
      </c>
      <c r="AA500" s="68" t="n">
        <f t="shared" si="52"/>
        <v>0</v>
      </c>
      <c r="AB500" s="68" t="n">
        <f t="shared" si="53"/>
        <v>0</v>
      </c>
      <c r="AC500" s="170" t="e">
        <f>IF('Prediction Log'!#REF!="Y", "W", IF('Prediction Log'!#REF!="N","L",""))</f>
        <v>#REF!</v>
      </c>
      <c r="AD500" s="171" t="e">
        <f>IF('Prediction Log'!#REF!="Y", "W", IF('Prediction Log'!#REF!="N","L",""))</f>
        <v>#REF!</v>
      </c>
      <c r="AE500" s="172" t="str">
        <f>IF(ISBLANK(Table123[[#This Row],[Odds Side - Difference Model]]), "",IF(AC500="W", W500, IF(AC500="L",-N500, "")))</f>
      </c>
      <c r="AF500" s="173" t="str">
        <f>IFERROR((IF(ISERR(Table123[[#This Row],[Potential Payout Side - Win Probability Model]]), "",IF(AD500="W", X500, IF(AD500="L",-N500, "")))), "")</f>
      </c>
      <c r="AG500" s="170" t="e">
        <f>IF('Prediction Log'!#REF!="Y", "W", IF('Prediction Log'!#REF!="N", "L", ""))</f>
        <v>#REF!</v>
      </c>
      <c r="AH500" s="172" t="str">
        <f>IF(ISBLANK(Table123[[#This Row],[Odds Spread]]), "",IF(AG500="W", Z500, IF(AG500="L",-O500, "")))</f>
      </c>
      <c r="AI500" s="184"/>
      <c r="AJ500" s="183" t="str">
        <f t="shared" si="54"/>
      </c>
      <c r="AK5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1">
      <c r="A501" s="65" t="e">
        <f>Games!#REF!</f>
        <v>#REF!</v>
      </c>
      <c r="B501" s="65" t="e">
        <f>IF('Prediction Log'!#REF!=0, "",'Prediction Log'!#REF!)</f>
        <v>#REF!</v>
      </c>
      <c r="C501" s="65" t="e">
        <f>IF('Prediction Log'!#REF!=0, "",'Prediction Log'!#REF!)</f>
        <v>#REF!</v>
      </c>
      <c r="D501" s="65" t="e">
        <f>IF('Prediction Log'!#REF!=0, "",'Prediction Log'!#REF!)</f>
        <v>#REF!</v>
      </c>
      <c r="E501" s="65" t="e">
        <f>IF('Prediction Log'!#REF!=0, "",'Prediction Log'!#REF!)</f>
        <v>#REF!</v>
      </c>
      <c r="F501" s="65" t="e">
        <f>IF('Prediction Log'!#REF!=0, "",'Prediction Log'!#REF!)</f>
        <v>#REF!</v>
      </c>
      <c r="G501" s="64" t="e">
        <f>IF(ISBLANK(Games!#REF!), "",'Prediction Log'!#REF!)</f>
        <v>#REF!</v>
      </c>
      <c r="H501" s="66" t="e">
        <f>'Prediction Log'!#REF!</f>
        <v>#REF!</v>
      </c>
      <c r="I501" s="65" t="e">
        <f>IF(ISBLANK(Games!#REF!), "",IF(AND(Games!#REF!="",Games!#REF!=""),"",IF(ISTEXT(Games!#REF!), "Side",Games!#REF!)))</f>
        <v>#REF!</v>
      </c>
      <c r="J501" s="65" t="e">
        <f>IF(ISBLANK(Games!#REF!), "",IF(Games!#REF!="Y", Games!#REF!, Games!#REF!))</f>
        <v>#REF!</v>
      </c>
      <c r="K501" s="65" t="e">
        <f>Games!#REF!</f>
        <v>#REF!</v>
      </c>
      <c r="L501" s="65" t="e">
        <f>IF(ISBLANK(Games!#REF!), "",Games!#REF!)</f>
        <v>#REF!</v>
      </c>
      <c r="M501" s="65"/>
      <c r="N501" s="167" t="str">
        <f>IF(ISBLANK(Table123[[#This Row],[Odds Side - Difference Model]]), "", 1)</f>
      </c>
      <c r="O501" s="167" t="str">
        <f>IF(ISBLANK(Table123[[#This Row],[Odds Spread]]), "", 1)</f>
      </c>
      <c r="P501" s="67"/>
      <c r="Q501" s="67"/>
      <c r="R5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1" s="67"/>
      <c r="T501" s="67"/>
      <c r="U501" s="168" t="str">
        <f>IF(ISBLANK(Table123[[#This Row],[Odds Side - Difference Model]]), "",N501+IF(Q501&lt;0, (N501/(Q501/-100)), N501*(Q501/100)))</f>
      </c>
      <c r="V501" s="169" t="str">
        <f>IFERROR(IF(ISBLANK(Table123[[#This Row],[Odds Side - Win Probability Model]]), "",N501+IF(R501&lt;0, (N501/(R501/-100)), N501*(R501/100))),"")</f>
      </c>
      <c r="W501" s="168" t="str">
        <f t="shared" si="49"/>
      </c>
      <c r="X501" s="169" t="str">
        <f t="shared" si="50"/>
      </c>
      <c r="Y501" s="168" t="str">
        <f>IF(ISBLANK(Table123[[#This Row],[Odds Spread]]), "",O501+IF(S501&lt;0, (O501/(S501/-100)), O501*(S501/100)))</f>
      </c>
      <c r="Z501" s="168" t="str">
        <f t="shared" si="51"/>
      </c>
      <c r="AA501" s="68" t="n">
        <f t="shared" si="52"/>
        <v>0</v>
      </c>
      <c r="AB501" s="68" t="n">
        <f t="shared" si="53"/>
        <v>0</v>
      </c>
      <c r="AC501" s="170" t="e">
        <f>IF('Prediction Log'!#REF!="Y", "W", IF('Prediction Log'!#REF!="N","L",""))</f>
        <v>#REF!</v>
      </c>
      <c r="AD501" s="171" t="e">
        <f>IF('Prediction Log'!#REF!="Y", "W", IF('Prediction Log'!#REF!="N","L",""))</f>
        <v>#REF!</v>
      </c>
      <c r="AE501" s="172" t="str">
        <f>IF(ISBLANK(Table123[[#This Row],[Odds Side - Difference Model]]), "",IF(AC501="W", W501, IF(AC501="L",-N501, "")))</f>
      </c>
      <c r="AF501" s="173" t="str">
        <f>IFERROR((IF(ISERR(Table123[[#This Row],[Potential Payout Side - Win Probability Model]]), "",IF(AD501="W", X501, IF(AD501="L",-N501, "")))), "")</f>
      </c>
      <c r="AG501" s="170" t="e">
        <f>IF('Prediction Log'!#REF!="Y", "W", IF('Prediction Log'!#REF!="N", "L", ""))</f>
        <v>#REF!</v>
      </c>
      <c r="AH501" s="172" t="str">
        <f>IF(ISBLANK(Table123[[#This Row],[Odds Spread]]), "",IF(AG501="W", Z501, IF(AG501="L",-O501, "")))</f>
      </c>
      <c r="AI501" s="184"/>
      <c r="AJ501" s="183" t="str">
        <f t="shared" si="54"/>
      </c>
      <c r="AK5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2">
      <c r="A502" s="65" t="e">
        <f>Games!#REF!</f>
        <v>#REF!</v>
      </c>
      <c r="B502" s="65" t="e">
        <f>IF('Prediction Log'!#REF!=0, "",'Prediction Log'!#REF!)</f>
        <v>#REF!</v>
      </c>
      <c r="C502" s="65" t="e">
        <f>IF('Prediction Log'!#REF!=0, "",'Prediction Log'!#REF!)</f>
        <v>#REF!</v>
      </c>
      <c r="D502" s="65" t="e">
        <f>IF('Prediction Log'!#REF!=0, "",'Prediction Log'!#REF!)</f>
        <v>#REF!</v>
      </c>
      <c r="E502" s="65" t="e">
        <f>IF('Prediction Log'!#REF!=0, "",'Prediction Log'!#REF!)</f>
        <v>#REF!</v>
      </c>
      <c r="F502" s="65" t="e">
        <f>IF('Prediction Log'!#REF!=0, "",'Prediction Log'!#REF!)</f>
        <v>#REF!</v>
      </c>
      <c r="G502" s="64" t="e">
        <f>IF(ISBLANK(Games!#REF!), "",'Prediction Log'!#REF!)</f>
        <v>#REF!</v>
      </c>
      <c r="H502" s="66" t="e">
        <f>'Prediction Log'!#REF!</f>
        <v>#REF!</v>
      </c>
      <c r="I502" s="65" t="e">
        <f>IF(ISBLANK(Games!#REF!), "",IF(AND(Games!#REF!="",Games!#REF!=""),"",IF(ISTEXT(Games!#REF!), "Side",Games!#REF!)))</f>
        <v>#REF!</v>
      </c>
      <c r="J502" s="65" t="e">
        <f>IF(ISBLANK(Games!#REF!), "",IF(Games!#REF!="Y", Games!#REF!, Games!#REF!))</f>
        <v>#REF!</v>
      </c>
      <c r="K502" s="65" t="e">
        <f>Games!#REF!</f>
        <v>#REF!</v>
      </c>
      <c r="L502" s="65" t="e">
        <f>IF(ISBLANK(Games!#REF!), "",Games!#REF!)</f>
        <v>#REF!</v>
      </c>
      <c r="M502" s="65"/>
      <c r="N502" s="167" t="str">
        <f>IF(ISBLANK(Table123[[#This Row],[Odds Side - Difference Model]]), "", 1)</f>
      </c>
      <c r="O502" s="167" t="str">
        <f>IF(ISBLANK(Table123[[#This Row],[Odds Spread]]), "", 1)</f>
      </c>
      <c r="P502" s="67"/>
      <c r="Q502" s="67"/>
      <c r="R5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2" s="67"/>
      <c r="T502" s="67"/>
      <c r="U502" s="168" t="str">
        <f>IF(ISBLANK(Table123[[#This Row],[Odds Side - Difference Model]]), "",N502+IF(Q502&lt;0, (N502/(Q502/-100)), N502*(Q502/100)))</f>
      </c>
      <c r="V502" s="169" t="str">
        <f>IFERROR(IF(ISBLANK(Table123[[#This Row],[Odds Side - Win Probability Model]]), "",N502+IF(R502&lt;0, (N502/(R502/-100)), N502*(R502/100))),"")</f>
      </c>
      <c r="W502" s="168" t="str">
        <f t="shared" si="49"/>
      </c>
      <c r="X502" s="169" t="str">
        <f t="shared" si="50"/>
      </c>
      <c r="Y502" s="168" t="str">
        <f>IF(ISBLANK(Table123[[#This Row],[Odds Spread]]), "",O502+IF(S502&lt;0, (O502/(S502/-100)), O502*(S502/100)))</f>
      </c>
      <c r="Z502" s="168" t="str">
        <f t="shared" si="51"/>
      </c>
      <c r="AA502" s="68" t="n">
        <f t="shared" si="52"/>
        <v>0</v>
      </c>
      <c r="AB502" s="68" t="n">
        <f t="shared" si="53"/>
        <v>0</v>
      </c>
      <c r="AC502" s="170" t="e">
        <f>IF('Prediction Log'!#REF!="Y", "W", IF('Prediction Log'!#REF!="N","L",""))</f>
        <v>#REF!</v>
      </c>
      <c r="AD502" s="171" t="e">
        <f>IF('Prediction Log'!#REF!="Y", "W", IF('Prediction Log'!#REF!="N","L",""))</f>
        <v>#REF!</v>
      </c>
      <c r="AE502" s="172" t="str">
        <f>IF(ISBLANK(Table123[[#This Row],[Odds Side - Difference Model]]), "",IF(AC502="W", W502, IF(AC502="L",-N502, "")))</f>
      </c>
      <c r="AF502" s="173" t="str">
        <f>IFERROR((IF(ISERR(Table123[[#This Row],[Potential Payout Side - Win Probability Model]]), "",IF(AD502="W", X502, IF(AD502="L",-N502, "")))), "")</f>
      </c>
      <c r="AG502" s="170" t="e">
        <f>IF('Prediction Log'!#REF!="Y", "W", IF('Prediction Log'!#REF!="N", "L", ""))</f>
        <v>#REF!</v>
      </c>
      <c r="AH502" s="172" t="str">
        <f>IF(ISBLANK(Table123[[#This Row],[Odds Spread]]), "",IF(AG502="W", Z502, IF(AG502="L",-O502, "")))</f>
      </c>
      <c r="AI502" s="184"/>
      <c r="AJ502" s="183" t="str">
        <f t="shared" si="54"/>
      </c>
      <c r="AK5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3">
      <c r="A503" s="65" t="e">
        <f>Games!#REF!</f>
        <v>#REF!</v>
      </c>
      <c r="B503" s="65" t="e">
        <f>IF('Prediction Log'!#REF!=0, "",'Prediction Log'!#REF!)</f>
        <v>#REF!</v>
      </c>
      <c r="C503" s="65" t="e">
        <f>IF('Prediction Log'!#REF!=0, "",'Prediction Log'!#REF!)</f>
        <v>#REF!</v>
      </c>
      <c r="D503" s="65" t="e">
        <f>IF('Prediction Log'!#REF!=0, "",'Prediction Log'!#REF!)</f>
        <v>#REF!</v>
      </c>
      <c r="E503" s="65" t="e">
        <f>IF('Prediction Log'!#REF!=0, "",'Prediction Log'!#REF!)</f>
        <v>#REF!</v>
      </c>
      <c r="F503" s="65" t="e">
        <f>IF('Prediction Log'!#REF!=0, "",'Prediction Log'!#REF!)</f>
        <v>#REF!</v>
      </c>
      <c r="G503" s="64" t="e">
        <f>IF(ISBLANK(Games!#REF!), "",'Prediction Log'!#REF!)</f>
        <v>#REF!</v>
      </c>
      <c r="H503" s="66" t="e">
        <f>'Prediction Log'!#REF!</f>
        <v>#REF!</v>
      </c>
      <c r="I503" s="65" t="e">
        <f>IF(ISBLANK(Games!#REF!), "",IF(AND(Games!#REF!="",Games!#REF!=""),"",IF(ISTEXT(Games!#REF!), "Side",Games!#REF!)))</f>
        <v>#REF!</v>
      </c>
      <c r="J503" s="65" t="e">
        <f>IF(ISBLANK(Games!#REF!), "",IF(Games!#REF!="Y", Games!#REF!, Games!#REF!))</f>
        <v>#REF!</v>
      </c>
      <c r="K503" s="65" t="e">
        <f>Games!#REF!</f>
        <v>#REF!</v>
      </c>
      <c r="L503" s="65" t="e">
        <f>IF(ISBLANK(Games!#REF!), "",Games!#REF!)</f>
        <v>#REF!</v>
      </c>
      <c r="M503" s="65"/>
      <c r="N503" s="167" t="str">
        <f>IF(ISBLANK(Table123[[#This Row],[Odds Side - Difference Model]]), "", 1)</f>
      </c>
      <c r="O503" s="167" t="str">
        <f>IF(ISBLANK(Table123[[#This Row],[Odds Spread]]), "", 1)</f>
      </c>
      <c r="P503" s="67"/>
      <c r="Q503" s="67"/>
      <c r="R5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3" s="67"/>
      <c r="T503" s="67"/>
      <c r="U503" s="168" t="str">
        <f>IF(ISBLANK(Table123[[#This Row],[Odds Side - Difference Model]]), "",N503+IF(Q503&lt;0, (N503/(Q503/-100)), N503*(Q503/100)))</f>
      </c>
      <c r="V503" s="169" t="str">
        <f>IFERROR(IF(ISBLANK(Table123[[#This Row],[Odds Side - Win Probability Model]]), "",N503+IF(R503&lt;0, (N503/(R503/-100)), N503*(R503/100))),"")</f>
      </c>
      <c r="W503" s="168" t="str">
        <f t="shared" si="49"/>
      </c>
      <c r="X503" s="169" t="str">
        <f t="shared" si="50"/>
      </c>
      <c r="Y503" s="168" t="str">
        <f>IF(ISBLANK(Table123[[#This Row],[Odds Spread]]), "",O503+IF(S503&lt;0, (O503/(S503/-100)), O503*(S503/100)))</f>
      </c>
      <c r="Z503" s="168" t="str">
        <f t="shared" si="51"/>
      </c>
      <c r="AA503" s="68" t="n">
        <f t="shared" si="52"/>
        <v>0</v>
      </c>
      <c r="AB503" s="68" t="n">
        <f t="shared" si="53"/>
        <v>0</v>
      </c>
      <c r="AC503" s="170" t="e">
        <f>IF('Prediction Log'!#REF!="Y", "W", IF('Prediction Log'!#REF!="N","L",""))</f>
        <v>#REF!</v>
      </c>
      <c r="AD503" s="171" t="e">
        <f>IF('Prediction Log'!#REF!="Y", "W", IF('Prediction Log'!#REF!="N","L",""))</f>
        <v>#REF!</v>
      </c>
      <c r="AE503" s="172" t="str">
        <f>IF(ISBLANK(Table123[[#This Row],[Odds Side - Difference Model]]), "",IF(AC503="W", W503, IF(AC503="L",-N503, "")))</f>
      </c>
      <c r="AF503" s="173" t="str">
        <f>IFERROR((IF(ISERR(Table123[[#This Row],[Potential Payout Side - Win Probability Model]]), "",IF(AD503="W", X503, IF(AD503="L",-N503, "")))), "")</f>
      </c>
      <c r="AG503" s="170" t="e">
        <f>IF('Prediction Log'!#REF!="Y", "W", IF('Prediction Log'!#REF!="N", "L", ""))</f>
        <v>#REF!</v>
      </c>
      <c r="AH503" s="172" t="str">
        <f>IF(ISBLANK(Table123[[#This Row],[Odds Spread]]), "",IF(AG503="W", Z503, IF(AG503="L",-O503, "")))</f>
      </c>
      <c r="AI503" s="184"/>
      <c r="AJ503" s="183" t="str">
        <f t="shared" si="54"/>
      </c>
      <c r="AK5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4">
      <c r="A504" s="65" t="e">
        <f>Games!#REF!</f>
        <v>#REF!</v>
      </c>
      <c r="B504" s="65" t="e">
        <f>IF('Prediction Log'!#REF!=0, "",'Prediction Log'!#REF!)</f>
        <v>#REF!</v>
      </c>
      <c r="C504" s="65" t="e">
        <f>IF('Prediction Log'!#REF!=0, "",'Prediction Log'!#REF!)</f>
        <v>#REF!</v>
      </c>
      <c r="D504" s="65" t="e">
        <f>IF('Prediction Log'!#REF!=0, "",'Prediction Log'!#REF!)</f>
        <v>#REF!</v>
      </c>
      <c r="E504" s="65" t="e">
        <f>IF('Prediction Log'!#REF!=0, "",'Prediction Log'!#REF!)</f>
        <v>#REF!</v>
      </c>
      <c r="F504" s="65" t="e">
        <f>IF('Prediction Log'!#REF!=0, "",'Prediction Log'!#REF!)</f>
        <v>#REF!</v>
      </c>
      <c r="G504" s="64" t="e">
        <f>IF(ISBLANK(Games!#REF!), "",'Prediction Log'!#REF!)</f>
        <v>#REF!</v>
      </c>
      <c r="H504" s="66" t="e">
        <f>'Prediction Log'!#REF!</f>
        <v>#REF!</v>
      </c>
      <c r="I504" s="65" t="e">
        <f>IF(ISBLANK(Games!#REF!), "",IF(AND(Games!#REF!="",Games!#REF!=""),"",IF(ISTEXT(Games!#REF!), "Side",Games!#REF!)))</f>
        <v>#REF!</v>
      </c>
      <c r="J504" s="65" t="e">
        <f>IF(ISBLANK(Games!#REF!), "",IF(Games!#REF!="Y", Games!#REF!, Games!#REF!))</f>
        <v>#REF!</v>
      </c>
      <c r="K504" s="65" t="e">
        <f>Games!#REF!</f>
        <v>#REF!</v>
      </c>
      <c r="L504" s="65" t="e">
        <f>IF(ISBLANK(Games!#REF!), "",Games!#REF!)</f>
        <v>#REF!</v>
      </c>
      <c r="M504" s="65"/>
      <c r="N504" s="167" t="str">
        <f>IF(ISBLANK(Table123[[#This Row],[Odds Side - Difference Model]]), "", 1)</f>
      </c>
      <c r="O504" s="167" t="str">
        <f>IF(ISBLANK(Table123[[#This Row],[Odds Spread]]), "", 1)</f>
      </c>
      <c r="P504" s="67"/>
      <c r="Q504" s="67"/>
      <c r="R5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4" s="67"/>
      <c r="T504" s="67"/>
      <c r="U504" s="168" t="str">
        <f>IF(ISBLANK(Table123[[#This Row],[Odds Side - Difference Model]]), "",N504+IF(Q504&lt;0, (N504/(Q504/-100)), N504*(Q504/100)))</f>
      </c>
      <c r="V504" s="169" t="str">
        <f>IFERROR(IF(ISBLANK(Table123[[#This Row],[Odds Side - Win Probability Model]]), "",N504+IF(R504&lt;0, (N504/(R504/-100)), N504*(R504/100))),"")</f>
      </c>
      <c r="W504" s="168" t="str">
        <f t="shared" si="49"/>
      </c>
      <c r="X504" s="169" t="str">
        <f t="shared" si="50"/>
      </c>
      <c r="Y504" s="168" t="str">
        <f>IF(ISBLANK(Table123[[#This Row],[Odds Spread]]), "",O504+IF(S504&lt;0, (O504/(S504/-100)), O504*(S504/100)))</f>
      </c>
      <c r="Z504" s="168" t="str">
        <f t="shared" si="51"/>
      </c>
      <c r="AA504" s="68" t="n">
        <f t="shared" si="52"/>
        <v>0</v>
      </c>
      <c r="AB504" s="68" t="n">
        <f t="shared" si="53"/>
        <v>0</v>
      </c>
      <c r="AC504" s="170" t="e">
        <f>IF('Prediction Log'!#REF!="Y", "W", IF('Prediction Log'!#REF!="N","L",""))</f>
        <v>#REF!</v>
      </c>
      <c r="AD504" s="171" t="e">
        <f>IF('Prediction Log'!#REF!="Y", "W", IF('Prediction Log'!#REF!="N","L",""))</f>
        <v>#REF!</v>
      </c>
      <c r="AE504" s="172" t="str">
        <f>IF(ISBLANK(Table123[[#This Row],[Odds Side - Difference Model]]), "",IF(AC504="W", W504, IF(AC504="L",-N504, "")))</f>
      </c>
      <c r="AF504" s="173" t="str">
        <f>IFERROR((IF(ISERR(Table123[[#This Row],[Potential Payout Side - Win Probability Model]]), "",IF(AD504="W", X504, IF(AD504="L",-N504, "")))), "")</f>
      </c>
      <c r="AG504" s="170" t="e">
        <f>IF('Prediction Log'!#REF!="Y", "W", IF('Prediction Log'!#REF!="N", "L", ""))</f>
        <v>#REF!</v>
      </c>
      <c r="AH504" s="172" t="str">
        <f>IF(ISBLANK(Table123[[#This Row],[Odds Spread]]), "",IF(AG504="W", Z504, IF(AG504="L",-O504, "")))</f>
      </c>
      <c r="AI504" s="184"/>
      <c r="AJ504" s="183" t="str">
        <f t="shared" si="54"/>
      </c>
      <c r="AK5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5">
      <c r="A505" s="65" t="e">
        <f>Games!#REF!</f>
        <v>#REF!</v>
      </c>
      <c r="B505" s="65" t="e">
        <f>IF('Prediction Log'!#REF!=0, "",'Prediction Log'!#REF!)</f>
        <v>#REF!</v>
      </c>
      <c r="C505" s="65" t="e">
        <f>IF('Prediction Log'!#REF!=0, "",'Prediction Log'!#REF!)</f>
        <v>#REF!</v>
      </c>
      <c r="D505" s="65" t="e">
        <f>IF('Prediction Log'!#REF!=0, "",'Prediction Log'!#REF!)</f>
        <v>#REF!</v>
      </c>
      <c r="E505" s="65" t="e">
        <f>IF('Prediction Log'!#REF!=0, "",'Prediction Log'!#REF!)</f>
        <v>#REF!</v>
      </c>
      <c r="F505" s="65" t="e">
        <f>IF('Prediction Log'!#REF!=0, "",'Prediction Log'!#REF!)</f>
        <v>#REF!</v>
      </c>
      <c r="G505" s="64" t="e">
        <f>IF(ISBLANK(Games!#REF!), "",'Prediction Log'!#REF!)</f>
        <v>#REF!</v>
      </c>
      <c r="H505" s="66" t="e">
        <f>'Prediction Log'!#REF!</f>
        <v>#REF!</v>
      </c>
      <c r="I505" s="65" t="e">
        <f>IF(ISBLANK(Games!#REF!), "",IF(AND(Games!#REF!="",Games!#REF!=""),"",IF(ISTEXT(Games!#REF!), "Side",Games!#REF!)))</f>
        <v>#REF!</v>
      </c>
      <c r="J505" s="65" t="e">
        <f>IF(ISBLANK(Games!#REF!), "",IF(Games!#REF!="Y", Games!#REF!, Games!#REF!))</f>
        <v>#REF!</v>
      </c>
      <c r="K505" s="65" t="e">
        <f>Games!#REF!</f>
        <v>#REF!</v>
      </c>
      <c r="L505" s="65" t="e">
        <f>IF(ISBLANK(Games!#REF!), "",Games!#REF!)</f>
        <v>#REF!</v>
      </c>
      <c r="M505" s="65"/>
      <c r="N505" s="167" t="str">
        <f>IF(ISBLANK(Table123[[#This Row],[Odds Side - Difference Model]]), "", 1)</f>
      </c>
      <c r="O505" s="167" t="str">
        <f>IF(ISBLANK(Table123[[#This Row],[Odds Spread]]), "", 1)</f>
      </c>
      <c r="P505" s="67"/>
      <c r="Q505" s="67"/>
      <c r="R5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5" s="67"/>
      <c r="T505" s="67"/>
      <c r="U505" s="168" t="str">
        <f>IF(ISBLANK(Table123[[#This Row],[Odds Side - Difference Model]]), "",N505+IF(Q505&lt;0, (N505/(Q505/-100)), N505*(Q505/100)))</f>
      </c>
      <c r="V505" s="169" t="str">
        <f>IFERROR(IF(ISBLANK(Table123[[#This Row],[Odds Side - Win Probability Model]]), "",N505+IF(R505&lt;0, (N505/(R505/-100)), N505*(R505/100))),"")</f>
      </c>
      <c r="W505" s="168" t="str">
        <f t="shared" si="49"/>
      </c>
      <c r="X505" s="169" t="str">
        <f t="shared" si="50"/>
      </c>
      <c r="Y505" s="168" t="str">
        <f>IF(ISBLANK(Table123[[#This Row],[Odds Spread]]), "",O505+IF(S505&lt;0, (O505/(S505/-100)), O505*(S505/100)))</f>
      </c>
      <c r="Z505" s="168" t="str">
        <f t="shared" si="51"/>
      </c>
      <c r="AA505" s="68" t="n">
        <f t="shared" si="52"/>
        <v>0</v>
      </c>
      <c r="AB505" s="68" t="n">
        <f t="shared" si="53"/>
        <v>0</v>
      </c>
      <c r="AC505" s="170" t="e">
        <f>IF('Prediction Log'!#REF!="Y", "W", IF('Prediction Log'!#REF!="N","L",""))</f>
        <v>#REF!</v>
      </c>
      <c r="AD505" s="171" t="e">
        <f>IF('Prediction Log'!#REF!="Y", "W", IF('Prediction Log'!#REF!="N","L",""))</f>
        <v>#REF!</v>
      </c>
      <c r="AE505" s="172" t="str">
        <f>IF(ISBLANK(Table123[[#This Row],[Odds Side - Difference Model]]), "",IF(AC505="W", W505, IF(AC505="L",-N505, "")))</f>
      </c>
      <c r="AF505" s="173" t="str">
        <f>IFERROR((IF(ISERR(Table123[[#This Row],[Potential Payout Side - Win Probability Model]]), "",IF(AD505="W", X505, IF(AD505="L",-N505, "")))), "")</f>
      </c>
      <c r="AG505" s="170" t="e">
        <f>IF('Prediction Log'!#REF!="Y", "W", IF('Prediction Log'!#REF!="N", "L", ""))</f>
        <v>#REF!</v>
      </c>
      <c r="AH505" s="172" t="str">
        <f>IF(ISBLANK(Table123[[#This Row],[Odds Spread]]), "",IF(AG505="W", Z505, IF(AG505="L",-O505, "")))</f>
      </c>
      <c r="AI505" s="184"/>
      <c r="AJ505" s="183" t="str">
        <f t="shared" si="54"/>
      </c>
      <c r="AK5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6">
      <c r="A506" s="65" t="e">
        <f>Games!#REF!</f>
        <v>#REF!</v>
      </c>
      <c r="B506" s="65" t="e">
        <f>IF('Prediction Log'!#REF!=0, "",'Prediction Log'!#REF!)</f>
        <v>#REF!</v>
      </c>
      <c r="C506" s="65" t="e">
        <f>IF('Prediction Log'!#REF!=0, "",'Prediction Log'!#REF!)</f>
        <v>#REF!</v>
      </c>
      <c r="D506" s="65" t="e">
        <f>IF('Prediction Log'!#REF!=0, "",'Prediction Log'!#REF!)</f>
        <v>#REF!</v>
      </c>
      <c r="E506" s="65" t="e">
        <f>IF('Prediction Log'!#REF!=0, "",'Prediction Log'!#REF!)</f>
        <v>#REF!</v>
      </c>
      <c r="F506" s="65" t="e">
        <f>IF('Prediction Log'!#REF!=0, "",'Prediction Log'!#REF!)</f>
        <v>#REF!</v>
      </c>
      <c r="G506" s="64" t="e">
        <f>IF(ISBLANK(Games!#REF!), "",'Prediction Log'!#REF!)</f>
        <v>#REF!</v>
      </c>
      <c r="H506" s="66" t="e">
        <f>'Prediction Log'!#REF!</f>
        <v>#REF!</v>
      </c>
      <c r="I506" s="65" t="e">
        <f>IF(ISBLANK(Games!#REF!), "",IF(AND(Games!#REF!="",Games!#REF!=""),"",IF(ISTEXT(Games!#REF!), "Side",Games!#REF!)))</f>
        <v>#REF!</v>
      </c>
      <c r="J506" s="65" t="e">
        <f>IF(ISBLANK(Games!#REF!), "",IF(Games!#REF!="Y", Games!#REF!, Games!#REF!))</f>
        <v>#REF!</v>
      </c>
      <c r="K506" s="65" t="e">
        <f>Games!#REF!</f>
        <v>#REF!</v>
      </c>
      <c r="L506" s="65" t="e">
        <f>IF(ISBLANK(Games!#REF!), "",Games!#REF!)</f>
        <v>#REF!</v>
      </c>
      <c r="M506" s="65"/>
      <c r="N506" s="167" t="str">
        <f>IF(ISBLANK(Table123[[#This Row],[Odds Side - Difference Model]]), "", 1)</f>
      </c>
      <c r="O506" s="167" t="str">
        <f>IF(ISBLANK(Table123[[#This Row],[Odds Spread]]), "", 1)</f>
      </c>
      <c r="P506" s="67"/>
      <c r="Q506" s="67"/>
      <c r="R5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6" s="67"/>
      <c r="T506" s="67"/>
      <c r="U506" s="168" t="str">
        <f>IF(ISBLANK(Table123[[#This Row],[Odds Side - Difference Model]]), "",N506+IF(Q506&lt;0, (N506/(Q506/-100)), N506*(Q506/100)))</f>
      </c>
      <c r="V506" s="169" t="str">
        <f>IFERROR(IF(ISBLANK(Table123[[#This Row],[Odds Side - Win Probability Model]]), "",N506+IF(R506&lt;0, (N506/(R506/-100)), N506*(R506/100))),"")</f>
      </c>
      <c r="W506" s="168" t="str">
        <f t="shared" si="49"/>
      </c>
      <c r="X506" s="169" t="str">
        <f t="shared" si="50"/>
      </c>
      <c r="Y506" s="168" t="str">
        <f>IF(ISBLANK(Table123[[#This Row],[Odds Spread]]), "",O506+IF(S506&lt;0, (O506/(S506/-100)), O506*(S506/100)))</f>
      </c>
      <c r="Z506" s="168" t="str">
        <f t="shared" si="51"/>
      </c>
      <c r="AA506" s="68" t="n">
        <f t="shared" si="52"/>
        <v>0</v>
      </c>
      <c r="AB506" s="68" t="n">
        <f t="shared" si="53"/>
        <v>0</v>
      </c>
      <c r="AC506" s="170" t="e">
        <f>IF('Prediction Log'!#REF!="Y", "W", IF('Prediction Log'!#REF!="N","L",""))</f>
        <v>#REF!</v>
      </c>
      <c r="AD506" s="171" t="e">
        <f>IF('Prediction Log'!#REF!="Y", "W", IF('Prediction Log'!#REF!="N","L",""))</f>
        <v>#REF!</v>
      </c>
      <c r="AE506" s="172" t="str">
        <f>IF(ISBLANK(Table123[[#This Row],[Odds Side - Difference Model]]), "",IF(AC506="W", W506, IF(AC506="L",-N506, "")))</f>
      </c>
      <c r="AF506" s="173" t="str">
        <f>IFERROR((IF(ISERR(Table123[[#This Row],[Potential Payout Side - Win Probability Model]]), "",IF(AD506="W", X506, IF(AD506="L",-N506, "")))), "")</f>
      </c>
      <c r="AG506" s="170" t="e">
        <f>IF('Prediction Log'!#REF!="Y", "W", IF('Prediction Log'!#REF!="N", "L", ""))</f>
        <v>#REF!</v>
      </c>
      <c r="AH506" s="172" t="str">
        <f>IF(ISBLANK(Table123[[#This Row],[Odds Spread]]), "",IF(AG506="W", Z506, IF(AG506="L",-O506, "")))</f>
      </c>
      <c r="AI506" s="184"/>
      <c r="AJ506" s="183" t="str">
        <f t="shared" si="54"/>
      </c>
      <c r="AK5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7">
      <c r="A507" s="65" t="e">
        <f>Games!#REF!</f>
        <v>#REF!</v>
      </c>
      <c r="B507" s="65" t="e">
        <f>IF('Prediction Log'!#REF!=0, "",'Prediction Log'!#REF!)</f>
        <v>#REF!</v>
      </c>
      <c r="C507" s="65" t="e">
        <f>IF('Prediction Log'!#REF!=0, "",'Prediction Log'!#REF!)</f>
        <v>#REF!</v>
      </c>
      <c r="D507" s="65" t="e">
        <f>IF('Prediction Log'!#REF!=0, "",'Prediction Log'!#REF!)</f>
        <v>#REF!</v>
      </c>
      <c r="E507" s="65" t="e">
        <f>IF('Prediction Log'!#REF!=0, "",'Prediction Log'!#REF!)</f>
        <v>#REF!</v>
      </c>
      <c r="F507" s="65" t="e">
        <f>IF('Prediction Log'!#REF!=0, "",'Prediction Log'!#REF!)</f>
        <v>#REF!</v>
      </c>
      <c r="G507" s="64" t="e">
        <f>IF(ISBLANK(Games!#REF!), "",'Prediction Log'!#REF!)</f>
        <v>#REF!</v>
      </c>
      <c r="H507" s="66" t="e">
        <f>'Prediction Log'!#REF!</f>
        <v>#REF!</v>
      </c>
      <c r="I507" s="65" t="e">
        <f>IF(ISBLANK(Games!#REF!), "",IF(AND(Games!#REF!="",Games!#REF!=""),"",IF(ISTEXT(Games!#REF!), "Side",Games!#REF!)))</f>
        <v>#REF!</v>
      </c>
      <c r="J507" s="65" t="e">
        <f>IF(ISBLANK(Games!#REF!), "",IF(Games!#REF!="Y", Games!#REF!, Games!#REF!))</f>
        <v>#REF!</v>
      </c>
      <c r="K507" s="65" t="e">
        <f>Games!#REF!</f>
        <v>#REF!</v>
      </c>
      <c r="L507" s="65" t="e">
        <f>IF(ISBLANK(Games!#REF!), "",Games!#REF!)</f>
        <v>#REF!</v>
      </c>
      <c r="M507" s="65"/>
      <c r="N507" s="167" t="str">
        <f>IF(ISBLANK(Table123[[#This Row],[Odds Side - Difference Model]]), "", 1)</f>
      </c>
      <c r="O507" s="167" t="str">
        <f>IF(ISBLANK(Table123[[#This Row],[Odds Spread]]), "", 1)</f>
      </c>
      <c r="P507" s="67"/>
      <c r="Q507" s="67"/>
      <c r="R5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7" s="67"/>
      <c r="T507" s="67"/>
      <c r="U507" s="168" t="str">
        <f>IF(ISBLANK(Table123[[#This Row],[Odds Side - Difference Model]]), "",N507+IF(Q507&lt;0, (N507/(Q507/-100)), N507*(Q507/100)))</f>
      </c>
      <c r="V507" s="169" t="str">
        <f>IFERROR(IF(ISBLANK(Table123[[#This Row],[Odds Side - Win Probability Model]]), "",N507+IF(R507&lt;0, (N507/(R507/-100)), N507*(R507/100))),"")</f>
      </c>
      <c r="W507" s="168" t="str">
        <f t="shared" si="49"/>
      </c>
      <c r="X507" s="169" t="str">
        <f t="shared" si="50"/>
      </c>
      <c r="Y507" s="168" t="str">
        <f>IF(ISBLANK(Table123[[#This Row],[Odds Spread]]), "",O507+IF(S507&lt;0, (O507/(S507/-100)), O507*(S507/100)))</f>
      </c>
      <c r="Z507" s="168" t="str">
        <f t="shared" si="51"/>
      </c>
      <c r="AA507" s="68" t="n">
        <f t="shared" si="52"/>
        <v>0</v>
      </c>
      <c r="AB507" s="68" t="n">
        <f t="shared" si="53"/>
        <v>0</v>
      </c>
      <c r="AC507" s="170" t="e">
        <f>IF('Prediction Log'!#REF!="Y", "W", IF('Prediction Log'!#REF!="N","L",""))</f>
        <v>#REF!</v>
      </c>
      <c r="AD507" s="171" t="e">
        <f>IF('Prediction Log'!#REF!="Y", "W", IF('Prediction Log'!#REF!="N","L",""))</f>
        <v>#REF!</v>
      </c>
      <c r="AE507" s="172" t="str">
        <f>IF(ISBLANK(Table123[[#This Row],[Odds Side - Difference Model]]), "",IF(AC507="W", W507, IF(AC507="L",-N507, "")))</f>
      </c>
      <c r="AF507" s="173" t="str">
        <f>IFERROR((IF(ISERR(Table123[[#This Row],[Potential Payout Side - Win Probability Model]]), "",IF(AD507="W", X507, IF(AD507="L",-N507, "")))), "")</f>
      </c>
      <c r="AG507" s="170" t="e">
        <f>IF('Prediction Log'!#REF!="Y", "W", IF('Prediction Log'!#REF!="N", "L", ""))</f>
        <v>#REF!</v>
      </c>
      <c r="AH507" s="172" t="str">
        <f>IF(ISBLANK(Table123[[#This Row],[Odds Spread]]), "",IF(AG507="W", Z507, IF(AG507="L",-O507, "")))</f>
      </c>
      <c r="AI507" s="184"/>
      <c r="AJ507" s="183" t="str">
        <f t="shared" si="54"/>
      </c>
      <c r="AK5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8">
      <c r="A508" s="65" t="e">
        <f>Games!#REF!</f>
        <v>#REF!</v>
      </c>
      <c r="B508" s="65" t="e">
        <f>IF('Prediction Log'!#REF!=0, "",'Prediction Log'!#REF!)</f>
        <v>#REF!</v>
      </c>
      <c r="C508" s="65" t="e">
        <f>IF('Prediction Log'!#REF!=0, "",'Prediction Log'!#REF!)</f>
        <v>#REF!</v>
      </c>
      <c r="D508" s="65" t="e">
        <f>IF('Prediction Log'!#REF!=0, "",'Prediction Log'!#REF!)</f>
        <v>#REF!</v>
      </c>
      <c r="E508" s="65" t="e">
        <f>IF('Prediction Log'!#REF!=0, "",'Prediction Log'!#REF!)</f>
        <v>#REF!</v>
      </c>
      <c r="F508" s="65" t="e">
        <f>IF('Prediction Log'!#REF!=0, "",'Prediction Log'!#REF!)</f>
        <v>#REF!</v>
      </c>
      <c r="G508" s="64" t="e">
        <f>IF(ISBLANK(Games!#REF!), "",'Prediction Log'!#REF!)</f>
        <v>#REF!</v>
      </c>
      <c r="H508" s="66" t="e">
        <f>'Prediction Log'!#REF!</f>
        <v>#REF!</v>
      </c>
      <c r="I508" s="65" t="e">
        <f>IF(ISBLANK(Games!#REF!), "",IF(AND(Games!#REF!="",Games!#REF!=""),"",IF(ISTEXT(Games!#REF!), "Side",Games!#REF!)))</f>
        <v>#REF!</v>
      </c>
      <c r="J508" s="65" t="e">
        <f>IF(ISBLANK(Games!#REF!), "",IF(Games!#REF!="Y", Games!#REF!, Games!#REF!))</f>
        <v>#REF!</v>
      </c>
      <c r="K508" s="65" t="e">
        <f>Games!#REF!</f>
        <v>#REF!</v>
      </c>
      <c r="L508" s="65" t="e">
        <f>IF(ISBLANK(Games!#REF!), "",Games!#REF!)</f>
        <v>#REF!</v>
      </c>
      <c r="M508" s="65"/>
      <c r="N508" s="167" t="str">
        <f>IF(ISBLANK(Table123[[#This Row],[Odds Side - Difference Model]]), "", 1)</f>
      </c>
      <c r="O508" s="167" t="str">
        <f>IF(ISBLANK(Table123[[#This Row],[Odds Spread]]), "", 1)</f>
      </c>
      <c r="P508" s="67"/>
      <c r="Q508" s="67"/>
      <c r="R5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8" s="67"/>
      <c r="T508" s="67"/>
      <c r="U508" s="168" t="str">
        <f>IF(ISBLANK(Table123[[#This Row],[Odds Side - Difference Model]]), "",N508+IF(Q508&lt;0, (N508/(Q508/-100)), N508*(Q508/100)))</f>
      </c>
      <c r="V508" s="169" t="str">
        <f>IFERROR(IF(ISBLANK(Table123[[#This Row],[Odds Side - Win Probability Model]]), "",N508+IF(R508&lt;0, (N508/(R508/-100)), N508*(R508/100))),"")</f>
      </c>
      <c r="W508" s="168" t="str">
        <f t="shared" si="49"/>
      </c>
      <c r="X508" s="169" t="str">
        <f t="shared" si="50"/>
      </c>
      <c r="Y508" s="168" t="str">
        <f>IF(ISBLANK(Table123[[#This Row],[Odds Spread]]), "",O508+IF(S508&lt;0, (O508/(S508/-100)), O508*(S508/100)))</f>
      </c>
      <c r="Z508" s="168" t="str">
        <f t="shared" si="51"/>
      </c>
      <c r="AA508" s="68" t="n">
        <f t="shared" si="52"/>
        <v>0</v>
      </c>
      <c r="AB508" s="68" t="n">
        <f t="shared" si="53"/>
        <v>0</v>
      </c>
      <c r="AC508" s="170" t="e">
        <f>IF('Prediction Log'!#REF!="Y", "W", IF('Prediction Log'!#REF!="N","L",""))</f>
        <v>#REF!</v>
      </c>
      <c r="AD508" s="171" t="e">
        <f>IF('Prediction Log'!#REF!="Y", "W", IF('Prediction Log'!#REF!="N","L",""))</f>
        <v>#REF!</v>
      </c>
      <c r="AE508" s="172" t="str">
        <f>IF(ISBLANK(Table123[[#This Row],[Odds Side - Difference Model]]), "",IF(AC508="W", W508, IF(AC508="L",-N508, "")))</f>
      </c>
      <c r="AF508" s="173" t="str">
        <f>IFERROR((IF(ISERR(Table123[[#This Row],[Potential Payout Side - Win Probability Model]]), "",IF(AD508="W", X508, IF(AD508="L",-N508, "")))), "")</f>
      </c>
      <c r="AG508" s="170" t="e">
        <f>IF('Prediction Log'!#REF!="Y", "W", IF('Prediction Log'!#REF!="N", "L", ""))</f>
        <v>#REF!</v>
      </c>
      <c r="AH508" s="172" t="str">
        <f>IF(ISBLANK(Table123[[#This Row],[Odds Spread]]), "",IF(AG508="W", Z508, IF(AG508="L",-O508, "")))</f>
      </c>
      <c r="AI508" s="184"/>
      <c r="AJ508" s="183" t="str">
        <f t="shared" si="54"/>
      </c>
      <c r="AK5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9">
      <c r="A509" s="65" t="e">
        <f>Games!#REF!</f>
        <v>#REF!</v>
      </c>
      <c r="B509" s="65" t="e">
        <f>IF('Prediction Log'!#REF!=0, "",'Prediction Log'!#REF!)</f>
        <v>#REF!</v>
      </c>
      <c r="C509" s="65" t="e">
        <f>IF('Prediction Log'!#REF!=0, "",'Prediction Log'!#REF!)</f>
        <v>#REF!</v>
      </c>
      <c r="D509" s="65" t="e">
        <f>IF('Prediction Log'!#REF!=0, "",'Prediction Log'!#REF!)</f>
        <v>#REF!</v>
      </c>
      <c r="E509" s="65" t="e">
        <f>IF('Prediction Log'!#REF!=0, "",'Prediction Log'!#REF!)</f>
        <v>#REF!</v>
      </c>
      <c r="F509" s="65" t="e">
        <f>IF('Prediction Log'!#REF!=0, "",'Prediction Log'!#REF!)</f>
        <v>#REF!</v>
      </c>
      <c r="G509" s="64" t="e">
        <f>IF(ISBLANK(Games!#REF!), "",'Prediction Log'!#REF!)</f>
        <v>#REF!</v>
      </c>
      <c r="H509" s="66" t="e">
        <f>'Prediction Log'!#REF!</f>
        <v>#REF!</v>
      </c>
      <c r="I509" s="65" t="e">
        <f>IF(ISBLANK(Games!#REF!), "",IF(AND(Games!#REF!="",Games!#REF!=""),"",IF(ISTEXT(Games!#REF!), "Side",Games!#REF!)))</f>
        <v>#REF!</v>
      </c>
      <c r="J509" s="65" t="e">
        <f>IF(ISBLANK(Games!#REF!), "",IF(Games!#REF!="Y", Games!#REF!, Games!#REF!))</f>
        <v>#REF!</v>
      </c>
      <c r="K509" s="65" t="e">
        <f>Games!#REF!</f>
        <v>#REF!</v>
      </c>
      <c r="L509" s="65" t="e">
        <f>IF(ISBLANK(Games!#REF!), "",Games!#REF!)</f>
        <v>#REF!</v>
      </c>
      <c r="M509" s="65"/>
      <c r="N509" s="167" t="str">
        <f>IF(ISBLANK(Table123[[#This Row],[Odds Side - Difference Model]]), "", 1)</f>
      </c>
      <c r="O509" s="167" t="str">
        <f>IF(ISBLANK(Table123[[#This Row],[Odds Spread]]), "", 1)</f>
      </c>
      <c r="P509" s="67"/>
      <c r="Q509" s="67"/>
      <c r="R5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9" s="67"/>
      <c r="T509" s="67"/>
      <c r="U509" s="168" t="str">
        <f>IF(ISBLANK(Table123[[#This Row],[Odds Side - Difference Model]]), "",N509+IF(Q509&lt;0, (N509/(Q509/-100)), N509*(Q509/100)))</f>
      </c>
      <c r="V509" s="169" t="str">
        <f>IFERROR(IF(ISBLANK(Table123[[#This Row],[Odds Side - Win Probability Model]]), "",N509+IF(R509&lt;0, (N509/(R509/-100)), N509*(R509/100))),"")</f>
      </c>
      <c r="W509" s="168" t="str">
        <f t="shared" si="49"/>
      </c>
      <c r="X509" s="169" t="str">
        <f t="shared" si="50"/>
      </c>
      <c r="Y509" s="168" t="str">
        <f>IF(ISBLANK(Table123[[#This Row],[Odds Spread]]), "",O509+IF(S509&lt;0, (O509/(S509/-100)), O509*(S509/100)))</f>
      </c>
      <c r="Z509" s="168" t="str">
        <f t="shared" si="51"/>
      </c>
      <c r="AA509" s="68" t="n">
        <f t="shared" si="52"/>
        <v>0</v>
      </c>
      <c r="AB509" s="68" t="n">
        <f t="shared" si="53"/>
        <v>0</v>
      </c>
      <c r="AC509" s="170" t="e">
        <f>IF('Prediction Log'!#REF!="Y", "W", IF('Prediction Log'!#REF!="N","L",""))</f>
        <v>#REF!</v>
      </c>
      <c r="AD509" s="171" t="e">
        <f>IF('Prediction Log'!#REF!="Y", "W", IF('Prediction Log'!#REF!="N","L",""))</f>
        <v>#REF!</v>
      </c>
      <c r="AE509" s="172" t="str">
        <f>IF(ISBLANK(Table123[[#This Row],[Odds Side - Difference Model]]), "",IF(AC509="W", W509, IF(AC509="L",-N509, "")))</f>
      </c>
      <c r="AF509" s="173" t="str">
        <f>IFERROR((IF(ISERR(Table123[[#This Row],[Potential Payout Side - Win Probability Model]]), "",IF(AD509="W", X509, IF(AD509="L",-N509, "")))), "")</f>
      </c>
      <c r="AG509" s="170" t="e">
        <f>IF('Prediction Log'!#REF!="Y", "W", IF('Prediction Log'!#REF!="N", "L", ""))</f>
        <v>#REF!</v>
      </c>
      <c r="AH509" s="172" t="str">
        <f>IF(ISBLANK(Table123[[#This Row],[Odds Spread]]), "",IF(AG509="W", Z509, IF(AG509="L",-O509, "")))</f>
      </c>
      <c r="AI509" s="184"/>
      <c r="AJ509" s="183" t="str">
        <f t="shared" si="54"/>
      </c>
      <c r="AK5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0">
      <c r="A510" s="65" t="e">
        <f>Games!#REF!</f>
        <v>#REF!</v>
      </c>
      <c r="B510" s="65" t="e">
        <f>IF('Prediction Log'!#REF!=0, "",'Prediction Log'!#REF!)</f>
        <v>#REF!</v>
      </c>
      <c r="C510" s="65" t="e">
        <f>IF('Prediction Log'!#REF!=0, "",'Prediction Log'!#REF!)</f>
        <v>#REF!</v>
      </c>
      <c r="D510" s="65" t="e">
        <f>IF('Prediction Log'!#REF!=0, "",'Prediction Log'!#REF!)</f>
        <v>#REF!</v>
      </c>
      <c r="E510" s="65" t="e">
        <f>IF('Prediction Log'!#REF!=0, "",'Prediction Log'!#REF!)</f>
        <v>#REF!</v>
      </c>
      <c r="F510" s="65" t="e">
        <f>IF('Prediction Log'!#REF!=0, "",'Prediction Log'!#REF!)</f>
        <v>#REF!</v>
      </c>
      <c r="G510" s="64" t="e">
        <f>IF(ISBLANK(Games!#REF!), "",'Prediction Log'!#REF!)</f>
        <v>#REF!</v>
      </c>
      <c r="H510" s="66" t="e">
        <f>'Prediction Log'!#REF!</f>
        <v>#REF!</v>
      </c>
      <c r="I510" s="65" t="e">
        <f>IF(ISBLANK(Games!#REF!), "",IF(AND(Games!#REF!="",Games!#REF!=""),"",IF(ISTEXT(Games!#REF!), "Side",Games!#REF!)))</f>
        <v>#REF!</v>
      </c>
      <c r="J510" s="65" t="e">
        <f>IF(ISBLANK(Games!#REF!), "",IF(Games!#REF!="Y", Games!#REF!, Games!#REF!))</f>
        <v>#REF!</v>
      </c>
      <c r="K510" s="65" t="e">
        <f>Games!#REF!</f>
        <v>#REF!</v>
      </c>
      <c r="L510" s="65" t="e">
        <f>IF(ISBLANK(Games!#REF!), "",Games!#REF!)</f>
        <v>#REF!</v>
      </c>
      <c r="M510" s="65"/>
      <c r="N510" s="167" t="str">
        <f>IF(ISBLANK(Table123[[#This Row],[Odds Side - Difference Model]]), "", 1)</f>
      </c>
      <c r="O510" s="167" t="str">
        <f>IF(ISBLANK(Table123[[#This Row],[Odds Spread]]), "", 1)</f>
      </c>
      <c r="P510" s="67"/>
      <c r="Q510" s="67"/>
      <c r="R5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0" s="67"/>
      <c r="T510" s="67"/>
      <c r="U510" s="168" t="str">
        <f>IF(ISBLANK(Table123[[#This Row],[Odds Side - Difference Model]]), "",N510+IF(Q510&lt;0, (N510/(Q510/-100)), N510*(Q510/100)))</f>
      </c>
      <c r="V510" s="169" t="str">
        <f>IFERROR(IF(ISBLANK(Table123[[#This Row],[Odds Side - Win Probability Model]]), "",N510+IF(R510&lt;0, (N510/(R510/-100)), N510*(R510/100))),"")</f>
      </c>
      <c r="W510" s="168" t="str">
        <f t="shared" si="49"/>
      </c>
      <c r="X510" s="169" t="str">
        <f t="shared" si="50"/>
      </c>
      <c r="Y510" s="168" t="str">
        <f>IF(ISBLANK(Table123[[#This Row],[Odds Spread]]), "",O510+IF(S510&lt;0, (O510/(S510/-100)), O510*(S510/100)))</f>
      </c>
      <c r="Z510" s="168" t="str">
        <f t="shared" si="51"/>
      </c>
      <c r="AA510" s="68" t="n">
        <f t="shared" si="52"/>
        <v>0</v>
      </c>
      <c r="AB510" s="68" t="n">
        <f t="shared" si="53"/>
        <v>0</v>
      </c>
      <c r="AC510" s="170" t="e">
        <f>IF('Prediction Log'!#REF!="Y", "W", IF('Prediction Log'!#REF!="N","L",""))</f>
        <v>#REF!</v>
      </c>
      <c r="AD510" s="171" t="e">
        <f>IF('Prediction Log'!#REF!="Y", "W", IF('Prediction Log'!#REF!="N","L",""))</f>
        <v>#REF!</v>
      </c>
      <c r="AE510" s="172" t="str">
        <f>IF(ISBLANK(Table123[[#This Row],[Odds Side - Difference Model]]), "",IF(AC510="W", W510, IF(AC510="L",-N510, "")))</f>
      </c>
      <c r="AF510" s="173" t="str">
        <f>IFERROR((IF(ISERR(Table123[[#This Row],[Potential Payout Side - Win Probability Model]]), "",IF(AD510="W", X510, IF(AD510="L",-N510, "")))), "")</f>
      </c>
      <c r="AG510" s="170" t="e">
        <f>IF('Prediction Log'!#REF!="Y", "W", IF('Prediction Log'!#REF!="N", "L", ""))</f>
        <v>#REF!</v>
      </c>
      <c r="AH510" s="172" t="str">
        <f>IF(ISBLANK(Table123[[#This Row],[Odds Spread]]), "",IF(AG510="W", Z510, IF(AG510="L",-O510, "")))</f>
      </c>
      <c r="AI510" s="184"/>
      <c r="AJ510" s="183" t="str">
        <f t="shared" si="54"/>
      </c>
      <c r="AK5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1">
      <c r="A511" s="65" t="e">
        <f>Games!#REF!</f>
        <v>#REF!</v>
      </c>
      <c r="B511" s="65" t="e">
        <f>IF('Prediction Log'!#REF!=0, "",'Prediction Log'!#REF!)</f>
        <v>#REF!</v>
      </c>
      <c r="C511" s="65" t="e">
        <f>IF('Prediction Log'!#REF!=0, "",'Prediction Log'!#REF!)</f>
        <v>#REF!</v>
      </c>
      <c r="D511" s="65" t="e">
        <f>IF('Prediction Log'!#REF!=0, "",'Prediction Log'!#REF!)</f>
        <v>#REF!</v>
      </c>
      <c r="E511" s="65" t="e">
        <f>IF('Prediction Log'!#REF!=0, "",'Prediction Log'!#REF!)</f>
        <v>#REF!</v>
      </c>
      <c r="F511" s="65" t="e">
        <f>IF('Prediction Log'!#REF!=0, "",'Prediction Log'!#REF!)</f>
        <v>#REF!</v>
      </c>
      <c r="G511" s="64" t="e">
        <f>IF(ISBLANK(Games!#REF!), "",'Prediction Log'!#REF!)</f>
        <v>#REF!</v>
      </c>
      <c r="H511" s="66" t="e">
        <f>'Prediction Log'!#REF!</f>
        <v>#REF!</v>
      </c>
      <c r="I511" s="65" t="e">
        <f>IF(ISBLANK(Games!#REF!), "",IF(AND(Games!#REF!="",Games!#REF!=""),"",IF(ISTEXT(Games!#REF!), "Side",Games!#REF!)))</f>
        <v>#REF!</v>
      </c>
      <c r="J511" s="65" t="e">
        <f>IF(ISBLANK(Games!#REF!), "",IF(Games!#REF!="Y", Games!#REF!, Games!#REF!))</f>
        <v>#REF!</v>
      </c>
      <c r="K511" s="65" t="e">
        <f>Games!#REF!</f>
        <v>#REF!</v>
      </c>
      <c r="L511" s="65" t="e">
        <f>IF(ISBLANK(Games!#REF!), "",Games!#REF!)</f>
        <v>#REF!</v>
      </c>
      <c r="M511" s="65"/>
      <c r="N511" s="167" t="str">
        <f>IF(ISBLANK(Table123[[#This Row],[Odds Side - Difference Model]]), "", 1)</f>
      </c>
      <c r="O511" s="167" t="str">
        <f>IF(ISBLANK(Table123[[#This Row],[Odds Spread]]), "", 1)</f>
      </c>
      <c r="P511" s="67"/>
      <c r="Q511" s="67"/>
      <c r="R5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1" s="67"/>
      <c r="T511" s="67"/>
      <c r="U511" s="168" t="str">
        <f>IF(ISBLANK(Table123[[#This Row],[Odds Side - Difference Model]]), "",N511+IF(Q511&lt;0, (N511/(Q511/-100)), N511*(Q511/100)))</f>
      </c>
      <c r="V511" s="169" t="str">
        <f>IFERROR(IF(ISBLANK(Table123[[#This Row],[Odds Side - Win Probability Model]]), "",N511+IF(R511&lt;0, (N511/(R511/-100)), N511*(R511/100))),"")</f>
      </c>
      <c r="W511" s="168" t="str">
        <f t="shared" si="49"/>
      </c>
      <c r="X511" s="169" t="str">
        <f t="shared" si="50"/>
      </c>
      <c r="Y511" s="168" t="str">
        <f>IF(ISBLANK(Table123[[#This Row],[Odds Spread]]), "",O511+IF(S511&lt;0, (O511/(S511/-100)), O511*(S511/100)))</f>
      </c>
      <c r="Z511" s="168" t="str">
        <f t="shared" si="51"/>
      </c>
      <c r="AA511" s="68" t="n">
        <f t="shared" si="52"/>
        <v>0</v>
      </c>
      <c r="AB511" s="68" t="n">
        <f t="shared" si="53"/>
        <v>0</v>
      </c>
      <c r="AC511" s="170" t="e">
        <f>IF('Prediction Log'!#REF!="Y", "W", IF('Prediction Log'!#REF!="N","L",""))</f>
        <v>#REF!</v>
      </c>
      <c r="AD511" s="171" t="e">
        <f>IF('Prediction Log'!#REF!="Y", "W", IF('Prediction Log'!#REF!="N","L",""))</f>
        <v>#REF!</v>
      </c>
      <c r="AE511" s="172" t="str">
        <f>IF(ISBLANK(Table123[[#This Row],[Odds Side - Difference Model]]), "",IF(AC511="W", W511, IF(AC511="L",-N511, "")))</f>
      </c>
      <c r="AF511" s="173" t="str">
        <f>IFERROR((IF(ISERR(Table123[[#This Row],[Potential Payout Side - Win Probability Model]]), "",IF(AD511="W", X511, IF(AD511="L",-N511, "")))), "")</f>
      </c>
      <c r="AG511" s="170" t="e">
        <f>IF('Prediction Log'!#REF!="Y", "W", IF('Prediction Log'!#REF!="N", "L", ""))</f>
        <v>#REF!</v>
      </c>
      <c r="AH511" s="172" t="str">
        <f>IF(ISBLANK(Table123[[#This Row],[Odds Spread]]), "",IF(AG511="W", Z511, IF(AG511="L",-O511, "")))</f>
      </c>
      <c r="AI511" s="184"/>
      <c r="AJ511" s="183" t="str">
        <f t="shared" si="54"/>
      </c>
      <c r="AK5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2">
      <c r="A512" s="65" t="e">
        <f>Games!#REF!</f>
        <v>#REF!</v>
      </c>
      <c r="B512" s="65" t="e">
        <f>IF('Prediction Log'!#REF!=0, "",'Prediction Log'!#REF!)</f>
        <v>#REF!</v>
      </c>
      <c r="C512" s="65" t="e">
        <f>IF('Prediction Log'!#REF!=0, "",'Prediction Log'!#REF!)</f>
        <v>#REF!</v>
      </c>
      <c r="D512" s="65" t="e">
        <f>IF('Prediction Log'!#REF!=0, "",'Prediction Log'!#REF!)</f>
        <v>#REF!</v>
      </c>
      <c r="E512" s="65" t="e">
        <f>IF('Prediction Log'!#REF!=0, "",'Prediction Log'!#REF!)</f>
        <v>#REF!</v>
      </c>
      <c r="F512" s="65" t="e">
        <f>IF('Prediction Log'!#REF!=0, "",'Prediction Log'!#REF!)</f>
        <v>#REF!</v>
      </c>
      <c r="G512" s="64" t="e">
        <f>IF(ISBLANK(Games!#REF!), "",'Prediction Log'!#REF!)</f>
        <v>#REF!</v>
      </c>
      <c r="H512" s="66" t="e">
        <f>'Prediction Log'!#REF!</f>
        <v>#REF!</v>
      </c>
      <c r="I512" s="65" t="e">
        <f>IF(ISBLANK(Games!#REF!), "",IF(AND(Games!#REF!="",Games!#REF!=""),"",IF(ISTEXT(Games!#REF!), "Side",Games!#REF!)))</f>
        <v>#REF!</v>
      </c>
      <c r="J512" s="65" t="e">
        <f>IF(ISBLANK(Games!#REF!), "",IF(Games!#REF!="Y", Games!#REF!, Games!#REF!))</f>
        <v>#REF!</v>
      </c>
      <c r="K512" s="65" t="e">
        <f>Games!#REF!</f>
        <v>#REF!</v>
      </c>
      <c r="L512" s="65" t="e">
        <f>IF(ISBLANK(Games!#REF!), "",Games!#REF!)</f>
        <v>#REF!</v>
      </c>
      <c r="M512" s="65"/>
      <c r="N512" s="167" t="str">
        <f>IF(ISBLANK(Table123[[#This Row],[Odds Side - Difference Model]]), "", 1)</f>
      </c>
      <c r="O512" s="167" t="str">
        <f>IF(ISBLANK(Table123[[#This Row],[Odds Spread]]), "", 1)</f>
      </c>
      <c r="P512" s="67"/>
      <c r="Q512" s="67"/>
      <c r="R5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2" s="67"/>
      <c r="T512" s="67"/>
      <c r="U512" s="168" t="str">
        <f>IF(ISBLANK(Table123[[#This Row],[Odds Side - Difference Model]]), "",N512+IF(Q512&lt;0, (N512/(Q512/-100)), N512*(Q512/100)))</f>
      </c>
      <c r="V512" s="169" t="str">
        <f>IFERROR(IF(ISBLANK(Table123[[#This Row],[Odds Side - Win Probability Model]]), "",N512+IF(R512&lt;0, (N512/(R512/-100)), N512*(R512/100))),"")</f>
      </c>
      <c r="W512" s="168" t="str">
        <f t="shared" si="49"/>
      </c>
      <c r="X512" s="169" t="str">
        <f t="shared" si="50"/>
      </c>
      <c r="Y512" s="168" t="str">
        <f>IF(ISBLANK(Table123[[#This Row],[Odds Spread]]), "",O512+IF(S512&lt;0, (O512/(S512/-100)), O512*(S512/100)))</f>
      </c>
      <c r="Z512" s="168" t="str">
        <f t="shared" si="51"/>
      </c>
      <c r="AA512" s="68" t="n">
        <f t="shared" si="52"/>
        <v>0</v>
      </c>
      <c r="AB512" s="68" t="n">
        <f t="shared" si="53"/>
        <v>0</v>
      </c>
      <c r="AC512" s="170" t="e">
        <f>IF('Prediction Log'!#REF!="Y", "W", IF('Prediction Log'!#REF!="N","L",""))</f>
        <v>#REF!</v>
      </c>
      <c r="AD512" s="171" t="e">
        <f>IF('Prediction Log'!#REF!="Y", "W", IF('Prediction Log'!#REF!="N","L",""))</f>
        <v>#REF!</v>
      </c>
      <c r="AE512" s="172" t="str">
        <f>IF(ISBLANK(Table123[[#This Row],[Odds Side - Difference Model]]), "",IF(AC512="W", W512, IF(AC512="L",-N512, "")))</f>
      </c>
      <c r="AF512" s="173" t="str">
        <f>IFERROR((IF(ISERR(Table123[[#This Row],[Potential Payout Side - Win Probability Model]]), "",IF(AD512="W", X512, IF(AD512="L",-N512, "")))), "")</f>
      </c>
      <c r="AG512" s="170" t="e">
        <f>IF('Prediction Log'!#REF!="Y", "W", IF('Prediction Log'!#REF!="N", "L", ""))</f>
        <v>#REF!</v>
      </c>
      <c r="AH512" s="172" t="str">
        <f>IF(ISBLANK(Table123[[#This Row],[Odds Spread]]), "",IF(AG512="W", Z512, IF(AG512="L",-O512, "")))</f>
      </c>
      <c r="AI512" s="184"/>
      <c r="AJ512" s="183" t="str">
        <f t="shared" si="54"/>
      </c>
      <c r="AK5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3">
      <c r="A513" s="65" t="e">
        <f>Games!#REF!</f>
        <v>#REF!</v>
      </c>
      <c r="B513" s="65" t="e">
        <f>IF('Prediction Log'!#REF!=0, "",'Prediction Log'!#REF!)</f>
        <v>#REF!</v>
      </c>
      <c r="C513" s="65" t="e">
        <f>IF('Prediction Log'!#REF!=0, "",'Prediction Log'!#REF!)</f>
        <v>#REF!</v>
      </c>
      <c r="D513" s="65" t="e">
        <f>IF('Prediction Log'!#REF!=0, "",'Prediction Log'!#REF!)</f>
        <v>#REF!</v>
      </c>
      <c r="E513" s="65" t="e">
        <f>IF('Prediction Log'!#REF!=0, "",'Prediction Log'!#REF!)</f>
        <v>#REF!</v>
      </c>
      <c r="F513" s="65" t="e">
        <f>IF('Prediction Log'!#REF!=0, "",'Prediction Log'!#REF!)</f>
        <v>#REF!</v>
      </c>
      <c r="G513" s="64" t="e">
        <f>IF(ISBLANK(Games!#REF!), "",'Prediction Log'!#REF!)</f>
        <v>#REF!</v>
      </c>
      <c r="H513" s="66" t="e">
        <f>'Prediction Log'!#REF!</f>
        <v>#REF!</v>
      </c>
      <c r="I513" s="65" t="e">
        <f>IF(ISBLANK(Games!#REF!), "",IF(AND(Games!#REF!="",Games!#REF!=""),"",IF(ISTEXT(Games!#REF!), "Side",Games!#REF!)))</f>
        <v>#REF!</v>
      </c>
      <c r="J513" s="65" t="e">
        <f>IF(ISBLANK(Games!#REF!), "",IF(Games!#REF!="Y", Games!#REF!, Games!#REF!))</f>
        <v>#REF!</v>
      </c>
      <c r="K513" s="65" t="e">
        <f>Games!#REF!</f>
        <v>#REF!</v>
      </c>
      <c r="L513" s="65" t="e">
        <f>IF(ISBLANK(Games!#REF!), "",Games!#REF!)</f>
        <v>#REF!</v>
      </c>
      <c r="M513" s="65"/>
      <c r="N513" s="167" t="str">
        <f>IF(ISBLANK(Table123[[#This Row],[Odds Side - Difference Model]]), "", 1)</f>
      </c>
      <c r="O513" s="167" t="str">
        <f>IF(ISBLANK(Table123[[#This Row],[Odds Spread]]), "", 1)</f>
      </c>
      <c r="P513" s="67"/>
      <c r="Q513" s="67"/>
      <c r="R5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3" s="67"/>
      <c r="T513" s="67"/>
      <c r="U513" s="168" t="str">
        <f>IF(ISBLANK(Table123[[#This Row],[Odds Side - Difference Model]]), "",N513+IF(Q513&lt;0, (N513/(Q513/-100)), N513*(Q513/100)))</f>
      </c>
      <c r="V513" s="169" t="str">
        <f>IFERROR(IF(ISBLANK(Table123[[#This Row],[Odds Side - Win Probability Model]]), "",N513+IF(R513&lt;0, (N513/(R513/-100)), N513*(R513/100))),"")</f>
      </c>
      <c r="W513" s="168" t="str">
        <f t="shared" si="49"/>
      </c>
      <c r="X513" s="169" t="str">
        <f t="shared" si="50"/>
      </c>
      <c r="Y513" s="168" t="str">
        <f>IF(ISBLANK(Table123[[#This Row],[Odds Spread]]), "",O513+IF(S513&lt;0, (O513/(S513/-100)), O513*(S513/100)))</f>
      </c>
      <c r="Z513" s="168" t="str">
        <f t="shared" si="51"/>
      </c>
      <c r="AA513" s="68" t="n">
        <f t="shared" si="52"/>
        <v>0</v>
      </c>
      <c r="AB513" s="68" t="n">
        <f t="shared" si="53"/>
        <v>0</v>
      </c>
      <c r="AC513" s="170" t="e">
        <f>IF('Prediction Log'!#REF!="Y", "W", IF('Prediction Log'!#REF!="N","L",""))</f>
        <v>#REF!</v>
      </c>
      <c r="AD513" s="171" t="e">
        <f>IF('Prediction Log'!#REF!="Y", "W", IF('Prediction Log'!#REF!="N","L",""))</f>
        <v>#REF!</v>
      </c>
      <c r="AE513" s="172" t="str">
        <f>IF(ISBLANK(Table123[[#This Row],[Odds Side - Difference Model]]), "",IF(AC513="W", W513, IF(AC513="L",-N513, "")))</f>
      </c>
      <c r="AF513" s="173" t="str">
        <f>IFERROR((IF(ISERR(Table123[[#This Row],[Potential Payout Side - Win Probability Model]]), "",IF(AD513="W", X513, IF(AD513="L",-N513, "")))), "")</f>
      </c>
      <c r="AG513" s="170" t="e">
        <f>IF('Prediction Log'!#REF!="Y", "W", IF('Prediction Log'!#REF!="N", "L", ""))</f>
        <v>#REF!</v>
      </c>
      <c r="AH513" s="172" t="str">
        <f>IF(ISBLANK(Table123[[#This Row],[Odds Spread]]), "",IF(AG513="W", Z513, IF(AG513="L",-O513, "")))</f>
      </c>
      <c r="AI513" s="184"/>
      <c r="AJ513" s="183" t="str">
        <f t="shared" si="54"/>
      </c>
      <c r="AK5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4">
      <c r="A514" s="65" t="e">
        <f>Games!#REF!</f>
        <v>#REF!</v>
      </c>
      <c r="B514" s="65" t="e">
        <f>IF('Prediction Log'!#REF!=0, "",'Prediction Log'!#REF!)</f>
        <v>#REF!</v>
      </c>
      <c r="C514" s="65" t="e">
        <f>IF('Prediction Log'!#REF!=0, "",'Prediction Log'!#REF!)</f>
        <v>#REF!</v>
      </c>
      <c r="D514" s="65" t="e">
        <f>IF('Prediction Log'!#REF!=0, "",'Prediction Log'!#REF!)</f>
        <v>#REF!</v>
      </c>
      <c r="E514" s="65" t="e">
        <f>IF('Prediction Log'!#REF!=0, "",'Prediction Log'!#REF!)</f>
        <v>#REF!</v>
      </c>
      <c r="F514" s="65" t="e">
        <f>IF('Prediction Log'!#REF!=0, "",'Prediction Log'!#REF!)</f>
        <v>#REF!</v>
      </c>
      <c r="G514" s="64" t="e">
        <f>IF(ISBLANK(Games!#REF!), "",'Prediction Log'!#REF!)</f>
        <v>#REF!</v>
      </c>
      <c r="H514" s="66" t="e">
        <f>'Prediction Log'!#REF!</f>
        <v>#REF!</v>
      </c>
      <c r="I514" s="65" t="e">
        <f>IF(ISBLANK(Games!#REF!), "",IF(AND(Games!#REF!="",Games!#REF!=""),"",IF(ISTEXT(Games!#REF!), "Side",Games!#REF!)))</f>
        <v>#REF!</v>
      </c>
      <c r="J514" s="65" t="e">
        <f>IF(ISBLANK(Games!#REF!), "",IF(Games!#REF!="Y", Games!#REF!, Games!#REF!))</f>
        <v>#REF!</v>
      </c>
      <c r="K514" s="65" t="e">
        <f>Games!#REF!</f>
        <v>#REF!</v>
      </c>
      <c r="L514" s="65" t="e">
        <f>IF(ISBLANK(Games!#REF!), "",Games!#REF!)</f>
        <v>#REF!</v>
      </c>
      <c r="M514" s="65"/>
      <c r="N514" s="167" t="str">
        <f>IF(ISBLANK(Table123[[#This Row],[Odds Side - Difference Model]]), "", 1)</f>
      </c>
      <c r="O514" s="167" t="str">
        <f>IF(ISBLANK(Table123[[#This Row],[Odds Spread]]), "", 1)</f>
      </c>
      <c r="P514" s="67"/>
      <c r="Q514" s="67"/>
      <c r="R5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4" s="67"/>
      <c r="T514" s="67"/>
      <c r="U514" s="168" t="str">
        <f>IF(ISBLANK(Table123[[#This Row],[Odds Side - Difference Model]]), "",N514+IF(Q514&lt;0, (N514/(Q514/-100)), N514*(Q514/100)))</f>
      </c>
      <c r="V514" s="169" t="str">
        <f>IFERROR(IF(ISBLANK(Table123[[#This Row],[Odds Side - Win Probability Model]]), "",N514+IF(R514&lt;0, (N514/(R514/-100)), N514*(R514/100))),"")</f>
      </c>
      <c r="W514" s="168" t="str">
        <f t="shared" si="49"/>
      </c>
      <c r="X514" s="169" t="str">
        <f t="shared" si="50"/>
      </c>
      <c r="Y514" s="168" t="str">
        <f>IF(ISBLANK(Table123[[#This Row],[Odds Spread]]), "",O514+IF(S514&lt;0, (O514/(S514/-100)), O514*(S514/100)))</f>
      </c>
      <c r="Z514" s="168" t="str">
        <f t="shared" si="51"/>
      </c>
      <c r="AA514" s="68" t="n">
        <f t="shared" si="52"/>
        <v>0</v>
      </c>
      <c r="AB514" s="68" t="n">
        <f t="shared" si="53"/>
        <v>0</v>
      </c>
      <c r="AC514" s="170" t="e">
        <f>IF('Prediction Log'!#REF!="Y", "W", IF('Prediction Log'!#REF!="N","L",""))</f>
        <v>#REF!</v>
      </c>
      <c r="AD514" s="171" t="e">
        <f>IF('Prediction Log'!#REF!="Y", "W", IF('Prediction Log'!#REF!="N","L",""))</f>
        <v>#REF!</v>
      </c>
      <c r="AE514" s="172" t="str">
        <f>IF(ISBLANK(Table123[[#This Row],[Odds Side - Difference Model]]), "",IF(AC514="W", W514, IF(AC514="L",-N514, "")))</f>
      </c>
      <c r="AF514" s="173" t="str">
        <f>IFERROR((IF(ISERR(Table123[[#This Row],[Potential Payout Side - Win Probability Model]]), "",IF(AD514="W", X514, IF(AD514="L",-N514, "")))), "")</f>
      </c>
      <c r="AG514" s="170" t="e">
        <f>IF('Prediction Log'!#REF!="Y", "W", IF('Prediction Log'!#REF!="N", "L", ""))</f>
        <v>#REF!</v>
      </c>
      <c r="AH514" s="172" t="str">
        <f>IF(ISBLANK(Table123[[#This Row],[Odds Spread]]), "",IF(AG514="W", Z514, IF(AG514="L",-O514, "")))</f>
      </c>
      <c r="AI514" s="184"/>
      <c r="AJ514" s="183" t="str">
        <f t="shared" si="54"/>
      </c>
      <c r="AK5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5">
      <c r="A515" s="65" t="e">
        <f>Games!#REF!</f>
        <v>#REF!</v>
      </c>
      <c r="B515" s="65" t="e">
        <f>IF('Prediction Log'!#REF!=0, "",'Prediction Log'!#REF!)</f>
        <v>#REF!</v>
      </c>
      <c r="C515" s="65" t="e">
        <f>IF('Prediction Log'!#REF!=0, "",'Prediction Log'!#REF!)</f>
        <v>#REF!</v>
      </c>
      <c r="D515" s="65" t="e">
        <f>IF('Prediction Log'!#REF!=0, "",'Prediction Log'!#REF!)</f>
        <v>#REF!</v>
      </c>
      <c r="E515" s="65" t="e">
        <f>IF('Prediction Log'!#REF!=0, "",'Prediction Log'!#REF!)</f>
        <v>#REF!</v>
      </c>
      <c r="F515" s="65" t="e">
        <f>IF('Prediction Log'!#REF!=0, "",'Prediction Log'!#REF!)</f>
        <v>#REF!</v>
      </c>
      <c r="G515" s="64" t="e">
        <f>IF(ISBLANK(Games!#REF!), "",'Prediction Log'!#REF!)</f>
        <v>#REF!</v>
      </c>
      <c r="H515" s="66" t="e">
        <f>'Prediction Log'!#REF!</f>
        <v>#REF!</v>
      </c>
      <c r="I515" s="65" t="e">
        <f>IF(ISBLANK(Games!#REF!), "",IF(AND(Games!#REF!="",Games!#REF!=""),"",IF(ISTEXT(Games!#REF!), "Side",Games!#REF!)))</f>
        <v>#REF!</v>
      </c>
      <c r="J515" s="65" t="e">
        <f>IF(ISBLANK(Games!#REF!), "",IF(Games!#REF!="Y", Games!#REF!, Games!#REF!))</f>
        <v>#REF!</v>
      </c>
      <c r="K515" s="65" t="e">
        <f>Games!#REF!</f>
        <v>#REF!</v>
      </c>
      <c r="L515" s="65" t="e">
        <f>IF(ISBLANK(Games!#REF!), "",Games!#REF!)</f>
        <v>#REF!</v>
      </c>
      <c r="M515" s="65"/>
      <c r="N515" s="167" t="str">
        <f>IF(ISBLANK(Table123[[#This Row],[Odds Side - Difference Model]]), "", 1)</f>
      </c>
      <c r="O515" s="167" t="str">
        <f>IF(ISBLANK(Table123[[#This Row],[Odds Spread]]), "", 1)</f>
      </c>
      <c r="P515" s="67"/>
      <c r="Q515" s="67"/>
      <c r="R5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5" s="67"/>
      <c r="T515" s="67"/>
      <c r="U515" s="168" t="str">
        <f>IF(ISBLANK(Table123[[#This Row],[Odds Side - Difference Model]]), "",N515+IF(Q515&lt;0, (N515/(Q515/-100)), N515*(Q515/100)))</f>
      </c>
      <c r="V515" s="169" t="str">
        <f>IFERROR(IF(ISBLANK(Table123[[#This Row],[Odds Side - Win Probability Model]]), "",N515+IF(R515&lt;0, (N515/(R515/-100)), N515*(R515/100))),"")</f>
      </c>
      <c r="W515" s="168" t="str">
        <f t="shared" ref="W515:W578" si="55">IFERROR(U515-N515, "")</f>
      </c>
      <c r="X515" s="169" t="str">
        <f t="shared" ref="X515:X578" si="56">IFERROR(V515-N515, "")</f>
      </c>
      <c r="Y515" s="168" t="str">
        <f>IF(ISBLANK(Table123[[#This Row],[Odds Spread]]), "",O515+IF(S515&lt;0, (O515/(S515/-100)), O515*(S515/100)))</f>
      </c>
      <c r="Z515" s="168" t="str">
        <f t="shared" ref="Z515:Z578" si="57">IFERROR(Y515-O515, "")</f>
      </c>
      <c r="AA515" s="68" t="n">
        <f t="shared" ref="AA515:AA578" si="58">P515+IF(T515&lt;0, (P515/(T515/-100)), P515*(T515/100))</f>
        <v>0</v>
      </c>
      <c r="AB515" s="68" t="n">
        <f t="shared" ref="AB515:AB578" si="59">T515-P515</f>
        <v>0</v>
      </c>
      <c r="AC515" s="170" t="e">
        <f>IF('Prediction Log'!#REF!="Y", "W", IF('Prediction Log'!#REF!="N","L",""))</f>
        <v>#REF!</v>
      </c>
      <c r="AD515" s="171" t="e">
        <f>IF('Prediction Log'!#REF!="Y", "W", IF('Prediction Log'!#REF!="N","L",""))</f>
        <v>#REF!</v>
      </c>
      <c r="AE515" s="172" t="str">
        <f>IF(ISBLANK(Table123[[#This Row],[Odds Side - Difference Model]]), "",IF(AC515="W", W515, IF(AC515="L",-N515, "")))</f>
      </c>
      <c r="AF515" s="173" t="str">
        <f>IFERROR((IF(ISERR(Table123[[#This Row],[Potential Payout Side - Win Probability Model]]), "",IF(AD515="W", X515, IF(AD515="L",-N515, "")))), "")</f>
      </c>
      <c r="AG515" s="170" t="e">
        <f>IF('Prediction Log'!#REF!="Y", "W", IF('Prediction Log'!#REF!="N", "L", ""))</f>
        <v>#REF!</v>
      </c>
      <c r="AH515" s="172" t="str">
        <f>IF(ISBLANK(Table123[[#This Row],[Odds Spread]]), "",IF(AG515="W", Z515, IF(AG515="L",-O515, "")))</f>
      </c>
      <c r="AI515" s="184"/>
      <c r="AJ515" s="183" t="str">
        <f t="shared" ref="AJ515:AJ578" si="60">IF(AI515="W", AB515, IF(AI515="L",-S515, ""))</f>
      </c>
      <c r="AK5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6">
      <c r="A516" s="65" t="e">
        <f>Games!#REF!</f>
        <v>#REF!</v>
      </c>
      <c r="B516" s="65" t="e">
        <f>IF('Prediction Log'!#REF!=0, "",'Prediction Log'!#REF!)</f>
        <v>#REF!</v>
      </c>
      <c r="C516" s="65" t="e">
        <f>IF('Prediction Log'!#REF!=0, "",'Prediction Log'!#REF!)</f>
        <v>#REF!</v>
      </c>
      <c r="D516" s="65" t="e">
        <f>IF('Prediction Log'!#REF!=0, "",'Prediction Log'!#REF!)</f>
        <v>#REF!</v>
      </c>
      <c r="E516" s="65" t="e">
        <f>IF('Prediction Log'!#REF!=0, "",'Prediction Log'!#REF!)</f>
        <v>#REF!</v>
      </c>
      <c r="F516" s="65" t="e">
        <f>IF('Prediction Log'!#REF!=0, "",'Prediction Log'!#REF!)</f>
        <v>#REF!</v>
      </c>
      <c r="G516" s="64" t="e">
        <f>IF(ISBLANK(Games!#REF!), "",'Prediction Log'!#REF!)</f>
        <v>#REF!</v>
      </c>
      <c r="H516" s="66" t="e">
        <f>'Prediction Log'!#REF!</f>
        <v>#REF!</v>
      </c>
      <c r="I516" s="65" t="e">
        <f>IF(ISBLANK(Games!#REF!), "",IF(AND(Games!#REF!="",Games!#REF!=""),"",IF(ISTEXT(Games!#REF!), "Side",Games!#REF!)))</f>
        <v>#REF!</v>
      </c>
      <c r="J516" s="65" t="e">
        <f>IF(ISBLANK(Games!#REF!), "",IF(Games!#REF!="Y", Games!#REF!, Games!#REF!))</f>
        <v>#REF!</v>
      </c>
      <c r="K516" s="65" t="e">
        <f>Games!#REF!</f>
        <v>#REF!</v>
      </c>
      <c r="L516" s="65" t="e">
        <f>IF(ISBLANK(Games!#REF!), "",Games!#REF!)</f>
        <v>#REF!</v>
      </c>
      <c r="M516" s="65"/>
      <c r="N516" s="167" t="str">
        <f>IF(ISBLANK(Table123[[#This Row],[Odds Side - Difference Model]]), "", 1)</f>
      </c>
      <c r="O516" s="167" t="str">
        <f>IF(ISBLANK(Table123[[#This Row],[Odds Spread]]), "", 1)</f>
      </c>
      <c r="P516" s="67"/>
      <c r="Q516" s="67"/>
      <c r="R5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6" s="67"/>
      <c r="T516" s="67"/>
      <c r="U516" s="168" t="str">
        <f>IF(ISBLANK(Table123[[#This Row],[Odds Side - Difference Model]]), "",N516+IF(Q516&lt;0, (N516/(Q516/-100)), N516*(Q516/100)))</f>
      </c>
      <c r="V516" s="169" t="str">
        <f>IFERROR(IF(ISBLANK(Table123[[#This Row],[Odds Side - Win Probability Model]]), "",N516+IF(R516&lt;0, (N516/(R516/-100)), N516*(R516/100))),"")</f>
      </c>
      <c r="W516" s="168" t="str">
        <f t="shared" si="55"/>
      </c>
      <c r="X516" s="169" t="str">
        <f t="shared" si="56"/>
      </c>
      <c r="Y516" s="168" t="str">
        <f>IF(ISBLANK(Table123[[#This Row],[Odds Spread]]), "",O516+IF(S516&lt;0, (O516/(S516/-100)), O516*(S516/100)))</f>
      </c>
      <c r="Z516" s="168" t="str">
        <f t="shared" si="57"/>
      </c>
      <c r="AA516" s="68" t="n">
        <f t="shared" si="58"/>
        <v>0</v>
      </c>
      <c r="AB516" s="68" t="n">
        <f t="shared" si="59"/>
        <v>0</v>
      </c>
      <c r="AC516" s="170" t="e">
        <f>IF('Prediction Log'!#REF!="Y", "W", IF('Prediction Log'!#REF!="N","L",""))</f>
        <v>#REF!</v>
      </c>
      <c r="AD516" s="171" t="e">
        <f>IF('Prediction Log'!#REF!="Y", "W", IF('Prediction Log'!#REF!="N","L",""))</f>
        <v>#REF!</v>
      </c>
      <c r="AE516" s="172" t="str">
        <f>IF(ISBLANK(Table123[[#This Row],[Odds Side - Difference Model]]), "",IF(AC516="W", W516, IF(AC516="L",-N516, "")))</f>
      </c>
      <c r="AF516" s="173" t="str">
        <f>IFERROR((IF(ISERR(Table123[[#This Row],[Potential Payout Side - Win Probability Model]]), "",IF(AD516="W", X516, IF(AD516="L",-N516, "")))), "")</f>
      </c>
      <c r="AG516" s="170" t="e">
        <f>IF('Prediction Log'!#REF!="Y", "W", IF('Prediction Log'!#REF!="N", "L", ""))</f>
        <v>#REF!</v>
      </c>
      <c r="AH516" s="172" t="str">
        <f>IF(ISBLANK(Table123[[#This Row],[Odds Spread]]), "",IF(AG516="W", Z516, IF(AG516="L",-O516, "")))</f>
      </c>
      <c r="AI516" s="184"/>
      <c r="AJ516" s="183" t="str">
        <f t="shared" si="60"/>
      </c>
      <c r="AK5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7">
      <c r="A517" s="65" t="e">
        <f>Games!#REF!</f>
        <v>#REF!</v>
      </c>
      <c r="B517" s="65" t="e">
        <f>IF('Prediction Log'!#REF!=0, "",'Prediction Log'!#REF!)</f>
        <v>#REF!</v>
      </c>
      <c r="C517" s="65" t="e">
        <f>IF('Prediction Log'!#REF!=0, "",'Prediction Log'!#REF!)</f>
        <v>#REF!</v>
      </c>
      <c r="D517" s="65" t="e">
        <f>IF('Prediction Log'!#REF!=0, "",'Prediction Log'!#REF!)</f>
        <v>#REF!</v>
      </c>
      <c r="E517" s="65" t="e">
        <f>IF('Prediction Log'!#REF!=0, "",'Prediction Log'!#REF!)</f>
        <v>#REF!</v>
      </c>
      <c r="F517" s="65" t="e">
        <f>IF('Prediction Log'!#REF!=0, "",'Prediction Log'!#REF!)</f>
        <v>#REF!</v>
      </c>
      <c r="G517" s="64" t="e">
        <f>IF(ISBLANK(Games!#REF!), "",'Prediction Log'!#REF!)</f>
        <v>#REF!</v>
      </c>
      <c r="H517" s="66" t="e">
        <f>'Prediction Log'!#REF!</f>
        <v>#REF!</v>
      </c>
      <c r="I517" s="65" t="e">
        <f>IF(ISBLANK(Games!#REF!), "",IF(AND(Games!#REF!="",Games!#REF!=""),"",IF(ISTEXT(Games!#REF!), "Side",Games!#REF!)))</f>
        <v>#REF!</v>
      </c>
      <c r="J517" s="65" t="e">
        <f>IF(ISBLANK(Games!#REF!), "",IF(Games!#REF!="Y", Games!#REF!, Games!#REF!))</f>
        <v>#REF!</v>
      </c>
      <c r="K517" s="65" t="e">
        <f>Games!#REF!</f>
        <v>#REF!</v>
      </c>
      <c r="L517" s="65" t="e">
        <f>IF(ISBLANK(Games!#REF!), "",Games!#REF!)</f>
        <v>#REF!</v>
      </c>
      <c r="M517" s="65"/>
      <c r="N517" s="167" t="str">
        <f>IF(ISBLANK(Table123[[#This Row],[Odds Side - Difference Model]]), "", 1)</f>
      </c>
      <c r="O517" s="167" t="str">
        <f>IF(ISBLANK(Table123[[#This Row],[Odds Spread]]), "", 1)</f>
      </c>
      <c r="P517" s="67"/>
      <c r="Q517" s="67"/>
      <c r="R5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7" s="67"/>
      <c r="T517" s="67"/>
      <c r="U517" s="168" t="str">
        <f>IF(ISBLANK(Table123[[#This Row],[Odds Side - Difference Model]]), "",N517+IF(Q517&lt;0, (N517/(Q517/-100)), N517*(Q517/100)))</f>
      </c>
      <c r="V517" s="169" t="str">
        <f>IFERROR(IF(ISBLANK(Table123[[#This Row],[Odds Side - Win Probability Model]]), "",N517+IF(R517&lt;0, (N517/(R517/-100)), N517*(R517/100))),"")</f>
      </c>
      <c r="W517" s="168" t="str">
        <f t="shared" si="55"/>
      </c>
      <c r="X517" s="169" t="str">
        <f t="shared" si="56"/>
      </c>
      <c r="Y517" s="168" t="str">
        <f>IF(ISBLANK(Table123[[#This Row],[Odds Spread]]), "",O517+IF(S517&lt;0, (O517/(S517/-100)), O517*(S517/100)))</f>
      </c>
      <c r="Z517" s="168" t="str">
        <f t="shared" si="57"/>
      </c>
      <c r="AA517" s="68" t="n">
        <f t="shared" si="58"/>
        <v>0</v>
      </c>
      <c r="AB517" s="68" t="n">
        <f t="shared" si="59"/>
        <v>0</v>
      </c>
      <c r="AC517" s="170" t="e">
        <f>IF('Prediction Log'!#REF!="Y", "W", IF('Prediction Log'!#REF!="N","L",""))</f>
        <v>#REF!</v>
      </c>
      <c r="AD517" s="171" t="e">
        <f>IF('Prediction Log'!#REF!="Y", "W", IF('Prediction Log'!#REF!="N","L",""))</f>
        <v>#REF!</v>
      </c>
      <c r="AE517" s="172" t="str">
        <f>IF(ISBLANK(Table123[[#This Row],[Odds Side - Difference Model]]), "",IF(AC517="W", W517, IF(AC517="L",-N517, "")))</f>
      </c>
      <c r="AF517" s="173" t="str">
        <f>IFERROR((IF(ISERR(Table123[[#This Row],[Potential Payout Side - Win Probability Model]]), "",IF(AD517="W", X517, IF(AD517="L",-N517, "")))), "")</f>
      </c>
      <c r="AG517" s="170" t="e">
        <f>IF('Prediction Log'!#REF!="Y", "W", IF('Prediction Log'!#REF!="N", "L", ""))</f>
        <v>#REF!</v>
      </c>
      <c r="AH517" s="172" t="str">
        <f>IF(ISBLANK(Table123[[#This Row],[Odds Spread]]), "",IF(AG517="W", Z517, IF(AG517="L",-O517, "")))</f>
      </c>
      <c r="AI517" s="184"/>
      <c r="AJ517" s="183" t="str">
        <f t="shared" si="60"/>
      </c>
      <c r="AK5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8">
      <c r="A518" s="65" t="e">
        <f>Games!#REF!</f>
        <v>#REF!</v>
      </c>
      <c r="B518" s="65" t="e">
        <f>IF('Prediction Log'!#REF!=0, "",'Prediction Log'!#REF!)</f>
        <v>#REF!</v>
      </c>
      <c r="C518" s="65" t="e">
        <f>IF('Prediction Log'!#REF!=0, "",'Prediction Log'!#REF!)</f>
        <v>#REF!</v>
      </c>
      <c r="D518" s="65" t="e">
        <f>IF('Prediction Log'!#REF!=0, "",'Prediction Log'!#REF!)</f>
        <v>#REF!</v>
      </c>
      <c r="E518" s="65" t="e">
        <f>IF('Prediction Log'!#REF!=0, "",'Prediction Log'!#REF!)</f>
        <v>#REF!</v>
      </c>
      <c r="F518" s="65" t="e">
        <f>IF('Prediction Log'!#REF!=0, "",'Prediction Log'!#REF!)</f>
        <v>#REF!</v>
      </c>
      <c r="G518" s="64" t="e">
        <f>IF(ISBLANK(Games!#REF!), "",'Prediction Log'!#REF!)</f>
        <v>#REF!</v>
      </c>
      <c r="H518" s="66" t="e">
        <f>'Prediction Log'!#REF!</f>
        <v>#REF!</v>
      </c>
      <c r="I518" s="65" t="e">
        <f>IF(ISBLANK(Games!#REF!), "",IF(AND(Games!#REF!="",Games!#REF!=""),"",IF(ISTEXT(Games!#REF!), "Side",Games!#REF!)))</f>
        <v>#REF!</v>
      </c>
      <c r="J518" s="65" t="e">
        <f>IF(ISBLANK(Games!#REF!), "",IF(Games!#REF!="Y", Games!#REF!, Games!#REF!))</f>
        <v>#REF!</v>
      </c>
      <c r="K518" s="65" t="e">
        <f>Games!#REF!</f>
        <v>#REF!</v>
      </c>
      <c r="L518" s="65" t="e">
        <f>IF(ISBLANK(Games!#REF!), "",Games!#REF!)</f>
        <v>#REF!</v>
      </c>
      <c r="M518" s="65"/>
      <c r="N518" s="167" t="str">
        <f>IF(ISBLANK(Table123[[#This Row],[Odds Side - Difference Model]]), "", 1)</f>
      </c>
      <c r="O518" s="167" t="str">
        <f>IF(ISBLANK(Table123[[#This Row],[Odds Spread]]), "", 1)</f>
      </c>
      <c r="P518" s="67"/>
      <c r="Q518" s="67"/>
      <c r="R5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8" s="67"/>
      <c r="T518" s="67"/>
      <c r="U518" s="168" t="str">
        <f>IF(ISBLANK(Table123[[#This Row],[Odds Side - Difference Model]]), "",N518+IF(Q518&lt;0, (N518/(Q518/-100)), N518*(Q518/100)))</f>
      </c>
      <c r="V518" s="169" t="str">
        <f>IFERROR(IF(ISBLANK(Table123[[#This Row],[Odds Side - Win Probability Model]]), "",N518+IF(R518&lt;0, (N518/(R518/-100)), N518*(R518/100))),"")</f>
      </c>
      <c r="W518" s="168" t="str">
        <f t="shared" si="55"/>
      </c>
      <c r="X518" s="169" t="str">
        <f t="shared" si="56"/>
      </c>
      <c r="Y518" s="168" t="str">
        <f>IF(ISBLANK(Table123[[#This Row],[Odds Spread]]), "",O518+IF(S518&lt;0, (O518/(S518/-100)), O518*(S518/100)))</f>
      </c>
      <c r="Z518" s="168" t="str">
        <f t="shared" si="57"/>
      </c>
      <c r="AA518" s="68" t="n">
        <f t="shared" si="58"/>
        <v>0</v>
      </c>
      <c r="AB518" s="68" t="n">
        <f t="shared" si="59"/>
        <v>0</v>
      </c>
      <c r="AC518" s="170" t="e">
        <f>IF('Prediction Log'!#REF!="Y", "W", IF('Prediction Log'!#REF!="N","L",""))</f>
        <v>#REF!</v>
      </c>
      <c r="AD518" s="171" t="e">
        <f>IF('Prediction Log'!#REF!="Y", "W", IF('Prediction Log'!#REF!="N","L",""))</f>
        <v>#REF!</v>
      </c>
      <c r="AE518" s="172" t="str">
        <f>IF(ISBLANK(Table123[[#This Row],[Odds Side - Difference Model]]), "",IF(AC518="W", W518, IF(AC518="L",-N518, "")))</f>
      </c>
      <c r="AF518" s="173" t="str">
        <f>IFERROR((IF(ISERR(Table123[[#This Row],[Potential Payout Side - Win Probability Model]]), "",IF(AD518="W", X518, IF(AD518="L",-N518, "")))), "")</f>
      </c>
      <c r="AG518" s="170" t="e">
        <f>IF('Prediction Log'!#REF!="Y", "W", IF('Prediction Log'!#REF!="N", "L", ""))</f>
        <v>#REF!</v>
      </c>
      <c r="AH518" s="172" t="str">
        <f>IF(ISBLANK(Table123[[#This Row],[Odds Spread]]), "",IF(AG518="W", Z518, IF(AG518="L",-O518, "")))</f>
      </c>
      <c r="AI518" s="184"/>
      <c r="AJ518" s="183" t="str">
        <f t="shared" si="60"/>
      </c>
      <c r="AK5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9">
      <c r="A519" s="65" t="e">
        <f>Games!#REF!</f>
        <v>#REF!</v>
      </c>
      <c r="B519" s="65" t="e">
        <f>IF('Prediction Log'!#REF!=0, "",'Prediction Log'!#REF!)</f>
        <v>#REF!</v>
      </c>
      <c r="C519" s="65" t="e">
        <f>IF('Prediction Log'!#REF!=0, "",'Prediction Log'!#REF!)</f>
        <v>#REF!</v>
      </c>
      <c r="D519" s="65" t="e">
        <f>IF('Prediction Log'!#REF!=0, "",'Prediction Log'!#REF!)</f>
        <v>#REF!</v>
      </c>
      <c r="E519" s="65" t="e">
        <f>IF('Prediction Log'!#REF!=0, "",'Prediction Log'!#REF!)</f>
        <v>#REF!</v>
      </c>
      <c r="F519" s="65" t="e">
        <f>IF('Prediction Log'!#REF!=0, "",'Prediction Log'!#REF!)</f>
        <v>#REF!</v>
      </c>
      <c r="G519" s="64" t="e">
        <f>IF(ISBLANK(Games!#REF!), "",'Prediction Log'!#REF!)</f>
        <v>#REF!</v>
      </c>
      <c r="H519" s="66" t="e">
        <f>'Prediction Log'!#REF!</f>
        <v>#REF!</v>
      </c>
      <c r="I519" s="65" t="e">
        <f>IF(ISBLANK(Games!#REF!), "",IF(AND(Games!#REF!="",Games!#REF!=""),"",IF(ISTEXT(Games!#REF!), "Side",Games!#REF!)))</f>
        <v>#REF!</v>
      </c>
      <c r="J519" s="65" t="e">
        <f>IF(ISBLANK(Games!#REF!), "",IF(Games!#REF!="Y", Games!#REF!, Games!#REF!))</f>
        <v>#REF!</v>
      </c>
      <c r="K519" s="65" t="e">
        <f>Games!#REF!</f>
        <v>#REF!</v>
      </c>
      <c r="L519" s="65" t="e">
        <f>IF(ISBLANK(Games!#REF!), "",Games!#REF!)</f>
        <v>#REF!</v>
      </c>
      <c r="M519" s="65"/>
      <c r="N519" s="167" t="str">
        <f>IF(ISBLANK(Table123[[#This Row],[Odds Side - Difference Model]]), "", 1)</f>
      </c>
      <c r="O519" s="167" t="str">
        <f>IF(ISBLANK(Table123[[#This Row],[Odds Spread]]), "", 1)</f>
      </c>
      <c r="P519" s="67"/>
      <c r="Q519" s="67"/>
      <c r="R5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9" s="67"/>
      <c r="T519" s="67"/>
      <c r="U519" s="168" t="str">
        <f>IF(ISBLANK(Table123[[#This Row],[Odds Side - Difference Model]]), "",N519+IF(Q519&lt;0, (N519/(Q519/-100)), N519*(Q519/100)))</f>
      </c>
      <c r="V519" s="169" t="str">
        <f>IFERROR(IF(ISBLANK(Table123[[#This Row],[Odds Side - Win Probability Model]]), "",N519+IF(R519&lt;0, (N519/(R519/-100)), N519*(R519/100))),"")</f>
      </c>
      <c r="W519" s="168" t="str">
        <f t="shared" si="55"/>
      </c>
      <c r="X519" s="169" t="str">
        <f t="shared" si="56"/>
      </c>
      <c r="Y519" s="168" t="str">
        <f>IF(ISBLANK(Table123[[#This Row],[Odds Spread]]), "",O519+IF(S519&lt;0, (O519/(S519/-100)), O519*(S519/100)))</f>
      </c>
      <c r="Z519" s="168" t="str">
        <f t="shared" si="57"/>
      </c>
      <c r="AA519" s="68" t="n">
        <f t="shared" si="58"/>
        <v>0</v>
      </c>
      <c r="AB519" s="68" t="n">
        <f t="shared" si="59"/>
        <v>0</v>
      </c>
      <c r="AC519" s="170" t="e">
        <f>IF('Prediction Log'!#REF!="Y", "W", IF('Prediction Log'!#REF!="N","L",""))</f>
        <v>#REF!</v>
      </c>
      <c r="AD519" s="171" t="e">
        <f>IF('Prediction Log'!#REF!="Y", "W", IF('Prediction Log'!#REF!="N","L",""))</f>
        <v>#REF!</v>
      </c>
      <c r="AE519" s="172" t="str">
        <f>IF(ISBLANK(Table123[[#This Row],[Odds Side - Difference Model]]), "",IF(AC519="W", W519, IF(AC519="L",-N519, "")))</f>
      </c>
      <c r="AF519" s="173" t="str">
        <f>IFERROR((IF(ISERR(Table123[[#This Row],[Potential Payout Side - Win Probability Model]]), "",IF(AD519="W", X519, IF(AD519="L",-N519, "")))), "")</f>
      </c>
      <c r="AG519" s="170" t="e">
        <f>IF('Prediction Log'!#REF!="Y", "W", IF('Prediction Log'!#REF!="N", "L", ""))</f>
        <v>#REF!</v>
      </c>
      <c r="AH519" s="172" t="str">
        <f>IF(ISBLANK(Table123[[#This Row],[Odds Spread]]), "",IF(AG519="W", Z519, IF(AG519="L",-O519, "")))</f>
      </c>
      <c r="AI519" s="184"/>
      <c r="AJ519" s="183" t="str">
        <f t="shared" si="60"/>
      </c>
      <c r="AK5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0">
      <c r="A520" s="65" t="e">
        <f>Games!#REF!</f>
        <v>#REF!</v>
      </c>
      <c r="B520" s="65" t="e">
        <f>IF('Prediction Log'!#REF!=0, "",'Prediction Log'!#REF!)</f>
        <v>#REF!</v>
      </c>
      <c r="C520" s="65" t="e">
        <f>IF('Prediction Log'!#REF!=0, "",'Prediction Log'!#REF!)</f>
        <v>#REF!</v>
      </c>
      <c r="D520" s="65" t="e">
        <f>IF('Prediction Log'!#REF!=0, "",'Prediction Log'!#REF!)</f>
        <v>#REF!</v>
      </c>
      <c r="E520" s="65" t="e">
        <f>IF('Prediction Log'!#REF!=0, "",'Prediction Log'!#REF!)</f>
        <v>#REF!</v>
      </c>
      <c r="F520" s="65" t="e">
        <f>IF('Prediction Log'!#REF!=0, "",'Prediction Log'!#REF!)</f>
        <v>#REF!</v>
      </c>
      <c r="G520" s="64" t="e">
        <f>IF(ISBLANK(Games!#REF!), "",'Prediction Log'!#REF!)</f>
        <v>#REF!</v>
      </c>
      <c r="H520" s="66" t="e">
        <f>'Prediction Log'!#REF!</f>
        <v>#REF!</v>
      </c>
      <c r="I520" s="65" t="e">
        <f>IF(ISBLANK(Games!#REF!), "",IF(AND(Games!#REF!="",Games!#REF!=""),"",IF(ISTEXT(Games!#REF!), "Side",Games!#REF!)))</f>
        <v>#REF!</v>
      </c>
      <c r="J520" s="65" t="e">
        <f>IF(ISBLANK(Games!#REF!), "",IF(Games!#REF!="Y", Games!#REF!, Games!#REF!))</f>
        <v>#REF!</v>
      </c>
      <c r="K520" s="65" t="e">
        <f>Games!#REF!</f>
        <v>#REF!</v>
      </c>
      <c r="L520" s="65" t="e">
        <f>IF(ISBLANK(Games!#REF!), "",Games!#REF!)</f>
        <v>#REF!</v>
      </c>
      <c r="M520" s="65"/>
      <c r="N520" s="167" t="str">
        <f>IF(ISBLANK(Table123[[#This Row],[Odds Side - Difference Model]]), "", 1)</f>
      </c>
      <c r="O520" s="167" t="str">
        <f>IF(ISBLANK(Table123[[#This Row],[Odds Spread]]), "", 1)</f>
      </c>
      <c r="P520" s="67"/>
      <c r="Q520" s="67"/>
      <c r="R5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0" s="67"/>
      <c r="T520" s="67"/>
      <c r="U520" s="168" t="str">
        <f>IF(ISBLANK(Table123[[#This Row],[Odds Side - Difference Model]]), "",N520+IF(Q520&lt;0, (N520/(Q520/-100)), N520*(Q520/100)))</f>
      </c>
      <c r="V520" s="169" t="str">
        <f>IFERROR(IF(ISBLANK(Table123[[#This Row],[Odds Side - Win Probability Model]]), "",N520+IF(R520&lt;0, (N520/(R520/-100)), N520*(R520/100))),"")</f>
      </c>
      <c r="W520" s="168" t="str">
        <f t="shared" si="55"/>
      </c>
      <c r="X520" s="169" t="str">
        <f t="shared" si="56"/>
      </c>
      <c r="Y520" s="168" t="str">
        <f>IF(ISBLANK(Table123[[#This Row],[Odds Spread]]), "",O520+IF(S520&lt;0, (O520/(S520/-100)), O520*(S520/100)))</f>
      </c>
      <c r="Z520" s="168" t="str">
        <f t="shared" si="57"/>
      </c>
      <c r="AA520" s="68" t="n">
        <f t="shared" si="58"/>
        <v>0</v>
      </c>
      <c r="AB520" s="68" t="n">
        <f t="shared" si="59"/>
        <v>0</v>
      </c>
      <c r="AC520" s="170" t="e">
        <f>IF('Prediction Log'!#REF!="Y", "W", IF('Prediction Log'!#REF!="N","L",""))</f>
        <v>#REF!</v>
      </c>
      <c r="AD520" s="171" t="e">
        <f>IF('Prediction Log'!#REF!="Y", "W", IF('Prediction Log'!#REF!="N","L",""))</f>
        <v>#REF!</v>
      </c>
      <c r="AE520" s="172" t="str">
        <f>IF(ISBLANK(Table123[[#This Row],[Odds Side - Difference Model]]), "",IF(AC520="W", W520, IF(AC520="L",-N520, "")))</f>
      </c>
      <c r="AF520" s="173" t="str">
        <f>IFERROR((IF(ISERR(Table123[[#This Row],[Potential Payout Side - Win Probability Model]]), "",IF(AD520="W", X520, IF(AD520="L",-N520, "")))), "")</f>
      </c>
      <c r="AG520" s="170" t="e">
        <f>IF('Prediction Log'!#REF!="Y", "W", IF('Prediction Log'!#REF!="N", "L", ""))</f>
        <v>#REF!</v>
      </c>
      <c r="AH520" s="172" t="str">
        <f>IF(ISBLANK(Table123[[#This Row],[Odds Spread]]), "",IF(AG520="W", Z520, IF(AG520="L",-O520, "")))</f>
      </c>
      <c r="AI520" s="184"/>
      <c r="AJ520" s="183" t="str">
        <f t="shared" si="60"/>
      </c>
      <c r="AK5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1">
      <c r="A521" s="65" t="e">
        <f>Games!#REF!</f>
        <v>#REF!</v>
      </c>
      <c r="B521" s="65" t="e">
        <f>IF('Prediction Log'!#REF!=0, "",'Prediction Log'!#REF!)</f>
        <v>#REF!</v>
      </c>
      <c r="C521" s="65" t="e">
        <f>IF('Prediction Log'!#REF!=0, "",'Prediction Log'!#REF!)</f>
        <v>#REF!</v>
      </c>
      <c r="D521" s="65" t="e">
        <f>IF('Prediction Log'!#REF!=0, "",'Prediction Log'!#REF!)</f>
        <v>#REF!</v>
      </c>
      <c r="E521" s="65" t="e">
        <f>IF('Prediction Log'!#REF!=0, "",'Prediction Log'!#REF!)</f>
        <v>#REF!</v>
      </c>
      <c r="F521" s="65" t="e">
        <f>IF('Prediction Log'!#REF!=0, "",'Prediction Log'!#REF!)</f>
        <v>#REF!</v>
      </c>
      <c r="G521" s="64" t="e">
        <f>IF(ISBLANK(Games!#REF!), "",'Prediction Log'!#REF!)</f>
        <v>#REF!</v>
      </c>
      <c r="H521" s="66" t="e">
        <f>'Prediction Log'!#REF!</f>
        <v>#REF!</v>
      </c>
      <c r="I521" s="65" t="e">
        <f>IF(ISBLANK(Games!#REF!), "",IF(AND(Games!#REF!="",Games!#REF!=""),"",IF(ISTEXT(Games!#REF!), "Side",Games!#REF!)))</f>
        <v>#REF!</v>
      </c>
      <c r="J521" s="65" t="e">
        <f>IF(ISBLANK(Games!#REF!), "",IF(Games!#REF!="Y", Games!#REF!, Games!#REF!))</f>
        <v>#REF!</v>
      </c>
      <c r="K521" s="65" t="e">
        <f>Games!#REF!</f>
        <v>#REF!</v>
      </c>
      <c r="L521" s="65" t="e">
        <f>IF(ISBLANK(Games!#REF!), "",Games!#REF!)</f>
        <v>#REF!</v>
      </c>
      <c r="M521" s="65"/>
      <c r="N521" s="167" t="str">
        <f>IF(ISBLANK(Table123[[#This Row],[Odds Side - Difference Model]]), "", 1)</f>
      </c>
      <c r="O521" s="167" t="str">
        <f>IF(ISBLANK(Table123[[#This Row],[Odds Spread]]), "", 1)</f>
      </c>
      <c r="P521" s="67"/>
      <c r="Q521" s="67"/>
      <c r="R5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1" s="67"/>
      <c r="T521" s="67"/>
      <c r="U521" s="168" t="str">
        <f>IF(ISBLANK(Table123[[#This Row],[Odds Side - Difference Model]]), "",N521+IF(Q521&lt;0, (N521/(Q521/-100)), N521*(Q521/100)))</f>
      </c>
      <c r="V521" s="169" t="str">
        <f>IFERROR(IF(ISBLANK(Table123[[#This Row],[Odds Side - Win Probability Model]]), "",N521+IF(R521&lt;0, (N521/(R521/-100)), N521*(R521/100))),"")</f>
      </c>
      <c r="W521" s="168" t="str">
        <f t="shared" si="55"/>
      </c>
      <c r="X521" s="169" t="str">
        <f t="shared" si="56"/>
      </c>
      <c r="Y521" s="168" t="str">
        <f>IF(ISBLANK(Table123[[#This Row],[Odds Spread]]), "",O521+IF(S521&lt;0, (O521/(S521/-100)), O521*(S521/100)))</f>
      </c>
      <c r="Z521" s="168" t="str">
        <f t="shared" si="57"/>
      </c>
      <c r="AA521" s="68" t="n">
        <f t="shared" si="58"/>
        <v>0</v>
      </c>
      <c r="AB521" s="68" t="n">
        <f t="shared" si="59"/>
        <v>0</v>
      </c>
      <c r="AC521" s="170" t="e">
        <f>IF('Prediction Log'!#REF!="Y", "W", IF('Prediction Log'!#REF!="N","L",""))</f>
        <v>#REF!</v>
      </c>
      <c r="AD521" s="171" t="e">
        <f>IF('Prediction Log'!#REF!="Y", "W", IF('Prediction Log'!#REF!="N","L",""))</f>
        <v>#REF!</v>
      </c>
      <c r="AE521" s="172" t="str">
        <f>IF(ISBLANK(Table123[[#This Row],[Odds Side - Difference Model]]), "",IF(AC521="W", W521, IF(AC521="L",-N521, "")))</f>
      </c>
      <c r="AF521" s="173" t="str">
        <f>IFERROR((IF(ISERR(Table123[[#This Row],[Potential Payout Side - Win Probability Model]]), "",IF(AD521="W", X521, IF(AD521="L",-N521, "")))), "")</f>
      </c>
      <c r="AG521" s="170" t="e">
        <f>IF('Prediction Log'!#REF!="Y", "W", IF('Prediction Log'!#REF!="N", "L", ""))</f>
        <v>#REF!</v>
      </c>
      <c r="AH521" s="172" t="str">
        <f>IF(ISBLANK(Table123[[#This Row],[Odds Spread]]), "",IF(AG521="W", Z521, IF(AG521="L",-O521, "")))</f>
      </c>
      <c r="AI521" s="184"/>
      <c r="AJ521" s="183" t="str">
        <f t="shared" si="60"/>
      </c>
      <c r="AK5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2">
      <c r="A522" s="65" t="e">
        <f>Games!#REF!</f>
        <v>#REF!</v>
      </c>
      <c r="B522" s="65" t="e">
        <f>IF('Prediction Log'!#REF!=0, "",'Prediction Log'!#REF!)</f>
        <v>#REF!</v>
      </c>
      <c r="C522" s="65" t="e">
        <f>IF('Prediction Log'!#REF!=0, "",'Prediction Log'!#REF!)</f>
        <v>#REF!</v>
      </c>
      <c r="D522" s="65" t="e">
        <f>IF('Prediction Log'!#REF!=0, "",'Prediction Log'!#REF!)</f>
        <v>#REF!</v>
      </c>
      <c r="E522" s="65" t="e">
        <f>IF('Prediction Log'!#REF!=0, "",'Prediction Log'!#REF!)</f>
        <v>#REF!</v>
      </c>
      <c r="F522" s="65" t="e">
        <f>IF('Prediction Log'!#REF!=0, "",'Prediction Log'!#REF!)</f>
        <v>#REF!</v>
      </c>
      <c r="G522" s="64" t="e">
        <f>IF(ISBLANK(Games!#REF!), "",'Prediction Log'!#REF!)</f>
        <v>#REF!</v>
      </c>
      <c r="H522" s="66" t="e">
        <f>'Prediction Log'!#REF!</f>
        <v>#REF!</v>
      </c>
      <c r="I522" s="65" t="e">
        <f>IF(ISBLANK(Games!#REF!), "",IF(AND(Games!#REF!="",Games!#REF!=""),"",IF(ISTEXT(Games!#REF!), "Side",Games!#REF!)))</f>
        <v>#REF!</v>
      </c>
      <c r="J522" s="65" t="e">
        <f>IF(ISBLANK(Games!#REF!), "",IF(Games!#REF!="Y", Games!#REF!, Games!#REF!))</f>
        <v>#REF!</v>
      </c>
      <c r="K522" s="65" t="e">
        <f>Games!#REF!</f>
        <v>#REF!</v>
      </c>
      <c r="L522" s="65" t="e">
        <f>IF(ISBLANK(Games!#REF!), "",Games!#REF!)</f>
        <v>#REF!</v>
      </c>
      <c r="M522" s="65"/>
      <c r="N522" s="167" t="str">
        <f>IF(ISBLANK(Table123[[#This Row],[Odds Side - Difference Model]]), "", 1)</f>
      </c>
      <c r="O522" s="167" t="str">
        <f>IF(ISBLANK(Table123[[#This Row],[Odds Spread]]), "", 1)</f>
      </c>
      <c r="P522" s="67"/>
      <c r="Q522" s="67"/>
      <c r="R5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2" s="67"/>
      <c r="T522" s="67"/>
      <c r="U522" s="168" t="str">
        <f>IF(ISBLANK(Table123[[#This Row],[Odds Side - Difference Model]]), "",N522+IF(Q522&lt;0, (N522/(Q522/-100)), N522*(Q522/100)))</f>
      </c>
      <c r="V522" s="169" t="str">
        <f>IFERROR(IF(ISBLANK(Table123[[#This Row],[Odds Side - Win Probability Model]]), "",N522+IF(R522&lt;0, (N522/(R522/-100)), N522*(R522/100))),"")</f>
      </c>
      <c r="W522" s="168" t="str">
        <f t="shared" si="55"/>
      </c>
      <c r="X522" s="169" t="str">
        <f t="shared" si="56"/>
      </c>
      <c r="Y522" s="168" t="str">
        <f>IF(ISBLANK(Table123[[#This Row],[Odds Spread]]), "",O522+IF(S522&lt;0, (O522/(S522/-100)), O522*(S522/100)))</f>
      </c>
      <c r="Z522" s="168" t="str">
        <f t="shared" si="57"/>
      </c>
      <c r="AA522" s="68" t="n">
        <f t="shared" si="58"/>
        <v>0</v>
      </c>
      <c r="AB522" s="68" t="n">
        <f t="shared" si="59"/>
        <v>0</v>
      </c>
      <c r="AC522" s="170" t="e">
        <f>IF('Prediction Log'!#REF!="Y", "W", IF('Prediction Log'!#REF!="N","L",""))</f>
        <v>#REF!</v>
      </c>
      <c r="AD522" s="171" t="e">
        <f>IF('Prediction Log'!#REF!="Y", "W", IF('Prediction Log'!#REF!="N","L",""))</f>
        <v>#REF!</v>
      </c>
      <c r="AE522" s="172" t="str">
        <f>IF(ISBLANK(Table123[[#This Row],[Odds Side - Difference Model]]), "",IF(AC522="W", W522, IF(AC522="L",-N522, "")))</f>
      </c>
      <c r="AF522" s="173" t="str">
        <f>IFERROR((IF(ISERR(Table123[[#This Row],[Potential Payout Side - Win Probability Model]]), "",IF(AD522="W", X522, IF(AD522="L",-N522, "")))), "")</f>
      </c>
      <c r="AG522" s="170" t="e">
        <f>IF('Prediction Log'!#REF!="Y", "W", IF('Prediction Log'!#REF!="N", "L", ""))</f>
        <v>#REF!</v>
      </c>
      <c r="AH522" s="172" t="str">
        <f>IF(ISBLANK(Table123[[#This Row],[Odds Spread]]), "",IF(AG522="W", Z522, IF(AG522="L",-O522, "")))</f>
      </c>
      <c r="AI522" s="184"/>
      <c r="AJ522" s="183" t="str">
        <f t="shared" si="60"/>
      </c>
      <c r="AK5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3">
      <c r="A523" s="65" t="e">
        <f>Games!#REF!</f>
        <v>#REF!</v>
      </c>
      <c r="B523" s="65" t="e">
        <f>IF('Prediction Log'!#REF!=0, "",'Prediction Log'!#REF!)</f>
        <v>#REF!</v>
      </c>
      <c r="C523" s="65" t="e">
        <f>IF('Prediction Log'!#REF!=0, "",'Prediction Log'!#REF!)</f>
        <v>#REF!</v>
      </c>
      <c r="D523" s="65" t="e">
        <f>IF('Prediction Log'!#REF!=0, "",'Prediction Log'!#REF!)</f>
        <v>#REF!</v>
      </c>
      <c r="E523" s="65" t="e">
        <f>IF('Prediction Log'!#REF!=0, "",'Prediction Log'!#REF!)</f>
        <v>#REF!</v>
      </c>
      <c r="F523" s="65" t="e">
        <f>IF('Prediction Log'!#REF!=0, "",'Prediction Log'!#REF!)</f>
        <v>#REF!</v>
      </c>
      <c r="G523" s="64" t="e">
        <f>IF(ISBLANK(Games!#REF!), "",'Prediction Log'!#REF!)</f>
        <v>#REF!</v>
      </c>
      <c r="H523" s="66" t="e">
        <f>'Prediction Log'!#REF!</f>
        <v>#REF!</v>
      </c>
      <c r="I523" s="65" t="e">
        <f>IF(ISBLANK(Games!#REF!), "",IF(AND(Games!#REF!="",Games!#REF!=""),"",IF(ISTEXT(Games!#REF!), "Side",Games!#REF!)))</f>
        <v>#REF!</v>
      </c>
      <c r="J523" s="65" t="e">
        <f>IF(ISBLANK(Games!#REF!), "",IF(Games!#REF!="Y", Games!#REF!, Games!#REF!))</f>
        <v>#REF!</v>
      </c>
      <c r="K523" s="65" t="e">
        <f>Games!#REF!</f>
        <v>#REF!</v>
      </c>
      <c r="L523" s="65" t="e">
        <f>IF(ISBLANK(Games!#REF!), "",Games!#REF!)</f>
        <v>#REF!</v>
      </c>
      <c r="M523" s="65"/>
      <c r="N523" s="167" t="str">
        <f>IF(ISBLANK(Table123[[#This Row],[Odds Side - Difference Model]]), "", 1)</f>
      </c>
      <c r="O523" s="167" t="str">
        <f>IF(ISBLANK(Table123[[#This Row],[Odds Spread]]), "", 1)</f>
      </c>
      <c r="P523" s="67"/>
      <c r="Q523" s="67"/>
      <c r="R5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3" s="67"/>
      <c r="T523" s="67"/>
      <c r="U523" s="168" t="str">
        <f>IF(ISBLANK(Table123[[#This Row],[Odds Side - Difference Model]]), "",N523+IF(Q523&lt;0, (N523/(Q523/-100)), N523*(Q523/100)))</f>
      </c>
      <c r="V523" s="169" t="str">
        <f>IFERROR(IF(ISBLANK(Table123[[#This Row],[Odds Side - Win Probability Model]]), "",N523+IF(R523&lt;0, (N523/(R523/-100)), N523*(R523/100))),"")</f>
      </c>
      <c r="W523" s="168" t="str">
        <f t="shared" si="55"/>
      </c>
      <c r="X523" s="169" t="str">
        <f t="shared" si="56"/>
      </c>
      <c r="Y523" s="168" t="str">
        <f>IF(ISBLANK(Table123[[#This Row],[Odds Spread]]), "",O523+IF(S523&lt;0, (O523/(S523/-100)), O523*(S523/100)))</f>
      </c>
      <c r="Z523" s="168" t="str">
        <f t="shared" si="57"/>
      </c>
      <c r="AA523" s="68" t="n">
        <f t="shared" si="58"/>
        <v>0</v>
      </c>
      <c r="AB523" s="68" t="n">
        <f t="shared" si="59"/>
        <v>0</v>
      </c>
      <c r="AC523" s="170" t="e">
        <f>IF('Prediction Log'!#REF!="Y", "W", IF('Prediction Log'!#REF!="N","L",""))</f>
        <v>#REF!</v>
      </c>
      <c r="AD523" s="171" t="e">
        <f>IF('Prediction Log'!#REF!="Y", "W", IF('Prediction Log'!#REF!="N","L",""))</f>
        <v>#REF!</v>
      </c>
      <c r="AE523" s="172" t="str">
        <f>IF(ISBLANK(Table123[[#This Row],[Odds Side - Difference Model]]), "",IF(AC523="W", W523, IF(AC523="L",-N523, "")))</f>
      </c>
      <c r="AF523" s="173" t="str">
        <f>IFERROR((IF(ISERR(Table123[[#This Row],[Potential Payout Side - Win Probability Model]]), "",IF(AD523="W", X523, IF(AD523="L",-N523, "")))), "")</f>
      </c>
      <c r="AG523" s="170" t="e">
        <f>IF('Prediction Log'!#REF!="Y", "W", IF('Prediction Log'!#REF!="N", "L", ""))</f>
        <v>#REF!</v>
      </c>
      <c r="AH523" s="172" t="str">
        <f>IF(ISBLANK(Table123[[#This Row],[Odds Spread]]), "",IF(AG523="W", Z523, IF(AG523="L",-O523, "")))</f>
      </c>
      <c r="AI523" s="184"/>
      <c r="AJ523" s="183" t="str">
        <f t="shared" si="60"/>
      </c>
      <c r="AK5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4">
      <c r="A524" s="65" t="e">
        <f>Games!#REF!</f>
        <v>#REF!</v>
      </c>
      <c r="B524" s="65" t="e">
        <f>IF('Prediction Log'!#REF!=0, "",'Prediction Log'!#REF!)</f>
        <v>#REF!</v>
      </c>
      <c r="C524" s="65" t="e">
        <f>IF('Prediction Log'!#REF!=0, "",'Prediction Log'!#REF!)</f>
        <v>#REF!</v>
      </c>
      <c r="D524" s="65" t="e">
        <f>IF('Prediction Log'!#REF!=0, "",'Prediction Log'!#REF!)</f>
        <v>#REF!</v>
      </c>
      <c r="E524" s="65" t="e">
        <f>IF('Prediction Log'!#REF!=0, "",'Prediction Log'!#REF!)</f>
        <v>#REF!</v>
      </c>
      <c r="F524" s="65" t="e">
        <f>IF('Prediction Log'!#REF!=0, "",'Prediction Log'!#REF!)</f>
        <v>#REF!</v>
      </c>
      <c r="G524" s="64" t="e">
        <f>IF(ISBLANK(Games!#REF!), "",'Prediction Log'!#REF!)</f>
        <v>#REF!</v>
      </c>
      <c r="H524" s="66" t="e">
        <f>'Prediction Log'!#REF!</f>
        <v>#REF!</v>
      </c>
      <c r="I524" s="65" t="e">
        <f>IF(ISBLANK(Games!#REF!), "",IF(AND(Games!#REF!="",Games!#REF!=""),"",IF(ISTEXT(Games!#REF!), "Side",Games!#REF!)))</f>
        <v>#REF!</v>
      </c>
      <c r="J524" s="65" t="e">
        <f>IF(ISBLANK(Games!#REF!), "",IF(Games!#REF!="Y", Games!#REF!, Games!#REF!))</f>
        <v>#REF!</v>
      </c>
      <c r="K524" s="65" t="e">
        <f>Games!#REF!</f>
        <v>#REF!</v>
      </c>
      <c r="L524" s="65" t="e">
        <f>IF(ISBLANK(Games!#REF!), "",Games!#REF!)</f>
        <v>#REF!</v>
      </c>
      <c r="M524" s="65"/>
      <c r="N524" s="167" t="str">
        <f>IF(ISBLANK(Table123[[#This Row],[Odds Side - Difference Model]]), "", 1)</f>
      </c>
      <c r="O524" s="167" t="str">
        <f>IF(ISBLANK(Table123[[#This Row],[Odds Spread]]), "", 1)</f>
      </c>
      <c r="P524" s="67"/>
      <c r="Q524" s="67"/>
      <c r="R5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4" s="67"/>
      <c r="T524" s="67"/>
      <c r="U524" s="168" t="str">
        <f>IF(ISBLANK(Table123[[#This Row],[Odds Side - Difference Model]]), "",N524+IF(Q524&lt;0, (N524/(Q524/-100)), N524*(Q524/100)))</f>
      </c>
      <c r="V524" s="169" t="str">
        <f>IFERROR(IF(ISBLANK(Table123[[#This Row],[Odds Side - Win Probability Model]]), "",N524+IF(R524&lt;0, (N524/(R524/-100)), N524*(R524/100))),"")</f>
      </c>
      <c r="W524" s="168" t="str">
        <f t="shared" si="55"/>
      </c>
      <c r="X524" s="169" t="str">
        <f t="shared" si="56"/>
      </c>
      <c r="Y524" s="168" t="str">
        <f>IF(ISBLANK(Table123[[#This Row],[Odds Spread]]), "",O524+IF(S524&lt;0, (O524/(S524/-100)), O524*(S524/100)))</f>
      </c>
      <c r="Z524" s="168" t="str">
        <f t="shared" si="57"/>
      </c>
      <c r="AA524" s="68" t="n">
        <f t="shared" si="58"/>
        <v>0</v>
      </c>
      <c r="AB524" s="68" t="n">
        <f t="shared" si="59"/>
        <v>0</v>
      </c>
      <c r="AC524" s="170" t="e">
        <f>IF('Prediction Log'!#REF!="Y", "W", IF('Prediction Log'!#REF!="N","L",""))</f>
        <v>#REF!</v>
      </c>
      <c r="AD524" s="171" t="e">
        <f>IF('Prediction Log'!#REF!="Y", "W", IF('Prediction Log'!#REF!="N","L",""))</f>
        <v>#REF!</v>
      </c>
      <c r="AE524" s="172" t="str">
        <f>IF(ISBLANK(Table123[[#This Row],[Odds Side - Difference Model]]), "",IF(AC524="W", W524, IF(AC524="L",-N524, "")))</f>
      </c>
      <c r="AF524" s="173" t="str">
        <f>IFERROR((IF(ISERR(Table123[[#This Row],[Potential Payout Side - Win Probability Model]]), "",IF(AD524="W", X524, IF(AD524="L",-N524, "")))), "")</f>
      </c>
      <c r="AG524" s="170" t="e">
        <f>IF('Prediction Log'!#REF!="Y", "W", IF('Prediction Log'!#REF!="N", "L", ""))</f>
        <v>#REF!</v>
      </c>
      <c r="AH524" s="172" t="str">
        <f>IF(ISBLANK(Table123[[#This Row],[Odds Spread]]), "",IF(AG524="W", Z524, IF(AG524="L",-O524, "")))</f>
      </c>
      <c r="AI524" s="184"/>
      <c r="AJ524" s="183" t="str">
        <f t="shared" si="60"/>
      </c>
      <c r="AK5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5">
      <c r="A525" s="65" t="e">
        <f>Games!#REF!</f>
        <v>#REF!</v>
      </c>
      <c r="B525" s="65" t="e">
        <f>IF('Prediction Log'!#REF!=0, "",'Prediction Log'!#REF!)</f>
        <v>#REF!</v>
      </c>
      <c r="C525" s="65" t="e">
        <f>IF('Prediction Log'!#REF!=0, "",'Prediction Log'!#REF!)</f>
        <v>#REF!</v>
      </c>
      <c r="D525" s="65" t="e">
        <f>IF('Prediction Log'!#REF!=0, "",'Prediction Log'!#REF!)</f>
        <v>#REF!</v>
      </c>
      <c r="E525" s="65" t="e">
        <f>IF('Prediction Log'!#REF!=0, "",'Prediction Log'!#REF!)</f>
        <v>#REF!</v>
      </c>
      <c r="F525" s="65" t="e">
        <f>IF('Prediction Log'!#REF!=0, "",'Prediction Log'!#REF!)</f>
        <v>#REF!</v>
      </c>
      <c r="G525" s="64" t="e">
        <f>IF(ISBLANK(Games!#REF!), "",'Prediction Log'!#REF!)</f>
        <v>#REF!</v>
      </c>
      <c r="H525" s="66" t="e">
        <f>'Prediction Log'!#REF!</f>
        <v>#REF!</v>
      </c>
      <c r="I525" s="65" t="e">
        <f>IF(ISBLANK(Games!#REF!), "",IF(AND(Games!#REF!="",Games!#REF!=""),"",IF(ISTEXT(Games!#REF!), "Side",Games!#REF!)))</f>
        <v>#REF!</v>
      </c>
      <c r="J525" s="65" t="e">
        <f>IF(ISBLANK(Games!#REF!), "",IF(Games!#REF!="Y", Games!#REF!, Games!#REF!))</f>
        <v>#REF!</v>
      </c>
      <c r="K525" s="65" t="e">
        <f>Games!#REF!</f>
        <v>#REF!</v>
      </c>
      <c r="L525" s="65" t="e">
        <f>IF(ISBLANK(Games!#REF!), "",Games!#REF!)</f>
        <v>#REF!</v>
      </c>
      <c r="M525" s="65"/>
      <c r="N525" s="167" t="str">
        <f>IF(ISBLANK(Table123[[#This Row],[Odds Side - Difference Model]]), "", 1)</f>
      </c>
      <c r="O525" s="167" t="str">
        <f>IF(ISBLANK(Table123[[#This Row],[Odds Spread]]), "", 1)</f>
      </c>
      <c r="P525" s="67"/>
      <c r="Q525" s="67"/>
      <c r="R5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5" s="67"/>
      <c r="T525" s="67"/>
      <c r="U525" s="168" t="str">
        <f>IF(ISBLANK(Table123[[#This Row],[Odds Side - Difference Model]]), "",N525+IF(Q525&lt;0, (N525/(Q525/-100)), N525*(Q525/100)))</f>
      </c>
      <c r="V525" s="169" t="str">
        <f>IFERROR(IF(ISBLANK(Table123[[#This Row],[Odds Side - Win Probability Model]]), "",N525+IF(R525&lt;0, (N525/(R525/-100)), N525*(R525/100))),"")</f>
      </c>
      <c r="W525" s="168" t="str">
        <f t="shared" si="55"/>
      </c>
      <c r="X525" s="169" t="str">
        <f t="shared" si="56"/>
      </c>
      <c r="Y525" s="168" t="str">
        <f>IF(ISBLANK(Table123[[#This Row],[Odds Spread]]), "",O525+IF(S525&lt;0, (O525/(S525/-100)), O525*(S525/100)))</f>
      </c>
      <c r="Z525" s="168" t="str">
        <f t="shared" si="57"/>
      </c>
      <c r="AA525" s="68" t="n">
        <f t="shared" si="58"/>
        <v>0</v>
      </c>
      <c r="AB525" s="68" t="n">
        <f t="shared" si="59"/>
        <v>0</v>
      </c>
      <c r="AC525" s="170" t="e">
        <f>IF('Prediction Log'!#REF!="Y", "W", IF('Prediction Log'!#REF!="N","L",""))</f>
        <v>#REF!</v>
      </c>
      <c r="AD525" s="171" t="e">
        <f>IF('Prediction Log'!#REF!="Y", "W", IF('Prediction Log'!#REF!="N","L",""))</f>
        <v>#REF!</v>
      </c>
      <c r="AE525" s="172" t="str">
        <f>IF(ISBLANK(Table123[[#This Row],[Odds Side - Difference Model]]), "",IF(AC525="W", W525, IF(AC525="L",-N525, "")))</f>
      </c>
      <c r="AF525" s="173" t="str">
        <f>IFERROR((IF(ISERR(Table123[[#This Row],[Potential Payout Side - Win Probability Model]]), "",IF(AD525="W", X525, IF(AD525="L",-N525, "")))), "")</f>
      </c>
      <c r="AG525" s="170" t="e">
        <f>IF('Prediction Log'!#REF!="Y", "W", IF('Prediction Log'!#REF!="N", "L", ""))</f>
        <v>#REF!</v>
      </c>
      <c r="AH525" s="172" t="str">
        <f>IF(ISBLANK(Table123[[#This Row],[Odds Spread]]), "",IF(AG525="W", Z525, IF(AG525="L",-O525, "")))</f>
      </c>
      <c r="AI525" s="184"/>
      <c r="AJ525" s="183" t="str">
        <f t="shared" si="60"/>
      </c>
      <c r="AK5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6">
      <c r="A526" s="65" t="e">
        <f>Games!#REF!</f>
        <v>#REF!</v>
      </c>
      <c r="B526" s="65" t="e">
        <f>IF('Prediction Log'!#REF!=0, "",'Prediction Log'!#REF!)</f>
        <v>#REF!</v>
      </c>
      <c r="C526" s="65" t="e">
        <f>IF('Prediction Log'!#REF!=0, "",'Prediction Log'!#REF!)</f>
        <v>#REF!</v>
      </c>
      <c r="D526" s="65" t="e">
        <f>IF('Prediction Log'!#REF!=0, "",'Prediction Log'!#REF!)</f>
        <v>#REF!</v>
      </c>
      <c r="E526" s="65" t="e">
        <f>IF('Prediction Log'!#REF!=0, "",'Prediction Log'!#REF!)</f>
        <v>#REF!</v>
      </c>
      <c r="F526" s="65" t="e">
        <f>IF('Prediction Log'!#REF!=0, "",'Prediction Log'!#REF!)</f>
        <v>#REF!</v>
      </c>
      <c r="G526" s="64" t="e">
        <f>IF(ISBLANK(Games!#REF!), "",'Prediction Log'!#REF!)</f>
        <v>#REF!</v>
      </c>
      <c r="H526" s="66" t="e">
        <f>'Prediction Log'!#REF!</f>
        <v>#REF!</v>
      </c>
      <c r="I526" s="65" t="e">
        <f>IF(ISBLANK(Games!#REF!), "",IF(AND(Games!#REF!="",Games!#REF!=""),"",IF(ISTEXT(Games!#REF!), "Side",Games!#REF!)))</f>
        <v>#REF!</v>
      </c>
      <c r="J526" s="65" t="e">
        <f>IF(ISBLANK(Games!#REF!), "",IF(Games!#REF!="Y", Games!#REF!, Games!#REF!))</f>
        <v>#REF!</v>
      </c>
      <c r="K526" s="65" t="e">
        <f>Games!#REF!</f>
        <v>#REF!</v>
      </c>
      <c r="L526" s="65" t="e">
        <f>IF(ISBLANK(Games!#REF!), "",Games!#REF!)</f>
        <v>#REF!</v>
      </c>
      <c r="M526" s="65"/>
      <c r="N526" s="167" t="str">
        <f>IF(ISBLANK(Table123[[#This Row],[Odds Side - Difference Model]]), "", 1)</f>
      </c>
      <c r="O526" s="167" t="str">
        <f>IF(ISBLANK(Table123[[#This Row],[Odds Spread]]), "", 1)</f>
      </c>
      <c r="P526" s="67"/>
      <c r="Q526" s="67"/>
      <c r="R5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6" s="67"/>
      <c r="T526" s="67"/>
      <c r="U526" s="168" t="str">
        <f>IF(ISBLANK(Table123[[#This Row],[Odds Side - Difference Model]]), "",N526+IF(Q526&lt;0, (N526/(Q526/-100)), N526*(Q526/100)))</f>
      </c>
      <c r="V526" s="169" t="str">
        <f>IFERROR(IF(ISBLANK(Table123[[#This Row],[Odds Side - Win Probability Model]]), "",N526+IF(R526&lt;0, (N526/(R526/-100)), N526*(R526/100))),"")</f>
      </c>
      <c r="W526" s="168" t="str">
        <f t="shared" si="55"/>
      </c>
      <c r="X526" s="169" t="str">
        <f t="shared" si="56"/>
      </c>
      <c r="Y526" s="168" t="str">
        <f>IF(ISBLANK(Table123[[#This Row],[Odds Spread]]), "",O526+IF(S526&lt;0, (O526/(S526/-100)), O526*(S526/100)))</f>
      </c>
      <c r="Z526" s="168" t="str">
        <f t="shared" si="57"/>
      </c>
      <c r="AA526" s="68" t="n">
        <f t="shared" si="58"/>
        <v>0</v>
      </c>
      <c r="AB526" s="68" t="n">
        <f t="shared" si="59"/>
        <v>0</v>
      </c>
      <c r="AC526" s="170" t="e">
        <f>IF('Prediction Log'!#REF!="Y", "W", IF('Prediction Log'!#REF!="N","L",""))</f>
        <v>#REF!</v>
      </c>
      <c r="AD526" s="171" t="e">
        <f>IF('Prediction Log'!#REF!="Y", "W", IF('Prediction Log'!#REF!="N","L",""))</f>
        <v>#REF!</v>
      </c>
      <c r="AE526" s="172" t="str">
        <f>IF(ISBLANK(Table123[[#This Row],[Odds Side - Difference Model]]), "",IF(AC526="W", W526, IF(AC526="L",-N526, "")))</f>
      </c>
      <c r="AF526" s="173" t="str">
        <f>IFERROR((IF(ISERR(Table123[[#This Row],[Potential Payout Side - Win Probability Model]]), "",IF(AD526="W", X526, IF(AD526="L",-N526, "")))), "")</f>
      </c>
      <c r="AG526" s="170" t="e">
        <f>IF('Prediction Log'!#REF!="Y", "W", IF('Prediction Log'!#REF!="N", "L", ""))</f>
        <v>#REF!</v>
      </c>
      <c r="AH526" s="172" t="str">
        <f>IF(ISBLANK(Table123[[#This Row],[Odds Spread]]), "",IF(AG526="W", Z526, IF(AG526="L",-O526, "")))</f>
      </c>
      <c r="AI526" s="184"/>
      <c r="AJ526" s="183" t="str">
        <f t="shared" si="60"/>
      </c>
      <c r="AK5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7">
      <c r="A527" s="65" t="e">
        <f>Games!#REF!</f>
        <v>#REF!</v>
      </c>
      <c r="B527" s="65" t="e">
        <f>IF('Prediction Log'!#REF!=0, "",'Prediction Log'!#REF!)</f>
        <v>#REF!</v>
      </c>
      <c r="C527" s="65" t="e">
        <f>IF('Prediction Log'!#REF!=0, "",'Prediction Log'!#REF!)</f>
        <v>#REF!</v>
      </c>
      <c r="D527" s="65" t="e">
        <f>IF('Prediction Log'!#REF!=0, "",'Prediction Log'!#REF!)</f>
        <v>#REF!</v>
      </c>
      <c r="E527" s="65" t="e">
        <f>IF('Prediction Log'!#REF!=0, "",'Prediction Log'!#REF!)</f>
        <v>#REF!</v>
      </c>
      <c r="F527" s="65" t="e">
        <f>IF('Prediction Log'!#REF!=0, "",'Prediction Log'!#REF!)</f>
        <v>#REF!</v>
      </c>
      <c r="G527" s="64" t="e">
        <f>IF(ISBLANK(Games!#REF!), "",'Prediction Log'!#REF!)</f>
        <v>#REF!</v>
      </c>
      <c r="H527" s="66" t="e">
        <f>'Prediction Log'!#REF!</f>
        <v>#REF!</v>
      </c>
      <c r="I527" s="65" t="e">
        <f>IF(ISBLANK(Games!#REF!), "",IF(AND(Games!#REF!="",Games!#REF!=""),"",IF(ISTEXT(Games!#REF!), "Side",Games!#REF!)))</f>
        <v>#REF!</v>
      </c>
      <c r="J527" s="65" t="e">
        <f>IF(ISBLANK(Games!#REF!), "",IF(Games!#REF!="Y", Games!#REF!, Games!#REF!))</f>
        <v>#REF!</v>
      </c>
      <c r="K527" s="65" t="e">
        <f>Games!#REF!</f>
        <v>#REF!</v>
      </c>
      <c r="L527" s="65" t="e">
        <f>IF(ISBLANK(Games!#REF!), "",Games!#REF!)</f>
        <v>#REF!</v>
      </c>
      <c r="M527" s="65"/>
      <c r="N527" s="167" t="str">
        <f>IF(ISBLANK(Table123[[#This Row],[Odds Side - Difference Model]]), "", 1)</f>
      </c>
      <c r="O527" s="167" t="str">
        <f>IF(ISBLANK(Table123[[#This Row],[Odds Spread]]), "", 1)</f>
      </c>
      <c r="P527" s="67"/>
      <c r="Q527" s="67"/>
      <c r="R5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7" s="67"/>
      <c r="T527" s="67"/>
      <c r="U527" s="168" t="str">
        <f>IF(ISBLANK(Table123[[#This Row],[Odds Side - Difference Model]]), "",N527+IF(Q527&lt;0, (N527/(Q527/-100)), N527*(Q527/100)))</f>
      </c>
      <c r="V527" s="169" t="str">
        <f>IFERROR(IF(ISBLANK(Table123[[#This Row],[Odds Side - Win Probability Model]]), "",N527+IF(R527&lt;0, (N527/(R527/-100)), N527*(R527/100))),"")</f>
      </c>
      <c r="W527" s="168" t="str">
        <f t="shared" si="55"/>
      </c>
      <c r="X527" s="169" t="str">
        <f t="shared" si="56"/>
      </c>
      <c r="Y527" s="168" t="str">
        <f>IF(ISBLANK(Table123[[#This Row],[Odds Spread]]), "",O527+IF(S527&lt;0, (O527/(S527/-100)), O527*(S527/100)))</f>
      </c>
      <c r="Z527" s="168" t="str">
        <f t="shared" si="57"/>
      </c>
      <c r="AA527" s="68" t="n">
        <f t="shared" si="58"/>
        <v>0</v>
      </c>
      <c r="AB527" s="68" t="n">
        <f t="shared" si="59"/>
        <v>0</v>
      </c>
      <c r="AC527" s="170" t="e">
        <f>IF('Prediction Log'!#REF!="Y", "W", IF('Prediction Log'!#REF!="N","L",""))</f>
        <v>#REF!</v>
      </c>
      <c r="AD527" s="171" t="e">
        <f>IF('Prediction Log'!#REF!="Y", "W", IF('Prediction Log'!#REF!="N","L",""))</f>
        <v>#REF!</v>
      </c>
      <c r="AE527" s="172" t="str">
        <f>IF(ISBLANK(Table123[[#This Row],[Odds Side - Difference Model]]), "",IF(AC527="W", W527, IF(AC527="L",-N527, "")))</f>
      </c>
      <c r="AF527" s="173" t="str">
        <f>IFERROR((IF(ISERR(Table123[[#This Row],[Potential Payout Side - Win Probability Model]]), "",IF(AD527="W", X527, IF(AD527="L",-N527, "")))), "")</f>
      </c>
      <c r="AG527" s="170" t="e">
        <f>IF('Prediction Log'!#REF!="Y", "W", IF('Prediction Log'!#REF!="N", "L", ""))</f>
        <v>#REF!</v>
      </c>
      <c r="AH527" s="172" t="str">
        <f>IF(ISBLANK(Table123[[#This Row],[Odds Spread]]), "",IF(AG527="W", Z527, IF(AG527="L",-O527, "")))</f>
      </c>
      <c r="AI527" s="184"/>
      <c r="AJ527" s="183" t="str">
        <f t="shared" si="60"/>
      </c>
      <c r="AK5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8">
      <c r="A528" s="65" t="e">
        <f>Games!#REF!</f>
        <v>#REF!</v>
      </c>
      <c r="B528" s="65" t="e">
        <f>IF('Prediction Log'!#REF!=0, "",'Prediction Log'!#REF!)</f>
        <v>#REF!</v>
      </c>
      <c r="C528" s="65" t="e">
        <f>IF('Prediction Log'!#REF!=0, "",'Prediction Log'!#REF!)</f>
        <v>#REF!</v>
      </c>
      <c r="D528" s="65" t="e">
        <f>IF('Prediction Log'!#REF!=0, "",'Prediction Log'!#REF!)</f>
        <v>#REF!</v>
      </c>
      <c r="E528" s="65" t="e">
        <f>IF('Prediction Log'!#REF!=0, "",'Prediction Log'!#REF!)</f>
        <v>#REF!</v>
      </c>
      <c r="F528" s="65" t="e">
        <f>IF('Prediction Log'!#REF!=0, "",'Prediction Log'!#REF!)</f>
        <v>#REF!</v>
      </c>
      <c r="G528" s="64" t="e">
        <f>IF(ISBLANK(Games!#REF!), "",'Prediction Log'!#REF!)</f>
        <v>#REF!</v>
      </c>
      <c r="H528" s="66" t="e">
        <f>'Prediction Log'!#REF!</f>
        <v>#REF!</v>
      </c>
      <c r="I528" s="65" t="e">
        <f>IF(ISBLANK(Games!#REF!), "",IF(AND(Games!#REF!="",Games!#REF!=""),"",IF(ISTEXT(Games!#REF!), "Side",Games!#REF!)))</f>
        <v>#REF!</v>
      </c>
      <c r="J528" s="65" t="e">
        <f>IF(ISBLANK(Games!#REF!), "",IF(Games!#REF!="Y", Games!#REF!, Games!#REF!))</f>
        <v>#REF!</v>
      </c>
      <c r="K528" s="65" t="e">
        <f>Games!#REF!</f>
        <v>#REF!</v>
      </c>
      <c r="L528" s="65" t="e">
        <f>IF(ISBLANK(Games!#REF!), "",Games!#REF!)</f>
        <v>#REF!</v>
      </c>
      <c r="M528" s="65"/>
      <c r="N528" s="167" t="str">
        <f>IF(ISBLANK(Table123[[#This Row],[Odds Side - Difference Model]]), "", 1)</f>
      </c>
      <c r="O528" s="167" t="str">
        <f>IF(ISBLANK(Table123[[#This Row],[Odds Spread]]), "", 1)</f>
      </c>
      <c r="P528" s="67"/>
      <c r="Q528" s="67"/>
      <c r="R5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8" s="67"/>
      <c r="T528" s="67"/>
      <c r="U528" s="168" t="str">
        <f>IF(ISBLANK(Table123[[#This Row],[Odds Side - Difference Model]]), "",N528+IF(Q528&lt;0, (N528/(Q528/-100)), N528*(Q528/100)))</f>
      </c>
      <c r="V528" s="169" t="str">
        <f>IFERROR(IF(ISBLANK(Table123[[#This Row],[Odds Side - Win Probability Model]]), "",N528+IF(R528&lt;0, (N528/(R528/-100)), N528*(R528/100))),"")</f>
      </c>
      <c r="W528" s="168" t="str">
        <f t="shared" si="55"/>
      </c>
      <c r="X528" s="169" t="str">
        <f t="shared" si="56"/>
      </c>
      <c r="Y528" s="168" t="str">
        <f>IF(ISBLANK(Table123[[#This Row],[Odds Spread]]), "",O528+IF(S528&lt;0, (O528/(S528/-100)), O528*(S528/100)))</f>
      </c>
      <c r="Z528" s="168" t="str">
        <f t="shared" si="57"/>
      </c>
      <c r="AA528" s="68" t="n">
        <f t="shared" si="58"/>
        <v>0</v>
      </c>
      <c r="AB528" s="68" t="n">
        <f t="shared" si="59"/>
        <v>0</v>
      </c>
      <c r="AC528" s="170" t="e">
        <f>IF('Prediction Log'!#REF!="Y", "W", IF('Prediction Log'!#REF!="N","L",""))</f>
        <v>#REF!</v>
      </c>
      <c r="AD528" s="171" t="e">
        <f>IF('Prediction Log'!#REF!="Y", "W", IF('Prediction Log'!#REF!="N","L",""))</f>
        <v>#REF!</v>
      </c>
      <c r="AE528" s="172" t="str">
        <f>IF(ISBLANK(Table123[[#This Row],[Odds Side - Difference Model]]), "",IF(AC528="W", W528, IF(AC528="L",-N528, "")))</f>
      </c>
      <c r="AF528" s="173" t="str">
        <f>IFERROR((IF(ISERR(Table123[[#This Row],[Potential Payout Side - Win Probability Model]]), "",IF(AD528="W", X528, IF(AD528="L",-N528, "")))), "")</f>
      </c>
      <c r="AG528" s="170" t="e">
        <f>IF('Prediction Log'!#REF!="Y", "W", IF('Prediction Log'!#REF!="N", "L", ""))</f>
        <v>#REF!</v>
      </c>
      <c r="AH528" s="172" t="str">
        <f>IF(ISBLANK(Table123[[#This Row],[Odds Spread]]), "",IF(AG528="W", Z528, IF(AG528="L",-O528, "")))</f>
      </c>
      <c r="AI528" s="184"/>
      <c r="AJ528" s="183" t="str">
        <f t="shared" si="60"/>
      </c>
      <c r="AK5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9">
      <c r="A529" s="65" t="e">
        <f>Games!#REF!</f>
        <v>#REF!</v>
      </c>
      <c r="B529" s="65" t="e">
        <f>IF('Prediction Log'!#REF!=0, "",'Prediction Log'!#REF!)</f>
        <v>#REF!</v>
      </c>
      <c r="C529" s="65" t="e">
        <f>IF('Prediction Log'!#REF!=0, "",'Prediction Log'!#REF!)</f>
        <v>#REF!</v>
      </c>
      <c r="D529" s="65" t="e">
        <f>IF('Prediction Log'!#REF!=0, "",'Prediction Log'!#REF!)</f>
        <v>#REF!</v>
      </c>
      <c r="E529" s="65" t="e">
        <f>IF('Prediction Log'!#REF!=0, "",'Prediction Log'!#REF!)</f>
        <v>#REF!</v>
      </c>
      <c r="F529" s="65" t="e">
        <f>IF('Prediction Log'!#REF!=0, "",'Prediction Log'!#REF!)</f>
        <v>#REF!</v>
      </c>
      <c r="G529" s="64" t="e">
        <f>IF(ISBLANK(Games!#REF!), "",'Prediction Log'!#REF!)</f>
        <v>#REF!</v>
      </c>
      <c r="H529" s="66" t="e">
        <f>'Prediction Log'!#REF!</f>
        <v>#REF!</v>
      </c>
      <c r="I529" s="65" t="e">
        <f>IF(ISBLANK(Games!#REF!), "",IF(AND(Games!#REF!="",Games!#REF!=""),"",IF(ISTEXT(Games!#REF!), "Side",Games!#REF!)))</f>
        <v>#REF!</v>
      </c>
      <c r="J529" s="65" t="e">
        <f>IF(ISBLANK(Games!#REF!), "",IF(Games!#REF!="Y", Games!#REF!, Games!#REF!))</f>
        <v>#REF!</v>
      </c>
      <c r="K529" s="65" t="e">
        <f>Games!#REF!</f>
        <v>#REF!</v>
      </c>
      <c r="L529" s="65" t="e">
        <f>IF(ISBLANK(Games!#REF!), "",Games!#REF!)</f>
        <v>#REF!</v>
      </c>
      <c r="M529" s="65"/>
      <c r="N529" s="167" t="str">
        <f>IF(ISBLANK(Table123[[#This Row],[Odds Side - Difference Model]]), "", 1)</f>
      </c>
      <c r="O529" s="167" t="str">
        <f>IF(ISBLANK(Table123[[#This Row],[Odds Spread]]), "", 1)</f>
      </c>
      <c r="P529" s="67"/>
      <c r="Q529" s="67"/>
      <c r="R5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9" s="67"/>
      <c r="T529" s="67"/>
      <c r="U529" s="168" t="str">
        <f>IF(ISBLANK(Table123[[#This Row],[Odds Side - Difference Model]]), "",N529+IF(Q529&lt;0, (N529/(Q529/-100)), N529*(Q529/100)))</f>
      </c>
      <c r="V529" s="169" t="str">
        <f>IFERROR(IF(ISBLANK(Table123[[#This Row],[Odds Side - Win Probability Model]]), "",N529+IF(R529&lt;0, (N529/(R529/-100)), N529*(R529/100))),"")</f>
      </c>
      <c r="W529" s="168" t="str">
        <f t="shared" si="55"/>
      </c>
      <c r="X529" s="169" t="str">
        <f t="shared" si="56"/>
      </c>
      <c r="Y529" s="168" t="str">
        <f>IF(ISBLANK(Table123[[#This Row],[Odds Spread]]), "",O529+IF(S529&lt;0, (O529/(S529/-100)), O529*(S529/100)))</f>
      </c>
      <c r="Z529" s="168" t="str">
        <f t="shared" si="57"/>
      </c>
      <c r="AA529" s="68" t="n">
        <f t="shared" si="58"/>
        <v>0</v>
      </c>
      <c r="AB529" s="68" t="n">
        <f t="shared" si="59"/>
        <v>0</v>
      </c>
      <c r="AC529" s="170" t="e">
        <f>IF('Prediction Log'!#REF!="Y", "W", IF('Prediction Log'!#REF!="N","L",""))</f>
        <v>#REF!</v>
      </c>
      <c r="AD529" s="171" t="e">
        <f>IF('Prediction Log'!#REF!="Y", "W", IF('Prediction Log'!#REF!="N","L",""))</f>
        <v>#REF!</v>
      </c>
      <c r="AE529" s="172" t="str">
        <f>IF(ISBLANK(Table123[[#This Row],[Odds Side - Difference Model]]), "",IF(AC529="W", W529, IF(AC529="L",-N529, "")))</f>
      </c>
      <c r="AF529" s="173" t="str">
        <f>IFERROR((IF(ISERR(Table123[[#This Row],[Potential Payout Side - Win Probability Model]]), "",IF(AD529="W", X529, IF(AD529="L",-N529, "")))), "")</f>
      </c>
      <c r="AG529" s="170" t="e">
        <f>IF('Prediction Log'!#REF!="Y", "W", IF('Prediction Log'!#REF!="N", "L", ""))</f>
        <v>#REF!</v>
      </c>
      <c r="AH529" s="172" t="str">
        <f>IF(ISBLANK(Table123[[#This Row],[Odds Spread]]), "",IF(AG529="W", Z529, IF(AG529="L",-O529, "")))</f>
      </c>
      <c r="AI529" s="184"/>
      <c r="AJ529" s="183" t="str">
        <f t="shared" si="60"/>
      </c>
      <c r="AK5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0">
      <c r="A530" s="65" t="e">
        <f>Games!#REF!</f>
        <v>#REF!</v>
      </c>
      <c r="B530" s="65" t="e">
        <f>IF('Prediction Log'!#REF!=0, "",'Prediction Log'!#REF!)</f>
        <v>#REF!</v>
      </c>
      <c r="C530" s="65" t="e">
        <f>IF('Prediction Log'!#REF!=0, "",'Prediction Log'!#REF!)</f>
        <v>#REF!</v>
      </c>
      <c r="D530" s="65" t="e">
        <f>IF('Prediction Log'!#REF!=0, "",'Prediction Log'!#REF!)</f>
        <v>#REF!</v>
      </c>
      <c r="E530" s="65" t="e">
        <f>IF('Prediction Log'!#REF!=0, "",'Prediction Log'!#REF!)</f>
        <v>#REF!</v>
      </c>
      <c r="F530" s="65" t="e">
        <f>IF('Prediction Log'!#REF!=0, "",'Prediction Log'!#REF!)</f>
        <v>#REF!</v>
      </c>
      <c r="G530" s="64" t="e">
        <f>IF(ISBLANK(Games!#REF!), "",'Prediction Log'!#REF!)</f>
        <v>#REF!</v>
      </c>
      <c r="H530" s="66" t="e">
        <f>'Prediction Log'!#REF!</f>
        <v>#REF!</v>
      </c>
      <c r="I530" s="65" t="e">
        <f>IF(ISBLANK(Games!#REF!), "",IF(AND(Games!#REF!="",Games!#REF!=""),"",IF(ISTEXT(Games!#REF!), "Side",Games!#REF!)))</f>
        <v>#REF!</v>
      </c>
      <c r="J530" s="65" t="e">
        <f>IF(ISBLANK(Games!#REF!), "",IF(Games!#REF!="Y", Games!#REF!, Games!#REF!))</f>
        <v>#REF!</v>
      </c>
      <c r="K530" s="65" t="e">
        <f>Games!#REF!</f>
        <v>#REF!</v>
      </c>
      <c r="L530" s="65" t="e">
        <f>IF(ISBLANK(Games!#REF!), "",Games!#REF!)</f>
        <v>#REF!</v>
      </c>
      <c r="M530" s="65"/>
      <c r="N530" s="167" t="str">
        <f>IF(ISBLANK(Table123[[#This Row],[Odds Side - Difference Model]]), "", 1)</f>
      </c>
      <c r="O530" s="167" t="str">
        <f>IF(ISBLANK(Table123[[#This Row],[Odds Spread]]), "", 1)</f>
      </c>
      <c r="P530" s="67"/>
      <c r="Q530" s="67"/>
      <c r="R5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0" s="67"/>
      <c r="T530" s="67"/>
      <c r="U530" s="168" t="str">
        <f>IF(ISBLANK(Table123[[#This Row],[Odds Side - Difference Model]]), "",N530+IF(Q530&lt;0, (N530/(Q530/-100)), N530*(Q530/100)))</f>
      </c>
      <c r="V530" s="169" t="str">
        <f>IFERROR(IF(ISBLANK(Table123[[#This Row],[Odds Side - Win Probability Model]]), "",N530+IF(R530&lt;0, (N530/(R530/-100)), N530*(R530/100))),"")</f>
      </c>
      <c r="W530" s="168" t="str">
        <f t="shared" si="55"/>
      </c>
      <c r="X530" s="169" t="str">
        <f t="shared" si="56"/>
      </c>
      <c r="Y530" s="168" t="str">
        <f>IF(ISBLANK(Table123[[#This Row],[Odds Spread]]), "",O530+IF(S530&lt;0, (O530/(S530/-100)), O530*(S530/100)))</f>
      </c>
      <c r="Z530" s="168" t="str">
        <f t="shared" si="57"/>
      </c>
      <c r="AA530" s="68" t="n">
        <f t="shared" si="58"/>
        <v>0</v>
      </c>
      <c r="AB530" s="68" t="n">
        <f t="shared" si="59"/>
        <v>0</v>
      </c>
      <c r="AC530" s="170" t="e">
        <f>IF('Prediction Log'!#REF!="Y", "W", IF('Prediction Log'!#REF!="N","L",""))</f>
        <v>#REF!</v>
      </c>
      <c r="AD530" s="171" t="e">
        <f>IF('Prediction Log'!#REF!="Y", "W", IF('Prediction Log'!#REF!="N","L",""))</f>
        <v>#REF!</v>
      </c>
      <c r="AE530" s="172" t="str">
        <f>IF(ISBLANK(Table123[[#This Row],[Odds Side - Difference Model]]), "",IF(AC530="W", W530, IF(AC530="L",-N530, "")))</f>
      </c>
      <c r="AF530" s="173" t="str">
        <f>IFERROR((IF(ISERR(Table123[[#This Row],[Potential Payout Side - Win Probability Model]]), "",IF(AD530="W", X530, IF(AD530="L",-N530, "")))), "")</f>
      </c>
      <c r="AG530" s="170" t="e">
        <f>IF('Prediction Log'!#REF!="Y", "W", IF('Prediction Log'!#REF!="N", "L", ""))</f>
        <v>#REF!</v>
      </c>
      <c r="AH530" s="172" t="str">
        <f>IF(ISBLANK(Table123[[#This Row],[Odds Spread]]), "",IF(AG530="W", Z530, IF(AG530="L",-O530, "")))</f>
      </c>
      <c r="AI530" s="184"/>
      <c r="AJ530" s="183" t="str">
        <f t="shared" si="60"/>
      </c>
      <c r="AK5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1">
      <c r="A531" s="65" t="e">
        <f>Games!#REF!</f>
        <v>#REF!</v>
      </c>
      <c r="B531" s="65" t="e">
        <f>IF('Prediction Log'!#REF!=0, "",'Prediction Log'!#REF!)</f>
        <v>#REF!</v>
      </c>
      <c r="C531" s="65" t="e">
        <f>IF('Prediction Log'!#REF!=0, "",'Prediction Log'!#REF!)</f>
        <v>#REF!</v>
      </c>
      <c r="D531" s="65" t="e">
        <f>IF('Prediction Log'!#REF!=0, "",'Prediction Log'!#REF!)</f>
        <v>#REF!</v>
      </c>
      <c r="E531" s="65" t="e">
        <f>IF('Prediction Log'!#REF!=0, "",'Prediction Log'!#REF!)</f>
        <v>#REF!</v>
      </c>
      <c r="F531" s="65" t="e">
        <f>IF('Prediction Log'!#REF!=0, "",'Prediction Log'!#REF!)</f>
        <v>#REF!</v>
      </c>
      <c r="G531" s="64" t="e">
        <f>IF(ISBLANK(Games!#REF!), "",'Prediction Log'!#REF!)</f>
        <v>#REF!</v>
      </c>
      <c r="H531" s="66" t="e">
        <f>'Prediction Log'!#REF!</f>
        <v>#REF!</v>
      </c>
      <c r="I531" s="65" t="e">
        <f>IF(ISBLANK(Games!#REF!), "",IF(AND(Games!#REF!="",Games!#REF!=""),"",IF(ISTEXT(Games!#REF!), "Side",Games!#REF!)))</f>
        <v>#REF!</v>
      </c>
      <c r="J531" s="65" t="e">
        <f>IF(ISBLANK(Games!#REF!), "",IF(Games!#REF!="Y", Games!#REF!, Games!#REF!))</f>
        <v>#REF!</v>
      </c>
      <c r="K531" s="65" t="e">
        <f>Games!#REF!</f>
        <v>#REF!</v>
      </c>
      <c r="L531" s="65" t="e">
        <f>IF(ISBLANK(Games!#REF!), "",Games!#REF!)</f>
        <v>#REF!</v>
      </c>
      <c r="M531" s="65"/>
      <c r="N531" s="167" t="str">
        <f>IF(ISBLANK(Table123[[#This Row],[Odds Side - Difference Model]]), "", 1)</f>
      </c>
      <c r="O531" s="167" t="str">
        <f>IF(ISBLANK(Table123[[#This Row],[Odds Spread]]), "", 1)</f>
      </c>
      <c r="P531" s="67"/>
      <c r="Q531" s="67"/>
      <c r="R5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1" s="67"/>
      <c r="T531" s="67"/>
      <c r="U531" s="168" t="str">
        <f>IF(ISBLANK(Table123[[#This Row],[Odds Side - Difference Model]]), "",N531+IF(Q531&lt;0, (N531/(Q531/-100)), N531*(Q531/100)))</f>
      </c>
      <c r="V531" s="169" t="str">
        <f>IFERROR(IF(ISBLANK(Table123[[#This Row],[Odds Side - Win Probability Model]]), "",N531+IF(R531&lt;0, (N531/(R531/-100)), N531*(R531/100))),"")</f>
      </c>
      <c r="W531" s="168" t="str">
        <f t="shared" si="55"/>
      </c>
      <c r="X531" s="169" t="str">
        <f t="shared" si="56"/>
      </c>
      <c r="Y531" s="168" t="str">
        <f>IF(ISBLANK(Table123[[#This Row],[Odds Spread]]), "",O531+IF(S531&lt;0, (O531/(S531/-100)), O531*(S531/100)))</f>
      </c>
      <c r="Z531" s="168" t="str">
        <f t="shared" si="57"/>
      </c>
      <c r="AA531" s="68" t="n">
        <f t="shared" si="58"/>
        <v>0</v>
      </c>
      <c r="AB531" s="68" t="n">
        <f t="shared" si="59"/>
        <v>0</v>
      </c>
      <c r="AC531" s="170" t="e">
        <f>IF('Prediction Log'!#REF!="Y", "W", IF('Prediction Log'!#REF!="N","L",""))</f>
        <v>#REF!</v>
      </c>
      <c r="AD531" s="171" t="e">
        <f>IF('Prediction Log'!#REF!="Y", "W", IF('Prediction Log'!#REF!="N","L",""))</f>
        <v>#REF!</v>
      </c>
      <c r="AE531" s="172" t="str">
        <f>IF(ISBLANK(Table123[[#This Row],[Odds Side - Difference Model]]), "",IF(AC531="W", W531, IF(AC531="L",-N531, "")))</f>
      </c>
      <c r="AF531" s="173" t="str">
        <f>IFERROR((IF(ISERR(Table123[[#This Row],[Potential Payout Side - Win Probability Model]]), "",IF(AD531="W", X531, IF(AD531="L",-N531, "")))), "")</f>
      </c>
      <c r="AG531" s="170" t="e">
        <f>IF('Prediction Log'!#REF!="Y", "W", IF('Prediction Log'!#REF!="N", "L", ""))</f>
        <v>#REF!</v>
      </c>
      <c r="AH531" s="172" t="str">
        <f>IF(ISBLANK(Table123[[#This Row],[Odds Spread]]), "",IF(AG531="W", Z531, IF(AG531="L",-O531, "")))</f>
      </c>
      <c r="AI531" s="184"/>
      <c r="AJ531" s="183" t="str">
        <f t="shared" si="60"/>
      </c>
      <c r="AK5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2">
      <c r="A532" s="65" t="e">
        <f>Games!#REF!</f>
        <v>#REF!</v>
      </c>
      <c r="B532" s="65" t="e">
        <f>IF('Prediction Log'!#REF!=0, "",'Prediction Log'!#REF!)</f>
        <v>#REF!</v>
      </c>
      <c r="C532" s="65" t="e">
        <f>IF('Prediction Log'!#REF!=0, "",'Prediction Log'!#REF!)</f>
        <v>#REF!</v>
      </c>
      <c r="D532" s="65" t="e">
        <f>IF('Prediction Log'!#REF!=0, "",'Prediction Log'!#REF!)</f>
        <v>#REF!</v>
      </c>
      <c r="E532" s="65" t="e">
        <f>IF('Prediction Log'!#REF!=0, "",'Prediction Log'!#REF!)</f>
        <v>#REF!</v>
      </c>
      <c r="F532" s="65" t="e">
        <f>IF('Prediction Log'!#REF!=0, "",'Prediction Log'!#REF!)</f>
        <v>#REF!</v>
      </c>
      <c r="G532" s="64" t="e">
        <f>IF(ISBLANK(Games!#REF!), "",'Prediction Log'!#REF!)</f>
        <v>#REF!</v>
      </c>
      <c r="H532" s="66" t="e">
        <f>'Prediction Log'!#REF!</f>
        <v>#REF!</v>
      </c>
      <c r="I532" s="65" t="e">
        <f>IF(ISBLANK(Games!#REF!), "",IF(AND(Games!#REF!="",Games!#REF!=""),"",IF(ISTEXT(Games!#REF!), "Side",Games!#REF!)))</f>
        <v>#REF!</v>
      </c>
      <c r="J532" s="65" t="e">
        <f>IF(ISBLANK(Games!#REF!), "",IF(Games!#REF!="Y", Games!#REF!, Games!#REF!))</f>
        <v>#REF!</v>
      </c>
      <c r="K532" s="65" t="e">
        <f>Games!#REF!</f>
        <v>#REF!</v>
      </c>
      <c r="L532" s="65" t="e">
        <f>IF(ISBLANK(Games!#REF!), "",Games!#REF!)</f>
        <v>#REF!</v>
      </c>
      <c r="M532" s="65"/>
      <c r="N532" s="167" t="str">
        <f>IF(ISBLANK(Table123[[#This Row],[Odds Side - Difference Model]]), "", 1)</f>
      </c>
      <c r="O532" s="167" t="str">
        <f>IF(ISBLANK(Table123[[#This Row],[Odds Spread]]), "", 1)</f>
      </c>
      <c r="P532" s="67"/>
      <c r="Q532" s="67"/>
      <c r="R5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2" s="67"/>
      <c r="T532" s="67"/>
      <c r="U532" s="168" t="str">
        <f>IF(ISBLANK(Table123[[#This Row],[Odds Side - Difference Model]]), "",N532+IF(Q532&lt;0, (N532/(Q532/-100)), N532*(Q532/100)))</f>
      </c>
      <c r="V532" s="169" t="str">
        <f>IFERROR(IF(ISBLANK(Table123[[#This Row],[Odds Side - Win Probability Model]]), "",N532+IF(R532&lt;0, (N532/(R532/-100)), N532*(R532/100))),"")</f>
      </c>
      <c r="W532" s="168" t="str">
        <f t="shared" si="55"/>
      </c>
      <c r="X532" s="169" t="str">
        <f t="shared" si="56"/>
      </c>
      <c r="Y532" s="168" t="str">
        <f>IF(ISBLANK(Table123[[#This Row],[Odds Spread]]), "",O532+IF(S532&lt;0, (O532/(S532/-100)), O532*(S532/100)))</f>
      </c>
      <c r="Z532" s="168" t="str">
        <f t="shared" si="57"/>
      </c>
      <c r="AA532" s="68" t="n">
        <f t="shared" si="58"/>
        <v>0</v>
      </c>
      <c r="AB532" s="68" t="n">
        <f t="shared" si="59"/>
        <v>0</v>
      </c>
      <c r="AC532" s="170" t="e">
        <f>IF('Prediction Log'!#REF!="Y", "W", IF('Prediction Log'!#REF!="N","L",""))</f>
        <v>#REF!</v>
      </c>
      <c r="AD532" s="171" t="e">
        <f>IF('Prediction Log'!#REF!="Y", "W", IF('Prediction Log'!#REF!="N","L",""))</f>
        <v>#REF!</v>
      </c>
      <c r="AE532" s="172" t="str">
        <f>IF(ISBLANK(Table123[[#This Row],[Odds Side - Difference Model]]), "",IF(AC532="W", W532, IF(AC532="L",-N532, "")))</f>
      </c>
      <c r="AF532" s="173" t="str">
        <f>IFERROR((IF(ISERR(Table123[[#This Row],[Potential Payout Side - Win Probability Model]]), "",IF(AD532="W", X532, IF(AD532="L",-N532, "")))), "")</f>
      </c>
      <c r="AG532" s="170" t="e">
        <f>IF('Prediction Log'!#REF!="Y", "W", IF('Prediction Log'!#REF!="N", "L", ""))</f>
        <v>#REF!</v>
      </c>
      <c r="AH532" s="172" t="str">
        <f>IF(ISBLANK(Table123[[#This Row],[Odds Spread]]), "",IF(AG532="W", Z532, IF(AG532="L",-O532, "")))</f>
      </c>
      <c r="AI532" s="184"/>
      <c r="AJ532" s="183" t="str">
        <f t="shared" si="60"/>
      </c>
      <c r="AK5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3">
      <c r="A533" s="65" t="e">
        <f>Games!#REF!</f>
        <v>#REF!</v>
      </c>
      <c r="B533" s="65" t="e">
        <f>IF('Prediction Log'!#REF!=0, "",'Prediction Log'!#REF!)</f>
        <v>#REF!</v>
      </c>
      <c r="C533" s="65" t="e">
        <f>IF('Prediction Log'!#REF!=0, "",'Prediction Log'!#REF!)</f>
        <v>#REF!</v>
      </c>
      <c r="D533" s="65" t="e">
        <f>IF('Prediction Log'!#REF!=0, "",'Prediction Log'!#REF!)</f>
        <v>#REF!</v>
      </c>
      <c r="E533" s="65" t="e">
        <f>IF('Prediction Log'!#REF!=0, "",'Prediction Log'!#REF!)</f>
        <v>#REF!</v>
      </c>
      <c r="F533" s="65" t="e">
        <f>IF('Prediction Log'!#REF!=0, "",'Prediction Log'!#REF!)</f>
        <v>#REF!</v>
      </c>
      <c r="G533" s="64" t="e">
        <f>IF(ISBLANK(Games!#REF!), "",'Prediction Log'!#REF!)</f>
        <v>#REF!</v>
      </c>
      <c r="H533" s="66" t="e">
        <f>'Prediction Log'!#REF!</f>
        <v>#REF!</v>
      </c>
      <c r="I533" s="65" t="e">
        <f>IF(ISBLANK(Games!#REF!), "",IF(AND(Games!#REF!="",Games!#REF!=""),"",IF(ISTEXT(Games!#REF!), "Side",Games!#REF!)))</f>
        <v>#REF!</v>
      </c>
      <c r="J533" s="65" t="e">
        <f>IF(ISBLANK(Games!#REF!), "",IF(Games!#REF!="Y", Games!#REF!, Games!#REF!))</f>
        <v>#REF!</v>
      </c>
      <c r="K533" s="65" t="e">
        <f>Games!#REF!</f>
        <v>#REF!</v>
      </c>
      <c r="L533" s="65" t="e">
        <f>IF(ISBLANK(Games!#REF!), "",Games!#REF!)</f>
        <v>#REF!</v>
      </c>
      <c r="M533" s="65"/>
      <c r="N533" s="167" t="str">
        <f>IF(ISBLANK(Table123[[#This Row],[Odds Side - Difference Model]]), "", 1)</f>
      </c>
      <c r="O533" s="167" t="str">
        <f>IF(ISBLANK(Table123[[#This Row],[Odds Spread]]), "", 1)</f>
      </c>
      <c r="P533" s="67"/>
      <c r="Q533" s="67"/>
      <c r="R5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3" s="67"/>
      <c r="T533" s="67"/>
      <c r="U533" s="168" t="str">
        <f>IF(ISBLANK(Table123[[#This Row],[Odds Side - Difference Model]]), "",N533+IF(Q533&lt;0, (N533/(Q533/-100)), N533*(Q533/100)))</f>
      </c>
      <c r="V533" s="169" t="str">
        <f>IFERROR(IF(ISBLANK(Table123[[#This Row],[Odds Side - Win Probability Model]]), "",N533+IF(R533&lt;0, (N533/(R533/-100)), N533*(R533/100))),"")</f>
      </c>
      <c r="W533" s="168" t="str">
        <f t="shared" si="55"/>
      </c>
      <c r="X533" s="169" t="str">
        <f t="shared" si="56"/>
      </c>
      <c r="Y533" s="168" t="str">
        <f>IF(ISBLANK(Table123[[#This Row],[Odds Spread]]), "",O533+IF(S533&lt;0, (O533/(S533/-100)), O533*(S533/100)))</f>
      </c>
      <c r="Z533" s="168" t="str">
        <f t="shared" si="57"/>
      </c>
      <c r="AA533" s="68" t="n">
        <f t="shared" si="58"/>
        <v>0</v>
      </c>
      <c r="AB533" s="68" t="n">
        <f t="shared" si="59"/>
        <v>0</v>
      </c>
      <c r="AC533" s="170" t="e">
        <f>IF('Prediction Log'!#REF!="Y", "W", IF('Prediction Log'!#REF!="N","L",""))</f>
        <v>#REF!</v>
      </c>
      <c r="AD533" s="171" t="e">
        <f>IF('Prediction Log'!#REF!="Y", "W", IF('Prediction Log'!#REF!="N","L",""))</f>
        <v>#REF!</v>
      </c>
      <c r="AE533" s="172" t="str">
        <f>IF(ISBLANK(Table123[[#This Row],[Odds Side - Difference Model]]), "",IF(AC533="W", W533, IF(AC533="L",-N533, "")))</f>
      </c>
      <c r="AF533" s="173" t="str">
        <f>IFERROR((IF(ISERR(Table123[[#This Row],[Potential Payout Side - Win Probability Model]]), "",IF(AD533="W", X533, IF(AD533="L",-N533, "")))), "")</f>
      </c>
      <c r="AG533" s="170" t="e">
        <f>IF('Prediction Log'!#REF!="Y", "W", IF('Prediction Log'!#REF!="N", "L", ""))</f>
        <v>#REF!</v>
      </c>
      <c r="AH533" s="172" t="str">
        <f>IF(ISBLANK(Table123[[#This Row],[Odds Spread]]), "",IF(AG533="W", Z533, IF(AG533="L",-O533, "")))</f>
      </c>
      <c r="AI533" s="184"/>
      <c r="AJ533" s="183" t="str">
        <f t="shared" si="60"/>
      </c>
      <c r="AK5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4">
      <c r="A534" s="65" t="e">
        <f>Games!#REF!</f>
        <v>#REF!</v>
      </c>
      <c r="B534" s="65" t="e">
        <f>IF('Prediction Log'!#REF!=0, "",'Prediction Log'!#REF!)</f>
        <v>#REF!</v>
      </c>
      <c r="C534" s="65" t="e">
        <f>IF('Prediction Log'!#REF!=0, "",'Prediction Log'!#REF!)</f>
        <v>#REF!</v>
      </c>
      <c r="D534" s="65" t="e">
        <f>IF('Prediction Log'!#REF!=0, "",'Prediction Log'!#REF!)</f>
        <v>#REF!</v>
      </c>
      <c r="E534" s="65" t="e">
        <f>IF('Prediction Log'!#REF!=0, "",'Prediction Log'!#REF!)</f>
        <v>#REF!</v>
      </c>
      <c r="F534" s="65" t="e">
        <f>IF('Prediction Log'!#REF!=0, "",'Prediction Log'!#REF!)</f>
        <v>#REF!</v>
      </c>
      <c r="G534" s="64" t="e">
        <f>IF(ISBLANK(Games!#REF!), "",'Prediction Log'!#REF!)</f>
        <v>#REF!</v>
      </c>
      <c r="H534" s="66" t="e">
        <f>'Prediction Log'!#REF!</f>
        <v>#REF!</v>
      </c>
      <c r="I534" s="65" t="e">
        <f>IF(ISBLANK(Games!#REF!), "",IF(AND(Games!#REF!="",Games!#REF!=""),"",IF(ISTEXT(Games!#REF!), "Side",Games!#REF!)))</f>
        <v>#REF!</v>
      </c>
      <c r="J534" s="65" t="e">
        <f>IF(ISBLANK(Games!#REF!), "",IF(Games!#REF!="Y", Games!#REF!, Games!#REF!))</f>
        <v>#REF!</v>
      </c>
      <c r="K534" s="65" t="e">
        <f>Games!#REF!</f>
        <v>#REF!</v>
      </c>
      <c r="L534" s="65" t="e">
        <f>IF(ISBLANK(Games!#REF!), "",Games!#REF!)</f>
        <v>#REF!</v>
      </c>
      <c r="M534" s="65"/>
      <c r="N534" s="167" t="str">
        <f>IF(ISBLANK(Table123[[#This Row],[Odds Side - Difference Model]]), "", 1)</f>
      </c>
      <c r="O534" s="167" t="str">
        <f>IF(ISBLANK(Table123[[#This Row],[Odds Spread]]), "", 1)</f>
      </c>
      <c r="P534" s="67"/>
      <c r="Q534" s="67"/>
      <c r="R5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4" s="67"/>
      <c r="T534" s="67"/>
      <c r="U534" s="168" t="str">
        <f>IF(ISBLANK(Table123[[#This Row],[Odds Side - Difference Model]]), "",N534+IF(Q534&lt;0, (N534/(Q534/-100)), N534*(Q534/100)))</f>
      </c>
      <c r="V534" s="169" t="str">
        <f>IFERROR(IF(ISBLANK(Table123[[#This Row],[Odds Side - Win Probability Model]]), "",N534+IF(R534&lt;0, (N534/(R534/-100)), N534*(R534/100))),"")</f>
      </c>
      <c r="W534" s="168" t="str">
        <f t="shared" si="55"/>
      </c>
      <c r="X534" s="169" t="str">
        <f t="shared" si="56"/>
      </c>
      <c r="Y534" s="168" t="str">
        <f>IF(ISBLANK(Table123[[#This Row],[Odds Spread]]), "",O534+IF(S534&lt;0, (O534/(S534/-100)), O534*(S534/100)))</f>
      </c>
      <c r="Z534" s="168" t="str">
        <f t="shared" si="57"/>
      </c>
      <c r="AA534" s="68" t="n">
        <f t="shared" si="58"/>
        <v>0</v>
      </c>
      <c r="AB534" s="68" t="n">
        <f t="shared" si="59"/>
        <v>0</v>
      </c>
      <c r="AC534" s="170" t="e">
        <f>IF('Prediction Log'!#REF!="Y", "W", IF('Prediction Log'!#REF!="N","L",""))</f>
        <v>#REF!</v>
      </c>
      <c r="AD534" s="171" t="e">
        <f>IF('Prediction Log'!#REF!="Y", "W", IF('Prediction Log'!#REF!="N","L",""))</f>
        <v>#REF!</v>
      </c>
      <c r="AE534" s="172" t="str">
        <f>IF(ISBLANK(Table123[[#This Row],[Odds Side - Difference Model]]), "",IF(AC534="W", W534, IF(AC534="L",-N534, "")))</f>
      </c>
      <c r="AF534" s="173" t="str">
        <f>IFERROR((IF(ISERR(Table123[[#This Row],[Potential Payout Side - Win Probability Model]]), "",IF(AD534="W", X534, IF(AD534="L",-N534, "")))), "")</f>
      </c>
      <c r="AG534" s="170" t="e">
        <f>IF('Prediction Log'!#REF!="Y", "W", IF('Prediction Log'!#REF!="N", "L", ""))</f>
        <v>#REF!</v>
      </c>
      <c r="AH534" s="172" t="str">
        <f>IF(ISBLANK(Table123[[#This Row],[Odds Spread]]), "",IF(AG534="W", Z534, IF(AG534="L",-O534, "")))</f>
      </c>
      <c r="AI534" s="184"/>
      <c r="AJ534" s="183" t="str">
        <f t="shared" si="60"/>
      </c>
      <c r="AK5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5">
      <c r="A535" s="65" t="e">
        <f>Games!#REF!</f>
        <v>#REF!</v>
      </c>
      <c r="B535" s="65" t="e">
        <f>IF('Prediction Log'!#REF!=0, "",'Prediction Log'!#REF!)</f>
        <v>#REF!</v>
      </c>
      <c r="C535" s="65" t="e">
        <f>IF('Prediction Log'!#REF!=0, "",'Prediction Log'!#REF!)</f>
        <v>#REF!</v>
      </c>
      <c r="D535" s="65" t="e">
        <f>IF('Prediction Log'!#REF!=0, "",'Prediction Log'!#REF!)</f>
        <v>#REF!</v>
      </c>
      <c r="E535" s="65" t="e">
        <f>IF('Prediction Log'!#REF!=0, "",'Prediction Log'!#REF!)</f>
        <v>#REF!</v>
      </c>
      <c r="F535" s="65" t="e">
        <f>IF('Prediction Log'!#REF!=0, "",'Prediction Log'!#REF!)</f>
        <v>#REF!</v>
      </c>
      <c r="G535" s="64" t="e">
        <f>IF(ISBLANK(Games!#REF!), "",'Prediction Log'!#REF!)</f>
        <v>#REF!</v>
      </c>
      <c r="H535" s="66" t="e">
        <f>'Prediction Log'!#REF!</f>
        <v>#REF!</v>
      </c>
      <c r="I535" s="65" t="e">
        <f>IF(ISBLANK(Games!#REF!), "",IF(AND(Games!#REF!="",Games!#REF!=""),"",IF(ISTEXT(Games!#REF!), "Side",Games!#REF!)))</f>
        <v>#REF!</v>
      </c>
      <c r="J535" s="65" t="e">
        <f>IF(ISBLANK(Games!#REF!), "",IF(Games!#REF!="Y", Games!#REF!, Games!#REF!))</f>
        <v>#REF!</v>
      </c>
      <c r="K535" s="65" t="e">
        <f>Games!#REF!</f>
        <v>#REF!</v>
      </c>
      <c r="L535" s="65" t="e">
        <f>IF(ISBLANK(Games!#REF!), "",Games!#REF!)</f>
        <v>#REF!</v>
      </c>
      <c r="M535" s="65"/>
      <c r="N535" s="167" t="str">
        <f>IF(ISBLANK(Table123[[#This Row],[Odds Side - Difference Model]]), "", 1)</f>
      </c>
      <c r="O535" s="167" t="str">
        <f>IF(ISBLANK(Table123[[#This Row],[Odds Spread]]), "", 1)</f>
      </c>
      <c r="P535" s="67"/>
      <c r="Q535" s="67"/>
      <c r="R5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5" s="67"/>
      <c r="T535" s="67"/>
      <c r="U535" s="168" t="str">
        <f>IF(ISBLANK(Table123[[#This Row],[Odds Side - Difference Model]]), "",N535+IF(Q535&lt;0, (N535/(Q535/-100)), N535*(Q535/100)))</f>
      </c>
      <c r="V535" s="169" t="str">
        <f>IFERROR(IF(ISBLANK(Table123[[#This Row],[Odds Side - Win Probability Model]]), "",N535+IF(R535&lt;0, (N535/(R535/-100)), N535*(R535/100))),"")</f>
      </c>
      <c r="W535" s="168" t="str">
        <f t="shared" si="55"/>
      </c>
      <c r="X535" s="169" t="str">
        <f t="shared" si="56"/>
      </c>
      <c r="Y535" s="168" t="str">
        <f>IF(ISBLANK(Table123[[#This Row],[Odds Spread]]), "",O535+IF(S535&lt;0, (O535/(S535/-100)), O535*(S535/100)))</f>
      </c>
      <c r="Z535" s="168" t="str">
        <f t="shared" si="57"/>
      </c>
      <c r="AA535" s="68" t="n">
        <f t="shared" si="58"/>
        <v>0</v>
      </c>
      <c r="AB535" s="68" t="n">
        <f t="shared" si="59"/>
        <v>0</v>
      </c>
      <c r="AC535" s="170" t="e">
        <f>IF('Prediction Log'!#REF!="Y", "W", IF('Prediction Log'!#REF!="N","L",""))</f>
        <v>#REF!</v>
      </c>
      <c r="AD535" s="171" t="e">
        <f>IF('Prediction Log'!#REF!="Y", "W", IF('Prediction Log'!#REF!="N","L",""))</f>
        <v>#REF!</v>
      </c>
      <c r="AE535" s="172" t="str">
        <f>IF(ISBLANK(Table123[[#This Row],[Odds Side - Difference Model]]), "",IF(AC535="W", W535, IF(AC535="L",-N535, "")))</f>
      </c>
      <c r="AF535" s="173" t="str">
        <f>IFERROR((IF(ISERR(Table123[[#This Row],[Potential Payout Side - Win Probability Model]]), "",IF(AD535="W", X535, IF(AD535="L",-N535, "")))), "")</f>
      </c>
      <c r="AG535" s="170" t="e">
        <f>IF('Prediction Log'!#REF!="Y", "W", IF('Prediction Log'!#REF!="N", "L", ""))</f>
        <v>#REF!</v>
      </c>
      <c r="AH535" s="172" t="str">
        <f>IF(ISBLANK(Table123[[#This Row],[Odds Spread]]), "",IF(AG535="W", Z535, IF(AG535="L",-O535, "")))</f>
      </c>
      <c r="AI535" s="184"/>
      <c r="AJ535" s="183" t="str">
        <f t="shared" si="60"/>
      </c>
      <c r="AK5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6">
      <c r="A536" s="65" t="e">
        <f>Games!#REF!</f>
        <v>#REF!</v>
      </c>
      <c r="B536" s="65" t="e">
        <f>IF('Prediction Log'!#REF!=0, "",'Prediction Log'!#REF!)</f>
        <v>#REF!</v>
      </c>
      <c r="C536" s="65" t="e">
        <f>IF('Prediction Log'!#REF!=0, "",'Prediction Log'!#REF!)</f>
        <v>#REF!</v>
      </c>
      <c r="D536" s="65" t="e">
        <f>IF('Prediction Log'!#REF!=0, "",'Prediction Log'!#REF!)</f>
        <v>#REF!</v>
      </c>
      <c r="E536" s="65" t="e">
        <f>IF('Prediction Log'!#REF!=0, "",'Prediction Log'!#REF!)</f>
        <v>#REF!</v>
      </c>
      <c r="F536" s="65" t="e">
        <f>IF('Prediction Log'!#REF!=0, "",'Prediction Log'!#REF!)</f>
        <v>#REF!</v>
      </c>
      <c r="G536" s="64" t="e">
        <f>IF(ISBLANK(Games!#REF!), "",'Prediction Log'!#REF!)</f>
        <v>#REF!</v>
      </c>
      <c r="H536" s="66" t="e">
        <f>'Prediction Log'!#REF!</f>
        <v>#REF!</v>
      </c>
      <c r="I536" s="65" t="e">
        <f>IF(ISBLANK(Games!#REF!), "",IF(AND(Games!#REF!="",Games!#REF!=""),"",IF(ISTEXT(Games!#REF!), "Side",Games!#REF!)))</f>
        <v>#REF!</v>
      </c>
      <c r="J536" s="65" t="e">
        <f>IF(ISBLANK(Games!#REF!), "",IF(Games!#REF!="Y", Games!#REF!, Games!#REF!))</f>
        <v>#REF!</v>
      </c>
      <c r="K536" s="65" t="e">
        <f>Games!#REF!</f>
        <v>#REF!</v>
      </c>
      <c r="L536" s="65" t="e">
        <f>IF(ISBLANK(Games!#REF!), "",Games!#REF!)</f>
        <v>#REF!</v>
      </c>
      <c r="M536" s="65"/>
      <c r="N536" s="167" t="str">
        <f>IF(ISBLANK(Table123[[#This Row],[Odds Side - Difference Model]]), "", 1)</f>
      </c>
      <c r="O536" s="167" t="str">
        <f>IF(ISBLANK(Table123[[#This Row],[Odds Spread]]), "", 1)</f>
      </c>
      <c r="P536" s="67"/>
      <c r="Q536" s="67"/>
      <c r="R5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6" s="67"/>
      <c r="T536" s="67"/>
      <c r="U536" s="168" t="str">
        <f>IF(ISBLANK(Table123[[#This Row],[Odds Side - Difference Model]]), "",N536+IF(Q536&lt;0, (N536/(Q536/-100)), N536*(Q536/100)))</f>
      </c>
      <c r="V536" s="169" t="str">
        <f>IFERROR(IF(ISBLANK(Table123[[#This Row],[Odds Side - Win Probability Model]]), "",N536+IF(R536&lt;0, (N536/(R536/-100)), N536*(R536/100))),"")</f>
      </c>
      <c r="W536" s="168" t="str">
        <f t="shared" si="55"/>
      </c>
      <c r="X536" s="169" t="str">
        <f t="shared" si="56"/>
      </c>
      <c r="Y536" s="168" t="str">
        <f>IF(ISBLANK(Table123[[#This Row],[Odds Spread]]), "",O536+IF(S536&lt;0, (O536/(S536/-100)), O536*(S536/100)))</f>
      </c>
      <c r="Z536" s="168" t="str">
        <f t="shared" si="57"/>
      </c>
      <c r="AA536" s="68" t="n">
        <f t="shared" si="58"/>
        <v>0</v>
      </c>
      <c r="AB536" s="68" t="n">
        <f t="shared" si="59"/>
        <v>0</v>
      </c>
      <c r="AC536" s="170" t="e">
        <f>IF('Prediction Log'!#REF!="Y", "W", IF('Prediction Log'!#REF!="N","L",""))</f>
        <v>#REF!</v>
      </c>
      <c r="AD536" s="171" t="e">
        <f>IF('Prediction Log'!#REF!="Y", "W", IF('Prediction Log'!#REF!="N","L",""))</f>
        <v>#REF!</v>
      </c>
      <c r="AE536" s="172" t="str">
        <f>IF(ISBLANK(Table123[[#This Row],[Odds Side - Difference Model]]), "",IF(AC536="W", W536, IF(AC536="L",-N536, "")))</f>
      </c>
      <c r="AF536" s="173" t="str">
        <f>IFERROR((IF(ISERR(Table123[[#This Row],[Potential Payout Side - Win Probability Model]]), "",IF(AD536="W", X536, IF(AD536="L",-N536, "")))), "")</f>
      </c>
      <c r="AG536" s="170" t="e">
        <f>IF('Prediction Log'!#REF!="Y", "W", IF('Prediction Log'!#REF!="N", "L", ""))</f>
        <v>#REF!</v>
      </c>
      <c r="AH536" s="172" t="str">
        <f>IF(ISBLANK(Table123[[#This Row],[Odds Spread]]), "",IF(AG536="W", Z536, IF(AG536="L",-O536, "")))</f>
      </c>
      <c r="AI536" s="184"/>
      <c r="AJ536" s="183" t="str">
        <f t="shared" si="60"/>
      </c>
      <c r="AK5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7">
      <c r="A537" s="65" t="e">
        <f>Games!#REF!</f>
        <v>#REF!</v>
      </c>
      <c r="B537" s="65" t="e">
        <f>IF('Prediction Log'!#REF!=0, "",'Prediction Log'!#REF!)</f>
        <v>#REF!</v>
      </c>
      <c r="C537" s="65" t="e">
        <f>IF('Prediction Log'!#REF!=0, "",'Prediction Log'!#REF!)</f>
        <v>#REF!</v>
      </c>
      <c r="D537" s="65" t="e">
        <f>IF('Prediction Log'!#REF!=0, "",'Prediction Log'!#REF!)</f>
        <v>#REF!</v>
      </c>
      <c r="E537" s="65" t="e">
        <f>IF('Prediction Log'!#REF!=0, "",'Prediction Log'!#REF!)</f>
        <v>#REF!</v>
      </c>
      <c r="F537" s="65" t="e">
        <f>IF('Prediction Log'!#REF!=0, "",'Prediction Log'!#REF!)</f>
        <v>#REF!</v>
      </c>
      <c r="G537" s="64" t="e">
        <f>IF(ISBLANK(Games!#REF!), "",'Prediction Log'!#REF!)</f>
        <v>#REF!</v>
      </c>
      <c r="H537" s="66" t="e">
        <f>'Prediction Log'!#REF!</f>
        <v>#REF!</v>
      </c>
      <c r="I537" s="65" t="e">
        <f>IF(ISBLANK(Games!#REF!), "",IF(AND(Games!#REF!="",Games!#REF!=""),"",IF(ISTEXT(Games!#REF!), "Side",Games!#REF!)))</f>
        <v>#REF!</v>
      </c>
      <c r="J537" s="65" t="e">
        <f>IF(ISBLANK(Games!#REF!), "",IF(Games!#REF!="Y", Games!#REF!, Games!#REF!))</f>
        <v>#REF!</v>
      </c>
      <c r="K537" s="65" t="e">
        <f>Games!#REF!</f>
        <v>#REF!</v>
      </c>
      <c r="L537" s="65" t="e">
        <f>IF(ISBLANK(Games!#REF!), "",Games!#REF!)</f>
        <v>#REF!</v>
      </c>
      <c r="M537" s="65"/>
      <c r="N537" s="167" t="str">
        <f>IF(ISBLANK(Table123[[#This Row],[Odds Side - Difference Model]]), "", 1)</f>
      </c>
      <c r="O537" s="167" t="str">
        <f>IF(ISBLANK(Table123[[#This Row],[Odds Spread]]), "", 1)</f>
      </c>
      <c r="P537" s="67"/>
      <c r="Q537" s="67"/>
      <c r="R5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7" s="67"/>
      <c r="T537" s="67"/>
      <c r="U537" s="168" t="str">
        <f>IF(ISBLANK(Table123[[#This Row],[Odds Side - Difference Model]]), "",N537+IF(Q537&lt;0, (N537/(Q537/-100)), N537*(Q537/100)))</f>
      </c>
      <c r="V537" s="169" t="str">
        <f>IFERROR(IF(ISBLANK(Table123[[#This Row],[Odds Side - Win Probability Model]]), "",N537+IF(R537&lt;0, (N537/(R537/-100)), N537*(R537/100))),"")</f>
      </c>
      <c r="W537" s="168" t="str">
        <f t="shared" si="55"/>
      </c>
      <c r="X537" s="169" t="str">
        <f t="shared" si="56"/>
      </c>
      <c r="Y537" s="168" t="str">
        <f>IF(ISBLANK(Table123[[#This Row],[Odds Spread]]), "",O537+IF(S537&lt;0, (O537/(S537/-100)), O537*(S537/100)))</f>
      </c>
      <c r="Z537" s="168" t="str">
        <f t="shared" si="57"/>
      </c>
      <c r="AA537" s="68" t="n">
        <f t="shared" si="58"/>
        <v>0</v>
      </c>
      <c r="AB537" s="68" t="n">
        <f t="shared" si="59"/>
        <v>0</v>
      </c>
      <c r="AC537" s="170" t="e">
        <f>IF('Prediction Log'!#REF!="Y", "W", IF('Prediction Log'!#REF!="N","L",""))</f>
        <v>#REF!</v>
      </c>
      <c r="AD537" s="171" t="e">
        <f>IF('Prediction Log'!#REF!="Y", "W", IF('Prediction Log'!#REF!="N","L",""))</f>
        <v>#REF!</v>
      </c>
      <c r="AE537" s="172" t="str">
        <f>IF(ISBLANK(Table123[[#This Row],[Odds Side - Difference Model]]), "",IF(AC537="W", W537, IF(AC537="L",-N537, "")))</f>
      </c>
      <c r="AF537" s="173" t="str">
        <f>IFERROR((IF(ISERR(Table123[[#This Row],[Potential Payout Side - Win Probability Model]]), "",IF(AD537="W", X537, IF(AD537="L",-N537, "")))), "")</f>
      </c>
      <c r="AG537" s="170" t="e">
        <f>IF('Prediction Log'!#REF!="Y", "W", IF('Prediction Log'!#REF!="N", "L", ""))</f>
        <v>#REF!</v>
      </c>
      <c r="AH537" s="172" t="str">
        <f>IF(ISBLANK(Table123[[#This Row],[Odds Spread]]), "",IF(AG537="W", Z537, IF(AG537="L",-O537, "")))</f>
      </c>
      <c r="AI537" s="184"/>
      <c r="AJ537" s="183" t="str">
        <f t="shared" si="60"/>
      </c>
      <c r="AK5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8">
      <c r="A538" s="65" t="e">
        <f>Games!#REF!</f>
        <v>#REF!</v>
      </c>
      <c r="B538" s="65" t="e">
        <f>IF('Prediction Log'!#REF!=0, "",'Prediction Log'!#REF!)</f>
        <v>#REF!</v>
      </c>
      <c r="C538" s="65" t="e">
        <f>IF('Prediction Log'!#REF!=0, "",'Prediction Log'!#REF!)</f>
        <v>#REF!</v>
      </c>
      <c r="D538" s="65" t="e">
        <f>IF('Prediction Log'!#REF!=0, "",'Prediction Log'!#REF!)</f>
        <v>#REF!</v>
      </c>
      <c r="E538" s="65" t="e">
        <f>IF('Prediction Log'!#REF!=0, "",'Prediction Log'!#REF!)</f>
        <v>#REF!</v>
      </c>
      <c r="F538" s="65" t="e">
        <f>IF('Prediction Log'!#REF!=0, "",'Prediction Log'!#REF!)</f>
        <v>#REF!</v>
      </c>
      <c r="G538" s="64" t="e">
        <f>IF(ISBLANK(Games!#REF!), "",'Prediction Log'!#REF!)</f>
        <v>#REF!</v>
      </c>
      <c r="H538" s="66" t="e">
        <f>'Prediction Log'!#REF!</f>
        <v>#REF!</v>
      </c>
      <c r="I538" s="65" t="e">
        <f>IF(ISBLANK(Games!#REF!), "",IF(AND(Games!#REF!="",Games!#REF!=""),"",IF(ISTEXT(Games!#REF!), "Side",Games!#REF!)))</f>
        <v>#REF!</v>
      </c>
      <c r="J538" s="65" t="e">
        <f>IF(ISBLANK(Games!#REF!), "",IF(Games!#REF!="Y", Games!#REF!, Games!#REF!))</f>
        <v>#REF!</v>
      </c>
      <c r="K538" s="65" t="e">
        <f>Games!#REF!</f>
        <v>#REF!</v>
      </c>
      <c r="L538" s="65" t="e">
        <f>IF(ISBLANK(Games!#REF!), "",Games!#REF!)</f>
        <v>#REF!</v>
      </c>
      <c r="M538" s="65"/>
      <c r="N538" s="167" t="str">
        <f>IF(ISBLANK(Table123[[#This Row],[Odds Side - Difference Model]]), "", 1)</f>
      </c>
      <c r="O538" s="167" t="str">
        <f>IF(ISBLANK(Table123[[#This Row],[Odds Spread]]), "", 1)</f>
      </c>
      <c r="P538" s="67"/>
      <c r="Q538" s="67"/>
      <c r="R5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8" s="67"/>
      <c r="T538" s="67"/>
      <c r="U538" s="168" t="str">
        <f>IF(ISBLANK(Table123[[#This Row],[Odds Side - Difference Model]]), "",N538+IF(Q538&lt;0, (N538/(Q538/-100)), N538*(Q538/100)))</f>
      </c>
      <c r="V538" s="169" t="str">
        <f>IFERROR(IF(ISBLANK(Table123[[#This Row],[Odds Side - Win Probability Model]]), "",N538+IF(R538&lt;0, (N538/(R538/-100)), N538*(R538/100))),"")</f>
      </c>
      <c r="W538" s="168" t="str">
        <f t="shared" si="55"/>
      </c>
      <c r="X538" s="169" t="str">
        <f t="shared" si="56"/>
      </c>
      <c r="Y538" s="168" t="str">
        <f>IF(ISBLANK(Table123[[#This Row],[Odds Spread]]), "",O538+IF(S538&lt;0, (O538/(S538/-100)), O538*(S538/100)))</f>
      </c>
      <c r="Z538" s="168" t="str">
        <f t="shared" si="57"/>
      </c>
      <c r="AA538" s="68" t="n">
        <f t="shared" si="58"/>
        <v>0</v>
      </c>
      <c r="AB538" s="68" t="n">
        <f t="shared" si="59"/>
        <v>0</v>
      </c>
      <c r="AC538" s="170" t="e">
        <f>IF('Prediction Log'!#REF!="Y", "W", IF('Prediction Log'!#REF!="N","L",""))</f>
        <v>#REF!</v>
      </c>
      <c r="AD538" s="171" t="e">
        <f>IF('Prediction Log'!#REF!="Y", "W", IF('Prediction Log'!#REF!="N","L",""))</f>
        <v>#REF!</v>
      </c>
      <c r="AE538" s="172" t="str">
        <f>IF(ISBLANK(Table123[[#This Row],[Odds Side - Difference Model]]), "",IF(AC538="W", W538, IF(AC538="L",-N538, "")))</f>
      </c>
      <c r="AF538" s="173" t="str">
        <f>IFERROR((IF(ISERR(Table123[[#This Row],[Potential Payout Side - Win Probability Model]]), "",IF(AD538="W", X538, IF(AD538="L",-N538, "")))), "")</f>
      </c>
      <c r="AG538" s="170" t="e">
        <f>IF('Prediction Log'!#REF!="Y", "W", IF('Prediction Log'!#REF!="N", "L", ""))</f>
        <v>#REF!</v>
      </c>
      <c r="AH538" s="172" t="str">
        <f>IF(ISBLANK(Table123[[#This Row],[Odds Spread]]), "",IF(AG538="W", Z538, IF(AG538="L",-O538, "")))</f>
      </c>
      <c r="AI538" s="184"/>
      <c r="AJ538" s="183" t="str">
        <f t="shared" si="60"/>
      </c>
      <c r="AK5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9">
      <c r="A539" s="65" t="e">
        <f>Games!#REF!</f>
        <v>#REF!</v>
      </c>
      <c r="B539" s="65" t="e">
        <f>IF('Prediction Log'!#REF!=0, "",'Prediction Log'!#REF!)</f>
        <v>#REF!</v>
      </c>
      <c r="C539" s="65" t="e">
        <f>IF('Prediction Log'!#REF!=0, "",'Prediction Log'!#REF!)</f>
        <v>#REF!</v>
      </c>
      <c r="D539" s="65" t="e">
        <f>IF('Prediction Log'!#REF!=0, "",'Prediction Log'!#REF!)</f>
        <v>#REF!</v>
      </c>
      <c r="E539" s="65" t="e">
        <f>IF('Prediction Log'!#REF!=0, "",'Prediction Log'!#REF!)</f>
        <v>#REF!</v>
      </c>
      <c r="F539" s="65" t="e">
        <f>IF('Prediction Log'!#REF!=0, "",'Prediction Log'!#REF!)</f>
        <v>#REF!</v>
      </c>
      <c r="G539" s="64" t="e">
        <f>IF(ISBLANK(Games!#REF!), "",'Prediction Log'!#REF!)</f>
        <v>#REF!</v>
      </c>
      <c r="H539" s="66" t="e">
        <f>'Prediction Log'!#REF!</f>
        <v>#REF!</v>
      </c>
      <c r="I539" s="65" t="e">
        <f>IF(ISBLANK(Games!#REF!), "",IF(AND(Games!#REF!="",Games!#REF!=""),"",IF(ISTEXT(Games!#REF!), "Side",Games!#REF!)))</f>
        <v>#REF!</v>
      </c>
      <c r="J539" s="65" t="e">
        <f>IF(ISBLANK(Games!#REF!), "",IF(Games!#REF!="Y", Games!#REF!, Games!#REF!))</f>
        <v>#REF!</v>
      </c>
      <c r="K539" s="65" t="e">
        <f>Games!#REF!</f>
        <v>#REF!</v>
      </c>
      <c r="L539" s="65" t="e">
        <f>IF(ISBLANK(Games!#REF!), "",Games!#REF!)</f>
        <v>#REF!</v>
      </c>
      <c r="M539" s="65"/>
      <c r="N539" s="167" t="str">
        <f>IF(ISBLANK(Table123[[#This Row],[Odds Side - Difference Model]]), "", 1)</f>
      </c>
      <c r="O539" s="167" t="str">
        <f>IF(ISBLANK(Table123[[#This Row],[Odds Spread]]), "", 1)</f>
      </c>
      <c r="P539" s="67"/>
      <c r="Q539" s="67"/>
      <c r="R5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9" s="67"/>
      <c r="T539" s="67"/>
      <c r="U539" s="168" t="str">
        <f>IF(ISBLANK(Table123[[#This Row],[Odds Side - Difference Model]]), "",N539+IF(Q539&lt;0, (N539/(Q539/-100)), N539*(Q539/100)))</f>
      </c>
      <c r="V539" s="169" t="str">
        <f>IFERROR(IF(ISBLANK(Table123[[#This Row],[Odds Side - Win Probability Model]]), "",N539+IF(R539&lt;0, (N539/(R539/-100)), N539*(R539/100))),"")</f>
      </c>
      <c r="W539" s="168" t="str">
        <f t="shared" si="55"/>
      </c>
      <c r="X539" s="169" t="str">
        <f t="shared" si="56"/>
      </c>
      <c r="Y539" s="168" t="str">
        <f>IF(ISBLANK(Table123[[#This Row],[Odds Spread]]), "",O539+IF(S539&lt;0, (O539/(S539/-100)), O539*(S539/100)))</f>
      </c>
      <c r="Z539" s="168" t="str">
        <f t="shared" si="57"/>
      </c>
      <c r="AA539" s="68" t="n">
        <f t="shared" si="58"/>
        <v>0</v>
      </c>
      <c r="AB539" s="68" t="n">
        <f t="shared" si="59"/>
        <v>0</v>
      </c>
      <c r="AC539" s="170" t="e">
        <f>IF('Prediction Log'!#REF!="Y", "W", IF('Prediction Log'!#REF!="N","L",""))</f>
        <v>#REF!</v>
      </c>
      <c r="AD539" s="171" t="e">
        <f>IF('Prediction Log'!#REF!="Y", "W", IF('Prediction Log'!#REF!="N","L",""))</f>
        <v>#REF!</v>
      </c>
      <c r="AE539" s="172" t="str">
        <f>IF(ISBLANK(Table123[[#This Row],[Odds Side - Difference Model]]), "",IF(AC539="W", W539, IF(AC539="L",-N539, "")))</f>
      </c>
      <c r="AF539" s="173" t="str">
        <f>IFERROR((IF(ISERR(Table123[[#This Row],[Potential Payout Side - Win Probability Model]]), "",IF(AD539="W", X539, IF(AD539="L",-N539, "")))), "")</f>
      </c>
      <c r="AG539" s="170" t="e">
        <f>IF('Prediction Log'!#REF!="Y", "W", IF('Prediction Log'!#REF!="N", "L", ""))</f>
        <v>#REF!</v>
      </c>
      <c r="AH539" s="172" t="str">
        <f>IF(ISBLANK(Table123[[#This Row],[Odds Spread]]), "",IF(AG539="W", Z539, IF(AG539="L",-O539, "")))</f>
      </c>
      <c r="AI539" s="184"/>
      <c r="AJ539" s="183" t="str">
        <f t="shared" si="60"/>
      </c>
      <c r="AK5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0">
      <c r="A540" s="65" t="e">
        <f>Games!#REF!</f>
        <v>#REF!</v>
      </c>
      <c r="B540" s="65" t="e">
        <f>IF('Prediction Log'!#REF!=0, "",'Prediction Log'!#REF!)</f>
        <v>#REF!</v>
      </c>
      <c r="C540" s="65" t="e">
        <f>IF('Prediction Log'!#REF!=0, "",'Prediction Log'!#REF!)</f>
        <v>#REF!</v>
      </c>
      <c r="D540" s="65" t="e">
        <f>IF('Prediction Log'!#REF!=0, "",'Prediction Log'!#REF!)</f>
        <v>#REF!</v>
      </c>
      <c r="E540" s="65" t="e">
        <f>IF('Prediction Log'!#REF!=0, "",'Prediction Log'!#REF!)</f>
        <v>#REF!</v>
      </c>
      <c r="F540" s="65" t="e">
        <f>IF('Prediction Log'!#REF!=0, "",'Prediction Log'!#REF!)</f>
        <v>#REF!</v>
      </c>
      <c r="G540" s="64" t="e">
        <f>IF(ISBLANK(Games!#REF!), "",'Prediction Log'!#REF!)</f>
        <v>#REF!</v>
      </c>
      <c r="H540" s="66" t="e">
        <f>'Prediction Log'!#REF!</f>
        <v>#REF!</v>
      </c>
      <c r="I540" s="65" t="e">
        <f>IF(ISBLANK(Games!#REF!), "",IF(AND(Games!#REF!="",Games!#REF!=""),"",IF(ISTEXT(Games!#REF!), "Side",Games!#REF!)))</f>
        <v>#REF!</v>
      </c>
      <c r="J540" s="65" t="e">
        <f>IF(ISBLANK(Games!#REF!), "",IF(Games!#REF!="Y", Games!#REF!, Games!#REF!))</f>
        <v>#REF!</v>
      </c>
      <c r="K540" s="65" t="e">
        <f>Games!#REF!</f>
        <v>#REF!</v>
      </c>
      <c r="L540" s="65" t="e">
        <f>IF(ISBLANK(Games!#REF!), "",Games!#REF!)</f>
        <v>#REF!</v>
      </c>
      <c r="M540" s="65"/>
      <c r="N540" s="167" t="str">
        <f>IF(ISBLANK(Table123[[#This Row],[Odds Side - Difference Model]]), "", 1)</f>
      </c>
      <c r="O540" s="167" t="str">
        <f>IF(ISBLANK(Table123[[#This Row],[Odds Spread]]), "", 1)</f>
      </c>
      <c r="P540" s="67"/>
      <c r="Q540" s="67"/>
      <c r="R5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0" s="67"/>
      <c r="T540" s="67"/>
      <c r="U540" s="168" t="str">
        <f>IF(ISBLANK(Table123[[#This Row],[Odds Side - Difference Model]]), "",N540+IF(Q540&lt;0, (N540/(Q540/-100)), N540*(Q540/100)))</f>
      </c>
      <c r="V540" s="169" t="str">
        <f>IFERROR(IF(ISBLANK(Table123[[#This Row],[Odds Side - Win Probability Model]]), "",N540+IF(R540&lt;0, (N540/(R540/-100)), N540*(R540/100))),"")</f>
      </c>
      <c r="W540" s="168" t="str">
        <f t="shared" si="55"/>
      </c>
      <c r="X540" s="169" t="str">
        <f t="shared" si="56"/>
      </c>
      <c r="Y540" s="168" t="str">
        <f>IF(ISBLANK(Table123[[#This Row],[Odds Spread]]), "",O540+IF(S540&lt;0, (O540/(S540/-100)), O540*(S540/100)))</f>
      </c>
      <c r="Z540" s="168" t="str">
        <f t="shared" si="57"/>
      </c>
      <c r="AA540" s="68" t="n">
        <f t="shared" si="58"/>
        <v>0</v>
      </c>
      <c r="AB540" s="68" t="n">
        <f t="shared" si="59"/>
        <v>0</v>
      </c>
      <c r="AC540" s="170" t="e">
        <f>IF('Prediction Log'!#REF!="Y", "W", IF('Prediction Log'!#REF!="N","L",""))</f>
        <v>#REF!</v>
      </c>
      <c r="AD540" s="171" t="e">
        <f>IF('Prediction Log'!#REF!="Y", "W", IF('Prediction Log'!#REF!="N","L",""))</f>
        <v>#REF!</v>
      </c>
      <c r="AE540" s="172" t="str">
        <f>IF(ISBLANK(Table123[[#This Row],[Odds Side - Difference Model]]), "",IF(AC540="W", W540, IF(AC540="L",-N540, "")))</f>
      </c>
      <c r="AF540" s="173" t="str">
        <f>IFERROR((IF(ISERR(Table123[[#This Row],[Potential Payout Side - Win Probability Model]]), "",IF(AD540="W", X540, IF(AD540="L",-N540, "")))), "")</f>
      </c>
      <c r="AG540" s="170" t="e">
        <f>IF('Prediction Log'!#REF!="Y", "W", IF('Prediction Log'!#REF!="N", "L", ""))</f>
        <v>#REF!</v>
      </c>
      <c r="AH540" s="172" t="str">
        <f>IF(ISBLANK(Table123[[#This Row],[Odds Spread]]), "",IF(AG540="W", Z540, IF(AG540="L",-O540, "")))</f>
      </c>
      <c r="AI540" s="184"/>
      <c r="AJ540" s="183" t="str">
        <f t="shared" si="60"/>
      </c>
      <c r="AK5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1">
      <c r="A541" s="65" t="e">
        <f>Games!#REF!</f>
        <v>#REF!</v>
      </c>
      <c r="B541" s="65" t="e">
        <f>IF('Prediction Log'!#REF!=0, "",'Prediction Log'!#REF!)</f>
        <v>#REF!</v>
      </c>
      <c r="C541" s="65" t="e">
        <f>IF('Prediction Log'!#REF!=0, "",'Prediction Log'!#REF!)</f>
        <v>#REF!</v>
      </c>
      <c r="D541" s="65" t="e">
        <f>IF('Prediction Log'!#REF!=0, "",'Prediction Log'!#REF!)</f>
        <v>#REF!</v>
      </c>
      <c r="E541" s="65" t="e">
        <f>IF('Prediction Log'!#REF!=0, "",'Prediction Log'!#REF!)</f>
        <v>#REF!</v>
      </c>
      <c r="F541" s="65" t="e">
        <f>IF('Prediction Log'!#REF!=0, "",'Prediction Log'!#REF!)</f>
        <v>#REF!</v>
      </c>
      <c r="G541" s="64" t="e">
        <f>IF(ISBLANK(Games!#REF!), "",'Prediction Log'!#REF!)</f>
        <v>#REF!</v>
      </c>
      <c r="H541" s="66" t="e">
        <f>'Prediction Log'!#REF!</f>
        <v>#REF!</v>
      </c>
      <c r="I541" s="65" t="e">
        <f>IF(ISBLANK(Games!#REF!), "",IF(AND(Games!#REF!="",Games!#REF!=""),"",IF(ISTEXT(Games!#REF!), "Side",Games!#REF!)))</f>
        <v>#REF!</v>
      </c>
      <c r="J541" s="65" t="e">
        <f>IF(ISBLANK(Games!#REF!), "",IF(Games!#REF!="Y", Games!#REF!, Games!#REF!))</f>
        <v>#REF!</v>
      </c>
      <c r="K541" s="65" t="e">
        <f>Games!#REF!</f>
        <v>#REF!</v>
      </c>
      <c r="L541" s="65" t="e">
        <f>IF(ISBLANK(Games!#REF!), "",Games!#REF!)</f>
        <v>#REF!</v>
      </c>
      <c r="M541" s="65"/>
      <c r="N541" s="167" t="str">
        <f>IF(ISBLANK(Table123[[#This Row],[Odds Side - Difference Model]]), "", 1)</f>
      </c>
      <c r="O541" s="167" t="str">
        <f>IF(ISBLANK(Table123[[#This Row],[Odds Spread]]), "", 1)</f>
      </c>
      <c r="P541" s="67"/>
      <c r="Q541" s="67"/>
      <c r="R5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1" s="67"/>
      <c r="T541" s="67"/>
      <c r="U541" s="168" t="str">
        <f>IF(ISBLANK(Table123[[#This Row],[Odds Side - Difference Model]]), "",N541+IF(Q541&lt;0, (N541/(Q541/-100)), N541*(Q541/100)))</f>
      </c>
      <c r="V541" s="169" t="str">
        <f>IFERROR(IF(ISBLANK(Table123[[#This Row],[Odds Side - Win Probability Model]]), "",N541+IF(R541&lt;0, (N541/(R541/-100)), N541*(R541/100))),"")</f>
      </c>
      <c r="W541" s="168" t="str">
        <f t="shared" si="55"/>
      </c>
      <c r="X541" s="169" t="str">
        <f t="shared" si="56"/>
      </c>
      <c r="Y541" s="168" t="str">
        <f>IF(ISBLANK(Table123[[#This Row],[Odds Spread]]), "",O541+IF(S541&lt;0, (O541/(S541/-100)), O541*(S541/100)))</f>
      </c>
      <c r="Z541" s="168" t="str">
        <f t="shared" si="57"/>
      </c>
      <c r="AA541" s="68" t="n">
        <f t="shared" si="58"/>
        <v>0</v>
      </c>
      <c r="AB541" s="68" t="n">
        <f t="shared" si="59"/>
        <v>0</v>
      </c>
      <c r="AC541" s="170" t="e">
        <f>IF('Prediction Log'!#REF!="Y", "W", IF('Prediction Log'!#REF!="N","L",""))</f>
        <v>#REF!</v>
      </c>
      <c r="AD541" s="171" t="e">
        <f>IF('Prediction Log'!#REF!="Y", "W", IF('Prediction Log'!#REF!="N","L",""))</f>
        <v>#REF!</v>
      </c>
      <c r="AE541" s="172" t="str">
        <f>IF(ISBLANK(Table123[[#This Row],[Odds Side - Difference Model]]), "",IF(AC541="W", W541, IF(AC541="L",-N541, "")))</f>
      </c>
      <c r="AF541" s="173" t="str">
        <f>IFERROR((IF(ISERR(Table123[[#This Row],[Potential Payout Side - Win Probability Model]]), "",IF(AD541="W", X541, IF(AD541="L",-N541, "")))), "")</f>
      </c>
      <c r="AG541" s="170" t="e">
        <f>IF('Prediction Log'!#REF!="Y", "W", IF('Prediction Log'!#REF!="N", "L", ""))</f>
        <v>#REF!</v>
      </c>
      <c r="AH541" s="172" t="str">
        <f>IF(ISBLANK(Table123[[#This Row],[Odds Spread]]), "",IF(AG541="W", Z541, IF(AG541="L",-O541, "")))</f>
      </c>
      <c r="AI541" s="184"/>
      <c r="AJ541" s="183" t="str">
        <f t="shared" si="60"/>
      </c>
      <c r="AK5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2">
      <c r="A542" s="65" t="e">
        <f>Games!#REF!</f>
        <v>#REF!</v>
      </c>
      <c r="B542" s="65" t="e">
        <f>IF('Prediction Log'!#REF!=0, "",'Prediction Log'!#REF!)</f>
        <v>#REF!</v>
      </c>
      <c r="C542" s="65" t="e">
        <f>IF('Prediction Log'!#REF!=0, "",'Prediction Log'!#REF!)</f>
        <v>#REF!</v>
      </c>
      <c r="D542" s="65" t="e">
        <f>IF('Prediction Log'!#REF!=0, "",'Prediction Log'!#REF!)</f>
        <v>#REF!</v>
      </c>
      <c r="E542" s="65" t="e">
        <f>IF('Prediction Log'!#REF!=0, "",'Prediction Log'!#REF!)</f>
        <v>#REF!</v>
      </c>
      <c r="F542" s="65" t="e">
        <f>IF('Prediction Log'!#REF!=0, "",'Prediction Log'!#REF!)</f>
        <v>#REF!</v>
      </c>
      <c r="G542" s="64" t="e">
        <f>IF(ISBLANK(Games!#REF!), "",'Prediction Log'!#REF!)</f>
        <v>#REF!</v>
      </c>
      <c r="H542" s="66" t="e">
        <f>'Prediction Log'!#REF!</f>
        <v>#REF!</v>
      </c>
      <c r="I542" s="65" t="e">
        <f>IF(ISBLANK(Games!#REF!), "",IF(AND(Games!#REF!="",Games!#REF!=""),"",IF(ISTEXT(Games!#REF!), "Side",Games!#REF!)))</f>
        <v>#REF!</v>
      </c>
      <c r="J542" s="65" t="e">
        <f>IF(ISBLANK(Games!#REF!), "",IF(Games!#REF!="Y", Games!#REF!, Games!#REF!))</f>
        <v>#REF!</v>
      </c>
      <c r="K542" s="65" t="e">
        <f>Games!#REF!</f>
        <v>#REF!</v>
      </c>
      <c r="L542" s="65" t="e">
        <f>IF(ISBLANK(Games!#REF!), "",Games!#REF!)</f>
        <v>#REF!</v>
      </c>
      <c r="M542" s="65"/>
      <c r="N542" s="167" t="str">
        <f>IF(ISBLANK(Table123[[#This Row],[Odds Side - Difference Model]]), "", 1)</f>
      </c>
      <c r="O542" s="167" t="str">
        <f>IF(ISBLANK(Table123[[#This Row],[Odds Spread]]), "", 1)</f>
      </c>
      <c r="P542" s="67"/>
      <c r="Q542" s="67"/>
      <c r="R5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2" s="67"/>
      <c r="T542" s="67"/>
      <c r="U542" s="168" t="str">
        <f>IF(ISBLANK(Table123[[#This Row],[Odds Side - Difference Model]]), "",N542+IF(Q542&lt;0, (N542/(Q542/-100)), N542*(Q542/100)))</f>
      </c>
      <c r="V542" s="169" t="str">
        <f>IFERROR(IF(ISBLANK(Table123[[#This Row],[Odds Side - Win Probability Model]]), "",N542+IF(R542&lt;0, (N542/(R542/-100)), N542*(R542/100))),"")</f>
      </c>
      <c r="W542" s="168" t="str">
        <f t="shared" si="55"/>
      </c>
      <c r="X542" s="169" t="str">
        <f t="shared" si="56"/>
      </c>
      <c r="Y542" s="168" t="str">
        <f>IF(ISBLANK(Table123[[#This Row],[Odds Spread]]), "",O542+IF(S542&lt;0, (O542/(S542/-100)), O542*(S542/100)))</f>
      </c>
      <c r="Z542" s="168" t="str">
        <f t="shared" si="57"/>
      </c>
      <c r="AA542" s="68" t="n">
        <f t="shared" si="58"/>
        <v>0</v>
      </c>
      <c r="AB542" s="68" t="n">
        <f t="shared" si="59"/>
        <v>0</v>
      </c>
      <c r="AC542" s="170" t="e">
        <f>IF('Prediction Log'!#REF!="Y", "W", IF('Prediction Log'!#REF!="N","L",""))</f>
        <v>#REF!</v>
      </c>
      <c r="AD542" s="171" t="e">
        <f>IF('Prediction Log'!#REF!="Y", "W", IF('Prediction Log'!#REF!="N","L",""))</f>
        <v>#REF!</v>
      </c>
      <c r="AE542" s="172" t="str">
        <f>IF(ISBLANK(Table123[[#This Row],[Odds Side - Difference Model]]), "",IF(AC542="W", W542, IF(AC542="L",-N542, "")))</f>
      </c>
      <c r="AF542" s="173" t="str">
        <f>IFERROR((IF(ISERR(Table123[[#This Row],[Potential Payout Side - Win Probability Model]]), "",IF(AD542="W", X542, IF(AD542="L",-N542, "")))), "")</f>
      </c>
      <c r="AG542" s="170" t="e">
        <f>IF('Prediction Log'!#REF!="Y", "W", IF('Prediction Log'!#REF!="N", "L", ""))</f>
        <v>#REF!</v>
      </c>
      <c r="AH542" s="172" t="str">
        <f>IF(ISBLANK(Table123[[#This Row],[Odds Spread]]), "",IF(AG542="W", Z542, IF(AG542="L",-O542, "")))</f>
      </c>
      <c r="AI542" s="184"/>
      <c r="AJ542" s="183" t="str">
        <f t="shared" si="60"/>
      </c>
      <c r="AK5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3">
      <c r="A543" s="65" t="e">
        <f>Games!#REF!</f>
        <v>#REF!</v>
      </c>
      <c r="B543" s="65" t="e">
        <f>IF('Prediction Log'!#REF!=0, "",'Prediction Log'!#REF!)</f>
        <v>#REF!</v>
      </c>
      <c r="C543" s="65" t="e">
        <f>IF('Prediction Log'!#REF!=0, "",'Prediction Log'!#REF!)</f>
        <v>#REF!</v>
      </c>
      <c r="D543" s="65" t="e">
        <f>IF('Prediction Log'!#REF!=0, "",'Prediction Log'!#REF!)</f>
        <v>#REF!</v>
      </c>
      <c r="E543" s="65" t="e">
        <f>IF('Prediction Log'!#REF!=0, "",'Prediction Log'!#REF!)</f>
        <v>#REF!</v>
      </c>
      <c r="F543" s="65" t="e">
        <f>IF('Prediction Log'!#REF!=0, "",'Prediction Log'!#REF!)</f>
        <v>#REF!</v>
      </c>
      <c r="G543" s="64" t="e">
        <f>IF(ISBLANK(Games!#REF!), "",'Prediction Log'!#REF!)</f>
        <v>#REF!</v>
      </c>
      <c r="H543" s="66" t="e">
        <f>'Prediction Log'!#REF!</f>
        <v>#REF!</v>
      </c>
      <c r="I543" s="65" t="e">
        <f>IF(ISBLANK(Games!#REF!), "",IF(AND(Games!#REF!="",Games!#REF!=""),"",IF(ISTEXT(Games!#REF!), "Side",Games!#REF!)))</f>
        <v>#REF!</v>
      </c>
      <c r="J543" s="65" t="e">
        <f>IF(ISBLANK(Games!#REF!), "",IF(Games!#REF!="Y", Games!#REF!, Games!#REF!))</f>
        <v>#REF!</v>
      </c>
      <c r="K543" s="65" t="e">
        <f>Games!#REF!</f>
        <v>#REF!</v>
      </c>
      <c r="L543" s="65" t="e">
        <f>IF(ISBLANK(Games!#REF!), "",Games!#REF!)</f>
        <v>#REF!</v>
      </c>
      <c r="M543" s="65"/>
      <c r="N543" s="167" t="str">
        <f>IF(ISBLANK(Table123[[#This Row],[Odds Side - Difference Model]]), "", 1)</f>
      </c>
      <c r="O543" s="167" t="str">
        <f>IF(ISBLANK(Table123[[#This Row],[Odds Spread]]), "", 1)</f>
      </c>
      <c r="P543" s="67"/>
      <c r="Q543" s="67"/>
      <c r="R5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3" s="67"/>
      <c r="T543" s="67"/>
      <c r="U543" s="168" t="str">
        <f>IF(ISBLANK(Table123[[#This Row],[Odds Side - Difference Model]]), "",N543+IF(Q543&lt;0, (N543/(Q543/-100)), N543*(Q543/100)))</f>
      </c>
      <c r="V543" s="169" t="str">
        <f>IFERROR(IF(ISBLANK(Table123[[#This Row],[Odds Side - Win Probability Model]]), "",N543+IF(R543&lt;0, (N543/(R543/-100)), N543*(R543/100))),"")</f>
      </c>
      <c r="W543" s="168" t="str">
        <f t="shared" si="55"/>
      </c>
      <c r="X543" s="169" t="str">
        <f t="shared" si="56"/>
      </c>
      <c r="Y543" s="168" t="str">
        <f>IF(ISBLANK(Table123[[#This Row],[Odds Spread]]), "",O543+IF(S543&lt;0, (O543/(S543/-100)), O543*(S543/100)))</f>
      </c>
      <c r="Z543" s="168" t="str">
        <f t="shared" si="57"/>
      </c>
      <c r="AA543" s="68" t="n">
        <f t="shared" si="58"/>
        <v>0</v>
      </c>
      <c r="AB543" s="68" t="n">
        <f t="shared" si="59"/>
        <v>0</v>
      </c>
      <c r="AC543" s="170" t="e">
        <f>IF('Prediction Log'!#REF!="Y", "W", IF('Prediction Log'!#REF!="N","L",""))</f>
        <v>#REF!</v>
      </c>
      <c r="AD543" s="171" t="e">
        <f>IF('Prediction Log'!#REF!="Y", "W", IF('Prediction Log'!#REF!="N","L",""))</f>
        <v>#REF!</v>
      </c>
      <c r="AE543" s="172" t="str">
        <f>IF(ISBLANK(Table123[[#This Row],[Odds Side - Difference Model]]), "",IF(AC543="W", W543, IF(AC543="L",-N543, "")))</f>
      </c>
      <c r="AF543" s="173" t="str">
        <f>IFERROR((IF(ISERR(Table123[[#This Row],[Potential Payout Side - Win Probability Model]]), "",IF(AD543="W", X543, IF(AD543="L",-N543, "")))), "")</f>
      </c>
      <c r="AG543" s="170" t="e">
        <f>IF('Prediction Log'!#REF!="Y", "W", IF('Prediction Log'!#REF!="N", "L", ""))</f>
        <v>#REF!</v>
      </c>
      <c r="AH543" s="172" t="str">
        <f>IF(ISBLANK(Table123[[#This Row],[Odds Spread]]), "",IF(AG543="W", Z543, IF(AG543="L",-O543, "")))</f>
      </c>
      <c r="AI543" s="184"/>
      <c r="AJ543" s="183" t="str">
        <f t="shared" si="60"/>
      </c>
      <c r="AK5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4">
      <c r="A544" s="65" t="e">
        <f>Games!#REF!</f>
        <v>#REF!</v>
      </c>
      <c r="B544" s="65" t="e">
        <f>IF('Prediction Log'!#REF!=0, "",'Prediction Log'!#REF!)</f>
        <v>#REF!</v>
      </c>
      <c r="C544" s="65" t="e">
        <f>IF('Prediction Log'!#REF!=0, "",'Prediction Log'!#REF!)</f>
        <v>#REF!</v>
      </c>
      <c r="D544" s="65" t="e">
        <f>IF('Prediction Log'!#REF!=0, "",'Prediction Log'!#REF!)</f>
        <v>#REF!</v>
      </c>
      <c r="E544" s="65" t="e">
        <f>IF('Prediction Log'!#REF!=0, "",'Prediction Log'!#REF!)</f>
        <v>#REF!</v>
      </c>
      <c r="F544" s="65" t="e">
        <f>IF('Prediction Log'!#REF!=0, "",'Prediction Log'!#REF!)</f>
        <v>#REF!</v>
      </c>
      <c r="G544" s="64" t="e">
        <f>IF(ISBLANK(Games!#REF!), "",'Prediction Log'!#REF!)</f>
        <v>#REF!</v>
      </c>
      <c r="H544" s="66" t="e">
        <f>'Prediction Log'!#REF!</f>
        <v>#REF!</v>
      </c>
      <c r="I544" s="65" t="e">
        <f>IF(ISBLANK(Games!#REF!), "",IF(AND(Games!#REF!="",Games!#REF!=""),"",IF(ISTEXT(Games!#REF!), "Side",Games!#REF!)))</f>
        <v>#REF!</v>
      </c>
      <c r="J544" s="65" t="e">
        <f>IF(ISBLANK(Games!#REF!), "",IF(Games!#REF!="Y", Games!#REF!, Games!#REF!))</f>
        <v>#REF!</v>
      </c>
      <c r="K544" s="65" t="e">
        <f>Games!#REF!</f>
        <v>#REF!</v>
      </c>
      <c r="L544" s="65" t="e">
        <f>IF(ISBLANK(Games!#REF!), "",Games!#REF!)</f>
        <v>#REF!</v>
      </c>
      <c r="M544" s="65"/>
      <c r="N544" s="167" t="str">
        <f>IF(ISBLANK(Table123[[#This Row],[Odds Side - Difference Model]]), "", 1)</f>
      </c>
      <c r="O544" s="167" t="str">
        <f>IF(ISBLANK(Table123[[#This Row],[Odds Spread]]), "", 1)</f>
      </c>
      <c r="P544" s="67"/>
      <c r="Q544" s="67"/>
      <c r="R5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4" s="67"/>
      <c r="T544" s="67"/>
      <c r="U544" s="168" t="str">
        <f>IF(ISBLANK(Table123[[#This Row],[Odds Side - Difference Model]]), "",N544+IF(Q544&lt;0, (N544/(Q544/-100)), N544*(Q544/100)))</f>
      </c>
      <c r="V544" s="169" t="str">
        <f>IFERROR(IF(ISBLANK(Table123[[#This Row],[Odds Side - Win Probability Model]]), "",N544+IF(R544&lt;0, (N544/(R544/-100)), N544*(R544/100))),"")</f>
      </c>
      <c r="W544" s="168" t="str">
        <f t="shared" si="55"/>
      </c>
      <c r="X544" s="169" t="str">
        <f t="shared" si="56"/>
      </c>
      <c r="Y544" s="168" t="str">
        <f>IF(ISBLANK(Table123[[#This Row],[Odds Spread]]), "",O544+IF(S544&lt;0, (O544/(S544/-100)), O544*(S544/100)))</f>
      </c>
      <c r="Z544" s="168" t="str">
        <f t="shared" si="57"/>
      </c>
      <c r="AA544" s="68" t="n">
        <f t="shared" si="58"/>
        <v>0</v>
      </c>
      <c r="AB544" s="68" t="n">
        <f t="shared" si="59"/>
        <v>0</v>
      </c>
      <c r="AC544" s="170" t="e">
        <f>IF('Prediction Log'!#REF!="Y", "W", IF('Prediction Log'!#REF!="N","L",""))</f>
        <v>#REF!</v>
      </c>
      <c r="AD544" s="171" t="e">
        <f>IF('Prediction Log'!#REF!="Y", "W", IF('Prediction Log'!#REF!="N","L",""))</f>
        <v>#REF!</v>
      </c>
      <c r="AE544" s="172" t="str">
        <f>IF(ISBLANK(Table123[[#This Row],[Odds Side - Difference Model]]), "",IF(AC544="W", W544, IF(AC544="L",-N544, "")))</f>
      </c>
      <c r="AF544" s="173" t="str">
        <f>IFERROR((IF(ISERR(Table123[[#This Row],[Potential Payout Side - Win Probability Model]]), "",IF(AD544="W", X544, IF(AD544="L",-N544, "")))), "")</f>
      </c>
      <c r="AG544" s="170" t="e">
        <f>IF('Prediction Log'!#REF!="Y", "W", IF('Prediction Log'!#REF!="N", "L", ""))</f>
        <v>#REF!</v>
      </c>
      <c r="AH544" s="172" t="str">
        <f>IF(ISBLANK(Table123[[#This Row],[Odds Spread]]), "",IF(AG544="W", Z544, IF(AG544="L",-O544, "")))</f>
      </c>
      <c r="AI544" s="184"/>
      <c r="AJ544" s="183" t="str">
        <f t="shared" si="60"/>
      </c>
      <c r="AK5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5">
      <c r="A545" s="65" t="e">
        <f>Games!#REF!</f>
        <v>#REF!</v>
      </c>
      <c r="B545" s="65" t="e">
        <f>IF('Prediction Log'!#REF!=0, "",'Prediction Log'!#REF!)</f>
        <v>#REF!</v>
      </c>
      <c r="C545" s="65" t="e">
        <f>IF('Prediction Log'!#REF!=0, "",'Prediction Log'!#REF!)</f>
        <v>#REF!</v>
      </c>
      <c r="D545" s="65" t="e">
        <f>IF('Prediction Log'!#REF!=0, "",'Prediction Log'!#REF!)</f>
        <v>#REF!</v>
      </c>
      <c r="E545" s="65" t="e">
        <f>IF('Prediction Log'!#REF!=0, "",'Prediction Log'!#REF!)</f>
        <v>#REF!</v>
      </c>
      <c r="F545" s="65" t="e">
        <f>IF('Prediction Log'!#REF!=0, "",'Prediction Log'!#REF!)</f>
        <v>#REF!</v>
      </c>
      <c r="G545" s="64" t="e">
        <f>IF(ISBLANK(Games!#REF!), "",'Prediction Log'!#REF!)</f>
        <v>#REF!</v>
      </c>
      <c r="H545" s="66" t="e">
        <f>'Prediction Log'!#REF!</f>
        <v>#REF!</v>
      </c>
      <c r="I545" s="65" t="e">
        <f>IF(ISBLANK(Games!#REF!), "",IF(AND(Games!#REF!="",Games!#REF!=""),"",IF(ISTEXT(Games!#REF!), "Side",Games!#REF!)))</f>
        <v>#REF!</v>
      </c>
      <c r="J545" s="65" t="e">
        <f>IF(ISBLANK(Games!#REF!), "",IF(Games!#REF!="Y", Games!#REF!, Games!#REF!))</f>
        <v>#REF!</v>
      </c>
      <c r="K545" s="65" t="e">
        <f>Games!#REF!</f>
        <v>#REF!</v>
      </c>
      <c r="L545" s="65" t="e">
        <f>IF(ISBLANK(Games!#REF!), "",Games!#REF!)</f>
        <v>#REF!</v>
      </c>
      <c r="M545" s="65"/>
      <c r="N545" s="167" t="str">
        <f>IF(ISBLANK(Table123[[#This Row],[Odds Side - Difference Model]]), "", 1)</f>
      </c>
      <c r="O545" s="167" t="str">
        <f>IF(ISBLANK(Table123[[#This Row],[Odds Spread]]), "", 1)</f>
      </c>
      <c r="P545" s="67"/>
      <c r="Q545" s="67"/>
      <c r="R5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5" s="67"/>
      <c r="T545" s="67"/>
      <c r="U545" s="168" t="str">
        <f>IF(ISBLANK(Table123[[#This Row],[Odds Side - Difference Model]]), "",N545+IF(Q545&lt;0, (N545/(Q545/-100)), N545*(Q545/100)))</f>
      </c>
      <c r="V545" s="169" t="str">
        <f>IFERROR(IF(ISBLANK(Table123[[#This Row],[Odds Side - Win Probability Model]]), "",N545+IF(R545&lt;0, (N545/(R545/-100)), N545*(R545/100))),"")</f>
      </c>
      <c r="W545" s="168" t="str">
        <f t="shared" si="55"/>
      </c>
      <c r="X545" s="169" t="str">
        <f t="shared" si="56"/>
      </c>
      <c r="Y545" s="168" t="str">
        <f>IF(ISBLANK(Table123[[#This Row],[Odds Spread]]), "",O545+IF(S545&lt;0, (O545/(S545/-100)), O545*(S545/100)))</f>
      </c>
      <c r="Z545" s="168" t="str">
        <f t="shared" si="57"/>
      </c>
      <c r="AA545" s="68" t="n">
        <f t="shared" si="58"/>
        <v>0</v>
      </c>
      <c r="AB545" s="68" t="n">
        <f t="shared" si="59"/>
        <v>0</v>
      </c>
      <c r="AC545" s="170" t="e">
        <f>IF('Prediction Log'!#REF!="Y", "W", IF('Prediction Log'!#REF!="N","L",""))</f>
        <v>#REF!</v>
      </c>
      <c r="AD545" s="171" t="e">
        <f>IF('Prediction Log'!#REF!="Y", "W", IF('Prediction Log'!#REF!="N","L",""))</f>
        <v>#REF!</v>
      </c>
      <c r="AE545" s="172" t="str">
        <f>IF(ISBLANK(Table123[[#This Row],[Odds Side - Difference Model]]), "",IF(AC545="W", W545, IF(AC545="L",-N545, "")))</f>
      </c>
      <c r="AF545" s="173" t="str">
        <f>IFERROR((IF(ISERR(Table123[[#This Row],[Potential Payout Side - Win Probability Model]]), "",IF(AD545="W", X545, IF(AD545="L",-N545, "")))), "")</f>
      </c>
      <c r="AG545" s="170" t="e">
        <f>IF('Prediction Log'!#REF!="Y", "W", IF('Prediction Log'!#REF!="N", "L", ""))</f>
        <v>#REF!</v>
      </c>
      <c r="AH545" s="172" t="str">
        <f>IF(ISBLANK(Table123[[#This Row],[Odds Spread]]), "",IF(AG545="W", Z545, IF(AG545="L",-O545, "")))</f>
      </c>
      <c r="AI545" s="184"/>
      <c r="AJ545" s="183" t="str">
        <f t="shared" si="60"/>
      </c>
      <c r="AK5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6">
      <c r="A546" s="65" t="e">
        <f>Games!#REF!</f>
        <v>#REF!</v>
      </c>
      <c r="B546" s="65" t="e">
        <f>IF('Prediction Log'!#REF!=0, "",'Prediction Log'!#REF!)</f>
        <v>#REF!</v>
      </c>
      <c r="C546" s="65" t="e">
        <f>IF('Prediction Log'!#REF!=0, "",'Prediction Log'!#REF!)</f>
        <v>#REF!</v>
      </c>
      <c r="D546" s="65" t="e">
        <f>IF('Prediction Log'!#REF!=0, "",'Prediction Log'!#REF!)</f>
        <v>#REF!</v>
      </c>
      <c r="E546" s="65" t="e">
        <f>IF('Prediction Log'!#REF!=0, "",'Prediction Log'!#REF!)</f>
        <v>#REF!</v>
      </c>
      <c r="F546" s="65" t="e">
        <f>IF('Prediction Log'!#REF!=0, "",'Prediction Log'!#REF!)</f>
        <v>#REF!</v>
      </c>
      <c r="G546" s="64" t="e">
        <f>IF(ISBLANK(Games!#REF!), "",'Prediction Log'!#REF!)</f>
        <v>#REF!</v>
      </c>
      <c r="H546" s="66" t="e">
        <f>'Prediction Log'!#REF!</f>
        <v>#REF!</v>
      </c>
      <c r="I546" s="65" t="e">
        <f>IF(ISBLANK(Games!#REF!), "",IF(AND(Games!#REF!="",Games!#REF!=""),"",IF(ISTEXT(Games!#REF!), "Side",Games!#REF!)))</f>
        <v>#REF!</v>
      </c>
      <c r="J546" s="65" t="e">
        <f>IF(ISBLANK(Games!#REF!), "",IF(Games!#REF!="Y", Games!#REF!, Games!#REF!))</f>
        <v>#REF!</v>
      </c>
      <c r="K546" s="65" t="e">
        <f>Games!#REF!</f>
        <v>#REF!</v>
      </c>
      <c r="L546" s="65" t="e">
        <f>IF(ISBLANK(Games!#REF!), "",Games!#REF!)</f>
        <v>#REF!</v>
      </c>
      <c r="M546" s="65"/>
      <c r="N546" s="167" t="str">
        <f>IF(ISBLANK(Table123[[#This Row],[Odds Side - Difference Model]]), "", 1)</f>
      </c>
      <c r="O546" s="167" t="str">
        <f>IF(ISBLANK(Table123[[#This Row],[Odds Spread]]), "", 1)</f>
      </c>
      <c r="P546" s="67"/>
      <c r="Q546" s="67"/>
      <c r="R5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6" s="67"/>
      <c r="T546" s="67"/>
      <c r="U546" s="168" t="str">
        <f>IF(ISBLANK(Table123[[#This Row],[Odds Side - Difference Model]]), "",N546+IF(Q546&lt;0, (N546/(Q546/-100)), N546*(Q546/100)))</f>
      </c>
      <c r="V546" s="169" t="str">
        <f>IFERROR(IF(ISBLANK(Table123[[#This Row],[Odds Side - Win Probability Model]]), "",N546+IF(R546&lt;0, (N546/(R546/-100)), N546*(R546/100))),"")</f>
      </c>
      <c r="W546" s="168" t="str">
        <f t="shared" si="55"/>
      </c>
      <c r="X546" s="169" t="str">
        <f t="shared" si="56"/>
      </c>
      <c r="Y546" s="168" t="str">
        <f>IF(ISBLANK(Table123[[#This Row],[Odds Spread]]), "",O546+IF(S546&lt;0, (O546/(S546/-100)), O546*(S546/100)))</f>
      </c>
      <c r="Z546" s="168" t="str">
        <f t="shared" si="57"/>
      </c>
      <c r="AA546" s="68" t="n">
        <f t="shared" si="58"/>
        <v>0</v>
      </c>
      <c r="AB546" s="68" t="n">
        <f t="shared" si="59"/>
        <v>0</v>
      </c>
      <c r="AC546" s="170" t="e">
        <f>IF('Prediction Log'!#REF!="Y", "W", IF('Prediction Log'!#REF!="N","L",""))</f>
        <v>#REF!</v>
      </c>
      <c r="AD546" s="171" t="e">
        <f>IF('Prediction Log'!#REF!="Y", "W", IF('Prediction Log'!#REF!="N","L",""))</f>
        <v>#REF!</v>
      </c>
      <c r="AE546" s="172" t="str">
        <f>IF(ISBLANK(Table123[[#This Row],[Odds Side - Difference Model]]), "",IF(AC546="W", W546, IF(AC546="L",-N546, "")))</f>
      </c>
      <c r="AF546" s="173" t="str">
        <f>IFERROR((IF(ISERR(Table123[[#This Row],[Potential Payout Side - Win Probability Model]]), "",IF(AD546="W", X546, IF(AD546="L",-N546, "")))), "")</f>
      </c>
      <c r="AG546" s="170" t="e">
        <f>IF('Prediction Log'!#REF!="Y", "W", IF('Prediction Log'!#REF!="N", "L", ""))</f>
        <v>#REF!</v>
      </c>
      <c r="AH546" s="172" t="str">
        <f>IF(ISBLANK(Table123[[#This Row],[Odds Spread]]), "",IF(AG546="W", Z546, IF(AG546="L",-O546, "")))</f>
      </c>
      <c r="AI546" s="184"/>
      <c r="AJ546" s="183" t="str">
        <f t="shared" si="60"/>
      </c>
      <c r="AK5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7">
      <c r="A547" s="65" t="e">
        <f>Games!#REF!</f>
        <v>#REF!</v>
      </c>
      <c r="B547" s="65" t="e">
        <f>IF('Prediction Log'!#REF!=0, "",'Prediction Log'!#REF!)</f>
        <v>#REF!</v>
      </c>
      <c r="C547" s="65" t="e">
        <f>IF('Prediction Log'!#REF!=0, "",'Prediction Log'!#REF!)</f>
        <v>#REF!</v>
      </c>
      <c r="D547" s="65" t="e">
        <f>IF('Prediction Log'!#REF!=0, "",'Prediction Log'!#REF!)</f>
        <v>#REF!</v>
      </c>
      <c r="E547" s="65" t="e">
        <f>IF('Prediction Log'!#REF!=0, "",'Prediction Log'!#REF!)</f>
        <v>#REF!</v>
      </c>
      <c r="F547" s="65" t="e">
        <f>IF('Prediction Log'!#REF!=0, "",'Prediction Log'!#REF!)</f>
        <v>#REF!</v>
      </c>
      <c r="G547" s="64" t="e">
        <f>IF(ISBLANK(Games!#REF!), "",'Prediction Log'!#REF!)</f>
        <v>#REF!</v>
      </c>
      <c r="H547" s="66" t="e">
        <f>'Prediction Log'!#REF!</f>
        <v>#REF!</v>
      </c>
      <c r="I547" s="65" t="e">
        <f>IF(ISBLANK(Games!#REF!), "",IF(AND(Games!#REF!="",Games!#REF!=""),"",IF(ISTEXT(Games!#REF!), "Side",Games!#REF!)))</f>
        <v>#REF!</v>
      </c>
      <c r="J547" s="65" t="e">
        <f>IF(ISBLANK(Games!#REF!), "",IF(Games!#REF!="Y", Games!#REF!, Games!#REF!))</f>
        <v>#REF!</v>
      </c>
      <c r="K547" s="65" t="e">
        <f>Games!#REF!</f>
        <v>#REF!</v>
      </c>
      <c r="L547" s="65" t="e">
        <f>IF(ISBLANK(Games!#REF!), "",Games!#REF!)</f>
        <v>#REF!</v>
      </c>
      <c r="M547" s="65"/>
      <c r="N547" s="167" t="str">
        <f>IF(ISBLANK(Table123[[#This Row],[Odds Side - Difference Model]]), "", 1)</f>
      </c>
      <c r="O547" s="167" t="str">
        <f>IF(ISBLANK(Table123[[#This Row],[Odds Spread]]), "", 1)</f>
      </c>
      <c r="P547" s="67"/>
      <c r="Q547" s="67"/>
      <c r="R5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7" s="67"/>
      <c r="T547" s="67"/>
      <c r="U547" s="168" t="str">
        <f>IF(ISBLANK(Table123[[#This Row],[Odds Side - Difference Model]]), "",N547+IF(Q547&lt;0, (N547/(Q547/-100)), N547*(Q547/100)))</f>
      </c>
      <c r="V547" s="169" t="str">
        <f>IFERROR(IF(ISBLANK(Table123[[#This Row],[Odds Side - Win Probability Model]]), "",N547+IF(R547&lt;0, (N547/(R547/-100)), N547*(R547/100))),"")</f>
      </c>
      <c r="W547" s="168" t="str">
        <f t="shared" si="55"/>
      </c>
      <c r="X547" s="169" t="str">
        <f t="shared" si="56"/>
      </c>
      <c r="Y547" s="168" t="str">
        <f>IF(ISBLANK(Table123[[#This Row],[Odds Spread]]), "",O547+IF(S547&lt;0, (O547/(S547/-100)), O547*(S547/100)))</f>
      </c>
      <c r="Z547" s="168" t="str">
        <f t="shared" si="57"/>
      </c>
      <c r="AA547" s="68" t="n">
        <f t="shared" si="58"/>
        <v>0</v>
      </c>
      <c r="AB547" s="68" t="n">
        <f t="shared" si="59"/>
        <v>0</v>
      </c>
      <c r="AC547" s="170" t="e">
        <f>IF('Prediction Log'!#REF!="Y", "W", IF('Prediction Log'!#REF!="N","L",""))</f>
        <v>#REF!</v>
      </c>
      <c r="AD547" s="171" t="e">
        <f>IF('Prediction Log'!#REF!="Y", "W", IF('Prediction Log'!#REF!="N","L",""))</f>
        <v>#REF!</v>
      </c>
      <c r="AE547" s="172" t="str">
        <f>IF(ISBLANK(Table123[[#This Row],[Odds Side - Difference Model]]), "",IF(AC547="W", W547, IF(AC547="L",-N547, "")))</f>
      </c>
      <c r="AF547" s="173" t="str">
        <f>IFERROR((IF(ISERR(Table123[[#This Row],[Potential Payout Side - Win Probability Model]]), "",IF(AD547="W", X547, IF(AD547="L",-N547, "")))), "")</f>
      </c>
      <c r="AG547" s="170" t="e">
        <f>IF('Prediction Log'!#REF!="Y", "W", IF('Prediction Log'!#REF!="N", "L", ""))</f>
        <v>#REF!</v>
      </c>
      <c r="AH547" s="172" t="str">
        <f>IF(ISBLANK(Table123[[#This Row],[Odds Spread]]), "",IF(AG547="W", Z547, IF(AG547="L",-O547, "")))</f>
      </c>
      <c r="AI547" s="184"/>
      <c r="AJ547" s="183" t="str">
        <f t="shared" si="60"/>
      </c>
      <c r="AK5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8">
      <c r="A548" s="65" t="e">
        <f>Games!#REF!</f>
        <v>#REF!</v>
      </c>
      <c r="B548" s="65" t="e">
        <f>IF('Prediction Log'!#REF!=0, "",'Prediction Log'!#REF!)</f>
        <v>#REF!</v>
      </c>
      <c r="C548" s="65" t="e">
        <f>IF('Prediction Log'!#REF!=0, "",'Prediction Log'!#REF!)</f>
        <v>#REF!</v>
      </c>
      <c r="D548" s="65" t="e">
        <f>IF('Prediction Log'!#REF!=0, "",'Prediction Log'!#REF!)</f>
        <v>#REF!</v>
      </c>
      <c r="E548" s="65" t="e">
        <f>IF('Prediction Log'!#REF!=0, "",'Prediction Log'!#REF!)</f>
        <v>#REF!</v>
      </c>
      <c r="F548" s="65" t="e">
        <f>IF('Prediction Log'!#REF!=0, "",'Prediction Log'!#REF!)</f>
        <v>#REF!</v>
      </c>
      <c r="G548" s="64" t="e">
        <f>IF(ISBLANK(Games!#REF!), "",'Prediction Log'!#REF!)</f>
        <v>#REF!</v>
      </c>
      <c r="H548" s="66" t="e">
        <f>'Prediction Log'!#REF!</f>
        <v>#REF!</v>
      </c>
      <c r="I548" s="65" t="e">
        <f>IF(ISBLANK(Games!#REF!), "",IF(AND(Games!#REF!="",Games!#REF!=""),"",IF(ISTEXT(Games!#REF!), "Side",Games!#REF!)))</f>
        <v>#REF!</v>
      </c>
      <c r="J548" s="65" t="e">
        <f>IF(ISBLANK(Games!#REF!), "",IF(Games!#REF!="Y", Games!#REF!, Games!#REF!))</f>
        <v>#REF!</v>
      </c>
      <c r="K548" s="65" t="e">
        <f>Games!#REF!</f>
        <v>#REF!</v>
      </c>
      <c r="L548" s="65" t="e">
        <f>IF(ISBLANK(Games!#REF!), "",Games!#REF!)</f>
        <v>#REF!</v>
      </c>
      <c r="M548" s="65"/>
      <c r="N548" s="167" t="str">
        <f>IF(ISBLANK(Table123[[#This Row],[Odds Side - Difference Model]]), "", 1)</f>
      </c>
      <c r="O548" s="167" t="str">
        <f>IF(ISBLANK(Table123[[#This Row],[Odds Spread]]), "", 1)</f>
      </c>
      <c r="P548" s="67"/>
      <c r="Q548" s="67"/>
      <c r="R5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8" s="67"/>
      <c r="T548" s="67"/>
      <c r="U548" s="168" t="str">
        <f>IF(ISBLANK(Table123[[#This Row],[Odds Side - Difference Model]]), "",N548+IF(Q548&lt;0, (N548/(Q548/-100)), N548*(Q548/100)))</f>
      </c>
      <c r="V548" s="169" t="str">
        <f>IFERROR(IF(ISBLANK(Table123[[#This Row],[Odds Side - Win Probability Model]]), "",N548+IF(R548&lt;0, (N548/(R548/-100)), N548*(R548/100))),"")</f>
      </c>
      <c r="W548" s="168" t="str">
        <f t="shared" si="55"/>
      </c>
      <c r="X548" s="169" t="str">
        <f t="shared" si="56"/>
      </c>
      <c r="Y548" s="168" t="str">
        <f>IF(ISBLANK(Table123[[#This Row],[Odds Spread]]), "",O548+IF(S548&lt;0, (O548/(S548/-100)), O548*(S548/100)))</f>
      </c>
      <c r="Z548" s="168" t="str">
        <f t="shared" si="57"/>
      </c>
      <c r="AA548" s="68" t="n">
        <f t="shared" si="58"/>
        <v>0</v>
      </c>
      <c r="AB548" s="68" t="n">
        <f t="shared" si="59"/>
        <v>0</v>
      </c>
      <c r="AC548" s="170" t="e">
        <f>IF('Prediction Log'!#REF!="Y", "W", IF('Prediction Log'!#REF!="N","L",""))</f>
        <v>#REF!</v>
      </c>
      <c r="AD548" s="171" t="e">
        <f>IF('Prediction Log'!#REF!="Y", "W", IF('Prediction Log'!#REF!="N","L",""))</f>
        <v>#REF!</v>
      </c>
      <c r="AE548" s="172" t="str">
        <f>IF(ISBLANK(Table123[[#This Row],[Odds Side - Difference Model]]), "",IF(AC548="W", W548, IF(AC548="L",-N548, "")))</f>
      </c>
      <c r="AF548" s="173" t="str">
        <f>IFERROR((IF(ISERR(Table123[[#This Row],[Potential Payout Side - Win Probability Model]]), "",IF(AD548="W", X548, IF(AD548="L",-N548, "")))), "")</f>
      </c>
      <c r="AG548" s="170" t="e">
        <f>IF('Prediction Log'!#REF!="Y", "W", IF('Prediction Log'!#REF!="N", "L", ""))</f>
        <v>#REF!</v>
      </c>
      <c r="AH548" s="172" t="str">
        <f>IF(ISBLANK(Table123[[#This Row],[Odds Spread]]), "",IF(AG548="W", Z548, IF(AG548="L",-O548, "")))</f>
      </c>
      <c r="AI548" s="184"/>
      <c r="AJ548" s="183" t="str">
        <f t="shared" si="60"/>
      </c>
      <c r="AK5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9">
      <c r="A549" s="65" t="e">
        <f>Games!#REF!</f>
        <v>#REF!</v>
      </c>
      <c r="B549" s="65" t="e">
        <f>IF('Prediction Log'!#REF!=0, "",'Prediction Log'!#REF!)</f>
        <v>#REF!</v>
      </c>
      <c r="C549" s="65" t="e">
        <f>IF('Prediction Log'!#REF!=0, "",'Prediction Log'!#REF!)</f>
        <v>#REF!</v>
      </c>
      <c r="D549" s="65" t="e">
        <f>IF('Prediction Log'!#REF!=0, "",'Prediction Log'!#REF!)</f>
        <v>#REF!</v>
      </c>
      <c r="E549" s="65" t="e">
        <f>IF('Prediction Log'!#REF!=0, "",'Prediction Log'!#REF!)</f>
        <v>#REF!</v>
      </c>
      <c r="F549" s="65" t="e">
        <f>IF('Prediction Log'!#REF!=0, "",'Prediction Log'!#REF!)</f>
        <v>#REF!</v>
      </c>
      <c r="G549" s="64" t="e">
        <f>IF(ISBLANK(Games!#REF!), "",'Prediction Log'!#REF!)</f>
        <v>#REF!</v>
      </c>
      <c r="H549" s="66" t="e">
        <f>'Prediction Log'!#REF!</f>
        <v>#REF!</v>
      </c>
      <c r="I549" s="65" t="e">
        <f>IF(ISBLANK(Games!#REF!), "",IF(AND(Games!#REF!="",Games!#REF!=""),"",IF(ISTEXT(Games!#REF!), "Side",Games!#REF!)))</f>
        <v>#REF!</v>
      </c>
      <c r="J549" s="65" t="e">
        <f>IF(ISBLANK(Games!#REF!), "",IF(Games!#REF!="Y", Games!#REF!, Games!#REF!))</f>
        <v>#REF!</v>
      </c>
      <c r="K549" s="65" t="e">
        <f>Games!#REF!</f>
        <v>#REF!</v>
      </c>
      <c r="L549" s="65" t="e">
        <f>IF(ISBLANK(Games!#REF!), "",Games!#REF!)</f>
        <v>#REF!</v>
      </c>
      <c r="M549" s="65"/>
      <c r="N549" s="167" t="str">
        <f>IF(ISBLANK(Table123[[#This Row],[Odds Side - Difference Model]]), "", 1)</f>
      </c>
      <c r="O549" s="167" t="str">
        <f>IF(ISBLANK(Table123[[#This Row],[Odds Spread]]), "", 1)</f>
      </c>
      <c r="P549" s="67"/>
      <c r="Q549" s="67"/>
      <c r="R5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9" s="67"/>
      <c r="T549" s="67"/>
      <c r="U549" s="168" t="str">
        <f>IF(ISBLANK(Table123[[#This Row],[Odds Side - Difference Model]]), "",N549+IF(Q549&lt;0, (N549/(Q549/-100)), N549*(Q549/100)))</f>
      </c>
      <c r="V549" s="169" t="str">
        <f>IFERROR(IF(ISBLANK(Table123[[#This Row],[Odds Side - Win Probability Model]]), "",N549+IF(R549&lt;0, (N549/(R549/-100)), N549*(R549/100))),"")</f>
      </c>
      <c r="W549" s="168" t="str">
        <f t="shared" si="55"/>
      </c>
      <c r="X549" s="169" t="str">
        <f t="shared" si="56"/>
      </c>
      <c r="Y549" s="168" t="str">
        <f>IF(ISBLANK(Table123[[#This Row],[Odds Spread]]), "",O549+IF(S549&lt;0, (O549/(S549/-100)), O549*(S549/100)))</f>
      </c>
      <c r="Z549" s="168" t="str">
        <f t="shared" si="57"/>
      </c>
      <c r="AA549" s="68" t="n">
        <f t="shared" si="58"/>
        <v>0</v>
      </c>
      <c r="AB549" s="68" t="n">
        <f t="shared" si="59"/>
        <v>0</v>
      </c>
      <c r="AC549" s="170" t="e">
        <f>IF('Prediction Log'!#REF!="Y", "W", IF('Prediction Log'!#REF!="N","L",""))</f>
        <v>#REF!</v>
      </c>
      <c r="AD549" s="171" t="e">
        <f>IF('Prediction Log'!#REF!="Y", "W", IF('Prediction Log'!#REF!="N","L",""))</f>
        <v>#REF!</v>
      </c>
      <c r="AE549" s="172" t="str">
        <f>IF(ISBLANK(Table123[[#This Row],[Odds Side - Difference Model]]), "",IF(AC549="W", W549, IF(AC549="L",-N549, "")))</f>
      </c>
      <c r="AF549" s="173" t="str">
        <f>IFERROR((IF(ISERR(Table123[[#This Row],[Potential Payout Side - Win Probability Model]]), "",IF(AD549="W", X549, IF(AD549="L",-N549, "")))), "")</f>
      </c>
      <c r="AG549" s="170" t="e">
        <f>IF('Prediction Log'!#REF!="Y", "W", IF('Prediction Log'!#REF!="N", "L", ""))</f>
        <v>#REF!</v>
      </c>
      <c r="AH549" s="172" t="str">
        <f>IF(ISBLANK(Table123[[#This Row],[Odds Spread]]), "",IF(AG549="W", Z549, IF(AG549="L",-O549, "")))</f>
      </c>
      <c r="AI549" s="184"/>
      <c r="AJ549" s="183" t="str">
        <f t="shared" si="60"/>
      </c>
      <c r="AK5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0">
      <c r="A550" s="65" t="e">
        <f>Games!#REF!</f>
        <v>#REF!</v>
      </c>
      <c r="B550" s="65" t="e">
        <f>IF('Prediction Log'!#REF!=0, "",'Prediction Log'!#REF!)</f>
        <v>#REF!</v>
      </c>
      <c r="C550" s="65" t="e">
        <f>IF('Prediction Log'!#REF!=0, "",'Prediction Log'!#REF!)</f>
        <v>#REF!</v>
      </c>
      <c r="D550" s="65" t="e">
        <f>IF('Prediction Log'!#REF!=0, "",'Prediction Log'!#REF!)</f>
        <v>#REF!</v>
      </c>
      <c r="E550" s="65" t="e">
        <f>IF('Prediction Log'!#REF!=0, "",'Prediction Log'!#REF!)</f>
        <v>#REF!</v>
      </c>
      <c r="F550" s="65" t="e">
        <f>IF('Prediction Log'!#REF!=0, "",'Prediction Log'!#REF!)</f>
        <v>#REF!</v>
      </c>
      <c r="G550" s="64" t="e">
        <f>IF(ISBLANK(Games!#REF!), "",'Prediction Log'!#REF!)</f>
        <v>#REF!</v>
      </c>
      <c r="H550" s="66" t="e">
        <f>'Prediction Log'!#REF!</f>
        <v>#REF!</v>
      </c>
      <c r="I550" s="65" t="e">
        <f>IF(ISBLANK(Games!#REF!), "",IF(AND(Games!#REF!="",Games!#REF!=""),"",IF(ISTEXT(Games!#REF!), "Side",Games!#REF!)))</f>
        <v>#REF!</v>
      </c>
      <c r="J550" s="65" t="e">
        <f>IF(ISBLANK(Games!#REF!), "",IF(Games!#REF!="Y", Games!#REF!, Games!#REF!))</f>
        <v>#REF!</v>
      </c>
      <c r="K550" s="65" t="e">
        <f>Games!#REF!</f>
        <v>#REF!</v>
      </c>
      <c r="L550" s="65" t="e">
        <f>IF(ISBLANK(Games!#REF!), "",Games!#REF!)</f>
        <v>#REF!</v>
      </c>
      <c r="M550" s="65"/>
      <c r="N550" s="167" t="str">
        <f>IF(ISBLANK(Table123[[#This Row],[Odds Side - Difference Model]]), "", 1)</f>
      </c>
      <c r="O550" s="167" t="str">
        <f>IF(ISBLANK(Table123[[#This Row],[Odds Spread]]), "", 1)</f>
      </c>
      <c r="P550" s="67"/>
      <c r="Q550" s="67"/>
      <c r="R5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0" s="67"/>
      <c r="T550" s="67"/>
      <c r="U550" s="168" t="str">
        <f>IF(ISBLANK(Table123[[#This Row],[Odds Side - Difference Model]]), "",N550+IF(Q550&lt;0, (N550/(Q550/-100)), N550*(Q550/100)))</f>
      </c>
      <c r="V550" s="169" t="str">
        <f>IFERROR(IF(ISBLANK(Table123[[#This Row],[Odds Side - Win Probability Model]]), "",N550+IF(R550&lt;0, (N550/(R550/-100)), N550*(R550/100))),"")</f>
      </c>
      <c r="W550" s="168" t="str">
        <f t="shared" si="55"/>
      </c>
      <c r="X550" s="169" t="str">
        <f t="shared" si="56"/>
      </c>
      <c r="Y550" s="168" t="str">
        <f>IF(ISBLANK(Table123[[#This Row],[Odds Spread]]), "",O550+IF(S550&lt;0, (O550/(S550/-100)), O550*(S550/100)))</f>
      </c>
      <c r="Z550" s="168" t="str">
        <f t="shared" si="57"/>
      </c>
      <c r="AA550" s="68" t="n">
        <f t="shared" si="58"/>
        <v>0</v>
      </c>
      <c r="AB550" s="68" t="n">
        <f t="shared" si="59"/>
        <v>0</v>
      </c>
      <c r="AC550" s="170" t="e">
        <f>IF('Prediction Log'!#REF!="Y", "W", IF('Prediction Log'!#REF!="N","L",""))</f>
        <v>#REF!</v>
      </c>
      <c r="AD550" s="171" t="e">
        <f>IF('Prediction Log'!#REF!="Y", "W", IF('Prediction Log'!#REF!="N","L",""))</f>
        <v>#REF!</v>
      </c>
      <c r="AE550" s="172" t="str">
        <f>IF(ISBLANK(Table123[[#This Row],[Odds Side - Difference Model]]), "",IF(AC550="W", W550, IF(AC550="L",-N550, "")))</f>
      </c>
      <c r="AF550" s="173" t="str">
        <f>IFERROR((IF(ISERR(Table123[[#This Row],[Potential Payout Side - Win Probability Model]]), "",IF(AD550="W", X550, IF(AD550="L",-N550, "")))), "")</f>
      </c>
      <c r="AG550" s="170" t="e">
        <f>IF('Prediction Log'!#REF!="Y", "W", IF('Prediction Log'!#REF!="N", "L", ""))</f>
        <v>#REF!</v>
      </c>
      <c r="AH550" s="172" t="str">
        <f>IF(ISBLANK(Table123[[#This Row],[Odds Spread]]), "",IF(AG550="W", Z550, IF(AG550="L",-O550, "")))</f>
      </c>
      <c r="AI550" s="184"/>
      <c r="AJ550" s="183" t="str">
        <f t="shared" si="60"/>
      </c>
      <c r="AK5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1">
      <c r="A551" s="65" t="e">
        <f>Games!#REF!</f>
        <v>#REF!</v>
      </c>
      <c r="B551" s="65" t="e">
        <f>IF('Prediction Log'!#REF!=0, "",'Prediction Log'!#REF!)</f>
        <v>#REF!</v>
      </c>
      <c r="C551" s="65" t="e">
        <f>IF('Prediction Log'!#REF!=0, "",'Prediction Log'!#REF!)</f>
        <v>#REF!</v>
      </c>
      <c r="D551" s="65" t="e">
        <f>IF('Prediction Log'!#REF!=0, "",'Prediction Log'!#REF!)</f>
        <v>#REF!</v>
      </c>
      <c r="E551" s="65" t="e">
        <f>IF('Prediction Log'!#REF!=0, "",'Prediction Log'!#REF!)</f>
        <v>#REF!</v>
      </c>
      <c r="F551" s="65" t="e">
        <f>IF('Prediction Log'!#REF!=0, "",'Prediction Log'!#REF!)</f>
        <v>#REF!</v>
      </c>
      <c r="G551" s="64" t="e">
        <f>IF(ISBLANK(Games!#REF!), "",'Prediction Log'!#REF!)</f>
        <v>#REF!</v>
      </c>
      <c r="H551" s="66" t="e">
        <f>'Prediction Log'!#REF!</f>
        <v>#REF!</v>
      </c>
      <c r="I551" s="65" t="e">
        <f>IF(ISBLANK(Games!#REF!), "",IF(AND(Games!#REF!="",Games!#REF!=""),"",IF(ISTEXT(Games!#REF!), "Side",Games!#REF!)))</f>
        <v>#REF!</v>
      </c>
      <c r="J551" s="65" t="e">
        <f>IF(ISBLANK(Games!#REF!), "",IF(Games!#REF!="Y", Games!#REF!, Games!#REF!))</f>
        <v>#REF!</v>
      </c>
      <c r="K551" s="65" t="e">
        <f>Games!#REF!</f>
        <v>#REF!</v>
      </c>
      <c r="L551" s="65" t="e">
        <f>IF(ISBLANK(Games!#REF!), "",Games!#REF!)</f>
        <v>#REF!</v>
      </c>
      <c r="M551" s="65"/>
      <c r="N551" s="167" t="str">
        <f>IF(ISBLANK(Table123[[#This Row],[Odds Side - Difference Model]]), "", 1)</f>
      </c>
      <c r="O551" s="167" t="str">
        <f>IF(ISBLANK(Table123[[#This Row],[Odds Spread]]), "", 1)</f>
      </c>
      <c r="P551" s="67"/>
      <c r="Q551" s="67"/>
      <c r="R5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1" s="67"/>
      <c r="T551" s="67"/>
      <c r="U551" s="168" t="str">
        <f>IF(ISBLANK(Table123[[#This Row],[Odds Side - Difference Model]]), "",N551+IF(Q551&lt;0, (N551/(Q551/-100)), N551*(Q551/100)))</f>
      </c>
      <c r="V551" s="169" t="str">
        <f>IFERROR(IF(ISBLANK(Table123[[#This Row],[Odds Side - Win Probability Model]]), "",N551+IF(R551&lt;0, (N551/(R551/-100)), N551*(R551/100))),"")</f>
      </c>
      <c r="W551" s="168" t="str">
        <f t="shared" si="55"/>
      </c>
      <c r="X551" s="169" t="str">
        <f t="shared" si="56"/>
      </c>
      <c r="Y551" s="168" t="str">
        <f>IF(ISBLANK(Table123[[#This Row],[Odds Spread]]), "",O551+IF(S551&lt;0, (O551/(S551/-100)), O551*(S551/100)))</f>
      </c>
      <c r="Z551" s="168" t="str">
        <f t="shared" si="57"/>
      </c>
      <c r="AA551" s="68" t="n">
        <f t="shared" si="58"/>
        <v>0</v>
      </c>
      <c r="AB551" s="68" t="n">
        <f t="shared" si="59"/>
        <v>0</v>
      </c>
      <c r="AC551" s="170" t="e">
        <f>IF('Prediction Log'!#REF!="Y", "W", IF('Prediction Log'!#REF!="N","L",""))</f>
        <v>#REF!</v>
      </c>
      <c r="AD551" s="171" t="e">
        <f>IF('Prediction Log'!#REF!="Y", "W", IF('Prediction Log'!#REF!="N","L",""))</f>
        <v>#REF!</v>
      </c>
      <c r="AE551" s="172" t="str">
        <f>IF(ISBLANK(Table123[[#This Row],[Odds Side - Difference Model]]), "",IF(AC551="W", W551, IF(AC551="L",-N551, "")))</f>
      </c>
      <c r="AF551" s="173" t="str">
        <f>IFERROR((IF(ISERR(Table123[[#This Row],[Potential Payout Side - Win Probability Model]]), "",IF(AD551="W", X551, IF(AD551="L",-N551, "")))), "")</f>
      </c>
      <c r="AG551" s="170" t="e">
        <f>IF('Prediction Log'!#REF!="Y", "W", IF('Prediction Log'!#REF!="N", "L", ""))</f>
        <v>#REF!</v>
      </c>
      <c r="AH551" s="172" t="str">
        <f>IF(ISBLANK(Table123[[#This Row],[Odds Spread]]), "",IF(AG551="W", Z551, IF(AG551="L",-O551, "")))</f>
      </c>
      <c r="AI551" s="184"/>
      <c r="AJ551" s="183" t="str">
        <f t="shared" si="60"/>
      </c>
      <c r="AK5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2">
      <c r="A552" s="65" t="e">
        <f>Games!#REF!</f>
        <v>#REF!</v>
      </c>
      <c r="B552" s="65" t="e">
        <f>IF('Prediction Log'!#REF!=0, "",'Prediction Log'!#REF!)</f>
        <v>#REF!</v>
      </c>
      <c r="C552" s="65" t="e">
        <f>IF('Prediction Log'!#REF!=0, "",'Prediction Log'!#REF!)</f>
        <v>#REF!</v>
      </c>
      <c r="D552" s="65" t="e">
        <f>IF('Prediction Log'!#REF!=0, "",'Prediction Log'!#REF!)</f>
        <v>#REF!</v>
      </c>
      <c r="E552" s="65" t="e">
        <f>IF('Prediction Log'!#REF!=0, "",'Prediction Log'!#REF!)</f>
        <v>#REF!</v>
      </c>
      <c r="F552" s="65" t="e">
        <f>IF('Prediction Log'!#REF!=0, "",'Prediction Log'!#REF!)</f>
        <v>#REF!</v>
      </c>
      <c r="G552" s="64" t="e">
        <f>IF(ISBLANK(Games!#REF!), "",'Prediction Log'!#REF!)</f>
        <v>#REF!</v>
      </c>
      <c r="H552" s="66" t="e">
        <f>'Prediction Log'!#REF!</f>
        <v>#REF!</v>
      </c>
      <c r="I552" s="65" t="e">
        <f>IF(ISBLANK(Games!#REF!), "",IF(AND(Games!#REF!="",Games!#REF!=""),"",IF(ISTEXT(Games!#REF!), "Side",Games!#REF!)))</f>
        <v>#REF!</v>
      </c>
      <c r="J552" s="65" t="e">
        <f>IF(ISBLANK(Games!#REF!), "",IF(Games!#REF!="Y", Games!#REF!, Games!#REF!))</f>
        <v>#REF!</v>
      </c>
      <c r="K552" s="65" t="e">
        <f>Games!#REF!</f>
        <v>#REF!</v>
      </c>
      <c r="L552" s="65" t="e">
        <f>IF(ISBLANK(Games!#REF!), "",Games!#REF!)</f>
        <v>#REF!</v>
      </c>
      <c r="M552" s="65"/>
      <c r="N552" s="167" t="str">
        <f>IF(ISBLANK(Table123[[#This Row],[Odds Side - Difference Model]]), "", 1)</f>
      </c>
      <c r="O552" s="167" t="str">
        <f>IF(ISBLANK(Table123[[#This Row],[Odds Spread]]), "", 1)</f>
      </c>
      <c r="P552" s="67"/>
      <c r="Q552" s="67"/>
      <c r="R5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2" s="67"/>
      <c r="T552" s="67"/>
      <c r="U552" s="168" t="str">
        <f>IF(ISBLANK(Table123[[#This Row],[Odds Side - Difference Model]]), "",N552+IF(Q552&lt;0, (N552/(Q552/-100)), N552*(Q552/100)))</f>
      </c>
      <c r="V552" s="169" t="str">
        <f>IFERROR(IF(ISBLANK(Table123[[#This Row],[Odds Side - Win Probability Model]]), "",N552+IF(R552&lt;0, (N552/(R552/-100)), N552*(R552/100))),"")</f>
      </c>
      <c r="W552" s="168" t="str">
        <f t="shared" si="55"/>
      </c>
      <c r="X552" s="169" t="str">
        <f t="shared" si="56"/>
      </c>
      <c r="Y552" s="168" t="str">
        <f>IF(ISBLANK(Table123[[#This Row],[Odds Spread]]), "",O552+IF(S552&lt;0, (O552/(S552/-100)), O552*(S552/100)))</f>
      </c>
      <c r="Z552" s="168" t="str">
        <f t="shared" si="57"/>
      </c>
      <c r="AA552" s="68" t="n">
        <f t="shared" si="58"/>
        <v>0</v>
      </c>
      <c r="AB552" s="68" t="n">
        <f t="shared" si="59"/>
        <v>0</v>
      </c>
      <c r="AC552" s="170" t="e">
        <f>IF('Prediction Log'!#REF!="Y", "W", IF('Prediction Log'!#REF!="N","L",""))</f>
        <v>#REF!</v>
      </c>
      <c r="AD552" s="171" t="e">
        <f>IF('Prediction Log'!#REF!="Y", "W", IF('Prediction Log'!#REF!="N","L",""))</f>
        <v>#REF!</v>
      </c>
      <c r="AE552" s="172" t="str">
        <f>IF(ISBLANK(Table123[[#This Row],[Odds Side - Difference Model]]), "",IF(AC552="W", W552, IF(AC552="L",-N552, "")))</f>
      </c>
      <c r="AF552" s="173" t="str">
        <f>IFERROR((IF(ISERR(Table123[[#This Row],[Potential Payout Side - Win Probability Model]]), "",IF(AD552="W", X552, IF(AD552="L",-N552, "")))), "")</f>
      </c>
      <c r="AG552" s="170" t="e">
        <f>IF('Prediction Log'!#REF!="Y", "W", IF('Prediction Log'!#REF!="N", "L", ""))</f>
        <v>#REF!</v>
      </c>
      <c r="AH552" s="172" t="str">
        <f>IF(ISBLANK(Table123[[#This Row],[Odds Spread]]), "",IF(AG552="W", Z552, IF(AG552="L",-O552, "")))</f>
      </c>
      <c r="AI552" s="184"/>
      <c r="AJ552" s="183" t="str">
        <f t="shared" si="60"/>
      </c>
      <c r="AK5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3">
      <c r="A553" s="65" t="e">
        <f>Games!#REF!</f>
        <v>#REF!</v>
      </c>
      <c r="B553" s="65" t="e">
        <f>IF('Prediction Log'!#REF!=0, "",'Prediction Log'!#REF!)</f>
        <v>#REF!</v>
      </c>
      <c r="C553" s="65" t="e">
        <f>IF('Prediction Log'!#REF!=0, "",'Prediction Log'!#REF!)</f>
        <v>#REF!</v>
      </c>
      <c r="D553" s="65" t="e">
        <f>IF('Prediction Log'!#REF!=0, "",'Prediction Log'!#REF!)</f>
        <v>#REF!</v>
      </c>
      <c r="E553" s="65" t="e">
        <f>IF('Prediction Log'!#REF!=0, "",'Prediction Log'!#REF!)</f>
        <v>#REF!</v>
      </c>
      <c r="F553" s="65" t="e">
        <f>IF('Prediction Log'!#REF!=0, "",'Prediction Log'!#REF!)</f>
        <v>#REF!</v>
      </c>
      <c r="G553" s="64" t="e">
        <f>IF(ISBLANK(Games!#REF!), "",'Prediction Log'!#REF!)</f>
        <v>#REF!</v>
      </c>
      <c r="H553" s="66" t="e">
        <f>'Prediction Log'!#REF!</f>
        <v>#REF!</v>
      </c>
      <c r="I553" s="65" t="e">
        <f>IF(ISBLANK(Games!#REF!), "",IF(AND(Games!#REF!="",Games!#REF!=""),"",IF(ISTEXT(Games!#REF!), "Side",Games!#REF!)))</f>
        <v>#REF!</v>
      </c>
      <c r="J553" s="65" t="e">
        <f>IF(ISBLANK(Games!#REF!), "",IF(Games!#REF!="Y", Games!#REF!, Games!#REF!))</f>
        <v>#REF!</v>
      </c>
      <c r="K553" s="65" t="e">
        <f>Games!#REF!</f>
        <v>#REF!</v>
      </c>
      <c r="L553" s="65" t="e">
        <f>IF(ISBLANK(Games!#REF!), "",Games!#REF!)</f>
        <v>#REF!</v>
      </c>
      <c r="M553" s="65"/>
      <c r="N553" s="167" t="str">
        <f>IF(ISBLANK(Table123[[#This Row],[Odds Side - Difference Model]]), "", 1)</f>
      </c>
      <c r="O553" s="167" t="str">
        <f>IF(ISBLANK(Table123[[#This Row],[Odds Spread]]), "", 1)</f>
      </c>
      <c r="P553" s="67"/>
      <c r="Q553" s="67"/>
      <c r="R5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3" s="67"/>
      <c r="T553" s="67"/>
      <c r="U553" s="168" t="str">
        <f>IF(ISBLANK(Table123[[#This Row],[Odds Side - Difference Model]]), "",N553+IF(Q553&lt;0, (N553/(Q553/-100)), N553*(Q553/100)))</f>
      </c>
      <c r="V553" s="169" t="str">
        <f>IFERROR(IF(ISBLANK(Table123[[#This Row],[Odds Side - Win Probability Model]]), "",N553+IF(R553&lt;0, (N553/(R553/-100)), N553*(R553/100))),"")</f>
      </c>
      <c r="W553" s="168" t="str">
        <f t="shared" si="55"/>
      </c>
      <c r="X553" s="169" t="str">
        <f t="shared" si="56"/>
      </c>
      <c r="Y553" s="168" t="str">
        <f>IF(ISBLANK(Table123[[#This Row],[Odds Spread]]), "",O553+IF(S553&lt;0, (O553/(S553/-100)), O553*(S553/100)))</f>
      </c>
      <c r="Z553" s="168" t="str">
        <f t="shared" si="57"/>
      </c>
      <c r="AA553" s="68" t="n">
        <f t="shared" si="58"/>
        <v>0</v>
      </c>
      <c r="AB553" s="68" t="n">
        <f t="shared" si="59"/>
        <v>0</v>
      </c>
      <c r="AC553" s="170" t="e">
        <f>IF('Prediction Log'!#REF!="Y", "W", IF('Prediction Log'!#REF!="N","L",""))</f>
        <v>#REF!</v>
      </c>
      <c r="AD553" s="171" t="e">
        <f>IF('Prediction Log'!#REF!="Y", "W", IF('Prediction Log'!#REF!="N","L",""))</f>
        <v>#REF!</v>
      </c>
      <c r="AE553" s="172" t="str">
        <f>IF(ISBLANK(Table123[[#This Row],[Odds Side - Difference Model]]), "",IF(AC553="W", W553, IF(AC553="L",-N553, "")))</f>
      </c>
      <c r="AF553" s="173" t="str">
        <f>IFERROR((IF(ISERR(Table123[[#This Row],[Potential Payout Side - Win Probability Model]]), "",IF(AD553="W", X553, IF(AD553="L",-N553, "")))), "")</f>
      </c>
      <c r="AG553" s="170" t="e">
        <f>IF('Prediction Log'!#REF!="Y", "W", IF('Prediction Log'!#REF!="N", "L", ""))</f>
        <v>#REF!</v>
      </c>
      <c r="AH553" s="172" t="str">
        <f>IF(ISBLANK(Table123[[#This Row],[Odds Spread]]), "",IF(AG553="W", Z553, IF(AG553="L",-O553, "")))</f>
      </c>
      <c r="AI553" s="184"/>
      <c r="AJ553" s="183" t="str">
        <f t="shared" si="60"/>
      </c>
      <c r="AK5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4">
      <c r="A554" s="65" t="e">
        <f>Games!#REF!</f>
        <v>#REF!</v>
      </c>
      <c r="B554" s="65" t="e">
        <f>IF('Prediction Log'!#REF!=0, "",'Prediction Log'!#REF!)</f>
        <v>#REF!</v>
      </c>
      <c r="C554" s="65" t="e">
        <f>IF('Prediction Log'!#REF!=0, "",'Prediction Log'!#REF!)</f>
        <v>#REF!</v>
      </c>
      <c r="D554" s="65" t="e">
        <f>IF('Prediction Log'!#REF!=0, "",'Prediction Log'!#REF!)</f>
        <v>#REF!</v>
      </c>
      <c r="E554" s="65" t="e">
        <f>IF('Prediction Log'!#REF!=0, "",'Prediction Log'!#REF!)</f>
        <v>#REF!</v>
      </c>
      <c r="F554" s="65" t="e">
        <f>IF('Prediction Log'!#REF!=0, "",'Prediction Log'!#REF!)</f>
        <v>#REF!</v>
      </c>
      <c r="G554" s="64" t="e">
        <f>IF(ISBLANK(Games!#REF!), "",'Prediction Log'!#REF!)</f>
        <v>#REF!</v>
      </c>
      <c r="H554" s="66" t="e">
        <f>'Prediction Log'!#REF!</f>
        <v>#REF!</v>
      </c>
      <c r="I554" s="65" t="e">
        <f>IF(ISBLANK(Games!#REF!), "",IF(AND(Games!#REF!="",Games!#REF!=""),"",IF(ISTEXT(Games!#REF!), "Side",Games!#REF!)))</f>
        <v>#REF!</v>
      </c>
      <c r="J554" s="65" t="e">
        <f>IF(ISBLANK(Games!#REF!), "",IF(Games!#REF!="Y", Games!#REF!, Games!#REF!))</f>
        <v>#REF!</v>
      </c>
      <c r="K554" s="65" t="e">
        <f>Games!#REF!</f>
        <v>#REF!</v>
      </c>
      <c r="L554" s="65" t="e">
        <f>IF(ISBLANK(Games!#REF!), "",Games!#REF!)</f>
        <v>#REF!</v>
      </c>
      <c r="M554" s="65"/>
      <c r="N554" s="167" t="str">
        <f>IF(ISBLANK(Table123[[#This Row],[Odds Side - Difference Model]]), "", 1)</f>
      </c>
      <c r="O554" s="167" t="str">
        <f>IF(ISBLANK(Table123[[#This Row],[Odds Spread]]), "", 1)</f>
      </c>
      <c r="P554" s="67"/>
      <c r="Q554" s="67"/>
      <c r="R5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4" s="67"/>
      <c r="T554" s="67"/>
      <c r="U554" s="168" t="str">
        <f>IF(ISBLANK(Table123[[#This Row],[Odds Side - Difference Model]]), "",N554+IF(Q554&lt;0, (N554/(Q554/-100)), N554*(Q554/100)))</f>
      </c>
      <c r="V554" s="169" t="str">
        <f>IFERROR(IF(ISBLANK(Table123[[#This Row],[Odds Side - Win Probability Model]]), "",N554+IF(R554&lt;0, (N554/(R554/-100)), N554*(R554/100))),"")</f>
      </c>
      <c r="W554" s="168" t="str">
        <f t="shared" si="55"/>
      </c>
      <c r="X554" s="169" t="str">
        <f t="shared" si="56"/>
      </c>
      <c r="Y554" s="168" t="str">
        <f>IF(ISBLANK(Table123[[#This Row],[Odds Spread]]), "",O554+IF(S554&lt;0, (O554/(S554/-100)), O554*(S554/100)))</f>
      </c>
      <c r="Z554" s="168" t="str">
        <f t="shared" si="57"/>
      </c>
      <c r="AA554" s="68" t="n">
        <f t="shared" si="58"/>
        <v>0</v>
      </c>
      <c r="AB554" s="68" t="n">
        <f t="shared" si="59"/>
        <v>0</v>
      </c>
      <c r="AC554" s="170" t="e">
        <f>IF('Prediction Log'!#REF!="Y", "W", IF('Prediction Log'!#REF!="N","L",""))</f>
        <v>#REF!</v>
      </c>
      <c r="AD554" s="171" t="e">
        <f>IF('Prediction Log'!#REF!="Y", "W", IF('Prediction Log'!#REF!="N","L",""))</f>
        <v>#REF!</v>
      </c>
      <c r="AE554" s="172" t="str">
        <f>IF(ISBLANK(Table123[[#This Row],[Odds Side - Difference Model]]), "",IF(AC554="W", W554, IF(AC554="L",-N554, "")))</f>
      </c>
      <c r="AF554" s="173" t="str">
        <f>IFERROR((IF(ISERR(Table123[[#This Row],[Potential Payout Side - Win Probability Model]]), "",IF(AD554="W", X554, IF(AD554="L",-N554, "")))), "")</f>
      </c>
      <c r="AG554" s="170" t="e">
        <f>IF('Prediction Log'!#REF!="Y", "W", IF('Prediction Log'!#REF!="N", "L", ""))</f>
        <v>#REF!</v>
      </c>
      <c r="AH554" s="172" t="str">
        <f>IF(ISBLANK(Table123[[#This Row],[Odds Spread]]), "",IF(AG554="W", Z554, IF(AG554="L",-O554, "")))</f>
      </c>
      <c r="AI554" s="184"/>
      <c r="AJ554" s="183" t="str">
        <f t="shared" si="60"/>
      </c>
      <c r="AK5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5">
      <c r="A555" s="65" t="e">
        <f>Games!#REF!</f>
        <v>#REF!</v>
      </c>
      <c r="B555" s="65" t="e">
        <f>IF('Prediction Log'!#REF!=0, "",'Prediction Log'!#REF!)</f>
        <v>#REF!</v>
      </c>
      <c r="C555" s="65" t="e">
        <f>IF('Prediction Log'!#REF!=0, "",'Prediction Log'!#REF!)</f>
        <v>#REF!</v>
      </c>
      <c r="D555" s="65" t="e">
        <f>IF('Prediction Log'!#REF!=0, "",'Prediction Log'!#REF!)</f>
        <v>#REF!</v>
      </c>
      <c r="E555" s="65" t="e">
        <f>IF('Prediction Log'!#REF!=0, "",'Prediction Log'!#REF!)</f>
        <v>#REF!</v>
      </c>
      <c r="F555" s="65" t="e">
        <f>IF('Prediction Log'!#REF!=0, "",'Prediction Log'!#REF!)</f>
        <v>#REF!</v>
      </c>
      <c r="G555" s="64" t="e">
        <f>IF(ISBLANK(Games!#REF!), "",'Prediction Log'!#REF!)</f>
        <v>#REF!</v>
      </c>
      <c r="H555" s="66" t="e">
        <f>'Prediction Log'!#REF!</f>
        <v>#REF!</v>
      </c>
      <c r="I555" s="65" t="e">
        <f>IF(ISBLANK(Games!#REF!), "",IF(AND(Games!#REF!="",Games!#REF!=""),"",IF(ISTEXT(Games!#REF!), "Side",Games!#REF!)))</f>
        <v>#REF!</v>
      </c>
      <c r="J555" s="65" t="e">
        <f>IF(ISBLANK(Games!#REF!), "",IF(Games!#REF!="Y", Games!#REF!, Games!#REF!))</f>
        <v>#REF!</v>
      </c>
      <c r="K555" s="65" t="e">
        <f>Games!#REF!</f>
        <v>#REF!</v>
      </c>
      <c r="L555" s="65" t="e">
        <f>IF(ISBLANK(Games!#REF!), "",Games!#REF!)</f>
        <v>#REF!</v>
      </c>
      <c r="M555" s="65"/>
      <c r="N555" s="167" t="str">
        <f>IF(ISBLANK(Table123[[#This Row],[Odds Side - Difference Model]]), "", 1)</f>
      </c>
      <c r="O555" s="167" t="str">
        <f>IF(ISBLANK(Table123[[#This Row],[Odds Spread]]), "", 1)</f>
      </c>
      <c r="P555" s="67"/>
      <c r="Q555" s="67"/>
      <c r="R5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5" s="67"/>
      <c r="T555" s="67"/>
      <c r="U555" s="168" t="str">
        <f>IF(ISBLANK(Table123[[#This Row],[Odds Side - Difference Model]]), "",N555+IF(Q555&lt;0, (N555/(Q555/-100)), N555*(Q555/100)))</f>
      </c>
      <c r="V555" s="169" t="str">
        <f>IFERROR(IF(ISBLANK(Table123[[#This Row],[Odds Side - Win Probability Model]]), "",N555+IF(R555&lt;0, (N555/(R555/-100)), N555*(R555/100))),"")</f>
      </c>
      <c r="W555" s="168" t="str">
        <f t="shared" si="55"/>
      </c>
      <c r="X555" s="169" t="str">
        <f t="shared" si="56"/>
      </c>
      <c r="Y555" s="168" t="str">
        <f>IF(ISBLANK(Table123[[#This Row],[Odds Spread]]), "",O555+IF(S555&lt;0, (O555/(S555/-100)), O555*(S555/100)))</f>
      </c>
      <c r="Z555" s="168" t="str">
        <f t="shared" si="57"/>
      </c>
      <c r="AA555" s="68" t="n">
        <f t="shared" si="58"/>
        <v>0</v>
      </c>
      <c r="AB555" s="68" t="n">
        <f t="shared" si="59"/>
        <v>0</v>
      </c>
      <c r="AC555" s="170" t="e">
        <f>IF('Prediction Log'!#REF!="Y", "W", IF('Prediction Log'!#REF!="N","L",""))</f>
        <v>#REF!</v>
      </c>
      <c r="AD555" s="171" t="e">
        <f>IF('Prediction Log'!#REF!="Y", "W", IF('Prediction Log'!#REF!="N","L",""))</f>
        <v>#REF!</v>
      </c>
      <c r="AE555" s="172" t="str">
        <f>IF(ISBLANK(Table123[[#This Row],[Odds Side - Difference Model]]), "",IF(AC555="W", W555, IF(AC555="L",-N555, "")))</f>
      </c>
      <c r="AF555" s="173" t="str">
        <f>IFERROR((IF(ISERR(Table123[[#This Row],[Potential Payout Side - Win Probability Model]]), "",IF(AD555="W", X555, IF(AD555="L",-N555, "")))), "")</f>
      </c>
      <c r="AG555" s="170" t="e">
        <f>IF('Prediction Log'!#REF!="Y", "W", IF('Prediction Log'!#REF!="N", "L", ""))</f>
        <v>#REF!</v>
      </c>
      <c r="AH555" s="172" t="str">
        <f>IF(ISBLANK(Table123[[#This Row],[Odds Spread]]), "",IF(AG555="W", Z555, IF(AG555="L",-O555, "")))</f>
      </c>
      <c r="AI555" s="184"/>
      <c r="AJ555" s="183" t="str">
        <f t="shared" si="60"/>
      </c>
      <c r="AK5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6">
      <c r="A556" s="65" t="e">
        <f>Games!#REF!</f>
        <v>#REF!</v>
      </c>
      <c r="B556" s="65" t="e">
        <f>IF('Prediction Log'!#REF!=0, "",'Prediction Log'!#REF!)</f>
        <v>#REF!</v>
      </c>
      <c r="C556" s="65" t="e">
        <f>IF('Prediction Log'!#REF!=0, "",'Prediction Log'!#REF!)</f>
        <v>#REF!</v>
      </c>
      <c r="D556" s="65" t="e">
        <f>IF('Prediction Log'!#REF!=0, "",'Prediction Log'!#REF!)</f>
        <v>#REF!</v>
      </c>
      <c r="E556" s="65" t="e">
        <f>IF('Prediction Log'!#REF!=0, "",'Prediction Log'!#REF!)</f>
        <v>#REF!</v>
      </c>
      <c r="F556" s="65" t="e">
        <f>IF('Prediction Log'!#REF!=0, "",'Prediction Log'!#REF!)</f>
        <v>#REF!</v>
      </c>
      <c r="G556" s="64" t="e">
        <f>IF(ISBLANK(Games!#REF!), "",'Prediction Log'!#REF!)</f>
        <v>#REF!</v>
      </c>
      <c r="H556" s="66" t="e">
        <f>'Prediction Log'!#REF!</f>
        <v>#REF!</v>
      </c>
      <c r="I556" s="65" t="e">
        <f>IF(ISBLANK(Games!#REF!), "",IF(AND(Games!#REF!="",Games!#REF!=""),"",IF(ISTEXT(Games!#REF!), "Side",Games!#REF!)))</f>
        <v>#REF!</v>
      </c>
      <c r="J556" s="65" t="e">
        <f>IF(ISBLANK(Games!#REF!), "",IF(Games!#REF!="Y", Games!#REF!, Games!#REF!))</f>
        <v>#REF!</v>
      </c>
      <c r="K556" s="65" t="e">
        <f>Games!#REF!</f>
        <v>#REF!</v>
      </c>
      <c r="L556" s="65" t="e">
        <f>IF(ISBLANK(Games!#REF!), "",Games!#REF!)</f>
        <v>#REF!</v>
      </c>
      <c r="M556" s="65"/>
      <c r="N556" s="167" t="str">
        <f>IF(ISBLANK(Table123[[#This Row],[Odds Side - Difference Model]]), "", 1)</f>
      </c>
      <c r="O556" s="167" t="str">
        <f>IF(ISBLANK(Table123[[#This Row],[Odds Spread]]), "", 1)</f>
      </c>
      <c r="P556" s="67"/>
      <c r="Q556" s="67"/>
      <c r="R5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6" s="67"/>
      <c r="T556" s="67"/>
      <c r="U556" s="168" t="str">
        <f>IF(ISBLANK(Table123[[#This Row],[Odds Side - Difference Model]]), "",N556+IF(Q556&lt;0, (N556/(Q556/-100)), N556*(Q556/100)))</f>
      </c>
      <c r="V556" s="169" t="str">
        <f>IFERROR(IF(ISBLANK(Table123[[#This Row],[Odds Side - Win Probability Model]]), "",N556+IF(R556&lt;0, (N556/(R556/-100)), N556*(R556/100))),"")</f>
      </c>
      <c r="W556" s="168" t="str">
        <f t="shared" si="55"/>
      </c>
      <c r="X556" s="169" t="str">
        <f t="shared" si="56"/>
      </c>
      <c r="Y556" s="168" t="str">
        <f>IF(ISBLANK(Table123[[#This Row],[Odds Spread]]), "",O556+IF(S556&lt;0, (O556/(S556/-100)), O556*(S556/100)))</f>
      </c>
      <c r="Z556" s="168" t="str">
        <f t="shared" si="57"/>
      </c>
      <c r="AA556" s="68" t="n">
        <f t="shared" si="58"/>
        <v>0</v>
      </c>
      <c r="AB556" s="68" t="n">
        <f t="shared" si="59"/>
        <v>0</v>
      </c>
      <c r="AC556" s="170" t="e">
        <f>IF('Prediction Log'!#REF!="Y", "W", IF('Prediction Log'!#REF!="N","L",""))</f>
        <v>#REF!</v>
      </c>
      <c r="AD556" s="171" t="e">
        <f>IF('Prediction Log'!#REF!="Y", "W", IF('Prediction Log'!#REF!="N","L",""))</f>
        <v>#REF!</v>
      </c>
      <c r="AE556" s="172" t="str">
        <f>IF(ISBLANK(Table123[[#This Row],[Odds Side - Difference Model]]), "",IF(AC556="W", W556, IF(AC556="L",-N556, "")))</f>
      </c>
      <c r="AF556" s="173" t="str">
        <f>IFERROR((IF(ISERR(Table123[[#This Row],[Potential Payout Side - Win Probability Model]]), "",IF(AD556="W", X556, IF(AD556="L",-N556, "")))), "")</f>
      </c>
      <c r="AG556" s="170" t="e">
        <f>IF('Prediction Log'!#REF!="Y", "W", IF('Prediction Log'!#REF!="N", "L", ""))</f>
        <v>#REF!</v>
      </c>
      <c r="AH556" s="172" t="str">
        <f>IF(ISBLANK(Table123[[#This Row],[Odds Spread]]), "",IF(AG556="W", Z556, IF(AG556="L",-O556, "")))</f>
      </c>
      <c r="AI556" s="184"/>
      <c r="AJ556" s="183" t="str">
        <f t="shared" si="60"/>
      </c>
      <c r="AK5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7">
      <c r="A557" s="65" t="e">
        <f>Games!#REF!</f>
        <v>#REF!</v>
      </c>
      <c r="B557" s="65" t="e">
        <f>IF('Prediction Log'!#REF!=0, "",'Prediction Log'!#REF!)</f>
        <v>#REF!</v>
      </c>
      <c r="C557" s="65" t="e">
        <f>IF('Prediction Log'!#REF!=0, "",'Prediction Log'!#REF!)</f>
        <v>#REF!</v>
      </c>
      <c r="D557" s="65" t="e">
        <f>IF('Prediction Log'!#REF!=0, "",'Prediction Log'!#REF!)</f>
        <v>#REF!</v>
      </c>
      <c r="E557" s="65" t="e">
        <f>IF('Prediction Log'!#REF!=0, "",'Prediction Log'!#REF!)</f>
        <v>#REF!</v>
      </c>
      <c r="F557" s="65" t="e">
        <f>IF('Prediction Log'!#REF!=0, "",'Prediction Log'!#REF!)</f>
        <v>#REF!</v>
      </c>
      <c r="G557" s="64" t="e">
        <f>IF(ISBLANK(Games!#REF!), "",'Prediction Log'!#REF!)</f>
        <v>#REF!</v>
      </c>
      <c r="H557" s="66" t="e">
        <f>'Prediction Log'!#REF!</f>
        <v>#REF!</v>
      </c>
      <c r="I557" s="65" t="e">
        <f>IF(ISBLANK(Games!#REF!), "",IF(AND(Games!#REF!="",Games!#REF!=""),"",IF(ISTEXT(Games!#REF!), "Side",Games!#REF!)))</f>
        <v>#REF!</v>
      </c>
      <c r="J557" s="65" t="e">
        <f>IF(ISBLANK(Games!#REF!), "",IF(Games!#REF!="Y", Games!#REF!, Games!#REF!))</f>
        <v>#REF!</v>
      </c>
      <c r="K557" s="65" t="e">
        <f>Games!#REF!</f>
        <v>#REF!</v>
      </c>
      <c r="L557" s="65" t="e">
        <f>IF(ISBLANK(Games!#REF!), "",Games!#REF!)</f>
        <v>#REF!</v>
      </c>
      <c r="M557" s="65"/>
      <c r="N557" s="167" t="str">
        <f>IF(ISBLANK(Table123[[#This Row],[Odds Side - Difference Model]]), "", 1)</f>
      </c>
      <c r="O557" s="167" t="str">
        <f>IF(ISBLANK(Table123[[#This Row],[Odds Spread]]), "", 1)</f>
      </c>
      <c r="P557" s="67"/>
      <c r="Q557" s="67"/>
      <c r="R5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7" s="67"/>
      <c r="T557" s="67"/>
      <c r="U557" s="168" t="str">
        <f>IF(ISBLANK(Table123[[#This Row],[Odds Side - Difference Model]]), "",N557+IF(Q557&lt;0, (N557/(Q557/-100)), N557*(Q557/100)))</f>
      </c>
      <c r="V557" s="169" t="str">
        <f>IFERROR(IF(ISBLANK(Table123[[#This Row],[Odds Side - Win Probability Model]]), "",N557+IF(R557&lt;0, (N557/(R557/-100)), N557*(R557/100))),"")</f>
      </c>
      <c r="W557" s="168" t="str">
        <f t="shared" si="55"/>
      </c>
      <c r="X557" s="169" t="str">
        <f t="shared" si="56"/>
      </c>
      <c r="Y557" s="168" t="str">
        <f>IF(ISBLANK(Table123[[#This Row],[Odds Spread]]), "",O557+IF(S557&lt;0, (O557/(S557/-100)), O557*(S557/100)))</f>
      </c>
      <c r="Z557" s="168" t="str">
        <f t="shared" si="57"/>
      </c>
      <c r="AA557" s="68" t="n">
        <f t="shared" si="58"/>
        <v>0</v>
      </c>
      <c r="AB557" s="68" t="n">
        <f t="shared" si="59"/>
        <v>0</v>
      </c>
      <c r="AC557" s="170" t="e">
        <f>IF('Prediction Log'!#REF!="Y", "W", IF('Prediction Log'!#REF!="N","L",""))</f>
        <v>#REF!</v>
      </c>
      <c r="AD557" s="171" t="e">
        <f>IF('Prediction Log'!#REF!="Y", "W", IF('Prediction Log'!#REF!="N","L",""))</f>
        <v>#REF!</v>
      </c>
      <c r="AE557" s="172" t="str">
        <f>IF(ISBLANK(Table123[[#This Row],[Odds Side - Difference Model]]), "",IF(AC557="W", W557, IF(AC557="L",-N557, "")))</f>
      </c>
      <c r="AF557" s="173" t="str">
        <f>IFERROR((IF(ISERR(Table123[[#This Row],[Potential Payout Side - Win Probability Model]]), "",IF(AD557="W", X557, IF(AD557="L",-N557, "")))), "")</f>
      </c>
      <c r="AG557" s="170" t="e">
        <f>IF('Prediction Log'!#REF!="Y", "W", IF('Prediction Log'!#REF!="N", "L", ""))</f>
        <v>#REF!</v>
      </c>
      <c r="AH557" s="172" t="str">
        <f>IF(ISBLANK(Table123[[#This Row],[Odds Spread]]), "",IF(AG557="W", Z557, IF(AG557="L",-O557, "")))</f>
      </c>
      <c r="AI557" s="184"/>
      <c r="AJ557" s="183" t="str">
        <f t="shared" si="60"/>
      </c>
      <c r="AK5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8">
      <c r="A558" s="65" t="e">
        <f>Games!#REF!</f>
        <v>#REF!</v>
      </c>
      <c r="B558" s="65" t="e">
        <f>IF('Prediction Log'!#REF!=0, "",'Prediction Log'!#REF!)</f>
        <v>#REF!</v>
      </c>
      <c r="C558" s="65" t="e">
        <f>IF('Prediction Log'!#REF!=0, "",'Prediction Log'!#REF!)</f>
        <v>#REF!</v>
      </c>
      <c r="D558" s="65" t="e">
        <f>IF('Prediction Log'!#REF!=0, "",'Prediction Log'!#REF!)</f>
        <v>#REF!</v>
      </c>
      <c r="E558" s="65" t="e">
        <f>IF('Prediction Log'!#REF!=0, "",'Prediction Log'!#REF!)</f>
        <v>#REF!</v>
      </c>
      <c r="F558" s="65" t="e">
        <f>IF('Prediction Log'!#REF!=0, "",'Prediction Log'!#REF!)</f>
        <v>#REF!</v>
      </c>
      <c r="G558" s="64" t="e">
        <f>IF(ISBLANK(Games!#REF!), "",'Prediction Log'!#REF!)</f>
        <v>#REF!</v>
      </c>
      <c r="H558" s="66" t="e">
        <f>'Prediction Log'!#REF!</f>
        <v>#REF!</v>
      </c>
      <c r="I558" s="65" t="e">
        <f>IF(ISBLANK(Games!#REF!), "",IF(AND(Games!#REF!="",Games!#REF!=""),"",IF(ISTEXT(Games!#REF!), "Side",Games!#REF!)))</f>
        <v>#REF!</v>
      </c>
      <c r="J558" s="65" t="e">
        <f>IF(ISBLANK(Games!#REF!), "",IF(Games!#REF!="Y", Games!#REF!, Games!#REF!))</f>
        <v>#REF!</v>
      </c>
      <c r="K558" s="65" t="e">
        <f>Games!#REF!</f>
        <v>#REF!</v>
      </c>
      <c r="L558" s="65" t="e">
        <f>IF(ISBLANK(Games!#REF!), "",Games!#REF!)</f>
        <v>#REF!</v>
      </c>
      <c r="M558" s="65"/>
      <c r="N558" s="167" t="str">
        <f>IF(ISBLANK(Table123[[#This Row],[Odds Side - Difference Model]]), "", 1)</f>
      </c>
      <c r="O558" s="167" t="str">
        <f>IF(ISBLANK(Table123[[#This Row],[Odds Spread]]), "", 1)</f>
      </c>
      <c r="P558" s="67"/>
      <c r="Q558" s="67"/>
      <c r="R5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8" s="67"/>
      <c r="T558" s="67"/>
      <c r="U558" s="168" t="str">
        <f>IF(ISBLANK(Table123[[#This Row],[Odds Side - Difference Model]]), "",N558+IF(Q558&lt;0, (N558/(Q558/-100)), N558*(Q558/100)))</f>
      </c>
      <c r="V558" s="169" t="str">
        <f>IFERROR(IF(ISBLANK(Table123[[#This Row],[Odds Side - Win Probability Model]]), "",N558+IF(R558&lt;0, (N558/(R558/-100)), N558*(R558/100))),"")</f>
      </c>
      <c r="W558" s="168" t="str">
        <f t="shared" si="55"/>
      </c>
      <c r="X558" s="169" t="str">
        <f t="shared" si="56"/>
      </c>
      <c r="Y558" s="168" t="str">
        <f>IF(ISBLANK(Table123[[#This Row],[Odds Spread]]), "",O558+IF(S558&lt;0, (O558/(S558/-100)), O558*(S558/100)))</f>
      </c>
      <c r="Z558" s="168" t="str">
        <f t="shared" si="57"/>
      </c>
      <c r="AA558" s="68" t="n">
        <f t="shared" si="58"/>
        <v>0</v>
      </c>
      <c r="AB558" s="68" t="n">
        <f t="shared" si="59"/>
        <v>0</v>
      </c>
      <c r="AC558" s="170" t="e">
        <f>IF('Prediction Log'!#REF!="Y", "W", IF('Prediction Log'!#REF!="N","L",""))</f>
        <v>#REF!</v>
      </c>
      <c r="AD558" s="171" t="e">
        <f>IF('Prediction Log'!#REF!="Y", "W", IF('Prediction Log'!#REF!="N","L",""))</f>
        <v>#REF!</v>
      </c>
      <c r="AE558" s="172" t="str">
        <f>IF(ISBLANK(Table123[[#This Row],[Odds Side - Difference Model]]), "",IF(AC558="W", W558, IF(AC558="L",-N558, "")))</f>
      </c>
      <c r="AF558" s="173" t="str">
        <f>IFERROR((IF(ISERR(Table123[[#This Row],[Potential Payout Side - Win Probability Model]]), "",IF(AD558="W", X558, IF(AD558="L",-N558, "")))), "")</f>
      </c>
      <c r="AG558" s="170" t="e">
        <f>IF('Prediction Log'!#REF!="Y", "W", IF('Prediction Log'!#REF!="N", "L", ""))</f>
        <v>#REF!</v>
      </c>
      <c r="AH558" s="172" t="str">
        <f>IF(ISBLANK(Table123[[#This Row],[Odds Spread]]), "",IF(AG558="W", Z558, IF(AG558="L",-O558, "")))</f>
      </c>
      <c r="AI558" s="184"/>
      <c r="AJ558" s="183" t="str">
        <f t="shared" si="60"/>
      </c>
      <c r="AK5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9">
      <c r="A559" s="65" t="e">
        <f>Games!#REF!</f>
        <v>#REF!</v>
      </c>
      <c r="B559" s="65" t="e">
        <f>IF('Prediction Log'!#REF!=0, "",'Prediction Log'!#REF!)</f>
        <v>#REF!</v>
      </c>
      <c r="C559" s="65" t="e">
        <f>IF('Prediction Log'!#REF!=0, "",'Prediction Log'!#REF!)</f>
        <v>#REF!</v>
      </c>
      <c r="D559" s="65" t="e">
        <f>IF('Prediction Log'!#REF!=0, "",'Prediction Log'!#REF!)</f>
        <v>#REF!</v>
      </c>
      <c r="E559" s="65" t="e">
        <f>IF('Prediction Log'!#REF!=0, "",'Prediction Log'!#REF!)</f>
        <v>#REF!</v>
      </c>
      <c r="F559" s="65" t="e">
        <f>IF('Prediction Log'!#REF!=0, "",'Prediction Log'!#REF!)</f>
        <v>#REF!</v>
      </c>
      <c r="G559" s="64" t="e">
        <f>IF(ISBLANK(Games!#REF!), "",'Prediction Log'!#REF!)</f>
        <v>#REF!</v>
      </c>
      <c r="H559" s="66" t="e">
        <f>'Prediction Log'!#REF!</f>
        <v>#REF!</v>
      </c>
      <c r="I559" s="65" t="e">
        <f>IF(ISBLANK(Games!#REF!), "",IF(AND(Games!#REF!="",Games!#REF!=""),"",IF(ISTEXT(Games!#REF!), "Side",Games!#REF!)))</f>
        <v>#REF!</v>
      </c>
      <c r="J559" s="65" t="e">
        <f>IF(ISBLANK(Games!#REF!), "",IF(Games!#REF!="Y", Games!#REF!, Games!#REF!))</f>
        <v>#REF!</v>
      </c>
      <c r="K559" s="65" t="e">
        <f>Games!#REF!</f>
        <v>#REF!</v>
      </c>
      <c r="L559" s="65" t="e">
        <f>IF(ISBLANK(Games!#REF!), "",Games!#REF!)</f>
        <v>#REF!</v>
      </c>
      <c r="M559" s="65"/>
      <c r="N559" s="167" t="str">
        <f>IF(ISBLANK(Table123[[#This Row],[Odds Side - Difference Model]]), "", 1)</f>
      </c>
      <c r="O559" s="167" t="str">
        <f>IF(ISBLANK(Table123[[#This Row],[Odds Spread]]), "", 1)</f>
      </c>
      <c r="P559" s="67"/>
      <c r="Q559" s="67"/>
      <c r="R5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9" s="67"/>
      <c r="T559" s="67"/>
      <c r="U559" s="168" t="str">
        <f>IF(ISBLANK(Table123[[#This Row],[Odds Side - Difference Model]]), "",N559+IF(Q559&lt;0, (N559/(Q559/-100)), N559*(Q559/100)))</f>
      </c>
      <c r="V559" s="169" t="str">
        <f>IFERROR(IF(ISBLANK(Table123[[#This Row],[Odds Side - Win Probability Model]]), "",N559+IF(R559&lt;0, (N559/(R559/-100)), N559*(R559/100))),"")</f>
      </c>
      <c r="W559" s="168" t="str">
        <f t="shared" si="55"/>
      </c>
      <c r="X559" s="169" t="str">
        <f t="shared" si="56"/>
      </c>
      <c r="Y559" s="168" t="str">
        <f>IF(ISBLANK(Table123[[#This Row],[Odds Spread]]), "",O559+IF(S559&lt;0, (O559/(S559/-100)), O559*(S559/100)))</f>
      </c>
      <c r="Z559" s="168" t="str">
        <f t="shared" si="57"/>
      </c>
      <c r="AA559" s="68" t="n">
        <f t="shared" si="58"/>
        <v>0</v>
      </c>
      <c r="AB559" s="68" t="n">
        <f t="shared" si="59"/>
        <v>0</v>
      </c>
      <c r="AC559" s="170" t="e">
        <f>IF('Prediction Log'!#REF!="Y", "W", IF('Prediction Log'!#REF!="N","L",""))</f>
        <v>#REF!</v>
      </c>
      <c r="AD559" s="171" t="e">
        <f>IF('Prediction Log'!#REF!="Y", "W", IF('Prediction Log'!#REF!="N","L",""))</f>
        <v>#REF!</v>
      </c>
      <c r="AE559" s="172" t="str">
        <f>IF(ISBLANK(Table123[[#This Row],[Odds Side - Difference Model]]), "",IF(AC559="W", W559, IF(AC559="L",-N559, "")))</f>
      </c>
      <c r="AF559" s="173" t="str">
        <f>IFERROR((IF(ISERR(Table123[[#This Row],[Potential Payout Side - Win Probability Model]]), "",IF(AD559="W", X559, IF(AD559="L",-N559, "")))), "")</f>
      </c>
      <c r="AG559" s="170" t="e">
        <f>IF('Prediction Log'!#REF!="Y", "W", IF('Prediction Log'!#REF!="N", "L", ""))</f>
        <v>#REF!</v>
      </c>
      <c r="AH559" s="172" t="str">
        <f>IF(ISBLANK(Table123[[#This Row],[Odds Spread]]), "",IF(AG559="W", Z559, IF(AG559="L",-O559, "")))</f>
      </c>
      <c r="AI559" s="184"/>
      <c r="AJ559" s="183" t="str">
        <f t="shared" si="60"/>
      </c>
      <c r="AK5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0">
      <c r="A560" s="65" t="e">
        <f>Games!#REF!</f>
        <v>#REF!</v>
      </c>
      <c r="B560" s="65" t="e">
        <f>IF('Prediction Log'!#REF!=0, "",'Prediction Log'!#REF!)</f>
        <v>#REF!</v>
      </c>
      <c r="C560" s="65" t="e">
        <f>IF('Prediction Log'!#REF!=0, "",'Prediction Log'!#REF!)</f>
        <v>#REF!</v>
      </c>
      <c r="D560" s="65" t="e">
        <f>IF('Prediction Log'!#REF!=0, "",'Prediction Log'!#REF!)</f>
        <v>#REF!</v>
      </c>
      <c r="E560" s="65" t="e">
        <f>IF('Prediction Log'!#REF!=0, "",'Prediction Log'!#REF!)</f>
        <v>#REF!</v>
      </c>
      <c r="F560" s="65" t="e">
        <f>IF('Prediction Log'!#REF!=0, "",'Prediction Log'!#REF!)</f>
        <v>#REF!</v>
      </c>
      <c r="G560" s="64" t="e">
        <f>IF(ISBLANK(Games!#REF!), "",'Prediction Log'!#REF!)</f>
        <v>#REF!</v>
      </c>
      <c r="H560" s="66" t="e">
        <f>'Prediction Log'!#REF!</f>
        <v>#REF!</v>
      </c>
      <c r="I560" s="65" t="e">
        <f>IF(ISBLANK(Games!#REF!), "",IF(AND(Games!#REF!="",Games!#REF!=""),"",IF(ISTEXT(Games!#REF!), "Side",Games!#REF!)))</f>
        <v>#REF!</v>
      </c>
      <c r="J560" s="65" t="e">
        <f>IF(ISBLANK(Games!#REF!), "",IF(Games!#REF!="Y", Games!#REF!, Games!#REF!))</f>
        <v>#REF!</v>
      </c>
      <c r="K560" s="65" t="e">
        <f>Games!#REF!</f>
        <v>#REF!</v>
      </c>
      <c r="L560" s="65" t="e">
        <f>IF(ISBLANK(Games!#REF!), "",Games!#REF!)</f>
        <v>#REF!</v>
      </c>
      <c r="M560" s="65"/>
      <c r="N560" s="167" t="str">
        <f>IF(ISBLANK(Table123[[#This Row],[Odds Side - Difference Model]]), "", 1)</f>
      </c>
      <c r="O560" s="167" t="str">
        <f>IF(ISBLANK(Table123[[#This Row],[Odds Spread]]), "", 1)</f>
      </c>
      <c r="P560" s="67"/>
      <c r="Q560" s="67"/>
      <c r="R5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0" s="67"/>
      <c r="T560" s="67"/>
      <c r="U560" s="168" t="str">
        <f>IF(ISBLANK(Table123[[#This Row],[Odds Side - Difference Model]]), "",N560+IF(Q560&lt;0, (N560/(Q560/-100)), N560*(Q560/100)))</f>
      </c>
      <c r="V560" s="169" t="str">
        <f>IFERROR(IF(ISBLANK(Table123[[#This Row],[Odds Side - Win Probability Model]]), "",N560+IF(R560&lt;0, (N560/(R560/-100)), N560*(R560/100))),"")</f>
      </c>
      <c r="W560" s="168" t="str">
        <f t="shared" si="55"/>
      </c>
      <c r="X560" s="169" t="str">
        <f t="shared" si="56"/>
      </c>
      <c r="Y560" s="168" t="str">
        <f>IF(ISBLANK(Table123[[#This Row],[Odds Spread]]), "",O560+IF(S560&lt;0, (O560/(S560/-100)), O560*(S560/100)))</f>
      </c>
      <c r="Z560" s="168" t="str">
        <f t="shared" si="57"/>
      </c>
      <c r="AA560" s="68" t="n">
        <f t="shared" si="58"/>
        <v>0</v>
      </c>
      <c r="AB560" s="68" t="n">
        <f t="shared" si="59"/>
        <v>0</v>
      </c>
      <c r="AC560" s="170" t="e">
        <f>IF('Prediction Log'!#REF!="Y", "W", IF('Prediction Log'!#REF!="N","L",""))</f>
        <v>#REF!</v>
      </c>
      <c r="AD560" s="171" t="e">
        <f>IF('Prediction Log'!#REF!="Y", "W", IF('Prediction Log'!#REF!="N","L",""))</f>
        <v>#REF!</v>
      </c>
      <c r="AE560" s="172" t="str">
        <f>IF(ISBLANK(Table123[[#This Row],[Odds Side - Difference Model]]), "",IF(AC560="W", W560, IF(AC560="L",-N560, "")))</f>
      </c>
      <c r="AF560" s="173" t="str">
        <f>IFERROR((IF(ISERR(Table123[[#This Row],[Potential Payout Side - Win Probability Model]]), "",IF(AD560="W", X560, IF(AD560="L",-N560, "")))), "")</f>
      </c>
      <c r="AG560" s="170" t="e">
        <f>IF('Prediction Log'!#REF!="Y", "W", IF('Prediction Log'!#REF!="N", "L", ""))</f>
        <v>#REF!</v>
      </c>
      <c r="AH560" s="172" t="str">
        <f>IF(ISBLANK(Table123[[#This Row],[Odds Spread]]), "",IF(AG560="W", Z560, IF(AG560="L",-O560, "")))</f>
      </c>
      <c r="AI560" s="184"/>
      <c r="AJ560" s="183" t="str">
        <f t="shared" si="60"/>
      </c>
      <c r="AK5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1">
      <c r="A561" s="65" t="e">
        <f>Games!#REF!</f>
        <v>#REF!</v>
      </c>
      <c r="B561" s="65" t="e">
        <f>IF('Prediction Log'!#REF!=0, "",'Prediction Log'!#REF!)</f>
        <v>#REF!</v>
      </c>
      <c r="C561" s="65" t="e">
        <f>IF('Prediction Log'!#REF!=0, "",'Prediction Log'!#REF!)</f>
        <v>#REF!</v>
      </c>
      <c r="D561" s="65" t="e">
        <f>IF('Prediction Log'!#REF!=0, "",'Prediction Log'!#REF!)</f>
        <v>#REF!</v>
      </c>
      <c r="E561" s="65" t="e">
        <f>IF('Prediction Log'!#REF!=0, "",'Prediction Log'!#REF!)</f>
        <v>#REF!</v>
      </c>
      <c r="F561" s="65" t="e">
        <f>IF('Prediction Log'!#REF!=0, "",'Prediction Log'!#REF!)</f>
        <v>#REF!</v>
      </c>
      <c r="G561" s="64" t="e">
        <f>IF(ISBLANK(Games!#REF!), "",'Prediction Log'!#REF!)</f>
        <v>#REF!</v>
      </c>
      <c r="H561" s="66" t="e">
        <f>'Prediction Log'!#REF!</f>
        <v>#REF!</v>
      </c>
      <c r="I561" s="65" t="e">
        <f>IF(ISBLANK(Games!#REF!), "",IF(AND(Games!#REF!="",Games!#REF!=""),"",IF(ISTEXT(Games!#REF!), "Side",Games!#REF!)))</f>
        <v>#REF!</v>
      </c>
      <c r="J561" s="65" t="e">
        <f>IF(ISBLANK(Games!#REF!), "",IF(Games!#REF!="Y", Games!#REF!, Games!#REF!))</f>
        <v>#REF!</v>
      </c>
      <c r="K561" s="65" t="e">
        <f>Games!#REF!</f>
        <v>#REF!</v>
      </c>
      <c r="L561" s="65" t="e">
        <f>IF(ISBLANK(Games!#REF!), "",Games!#REF!)</f>
        <v>#REF!</v>
      </c>
      <c r="M561" s="65"/>
      <c r="N561" s="167" t="str">
        <f>IF(ISBLANK(Table123[[#This Row],[Odds Side - Difference Model]]), "", 1)</f>
      </c>
      <c r="O561" s="167" t="str">
        <f>IF(ISBLANK(Table123[[#This Row],[Odds Spread]]), "", 1)</f>
      </c>
      <c r="P561" s="67"/>
      <c r="Q561" s="67"/>
      <c r="R5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1" s="67"/>
      <c r="T561" s="67"/>
      <c r="U561" s="168" t="str">
        <f>IF(ISBLANK(Table123[[#This Row],[Odds Side - Difference Model]]), "",N561+IF(Q561&lt;0, (N561/(Q561/-100)), N561*(Q561/100)))</f>
      </c>
      <c r="V561" s="169" t="str">
        <f>IFERROR(IF(ISBLANK(Table123[[#This Row],[Odds Side - Win Probability Model]]), "",N561+IF(R561&lt;0, (N561/(R561/-100)), N561*(R561/100))),"")</f>
      </c>
      <c r="W561" s="168" t="str">
        <f t="shared" si="55"/>
      </c>
      <c r="X561" s="169" t="str">
        <f t="shared" si="56"/>
      </c>
      <c r="Y561" s="168" t="str">
        <f>IF(ISBLANK(Table123[[#This Row],[Odds Spread]]), "",O561+IF(S561&lt;0, (O561/(S561/-100)), O561*(S561/100)))</f>
      </c>
      <c r="Z561" s="168" t="str">
        <f t="shared" si="57"/>
      </c>
      <c r="AA561" s="68" t="n">
        <f t="shared" si="58"/>
        <v>0</v>
      </c>
      <c r="AB561" s="68" t="n">
        <f t="shared" si="59"/>
        <v>0</v>
      </c>
      <c r="AC561" s="170" t="e">
        <f>IF('Prediction Log'!#REF!="Y", "W", IF('Prediction Log'!#REF!="N","L",""))</f>
        <v>#REF!</v>
      </c>
      <c r="AD561" s="171" t="e">
        <f>IF('Prediction Log'!#REF!="Y", "W", IF('Prediction Log'!#REF!="N","L",""))</f>
        <v>#REF!</v>
      </c>
      <c r="AE561" s="172" t="str">
        <f>IF(ISBLANK(Table123[[#This Row],[Odds Side - Difference Model]]), "",IF(AC561="W", W561, IF(AC561="L",-N561, "")))</f>
      </c>
      <c r="AF561" s="173" t="str">
        <f>IFERROR((IF(ISERR(Table123[[#This Row],[Potential Payout Side - Win Probability Model]]), "",IF(AD561="W", X561, IF(AD561="L",-N561, "")))), "")</f>
      </c>
      <c r="AG561" s="170" t="e">
        <f>IF('Prediction Log'!#REF!="Y", "W", IF('Prediction Log'!#REF!="N", "L", ""))</f>
        <v>#REF!</v>
      </c>
      <c r="AH561" s="172" t="str">
        <f>IF(ISBLANK(Table123[[#This Row],[Odds Spread]]), "",IF(AG561="W", Z561, IF(AG561="L",-O561, "")))</f>
      </c>
      <c r="AI561" s="184"/>
      <c r="AJ561" s="183" t="str">
        <f t="shared" si="60"/>
      </c>
      <c r="AK5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2">
      <c r="A562" s="65" t="e">
        <f>Games!#REF!</f>
        <v>#REF!</v>
      </c>
      <c r="B562" s="65" t="e">
        <f>IF('Prediction Log'!#REF!=0, "",'Prediction Log'!#REF!)</f>
        <v>#REF!</v>
      </c>
      <c r="C562" s="65" t="e">
        <f>IF('Prediction Log'!#REF!=0, "",'Prediction Log'!#REF!)</f>
        <v>#REF!</v>
      </c>
      <c r="D562" s="65" t="e">
        <f>IF('Prediction Log'!#REF!=0, "",'Prediction Log'!#REF!)</f>
        <v>#REF!</v>
      </c>
      <c r="E562" s="65" t="e">
        <f>IF('Prediction Log'!#REF!=0, "",'Prediction Log'!#REF!)</f>
        <v>#REF!</v>
      </c>
      <c r="F562" s="65" t="e">
        <f>IF('Prediction Log'!#REF!=0, "",'Prediction Log'!#REF!)</f>
        <v>#REF!</v>
      </c>
      <c r="G562" s="64" t="e">
        <f>IF(ISBLANK(Games!#REF!), "",'Prediction Log'!#REF!)</f>
        <v>#REF!</v>
      </c>
      <c r="H562" s="66" t="e">
        <f>'Prediction Log'!#REF!</f>
        <v>#REF!</v>
      </c>
      <c r="I562" s="65" t="e">
        <f>IF(ISBLANK(Games!#REF!), "",IF(AND(Games!#REF!="",Games!#REF!=""),"",IF(ISTEXT(Games!#REF!), "Side",Games!#REF!)))</f>
        <v>#REF!</v>
      </c>
      <c r="J562" s="65" t="e">
        <f>IF(ISBLANK(Games!#REF!), "",IF(Games!#REF!="Y", Games!#REF!, Games!#REF!))</f>
        <v>#REF!</v>
      </c>
      <c r="K562" s="65" t="e">
        <f>Games!#REF!</f>
        <v>#REF!</v>
      </c>
      <c r="L562" s="65" t="e">
        <f>IF(ISBLANK(Games!#REF!), "",Games!#REF!)</f>
        <v>#REF!</v>
      </c>
      <c r="M562" s="65"/>
      <c r="N562" s="167" t="str">
        <f>IF(ISBLANK(Table123[[#This Row],[Odds Side - Difference Model]]), "", 1)</f>
      </c>
      <c r="O562" s="167" t="str">
        <f>IF(ISBLANK(Table123[[#This Row],[Odds Spread]]), "", 1)</f>
      </c>
      <c r="P562" s="67"/>
      <c r="Q562" s="67"/>
      <c r="R5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2" s="67"/>
      <c r="T562" s="67"/>
      <c r="U562" s="168" t="str">
        <f>IF(ISBLANK(Table123[[#This Row],[Odds Side - Difference Model]]), "",N562+IF(Q562&lt;0, (N562/(Q562/-100)), N562*(Q562/100)))</f>
      </c>
      <c r="V562" s="169" t="str">
        <f>IFERROR(IF(ISBLANK(Table123[[#This Row],[Odds Side - Win Probability Model]]), "",N562+IF(R562&lt;0, (N562/(R562/-100)), N562*(R562/100))),"")</f>
      </c>
      <c r="W562" s="168" t="str">
        <f t="shared" si="55"/>
      </c>
      <c r="X562" s="169" t="str">
        <f t="shared" si="56"/>
      </c>
      <c r="Y562" s="168" t="str">
        <f>IF(ISBLANK(Table123[[#This Row],[Odds Spread]]), "",O562+IF(S562&lt;0, (O562/(S562/-100)), O562*(S562/100)))</f>
      </c>
      <c r="Z562" s="168" t="str">
        <f t="shared" si="57"/>
      </c>
      <c r="AA562" s="68" t="n">
        <f t="shared" si="58"/>
        <v>0</v>
      </c>
      <c r="AB562" s="68" t="n">
        <f t="shared" si="59"/>
        <v>0</v>
      </c>
      <c r="AC562" s="170" t="e">
        <f>IF('Prediction Log'!#REF!="Y", "W", IF('Prediction Log'!#REF!="N","L",""))</f>
        <v>#REF!</v>
      </c>
      <c r="AD562" s="171" t="e">
        <f>IF('Prediction Log'!#REF!="Y", "W", IF('Prediction Log'!#REF!="N","L",""))</f>
        <v>#REF!</v>
      </c>
      <c r="AE562" s="172" t="str">
        <f>IF(ISBLANK(Table123[[#This Row],[Odds Side - Difference Model]]), "",IF(AC562="W", W562, IF(AC562="L",-N562, "")))</f>
      </c>
      <c r="AF562" s="173" t="str">
        <f>IFERROR((IF(ISERR(Table123[[#This Row],[Potential Payout Side - Win Probability Model]]), "",IF(AD562="W", X562, IF(AD562="L",-N562, "")))), "")</f>
      </c>
      <c r="AG562" s="170" t="e">
        <f>IF('Prediction Log'!#REF!="Y", "W", IF('Prediction Log'!#REF!="N", "L", ""))</f>
        <v>#REF!</v>
      </c>
      <c r="AH562" s="172" t="str">
        <f>IF(ISBLANK(Table123[[#This Row],[Odds Spread]]), "",IF(AG562="W", Z562, IF(AG562="L",-O562, "")))</f>
      </c>
      <c r="AI562" s="184"/>
      <c r="AJ562" s="183" t="str">
        <f t="shared" si="60"/>
      </c>
      <c r="AK5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3">
      <c r="A563" s="65" t="e">
        <f>Games!#REF!</f>
        <v>#REF!</v>
      </c>
      <c r="B563" s="65" t="e">
        <f>IF('Prediction Log'!#REF!=0, "",'Prediction Log'!#REF!)</f>
        <v>#REF!</v>
      </c>
      <c r="C563" s="65" t="e">
        <f>IF('Prediction Log'!#REF!=0, "",'Prediction Log'!#REF!)</f>
        <v>#REF!</v>
      </c>
      <c r="D563" s="65" t="e">
        <f>IF('Prediction Log'!#REF!=0, "",'Prediction Log'!#REF!)</f>
        <v>#REF!</v>
      </c>
      <c r="E563" s="65" t="e">
        <f>IF('Prediction Log'!#REF!=0, "",'Prediction Log'!#REF!)</f>
        <v>#REF!</v>
      </c>
      <c r="F563" s="65" t="e">
        <f>IF('Prediction Log'!#REF!=0, "",'Prediction Log'!#REF!)</f>
        <v>#REF!</v>
      </c>
      <c r="G563" s="64" t="e">
        <f>IF(ISBLANK(Games!#REF!), "",'Prediction Log'!#REF!)</f>
        <v>#REF!</v>
      </c>
      <c r="H563" s="66" t="e">
        <f>'Prediction Log'!#REF!</f>
        <v>#REF!</v>
      </c>
      <c r="I563" s="65" t="e">
        <f>IF(ISBLANK(Games!#REF!), "",IF(AND(Games!#REF!="",Games!#REF!=""),"",IF(ISTEXT(Games!#REF!), "Side",Games!#REF!)))</f>
        <v>#REF!</v>
      </c>
      <c r="J563" s="65" t="e">
        <f>IF(ISBLANK(Games!#REF!), "",IF(Games!#REF!="Y", Games!#REF!, Games!#REF!))</f>
        <v>#REF!</v>
      </c>
      <c r="K563" s="65" t="e">
        <f>Games!#REF!</f>
        <v>#REF!</v>
      </c>
      <c r="L563" s="65" t="e">
        <f>IF(ISBLANK(Games!#REF!), "",Games!#REF!)</f>
        <v>#REF!</v>
      </c>
      <c r="M563" s="65"/>
      <c r="N563" s="167" t="str">
        <f>IF(ISBLANK(Table123[[#This Row],[Odds Side - Difference Model]]), "", 1)</f>
      </c>
      <c r="O563" s="167" t="str">
        <f>IF(ISBLANK(Table123[[#This Row],[Odds Spread]]), "", 1)</f>
      </c>
      <c r="P563" s="67"/>
      <c r="Q563" s="67"/>
      <c r="R5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3" s="67"/>
      <c r="T563" s="67"/>
      <c r="U563" s="168" t="str">
        <f>IF(ISBLANK(Table123[[#This Row],[Odds Side - Difference Model]]), "",N563+IF(Q563&lt;0, (N563/(Q563/-100)), N563*(Q563/100)))</f>
      </c>
      <c r="V563" s="169" t="str">
        <f>IFERROR(IF(ISBLANK(Table123[[#This Row],[Odds Side - Win Probability Model]]), "",N563+IF(R563&lt;0, (N563/(R563/-100)), N563*(R563/100))),"")</f>
      </c>
      <c r="W563" s="168" t="str">
        <f t="shared" si="55"/>
      </c>
      <c r="X563" s="169" t="str">
        <f t="shared" si="56"/>
      </c>
      <c r="Y563" s="168" t="str">
        <f>IF(ISBLANK(Table123[[#This Row],[Odds Spread]]), "",O563+IF(S563&lt;0, (O563/(S563/-100)), O563*(S563/100)))</f>
      </c>
      <c r="Z563" s="168" t="str">
        <f t="shared" si="57"/>
      </c>
      <c r="AA563" s="68" t="n">
        <f t="shared" si="58"/>
        <v>0</v>
      </c>
      <c r="AB563" s="68" t="n">
        <f t="shared" si="59"/>
        <v>0</v>
      </c>
      <c r="AC563" s="170" t="e">
        <f>IF('Prediction Log'!#REF!="Y", "W", IF('Prediction Log'!#REF!="N","L",""))</f>
        <v>#REF!</v>
      </c>
      <c r="AD563" s="171" t="e">
        <f>IF('Prediction Log'!#REF!="Y", "W", IF('Prediction Log'!#REF!="N","L",""))</f>
        <v>#REF!</v>
      </c>
      <c r="AE563" s="172" t="str">
        <f>IF(ISBLANK(Table123[[#This Row],[Odds Side - Difference Model]]), "",IF(AC563="W", W563, IF(AC563="L",-N563, "")))</f>
      </c>
      <c r="AF563" s="173" t="str">
        <f>IFERROR((IF(ISERR(Table123[[#This Row],[Potential Payout Side - Win Probability Model]]), "",IF(AD563="W", X563, IF(AD563="L",-N563, "")))), "")</f>
      </c>
      <c r="AG563" s="170" t="e">
        <f>IF('Prediction Log'!#REF!="Y", "W", IF('Prediction Log'!#REF!="N", "L", ""))</f>
        <v>#REF!</v>
      </c>
      <c r="AH563" s="172" t="str">
        <f>IF(ISBLANK(Table123[[#This Row],[Odds Spread]]), "",IF(AG563="W", Z563, IF(AG563="L",-O563, "")))</f>
      </c>
      <c r="AI563" s="184"/>
      <c r="AJ563" s="183" t="str">
        <f t="shared" si="60"/>
      </c>
      <c r="AK5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4">
      <c r="A564" s="65" t="e">
        <f>Games!#REF!</f>
        <v>#REF!</v>
      </c>
      <c r="B564" s="65" t="e">
        <f>IF('Prediction Log'!#REF!=0, "",'Prediction Log'!#REF!)</f>
        <v>#REF!</v>
      </c>
      <c r="C564" s="65" t="e">
        <f>IF('Prediction Log'!#REF!=0, "",'Prediction Log'!#REF!)</f>
        <v>#REF!</v>
      </c>
      <c r="D564" s="65" t="e">
        <f>IF('Prediction Log'!#REF!=0, "",'Prediction Log'!#REF!)</f>
        <v>#REF!</v>
      </c>
      <c r="E564" s="65" t="e">
        <f>IF('Prediction Log'!#REF!=0, "",'Prediction Log'!#REF!)</f>
        <v>#REF!</v>
      </c>
      <c r="F564" s="65" t="e">
        <f>IF('Prediction Log'!#REF!=0, "",'Prediction Log'!#REF!)</f>
        <v>#REF!</v>
      </c>
      <c r="G564" s="64" t="e">
        <f>IF(ISBLANK(Games!#REF!), "",'Prediction Log'!#REF!)</f>
        <v>#REF!</v>
      </c>
      <c r="H564" s="66" t="e">
        <f>'Prediction Log'!#REF!</f>
        <v>#REF!</v>
      </c>
      <c r="I564" s="65" t="e">
        <f>IF(ISBLANK(Games!#REF!), "",IF(AND(Games!#REF!="",Games!#REF!=""),"",IF(ISTEXT(Games!#REF!), "Side",Games!#REF!)))</f>
        <v>#REF!</v>
      </c>
      <c r="J564" s="65" t="e">
        <f>IF(ISBLANK(Games!#REF!), "",IF(Games!#REF!="Y", Games!#REF!, Games!#REF!))</f>
        <v>#REF!</v>
      </c>
      <c r="K564" s="65" t="e">
        <f>Games!#REF!</f>
        <v>#REF!</v>
      </c>
      <c r="L564" s="65" t="e">
        <f>IF(ISBLANK(Games!#REF!), "",Games!#REF!)</f>
        <v>#REF!</v>
      </c>
      <c r="M564" s="65"/>
      <c r="N564" s="167" t="str">
        <f>IF(ISBLANK(Table123[[#This Row],[Odds Side - Difference Model]]), "", 1)</f>
      </c>
      <c r="O564" s="167" t="str">
        <f>IF(ISBLANK(Table123[[#This Row],[Odds Spread]]), "", 1)</f>
      </c>
      <c r="P564" s="67"/>
      <c r="Q564" s="67"/>
      <c r="R5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4" s="67"/>
      <c r="T564" s="67"/>
      <c r="U564" s="168" t="str">
        <f>IF(ISBLANK(Table123[[#This Row],[Odds Side - Difference Model]]), "",N564+IF(Q564&lt;0, (N564/(Q564/-100)), N564*(Q564/100)))</f>
      </c>
      <c r="V564" s="169" t="str">
        <f>IFERROR(IF(ISBLANK(Table123[[#This Row],[Odds Side - Win Probability Model]]), "",N564+IF(R564&lt;0, (N564/(R564/-100)), N564*(R564/100))),"")</f>
      </c>
      <c r="W564" s="168" t="str">
        <f t="shared" si="55"/>
      </c>
      <c r="X564" s="169" t="str">
        <f t="shared" si="56"/>
      </c>
      <c r="Y564" s="168" t="str">
        <f>IF(ISBLANK(Table123[[#This Row],[Odds Spread]]), "",O564+IF(S564&lt;0, (O564/(S564/-100)), O564*(S564/100)))</f>
      </c>
      <c r="Z564" s="168" t="str">
        <f t="shared" si="57"/>
      </c>
      <c r="AA564" s="68" t="n">
        <f t="shared" si="58"/>
        <v>0</v>
      </c>
      <c r="AB564" s="68" t="n">
        <f t="shared" si="59"/>
        <v>0</v>
      </c>
      <c r="AC564" s="170" t="e">
        <f>IF('Prediction Log'!#REF!="Y", "W", IF('Prediction Log'!#REF!="N","L",""))</f>
        <v>#REF!</v>
      </c>
      <c r="AD564" s="171" t="e">
        <f>IF('Prediction Log'!#REF!="Y", "W", IF('Prediction Log'!#REF!="N","L",""))</f>
        <v>#REF!</v>
      </c>
      <c r="AE564" s="172" t="str">
        <f>IF(ISBLANK(Table123[[#This Row],[Odds Side - Difference Model]]), "",IF(AC564="W", W564, IF(AC564="L",-N564, "")))</f>
      </c>
      <c r="AF564" s="173" t="str">
        <f>IFERROR((IF(ISERR(Table123[[#This Row],[Potential Payout Side - Win Probability Model]]), "",IF(AD564="W", X564, IF(AD564="L",-N564, "")))), "")</f>
      </c>
      <c r="AG564" s="170" t="e">
        <f>IF('Prediction Log'!#REF!="Y", "W", IF('Prediction Log'!#REF!="N", "L", ""))</f>
        <v>#REF!</v>
      </c>
      <c r="AH564" s="172" t="str">
        <f>IF(ISBLANK(Table123[[#This Row],[Odds Spread]]), "",IF(AG564="W", Z564, IF(AG564="L",-O564, "")))</f>
      </c>
      <c r="AI564" s="184"/>
      <c r="AJ564" s="183" t="str">
        <f t="shared" si="60"/>
      </c>
      <c r="AK5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5">
      <c r="A565" s="65" t="e">
        <f>Games!#REF!</f>
        <v>#REF!</v>
      </c>
      <c r="B565" s="65" t="e">
        <f>IF('Prediction Log'!#REF!=0, "",'Prediction Log'!#REF!)</f>
        <v>#REF!</v>
      </c>
      <c r="C565" s="65" t="e">
        <f>IF('Prediction Log'!#REF!=0, "",'Prediction Log'!#REF!)</f>
        <v>#REF!</v>
      </c>
      <c r="D565" s="65" t="e">
        <f>IF('Prediction Log'!#REF!=0, "",'Prediction Log'!#REF!)</f>
        <v>#REF!</v>
      </c>
      <c r="E565" s="65" t="e">
        <f>IF('Prediction Log'!#REF!=0, "",'Prediction Log'!#REF!)</f>
        <v>#REF!</v>
      </c>
      <c r="F565" s="65" t="e">
        <f>IF('Prediction Log'!#REF!=0, "",'Prediction Log'!#REF!)</f>
        <v>#REF!</v>
      </c>
      <c r="G565" s="64" t="e">
        <f>IF(ISBLANK(Games!#REF!), "",'Prediction Log'!#REF!)</f>
        <v>#REF!</v>
      </c>
      <c r="H565" s="66" t="e">
        <f>'Prediction Log'!#REF!</f>
        <v>#REF!</v>
      </c>
      <c r="I565" s="65" t="e">
        <f>IF(ISBLANK(Games!#REF!), "",IF(AND(Games!#REF!="",Games!#REF!=""),"",IF(ISTEXT(Games!#REF!), "Side",Games!#REF!)))</f>
        <v>#REF!</v>
      </c>
      <c r="J565" s="65" t="e">
        <f>IF(ISBLANK(Games!#REF!), "",IF(Games!#REF!="Y", Games!#REF!, Games!#REF!))</f>
        <v>#REF!</v>
      </c>
      <c r="K565" s="65" t="e">
        <f>Games!#REF!</f>
        <v>#REF!</v>
      </c>
      <c r="L565" s="65" t="e">
        <f>IF(ISBLANK(Games!#REF!), "",Games!#REF!)</f>
        <v>#REF!</v>
      </c>
      <c r="M565" s="65"/>
      <c r="N565" s="167" t="str">
        <f>IF(ISBLANK(Table123[[#This Row],[Odds Side - Difference Model]]), "", 1)</f>
      </c>
      <c r="O565" s="167" t="str">
        <f>IF(ISBLANK(Table123[[#This Row],[Odds Spread]]), "", 1)</f>
      </c>
      <c r="P565" s="67"/>
      <c r="Q565" s="67"/>
      <c r="R5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5" s="67"/>
      <c r="T565" s="67"/>
      <c r="U565" s="168" t="str">
        <f>IF(ISBLANK(Table123[[#This Row],[Odds Side - Difference Model]]), "",N565+IF(Q565&lt;0, (N565/(Q565/-100)), N565*(Q565/100)))</f>
      </c>
      <c r="V565" s="169" t="str">
        <f>IFERROR(IF(ISBLANK(Table123[[#This Row],[Odds Side - Win Probability Model]]), "",N565+IF(R565&lt;0, (N565/(R565/-100)), N565*(R565/100))),"")</f>
      </c>
      <c r="W565" s="168" t="str">
        <f t="shared" si="55"/>
      </c>
      <c r="X565" s="169" t="str">
        <f t="shared" si="56"/>
      </c>
      <c r="Y565" s="168" t="str">
        <f>IF(ISBLANK(Table123[[#This Row],[Odds Spread]]), "",O565+IF(S565&lt;0, (O565/(S565/-100)), O565*(S565/100)))</f>
      </c>
      <c r="Z565" s="168" t="str">
        <f t="shared" si="57"/>
      </c>
      <c r="AA565" s="68" t="n">
        <f t="shared" si="58"/>
        <v>0</v>
      </c>
      <c r="AB565" s="68" t="n">
        <f t="shared" si="59"/>
        <v>0</v>
      </c>
      <c r="AC565" s="170" t="e">
        <f>IF('Prediction Log'!#REF!="Y", "W", IF('Prediction Log'!#REF!="N","L",""))</f>
        <v>#REF!</v>
      </c>
      <c r="AD565" s="171" t="e">
        <f>IF('Prediction Log'!#REF!="Y", "W", IF('Prediction Log'!#REF!="N","L",""))</f>
        <v>#REF!</v>
      </c>
      <c r="AE565" s="172" t="str">
        <f>IF(ISBLANK(Table123[[#This Row],[Odds Side - Difference Model]]), "",IF(AC565="W", W565, IF(AC565="L",-N565, "")))</f>
      </c>
      <c r="AF565" s="173" t="str">
        <f>IFERROR((IF(ISERR(Table123[[#This Row],[Potential Payout Side - Win Probability Model]]), "",IF(AD565="W", X565, IF(AD565="L",-N565, "")))), "")</f>
      </c>
      <c r="AG565" s="170" t="e">
        <f>IF('Prediction Log'!#REF!="Y", "W", IF('Prediction Log'!#REF!="N", "L", ""))</f>
        <v>#REF!</v>
      </c>
      <c r="AH565" s="172" t="str">
        <f>IF(ISBLANK(Table123[[#This Row],[Odds Spread]]), "",IF(AG565="W", Z565, IF(AG565="L",-O565, "")))</f>
      </c>
      <c r="AI565" s="184"/>
      <c r="AJ565" s="183" t="str">
        <f t="shared" si="60"/>
      </c>
      <c r="AK5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6">
      <c r="A566" s="65" t="e">
        <f>Games!#REF!</f>
        <v>#REF!</v>
      </c>
      <c r="B566" s="65" t="e">
        <f>IF('Prediction Log'!#REF!=0, "",'Prediction Log'!#REF!)</f>
        <v>#REF!</v>
      </c>
      <c r="C566" s="65" t="e">
        <f>IF('Prediction Log'!#REF!=0, "",'Prediction Log'!#REF!)</f>
        <v>#REF!</v>
      </c>
      <c r="D566" s="65" t="e">
        <f>IF('Prediction Log'!#REF!=0, "",'Prediction Log'!#REF!)</f>
        <v>#REF!</v>
      </c>
      <c r="E566" s="65" t="e">
        <f>IF('Prediction Log'!#REF!=0, "",'Prediction Log'!#REF!)</f>
        <v>#REF!</v>
      </c>
      <c r="F566" s="65" t="e">
        <f>IF('Prediction Log'!#REF!=0, "",'Prediction Log'!#REF!)</f>
        <v>#REF!</v>
      </c>
      <c r="G566" s="64" t="e">
        <f>IF(ISBLANK(Games!#REF!), "",'Prediction Log'!#REF!)</f>
        <v>#REF!</v>
      </c>
      <c r="H566" s="66" t="e">
        <f>'Prediction Log'!#REF!</f>
        <v>#REF!</v>
      </c>
      <c r="I566" s="65" t="e">
        <f>IF(ISBLANK(Games!#REF!), "",IF(AND(Games!#REF!="",Games!#REF!=""),"",IF(ISTEXT(Games!#REF!), "Side",Games!#REF!)))</f>
        <v>#REF!</v>
      </c>
      <c r="J566" s="65" t="e">
        <f>IF(ISBLANK(Games!#REF!), "",IF(Games!#REF!="Y", Games!#REF!, Games!#REF!))</f>
        <v>#REF!</v>
      </c>
      <c r="K566" s="65" t="e">
        <f>Games!#REF!</f>
        <v>#REF!</v>
      </c>
      <c r="L566" s="65" t="e">
        <f>IF(ISBLANK(Games!#REF!), "",Games!#REF!)</f>
        <v>#REF!</v>
      </c>
      <c r="M566" s="65"/>
      <c r="N566" s="167" t="str">
        <f>IF(ISBLANK(Table123[[#This Row],[Odds Side - Difference Model]]), "", 1)</f>
      </c>
      <c r="O566" s="167" t="str">
        <f>IF(ISBLANK(Table123[[#This Row],[Odds Spread]]), "", 1)</f>
      </c>
      <c r="P566" s="67"/>
      <c r="Q566" s="67"/>
      <c r="R5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6" s="67"/>
      <c r="T566" s="67"/>
      <c r="U566" s="168" t="str">
        <f>IF(ISBLANK(Table123[[#This Row],[Odds Side - Difference Model]]), "",N566+IF(Q566&lt;0, (N566/(Q566/-100)), N566*(Q566/100)))</f>
      </c>
      <c r="V566" s="169" t="str">
        <f>IFERROR(IF(ISBLANK(Table123[[#This Row],[Odds Side - Win Probability Model]]), "",N566+IF(R566&lt;0, (N566/(R566/-100)), N566*(R566/100))),"")</f>
      </c>
      <c r="W566" s="168" t="str">
        <f t="shared" si="55"/>
      </c>
      <c r="X566" s="169" t="str">
        <f t="shared" si="56"/>
      </c>
      <c r="Y566" s="168" t="str">
        <f>IF(ISBLANK(Table123[[#This Row],[Odds Spread]]), "",O566+IF(S566&lt;0, (O566/(S566/-100)), O566*(S566/100)))</f>
      </c>
      <c r="Z566" s="168" t="str">
        <f t="shared" si="57"/>
      </c>
      <c r="AA566" s="68" t="n">
        <f t="shared" si="58"/>
        <v>0</v>
      </c>
      <c r="AB566" s="68" t="n">
        <f t="shared" si="59"/>
        <v>0</v>
      </c>
      <c r="AC566" s="170" t="e">
        <f>IF('Prediction Log'!#REF!="Y", "W", IF('Prediction Log'!#REF!="N","L",""))</f>
        <v>#REF!</v>
      </c>
      <c r="AD566" s="171" t="e">
        <f>IF('Prediction Log'!#REF!="Y", "W", IF('Prediction Log'!#REF!="N","L",""))</f>
        <v>#REF!</v>
      </c>
      <c r="AE566" s="172" t="str">
        <f>IF(ISBLANK(Table123[[#This Row],[Odds Side - Difference Model]]), "",IF(AC566="W", W566, IF(AC566="L",-N566, "")))</f>
      </c>
      <c r="AF566" s="173" t="str">
        <f>IFERROR((IF(ISERR(Table123[[#This Row],[Potential Payout Side - Win Probability Model]]), "",IF(AD566="W", X566, IF(AD566="L",-N566, "")))), "")</f>
      </c>
      <c r="AG566" s="170" t="e">
        <f>IF('Prediction Log'!#REF!="Y", "W", IF('Prediction Log'!#REF!="N", "L", ""))</f>
        <v>#REF!</v>
      </c>
      <c r="AH566" s="172" t="str">
        <f>IF(ISBLANK(Table123[[#This Row],[Odds Spread]]), "",IF(AG566="W", Z566, IF(AG566="L",-O566, "")))</f>
      </c>
      <c r="AI566" s="184"/>
      <c r="AJ566" s="183" t="str">
        <f t="shared" si="60"/>
      </c>
      <c r="AK5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7">
      <c r="A567" s="65" t="e">
        <f>Games!#REF!</f>
        <v>#REF!</v>
      </c>
      <c r="B567" s="65" t="e">
        <f>IF('Prediction Log'!#REF!=0, "",'Prediction Log'!#REF!)</f>
        <v>#REF!</v>
      </c>
      <c r="C567" s="65" t="e">
        <f>IF('Prediction Log'!#REF!=0, "",'Prediction Log'!#REF!)</f>
        <v>#REF!</v>
      </c>
      <c r="D567" s="65" t="e">
        <f>IF('Prediction Log'!#REF!=0, "",'Prediction Log'!#REF!)</f>
        <v>#REF!</v>
      </c>
      <c r="E567" s="65" t="e">
        <f>IF('Prediction Log'!#REF!=0, "",'Prediction Log'!#REF!)</f>
        <v>#REF!</v>
      </c>
      <c r="F567" s="65" t="e">
        <f>IF('Prediction Log'!#REF!=0, "",'Prediction Log'!#REF!)</f>
        <v>#REF!</v>
      </c>
      <c r="G567" s="64" t="e">
        <f>IF(ISBLANK(Games!#REF!), "",'Prediction Log'!#REF!)</f>
        <v>#REF!</v>
      </c>
      <c r="H567" s="66" t="e">
        <f>'Prediction Log'!#REF!</f>
        <v>#REF!</v>
      </c>
      <c r="I567" s="65" t="e">
        <f>IF(ISBLANK(Games!#REF!), "",IF(AND(Games!#REF!="",Games!#REF!=""),"",IF(ISTEXT(Games!#REF!), "Side",Games!#REF!)))</f>
        <v>#REF!</v>
      </c>
      <c r="J567" s="65" t="e">
        <f>IF(ISBLANK(Games!#REF!), "",IF(Games!#REF!="Y", Games!#REF!, Games!#REF!))</f>
        <v>#REF!</v>
      </c>
      <c r="K567" s="65" t="e">
        <f>Games!#REF!</f>
        <v>#REF!</v>
      </c>
      <c r="L567" s="65" t="e">
        <f>IF(ISBLANK(Games!#REF!), "",Games!#REF!)</f>
        <v>#REF!</v>
      </c>
      <c r="M567" s="65"/>
      <c r="N567" s="167" t="str">
        <f>IF(ISBLANK(Table123[[#This Row],[Odds Side - Difference Model]]), "", 1)</f>
      </c>
      <c r="O567" s="167" t="str">
        <f>IF(ISBLANK(Table123[[#This Row],[Odds Spread]]), "", 1)</f>
      </c>
      <c r="P567" s="67"/>
      <c r="Q567" s="67"/>
      <c r="R5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7" s="67"/>
      <c r="T567" s="67"/>
      <c r="U567" s="168" t="str">
        <f>IF(ISBLANK(Table123[[#This Row],[Odds Side - Difference Model]]), "",N567+IF(Q567&lt;0, (N567/(Q567/-100)), N567*(Q567/100)))</f>
      </c>
      <c r="V567" s="169" t="str">
        <f>IFERROR(IF(ISBLANK(Table123[[#This Row],[Odds Side - Win Probability Model]]), "",N567+IF(R567&lt;0, (N567/(R567/-100)), N567*(R567/100))),"")</f>
      </c>
      <c r="W567" s="168" t="str">
        <f t="shared" si="55"/>
      </c>
      <c r="X567" s="169" t="str">
        <f t="shared" si="56"/>
      </c>
      <c r="Y567" s="168" t="str">
        <f>IF(ISBLANK(Table123[[#This Row],[Odds Spread]]), "",O567+IF(S567&lt;0, (O567/(S567/-100)), O567*(S567/100)))</f>
      </c>
      <c r="Z567" s="168" t="str">
        <f t="shared" si="57"/>
      </c>
      <c r="AA567" s="68" t="n">
        <f t="shared" si="58"/>
        <v>0</v>
      </c>
      <c r="AB567" s="68" t="n">
        <f t="shared" si="59"/>
        <v>0</v>
      </c>
      <c r="AC567" s="170" t="e">
        <f>IF('Prediction Log'!#REF!="Y", "W", IF('Prediction Log'!#REF!="N","L",""))</f>
        <v>#REF!</v>
      </c>
      <c r="AD567" s="171" t="e">
        <f>IF('Prediction Log'!#REF!="Y", "W", IF('Prediction Log'!#REF!="N","L",""))</f>
        <v>#REF!</v>
      </c>
      <c r="AE567" s="172" t="str">
        <f>IF(ISBLANK(Table123[[#This Row],[Odds Side - Difference Model]]), "",IF(AC567="W", W567, IF(AC567="L",-N567, "")))</f>
      </c>
      <c r="AF567" s="173" t="str">
        <f>IFERROR((IF(ISERR(Table123[[#This Row],[Potential Payout Side - Win Probability Model]]), "",IF(AD567="W", X567, IF(AD567="L",-N567, "")))), "")</f>
      </c>
      <c r="AG567" s="170" t="e">
        <f>IF('Prediction Log'!#REF!="Y", "W", IF('Prediction Log'!#REF!="N", "L", ""))</f>
        <v>#REF!</v>
      </c>
      <c r="AH567" s="172" t="str">
        <f>IF(ISBLANK(Table123[[#This Row],[Odds Spread]]), "",IF(AG567="W", Z567, IF(AG567="L",-O567, "")))</f>
      </c>
      <c r="AI567" s="184"/>
      <c r="AJ567" s="183" t="str">
        <f t="shared" si="60"/>
      </c>
      <c r="AK5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8">
      <c r="A568" s="65" t="e">
        <f>Games!#REF!</f>
        <v>#REF!</v>
      </c>
      <c r="B568" s="65" t="e">
        <f>IF('Prediction Log'!#REF!=0, "",'Prediction Log'!#REF!)</f>
        <v>#REF!</v>
      </c>
      <c r="C568" s="65" t="e">
        <f>IF('Prediction Log'!#REF!=0, "",'Prediction Log'!#REF!)</f>
        <v>#REF!</v>
      </c>
      <c r="D568" s="65" t="e">
        <f>IF('Prediction Log'!#REF!=0, "",'Prediction Log'!#REF!)</f>
        <v>#REF!</v>
      </c>
      <c r="E568" s="65" t="e">
        <f>IF('Prediction Log'!#REF!=0, "",'Prediction Log'!#REF!)</f>
        <v>#REF!</v>
      </c>
      <c r="F568" s="65" t="e">
        <f>IF('Prediction Log'!#REF!=0, "",'Prediction Log'!#REF!)</f>
        <v>#REF!</v>
      </c>
      <c r="G568" s="64" t="e">
        <f>IF(ISBLANK(Games!#REF!), "",'Prediction Log'!#REF!)</f>
        <v>#REF!</v>
      </c>
      <c r="H568" s="66" t="e">
        <f>'Prediction Log'!#REF!</f>
        <v>#REF!</v>
      </c>
      <c r="I568" s="65" t="e">
        <f>IF(ISBLANK(Games!#REF!), "",IF(AND(Games!#REF!="",Games!#REF!=""),"",IF(ISTEXT(Games!#REF!), "Side",Games!#REF!)))</f>
        <v>#REF!</v>
      </c>
      <c r="J568" s="65" t="e">
        <f>IF(ISBLANK(Games!#REF!), "",IF(Games!#REF!="Y", Games!#REF!, Games!#REF!))</f>
        <v>#REF!</v>
      </c>
      <c r="K568" s="65" t="e">
        <f>Games!#REF!</f>
        <v>#REF!</v>
      </c>
      <c r="L568" s="65" t="e">
        <f>IF(ISBLANK(Games!#REF!), "",Games!#REF!)</f>
        <v>#REF!</v>
      </c>
      <c r="M568" s="65"/>
      <c r="N568" s="167" t="str">
        <f>IF(ISBLANK(Table123[[#This Row],[Odds Side - Difference Model]]), "", 1)</f>
      </c>
      <c r="O568" s="167" t="str">
        <f>IF(ISBLANK(Table123[[#This Row],[Odds Spread]]), "", 1)</f>
      </c>
      <c r="P568" s="67"/>
      <c r="Q568" s="67"/>
      <c r="R5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8" s="67"/>
      <c r="T568" s="67"/>
      <c r="U568" s="168" t="str">
        <f>IF(ISBLANK(Table123[[#This Row],[Odds Side - Difference Model]]), "",N568+IF(Q568&lt;0, (N568/(Q568/-100)), N568*(Q568/100)))</f>
      </c>
      <c r="V568" s="169" t="str">
        <f>IFERROR(IF(ISBLANK(Table123[[#This Row],[Odds Side - Win Probability Model]]), "",N568+IF(R568&lt;0, (N568/(R568/-100)), N568*(R568/100))),"")</f>
      </c>
      <c r="W568" s="168" t="str">
        <f t="shared" si="55"/>
      </c>
      <c r="X568" s="169" t="str">
        <f t="shared" si="56"/>
      </c>
      <c r="Y568" s="168" t="str">
        <f>IF(ISBLANK(Table123[[#This Row],[Odds Spread]]), "",O568+IF(S568&lt;0, (O568/(S568/-100)), O568*(S568/100)))</f>
      </c>
      <c r="Z568" s="168" t="str">
        <f t="shared" si="57"/>
      </c>
      <c r="AA568" s="68" t="n">
        <f t="shared" si="58"/>
        <v>0</v>
      </c>
      <c r="AB568" s="68" t="n">
        <f t="shared" si="59"/>
        <v>0</v>
      </c>
      <c r="AC568" s="170" t="e">
        <f>IF('Prediction Log'!#REF!="Y", "W", IF('Prediction Log'!#REF!="N","L",""))</f>
        <v>#REF!</v>
      </c>
      <c r="AD568" s="171" t="e">
        <f>IF('Prediction Log'!#REF!="Y", "W", IF('Prediction Log'!#REF!="N","L",""))</f>
        <v>#REF!</v>
      </c>
      <c r="AE568" s="172" t="str">
        <f>IF(ISBLANK(Table123[[#This Row],[Odds Side - Difference Model]]), "",IF(AC568="W", W568, IF(AC568="L",-N568, "")))</f>
      </c>
      <c r="AF568" s="173" t="str">
        <f>IFERROR((IF(ISERR(Table123[[#This Row],[Potential Payout Side - Win Probability Model]]), "",IF(AD568="W", X568, IF(AD568="L",-N568, "")))), "")</f>
      </c>
      <c r="AG568" s="170" t="e">
        <f>IF('Prediction Log'!#REF!="Y", "W", IF('Prediction Log'!#REF!="N", "L", ""))</f>
        <v>#REF!</v>
      </c>
      <c r="AH568" s="172" t="str">
        <f>IF(ISBLANK(Table123[[#This Row],[Odds Spread]]), "",IF(AG568="W", Z568, IF(AG568="L",-O568, "")))</f>
      </c>
      <c r="AI568" s="184"/>
      <c r="AJ568" s="183" t="str">
        <f t="shared" si="60"/>
      </c>
      <c r="AK5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9">
      <c r="A569" s="65" t="e">
        <f>Games!#REF!</f>
        <v>#REF!</v>
      </c>
      <c r="B569" s="65" t="e">
        <f>IF('Prediction Log'!#REF!=0, "",'Prediction Log'!#REF!)</f>
        <v>#REF!</v>
      </c>
      <c r="C569" s="65" t="e">
        <f>IF('Prediction Log'!#REF!=0, "",'Prediction Log'!#REF!)</f>
        <v>#REF!</v>
      </c>
      <c r="D569" s="65" t="e">
        <f>IF('Prediction Log'!#REF!=0, "",'Prediction Log'!#REF!)</f>
        <v>#REF!</v>
      </c>
      <c r="E569" s="65" t="e">
        <f>IF('Prediction Log'!#REF!=0, "",'Prediction Log'!#REF!)</f>
        <v>#REF!</v>
      </c>
      <c r="F569" s="65" t="e">
        <f>IF('Prediction Log'!#REF!=0, "",'Prediction Log'!#REF!)</f>
        <v>#REF!</v>
      </c>
      <c r="G569" s="64" t="e">
        <f>IF(ISBLANK(Games!#REF!), "",'Prediction Log'!#REF!)</f>
        <v>#REF!</v>
      </c>
      <c r="H569" s="66" t="e">
        <f>'Prediction Log'!#REF!</f>
        <v>#REF!</v>
      </c>
      <c r="I569" s="65" t="e">
        <f>IF(ISBLANK(Games!#REF!), "",IF(AND(Games!#REF!="",Games!#REF!=""),"",IF(ISTEXT(Games!#REF!), "Side",Games!#REF!)))</f>
        <v>#REF!</v>
      </c>
      <c r="J569" s="65" t="e">
        <f>IF(ISBLANK(Games!#REF!), "",IF(Games!#REF!="Y", Games!#REF!, Games!#REF!))</f>
        <v>#REF!</v>
      </c>
      <c r="K569" s="65" t="e">
        <f>Games!#REF!</f>
        <v>#REF!</v>
      </c>
      <c r="L569" s="65" t="e">
        <f>IF(ISBLANK(Games!#REF!), "",Games!#REF!)</f>
        <v>#REF!</v>
      </c>
      <c r="M569" s="65"/>
      <c r="N569" s="167" t="str">
        <f>IF(ISBLANK(Table123[[#This Row],[Odds Side - Difference Model]]), "", 1)</f>
      </c>
      <c r="O569" s="167" t="str">
        <f>IF(ISBLANK(Table123[[#This Row],[Odds Spread]]), "", 1)</f>
      </c>
      <c r="P569" s="67"/>
      <c r="Q569" s="67"/>
      <c r="R5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9" s="67"/>
      <c r="T569" s="67"/>
      <c r="U569" s="168" t="str">
        <f>IF(ISBLANK(Table123[[#This Row],[Odds Side - Difference Model]]), "",N569+IF(Q569&lt;0, (N569/(Q569/-100)), N569*(Q569/100)))</f>
      </c>
      <c r="V569" s="169" t="str">
        <f>IFERROR(IF(ISBLANK(Table123[[#This Row],[Odds Side - Win Probability Model]]), "",N569+IF(R569&lt;0, (N569/(R569/-100)), N569*(R569/100))),"")</f>
      </c>
      <c r="W569" s="168" t="str">
        <f t="shared" si="55"/>
      </c>
      <c r="X569" s="169" t="str">
        <f t="shared" si="56"/>
      </c>
      <c r="Y569" s="168" t="str">
        <f>IF(ISBLANK(Table123[[#This Row],[Odds Spread]]), "",O569+IF(S569&lt;0, (O569/(S569/-100)), O569*(S569/100)))</f>
      </c>
      <c r="Z569" s="168" t="str">
        <f t="shared" si="57"/>
      </c>
      <c r="AA569" s="68" t="n">
        <f t="shared" si="58"/>
        <v>0</v>
      </c>
      <c r="AB569" s="68" t="n">
        <f t="shared" si="59"/>
        <v>0</v>
      </c>
      <c r="AC569" s="170" t="e">
        <f>IF('Prediction Log'!#REF!="Y", "W", IF('Prediction Log'!#REF!="N","L",""))</f>
        <v>#REF!</v>
      </c>
      <c r="AD569" s="171" t="e">
        <f>IF('Prediction Log'!#REF!="Y", "W", IF('Prediction Log'!#REF!="N","L",""))</f>
        <v>#REF!</v>
      </c>
      <c r="AE569" s="172" t="str">
        <f>IF(ISBLANK(Table123[[#This Row],[Odds Side - Difference Model]]), "",IF(AC569="W", W569, IF(AC569="L",-N569, "")))</f>
      </c>
      <c r="AF569" s="173" t="str">
        <f>IFERROR((IF(ISERR(Table123[[#This Row],[Potential Payout Side - Win Probability Model]]), "",IF(AD569="W", X569, IF(AD569="L",-N569, "")))), "")</f>
      </c>
      <c r="AG569" s="170" t="e">
        <f>IF('Prediction Log'!#REF!="Y", "W", IF('Prediction Log'!#REF!="N", "L", ""))</f>
        <v>#REF!</v>
      </c>
      <c r="AH569" s="172" t="str">
        <f>IF(ISBLANK(Table123[[#This Row],[Odds Spread]]), "",IF(AG569="W", Z569, IF(AG569="L",-O569, "")))</f>
      </c>
      <c r="AI569" s="184"/>
      <c r="AJ569" s="183" t="str">
        <f t="shared" si="60"/>
      </c>
      <c r="AK5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0">
      <c r="A570" s="65" t="e">
        <f>Games!#REF!</f>
        <v>#REF!</v>
      </c>
      <c r="B570" s="65" t="e">
        <f>IF('Prediction Log'!#REF!=0, "",'Prediction Log'!#REF!)</f>
        <v>#REF!</v>
      </c>
      <c r="C570" s="65" t="e">
        <f>IF('Prediction Log'!#REF!=0, "",'Prediction Log'!#REF!)</f>
        <v>#REF!</v>
      </c>
      <c r="D570" s="65" t="e">
        <f>IF('Prediction Log'!#REF!=0, "",'Prediction Log'!#REF!)</f>
        <v>#REF!</v>
      </c>
      <c r="E570" s="65" t="e">
        <f>IF('Prediction Log'!#REF!=0, "",'Prediction Log'!#REF!)</f>
        <v>#REF!</v>
      </c>
      <c r="F570" s="65" t="e">
        <f>IF('Prediction Log'!#REF!=0, "",'Prediction Log'!#REF!)</f>
        <v>#REF!</v>
      </c>
      <c r="G570" s="64" t="e">
        <f>IF(ISBLANK(Games!#REF!), "",'Prediction Log'!#REF!)</f>
        <v>#REF!</v>
      </c>
      <c r="H570" s="66" t="e">
        <f>'Prediction Log'!#REF!</f>
        <v>#REF!</v>
      </c>
      <c r="I570" s="65" t="e">
        <f>IF(ISBLANK(Games!#REF!), "",IF(AND(Games!#REF!="",Games!#REF!=""),"",IF(ISTEXT(Games!#REF!), "Side",Games!#REF!)))</f>
        <v>#REF!</v>
      </c>
      <c r="J570" s="65" t="e">
        <f>IF(ISBLANK(Games!#REF!), "",IF(Games!#REF!="Y", Games!#REF!, Games!#REF!))</f>
        <v>#REF!</v>
      </c>
      <c r="K570" s="65" t="e">
        <f>Games!#REF!</f>
        <v>#REF!</v>
      </c>
      <c r="L570" s="65" t="e">
        <f>IF(ISBLANK(Games!#REF!), "",Games!#REF!)</f>
        <v>#REF!</v>
      </c>
      <c r="M570" s="65"/>
      <c r="N570" s="167" t="str">
        <f>IF(ISBLANK(Table123[[#This Row],[Odds Side - Difference Model]]), "", 1)</f>
      </c>
      <c r="O570" s="167" t="str">
        <f>IF(ISBLANK(Table123[[#This Row],[Odds Spread]]), "", 1)</f>
      </c>
      <c r="P570" s="67"/>
      <c r="Q570" s="67"/>
      <c r="R5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0" s="67"/>
      <c r="T570" s="67"/>
      <c r="U570" s="168" t="str">
        <f>IF(ISBLANK(Table123[[#This Row],[Odds Side - Difference Model]]), "",N570+IF(Q570&lt;0, (N570/(Q570/-100)), N570*(Q570/100)))</f>
      </c>
      <c r="V570" s="169" t="str">
        <f>IFERROR(IF(ISBLANK(Table123[[#This Row],[Odds Side - Win Probability Model]]), "",N570+IF(R570&lt;0, (N570/(R570/-100)), N570*(R570/100))),"")</f>
      </c>
      <c r="W570" s="168" t="str">
        <f t="shared" si="55"/>
      </c>
      <c r="X570" s="169" t="str">
        <f t="shared" si="56"/>
      </c>
      <c r="Y570" s="168" t="str">
        <f>IF(ISBLANK(Table123[[#This Row],[Odds Spread]]), "",O570+IF(S570&lt;0, (O570/(S570/-100)), O570*(S570/100)))</f>
      </c>
      <c r="Z570" s="168" t="str">
        <f t="shared" si="57"/>
      </c>
      <c r="AA570" s="68" t="n">
        <f t="shared" si="58"/>
        <v>0</v>
      </c>
      <c r="AB570" s="68" t="n">
        <f t="shared" si="59"/>
        <v>0</v>
      </c>
      <c r="AC570" s="170" t="e">
        <f>IF('Prediction Log'!#REF!="Y", "W", IF('Prediction Log'!#REF!="N","L",""))</f>
        <v>#REF!</v>
      </c>
      <c r="AD570" s="171" t="e">
        <f>IF('Prediction Log'!#REF!="Y", "W", IF('Prediction Log'!#REF!="N","L",""))</f>
        <v>#REF!</v>
      </c>
      <c r="AE570" s="172" t="str">
        <f>IF(ISBLANK(Table123[[#This Row],[Odds Side - Difference Model]]), "",IF(AC570="W", W570, IF(AC570="L",-N570, "")))</f>
      </c>
      <c r="AF570" s="173" t="str">
        <f>IFERROR((IF(ISERR(Table123[[#This Row],[Potential Payout Side - Win Probability Model]]), "",IF(AD570="W", X570, IF(AD570="L",-N570, "")))), "")</f>
      </c>
      <c r="AG570" s="170" t="e">
        <f>IF('Prediction Log'!#REF!="Y", "W", IF('Prediction Log'!#REF!="N", "L", ""))</f>
        <v>#REF!</v>
      </c>
      <c r="AH570" s="172" t="str">
        <f>IF(ISBLANK(Table123[[#This Row],[Odds Spread]]), "",IF(AG570="W", Z570, IF(AG570="L",-O570, "")))</f>
      </c>
      <c r="AI570" s="184"/>
      <c r="AJ570" s="183" t="str">
        <f t="shared" si="60"/>
      </c>
      <c r="AK5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1">
      <c r="A571" s="65" t="e">
        <f>Games!#REF!</f>
        <v>#REF!</v>
      </c>
      <c r="B571" s="65" t="e">
        <f>IF('Prediction Log'!#REF!=0, "",'Prediction Log'!#REF!)</f>
        <v>#REF!</v>
      </c>
      <c r="C571" s="65" t="e">
        <f>IF('Prediction Log'!#REF!=0, "",'Prediction Log'!#REF!)</f>
        <v>#REF!</v>
      </c>
      <c r="D571" s="65" t="e">
        <f>IF('Prediction Log'!#REF!=0, "",'Prediction Log'!#REF!)</f>
        <v>#REF!</v>
      </c>
      <c r="E571" s="65" t="e">
        <f>IF('Prediction Log'!#REF!=0, "",'Prediction Log'!#REF!)</f>
        <v>#REF!</v>
      </c>
      <c r="F571" s="65" t="e">
        <f>IF('Prediction Log'!#REF!=0, "",'Prediction Log'!#REF!)</f>
        <v>#REF!</v>
      </c>
      <c r="G571" s="64" t="e">
        <f>IF(ISBLANK(Games!#REF!), "",'Prediction Log'!#REF!)</f>
        <v>#REF!</v>
      </c>
      <c r="H571" s="66" t="e">
        <f>'Prediction Log'!#REF!</f>
        <v>#REF!</v>
      </c>
      <c r="I571" s="65" t="e">
        <f>IF(ISBLANK(Games!#REF!), "",IF(AND(Games!#REF!="",Games!#REF!=""),"",IF(ISTEXT(Games!#REF!), "Side",Games!#REF!)))</f>
        <v>#REF!</v>
      </c>
      <c r="J571" s="65" t="e">
        <f>IF(ISBLANK(Games!#REF!), "",IF(Games!#REF!="Y", Games!#REF!, Games!#REF!))</f>
        <v>#REF!</v>
      </c>
      <c r="K571" s="65" t="e">
        <f>Games!#REF!</f>
        <v>#REF!</v>
      </c>
      <c r="L571" s="65" t="e">
        <f>IF(ISBLANK(Games!#REF!), "",Games!#REF!)</f>
        <v>#REF!</v>
      </c>
      <c r="M571" s="65"/>
      <c r="N571" s="167" t="str">
        <f>IF(ISBLANK(Table123[[#This Row],[Odds Side - Difference Model]]), "", 1)</f>
      </c>
      <c r="O571" s="167" t="str">
        <f>IF(ISBLANK(Table123[[#This Row],[Odds Spread]]), "", 1)</f>
      </c>
      <c r="P571" s="67"/>
      <c r="Q571" s="67"/>
      <c r="R5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1" s="67"/>
      <c r="T571" s="67"/>
      <c r="U571" s="168" t="str">
        <f>IF(ISBLANK(Table123[[#This Row],[Odds Side - Difference Model]]), "",N571+IF(Q571&lt;0, (N571/(Q571/-100)), N571*(Q571/100)))</f>
      </c>
      <c r="V571" s="169" t="str">
        <f>IFERROR(IF(ISBLANK(Table123[[#This Row],[Odds Side - Win Probability Model]]), "",N571+IF(R571&lt;0, (N571/(R571/-100)), N571*(R571/100))),"")</f>
      </c>
      <c r="W571" s="168" t="str">
        <f t="shared" si="55"/>
      </c>
      <c r="X571" s="169" t="str">
        <f t="shared" si="56"/>
      </c>
      <c r="Y571" s="168" t="str">
        <f>IF(ISBLANK(Table123[[#This Row],[Odds Spread]]), "",O571+IF(S571&lt;0, (O571/(S571/-100)), O571*(S571/100)))</f>
      </c>
      <c r="Z571" s="168" t="str">
        <f t="shared" si="57"/>
      </c>
      <c r="AA571" s="68" t="n">
        <f t="shared" si="58"/>
        <v>0</v>
      </c>
      <c r="AB571" s="68" t="n">
        <f t="shared" si="59"/>
        <v>0</v>
      </c>
      <c r="AC571" s="170" t="e">
        <f>IF('Prediction Log'!#REF!="Y", "W", IF('Prediction Log'!#REF!="N","L",""))</f>
        <v>#REF!</v>
      </c>
      <c r="AD571" s="171" t="e">
        <f>IF('Prediction Log'!#REF!="Y", "W", IF('Prediction Log'!#REF!="N","L",""))</f>
        <v>#REF!</v>
      </c>
      <c r="AE571" s="172" t="str">
        <f>IF(ISBLANK(Table123[[#This Row],[Odds Side - Difference Model]]), "",IF(AC571="W", W571, IF(AC571="L",-N571, "")))</f>
      </c>
      <c r="AF571" s="173" t="str">
        <f>IFERROR((IF(ISERR(Table123[[#This Row],[Potential Payout Side - Win Probability Model]]), "",IF(AD571="W", X571, IF(AD571="L",-N571, "")))), "")</f>
      </c>
      <c r="AG571" s="170" t="e">
        <f>IF('Prediction Log'!#REF!="Y", "W", IF('Prediction Log'!#REF!="N", "L", ""))</f>
        <v>#REF!</v>
      </c>
      <c r="AH571" s="172" t="str">
        <f>IF(ISBLANK(Table123[[#This Row],[Odds Spread]]), "",IF(AG571="W", Z571, IF(AG571="L",-O571, "")))</f>
      </c>
      <c r="AI571" s="184"/>
      <c r="AJ571" s="183" t="str">
        <f t="shared" si="60"/>
      </c>
      <c r="AK5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2">
      <c r="A572" s="65" t="e">
        <f>Games!#REF!</f>
        <v>#REF!</v>
      </c>
      <c r="B572" s="65" t="e">
        <f>IF('Prediction Log'!#REF!=0, "",'Prediction Log'!#REF!)</f>
        <v>#REF!</v>
      </c>
      <c r="C572" s="65" t="e">
        <f>IF('Prediction Log'!#REF!=0, "",'Prediction Log'!#REF!)</f>
        <v>#REF!</v>
      </c>
      <c r="D572" s="65" t="e">
        <f>IF('Prediction Log'!#REF!=0, "",'Prediction Log'!#REF!)</f>
        <v>#REF!</v>
      </c>
      <c r="E572" s="65" t="e">
        <f>IF('Prediction Log'!#REF!=0, "",'Prediction Log'!#REF!)</f>
        <v>#REF!</v>
      </c>
      <c r="F572" s="65" t="e">
        <f>IF('Prediction Log'!#REF!=0, "",'Prediction Log'!#REF!)</f>
        <v>#REF!</v>
      </c>
      <c r="G572" s="64" t="e">
        <f>IF(ISBLANK(Games!#REF!), "",'Prediction Log'!#REF!)</f>
        <v>#REF!</v>
      </c>
      <c r="H572" s="66" t="e">
        <f>'Prediction Log'!#REF!</f>
        <v>#REF!</v>
      </c>
      <c r="I572" s="65" t="e">
        <f>IF(ISBLANK(Games!#REF!), "",IF(AND(Games!#REF!="",Games!#REF!=""),"",IF(ISTEXT(Games!#REF!), "Side",Games!#REF!)))</f>
        <v>#REF!</v>
      </c>
      <c r="J572" s="65" t="e">
        <f>IF(ISBLANK(Games!#REF!), "",IF(Games!#REF!="Y", Games!#REF!, Games!#REF!))</f>
        <v>#REF!</v>
      </c>
      <c r="K572" s="65" t="e">
        <f>Games!#REF!</f>
        <v>#REF!</v>
      </c>
      <c r="L572" s="65" t="e">
        <f>IF(ISBLANK(Games!#REF!), "",Games!#REF!)</f>
        <v>#REF!</v>
      </c>
      <c r="M572" s="65"/>
      <c r="N572" s="167" t="str">
        <f>IF(ISBLANK(Table123[[#This Row],[Odds Side - Difference Model]]), "", 1)</f>
      </c>
      <c r="O572" s="167" t="str">
        <f>IF(ISBLANK(Table123[[#This Row],[Odds Spread]]), "", 1)</f>
      </c>
      <c r="P572" s="67"/>
      <c r="Q572" s="67"/>
      <c r="R5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2" s="67"/>
      <c r="T572" s="67"/>
      <c r="U572" s="168" t="str">
        <f>IF(ISBLANK(Table123[[#This Row],[Odds Side - Difference Model]]), "",N572+IF(Q572&lt;0, (N572/(Q572/-100)), N572*(Q572/100)))</f>
      </c>
      <c r="V572" s="169" t="str">
        <f>IFERROR(IF(ISBLANK(Table123[[#This Row],[Odds Side - Win Probability Model]]), "",N572+IF(R572&lt;0, (N572/(R572/-100)), N572*(R572/100))),"")</f>
      </c>
      <c r="W572" s="168" t="str">
        <f t="shared" si="55"/>
      </c>
      <c r="X572" s="169" t="str">
        <f t="shared" si="56"/>
      </c>
      <c r="Y572" s="168" t="str">
        <f>IF(ISBLANK(Table123[[#This Row],[Odds Spread]]), "",O572+IF(S572&lt;0, (O572/(S572/-100)), O572*(S572/100)))</f>
      </c>
      <c r="Z572" s="168" t="str">
        <f t="shared" si="57"/>
      </c>
      <c r="AA572" s="68" t="n">
        <f t="shared" si="58"/>
        <v>0</v>
      </c>
      <c r="AB572" s="68" t="n">
        <f t="shared" si="59"/>
        <v>0</v>
      </c>
      <c r="AC572" s="170" t="e">
        <f>IF('Prediction Log'!#REF!="Y", "W", IF('Prediction Log'!#REF!="N","L",""))</f>
        <v>#REF!</v>
      </c>
      <c r="AD572" s="171" t="e">
        <f>IF('Prediction Log'!#REF!="Y", "W", IF('Prediction Log'!#REF!="N","L",""))</f>
        <v>#REF!</v>
      </c>
      <c r="AE572" s="172" t="str">
        <f>IF(ISBLANK(Table123[[#This Row],[Odds Side - Difference Model]]), "",IF(AC572="W", W572, IF(AC572="L",-N572, "")))</f>
      </c>
      <c r="AF572" s="173" t="str">
        <f>IFERROR((IF(ISERR(Table123[[#This Row],[Potential Payout Side - Win Probability Model]]), "",IF(AD572="W", X572, IF(AD572="L",-N572, "")))), "")</f>
      </c>
      <c r="AG572" s="170" t="e">
        <f>IF('Prediction Log'!#REF!="Y", "W", IF('Prediction Log'!#REF!="N", "L", ""))</f>
        <v>#REF!</v>
      </c>
      <c r="AH572" s="172" t="str">
        <f>IF(ISBLANK(Table123[[#This Row],[Odds Spread]]), "",IF(AG572="W", Z572, IF(AG572="L",-O572, "")))</f>
      </c>
      <c r="AI572" s="184"/>
      <c r="AJ572" s="183" t="str">
        <f t="shared" si="60"/>
      </c>
      <c r="AK5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3">
      <c r="A573" s="65" t="e">
        <f>Games!#REF!</f>
        <v>#REF!</v>
      </c>
      <c r="B573" s="65" t="e">
        <f>IF('Prediction Log'!#REF!=0, "",'Prediction Log'!#REF!)</f>
        <v>#REF!</v>
      </c>
      <c r="C573" s="65" t="e">
        <f>IF('Prediction Log'!#REF!=0, "",'Prediction Log'!#REF!)</f>
        <v>#REF!</v>
      </c>
      <c r="D573" s="65" t="e">
        <f>IF('Prediction Log'!#REF!=0, "",'Prediction Log'!#REF!)</f>
        <v>#REF!</v>
      </c>
      <c r="E573" s="65" t="e">
        <f>IF('Prediction Log'!#REF!=0, "",'Prediction Log'!#REF!)</f>
        <v>#REF!</v>
      </c>
      <c r="F573" s="65" t="e">
        <f>IF('Prediction Log'!#REF!=0, "",'Prediction Log'!#REF!)</f>
        <v>#REF!</v>
      </c>
      <c r="G573" s="64" t="e">
        <f>IF(ISBLANK(Games!#REF!), "",'Prediction Log'!#REF!)</f>
        <v>#REF!</v>
      </c>
      <c r="H573" s="66" t="e">
        <f>'Prediction Log'!#REF!</f>
        <v>#REF!</v>
      </c>
      <c r="I573" s="65" t="e">
        <f>IF(ISBLANK(Games!#REF!), "",IF(AND(Games!#REF!="",Games!#REF!=""),"",IF(ISTEXT(Games!#REF!), "Side",Games!#REF!)))</f>
        <v>#REF!</v>
      </c>
      <c r="J573" s="65" t="e">
        <f>IF(ISBLANK(Games!#REF!), "",IF(Games!#REF!="Y", Games!#REF!, Games!#REF!))</f>
        <v>#REF!</v>
      </c>
      <c r="K573" s="65" t="e">
        <f>Games!#REF!</f>
        <v>#REF!</v>
      </c>
      <c r="L573" s="65" t="e">
        <f>IF(ISBLANK(Games!#REF!), "",Games!#REF!)</f>
        <v>#REF!</v>
      </c>
      <c r="M573" s="65"/>
      <c r="N573" s="167" t="str">
        <f>IF(ISBLANK(Table123[[#This Row],[Odds Side - Difference Model]]), "", 1)</f>
      </c>
      <c r="O573" s="167" t="str">
        <f>IF(ISBLANK(Table123[[#This Row],[Odds Spread]]), "", 1)</f>
      </c>
      <c r="P573" s="67"/>
      <c r="Q573" s="67"/>
      <c r="R5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3" s="67"/>
      <c r="T573" s="67"/>
      <c r="U573" s="168" t="str">
        <f>IF(ISBLANK(Table123[[#This Row],[Odds Side - Difference Model]]), "",N573+IF(Q573&lt;0, (N573/(Q573/-100)), N573*(Q573/100)))</f>
      </c>
      <c r="V573" s="169" t="str">
        <f>IFERROR(IF(ISBLANK(Table123[[#This Row],[Odds Side - Win Probability Model]]), "",N573+IF(R573&lt;0, (N573/(R573/-100)), N573*(R573/100))),"")</f>
      </c>
      <c r="W573" s="168" t="str">
        <f t="shared" si="55"/>
      </c>
      <c r="X573" s="169" t="str">
        <f t="shared" si="56"/>
      </c>
      <c r="Y573" s="168" t="str">
        <f>IF(ISBLANK(Table123[[#This Row],[Odds Spread]]), "",O573+IF(S573&lt;0, (O573/(S573/-100)), O573*(S573/100)))</f>
      </c>
      <c r="Z573" s="168" t="str">
        <f t="shared" si="57"/>
      </c>
      <c r="AA573" s="68" t="n">
        <f t="shared" si="58"/>
        <v>0</v>
      </c>
      <c r="AB573" s="68" t="n">
        <f t="shared" si="59"/>
        <v>0</v>
      </c>
      <c r="AC573" s="170" t="e">
        <f>IF('Prediction Log'!#REF!="Y", "W", IF('Prediction Log'!#REF!="N","L",""))</f>
        <v>#REF!</v>
      </c>
      <c r="AD573" s="171" t="e">
        <f>IF('Prediction Log'!#REF!="Y", "W", IF('Prediction Log'!#REF!="N","L",""))</f>
        <v>#REF!</v>
      </c>
      <c r="AE573" s="172" t="str">
        <f>IF(ISBLANK(Table123[[#This Row],[Odds Side - Difference Model]]), "",IF(AC573="W", W573, IF(AC573="L",-N573, "")))</f>
      </c>
      <c r="AF573" s="173" t="str">
        <f>IFERROR((IF(ISERR(Table123[[#This Row],[Potential Payout Side - Win Probability Model]]), "",IF(AD573="W", X573, IF(AD573="L",-N573, "")))), "")</f>
      </c>
      <c r="AG573" s="170" t="e">
        <f>IF('Prediction Log'!#REF!="Y", "W", IF('Prediction Log'!#REF!="N", "L", ""))</f>
        <v>#REF!</v>
      </c>
      <c r="AH573" s="172" t="str">
        <f>IF(ISBLANK(Table123[[#This Row],[Odds Spread]]), "",IF(AG573="W", Z573, IF(AG573="L",-O573, "")))</f>
      </c>
      <c r="AI573" s="184"/>
      <c r="AJ573" s="183" t="str">
        <f t="shared" si="60"/>
      </c>
      <c r="AK5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4">
      <c r="A574" s="65" t="e">
        <f>Games!#REF!</f>
        <v>#REF!</v>
      </c>
      <c r="B574" s="65" t="e">
        <f>IF('Prediction Log'!#REF!=0, "",'Prediction Log'!#REF!)</f>
        <v>#REF!</v>
      </c>
      <c r="C574" s="65" t="e">
        <f>IF('Prediction Log'!#REF!=0, "",'Prediction Log'!#REF!)</f>
        <v>#REF!</v>
      </c>
      <c r="D574" s="65" t="e">
        <f>IF('Prediction Log'!#REF!=0, "",'Prediction Log'!#REF!)</f>
        <v>#REF!</v>
      </c>
      <c r="E574" s="65" t="e">
        <f>IF('Prediction Log'!#REF!=0, "",'Prediction Log'!#REF!)</f>
        <v>#REF!</v>
      </c>
      <c r="F574" s="65" t="e">
        <f>IF('Prediction Log'!#REF!=0, "",'Prediction Log'!#REF!)</f>
        <v>#REF!</v>
      </c>
      <c r="G574" s="64" t="e">
        <f>IF(ISBLANK(Games!#REF!), "",'Prediction Log'!#REF!)</f>
        <v>#REF!</v>
      </c>
      <c r="H574" s="66" t="e">
        <f>'Prediction Log'!#REF!</f>
        <v>#REF!</v>
      </c>
      <c r="I574" s="65" t="e">
        <f>IF(ISBLANK(Games!#REF!), "",IF(AND(Games!#REF!="",Games!#REF!=""),"",IF(ISTEXT(Games!#REF!), "Side",Games!#REF!)))</f>
        <v>#REF!</v>
      </c>
      <c r="J574" s="65" t="e">
        <f>IF(ISBLANK(Games!#REF!), "",IF(Games!#REF!="Y", Games!#REF!, Games!#REF!))</f>
        <v>#REF!</v>
      </c>
      <c r="K574" s="65" t="e">
        <f>Games!#REF!</f>
        <v>#REF!</v>
      </c>
      <c r="L574" s="65" t="e">
        <f>IF(ISBLANK(Games!#REF!), "",Games!#REF!)</f>
        <v>#REF!</v>
      </c>
      <c r="M574" s="65"/>
      <c r="N574" s="167" t="str">
        <f>IF(ISBLANK(Table123[[#This Row],[Odds Side - Difference Model]]), "", 1)</f>
      </c>
      <c r="O574" s="167" t="str">
        <f>IF(ISBLANK(Table123[[#This Row],[Odds Spread]]), "", 1)</f>
      </c>
      <c r="P574" s="67"/>
      <c r="Q574" s="67"/>
      <c r="R5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4" s="67"/>
      <c r="T574" s="67"/>
      <c r="U574" s="168" t="str">
        <f>IF(ISBLANK(Table123[[#This Row],[Odds Side - Difference Model]]), "",N574+IF(Q574&lt;0, (N574/(Q574/-100)), N574*(Q574/100)))</f>
      </c>
      <c r="V574" s="169" t="str">
        <f>IFERROR(IF(ISBLANK(Table123[[#This Row],[Odds Side - Win Probability Model]]), "",N574+IF(R574&lt;0, (N574/(R574/-100)), N574*(R574/100))),"")</f>
      </c>
      <c r="W574" s="168" t="str">
        <f t="shared" si="55"/>
      </c>
      <c r="X574" s="169" t="str">
        <f t="shared" si="56"/>
      </c>
      <c r="Y574" s="168" t="str">
        <f>IF(ISBLANK(Table123[[#This Row],[Odds Spread]]), "",O574+IF(S574&lt;0, (O574/(S574/-100)), O574*(S574/100)))</f>
      </c>
      <c r="Z574" s="168" t="str">
        <f t="shared" si="57"/>
      </c>
      <c r="AA574" s="68" t="n">
        <f t="shared" si="58"/>
        <v>0</v>
      </c>
      <c r="AB574" s="68" t="n">
        <f t="shared" si="59"/>
        <v>0</v>
      </c>
      <c r="AC574" s="170" t="e">
        <f>IF('Prediction Log'!#REF!="Y", "W", IF('Prediction Log'!#REF!="N","L",""))</f>
        <v>#REF!</v>
      </c>
      <c r="AD574" s="171" t="e">
        <f>IF('Prediction Log'!#REF!="Y", "W", IF('Prediction Log'!#REF!="N","L",""))</f>
        <v>#REF!</v>
      </c>
      <c r="AE574" s="172" t="str">
        <f>IF(ISBLANK(Table123[[#This Row],[Odds Side - Difference Model]]), "",IF(AC574="W", W574, IF(AC574="L",-N574, "")))</f>
      </c>
      <c r="AF574" s="173" t="str">
        <f>IFERROR((IF(ISERR(Table123[[#This Row],[Potential Payout Side - Win Probability Model]]), "",IF(AD574="W", X574, IF(AD574="L",-N574, "")))), "")</f>
      </c>
      <c r="AG574" s="170" t="e">
        <f>IF('Prediction Log'!#REF!="Y", "W", IF('Prediction Log'!#REF!="N", "L", ""))</f>
        <v>#REF!</v>
      </c>
      <c r="AH574" s="172" t="str">
        <f>IF(ISBLANK(Table123[[#This Row],[Odds Spread]]), "",IF(AG574="W", Z574, IF(AG574="L",-O574, "")))</f>
      </c>
      <c r="AI574" s="184"/>
      <c r="AJ574" s="183" t="str">
        <f t="shared" si="60"/>
      </c>
      <c r="AK5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5">
      <c r="A575" s="65" t="e">
        <f>Games!#REF!</f>
        <v>#REF!</v>
      </c>
      <c r="B575" s="65" t="e">
        <f>IF('Prediction Log'!#REF!=0, "",'Prediction Log'!#REF!)</f>
        <v>#REF!</v>
      </c>
      <c r="C575" s="65" t="e">
        <f>IF('Prediction Log'!#REF!=0, "",'Prediction Log'!#REF!)</f>
        <v>#REF!</v>
      </c>
      <c r="D575" s="65" t="e">
        <f>IF('Prediction Log'!#REF!=0, "",'Prediction Log'!#REF!)</f>
        <v>#REF!</v>
      </c>
      <c r="E575" s="65" t="e">
        <f>IF('Prediction Log'!#REF!=0, "",'Prediction Log'!#REF!)</f>
        <v>#REF!</v>
      </c>
      <c r="F575" s="65" t="e">
        <f>IF('Prediction Log'!#REF!=0, "",'Prediction Log'!#REF!)</f>
        <v>#REF!</v>
      </c>
      <c r="G575" s="64" t="e">
        <f>IF(ISBLANK(Games!#REF!), "",'Prediction Log'!#REF!)</f>
        <v>#REF!</v>
      </c>
      <c r="H575" s="66" t="e">
        <f>'Prediction Log'!#REF!</f>
        <v>#REF!</v>
      </c>
      <c r="I575" s="65" t="e">
        <f>IF(ISBLANK(Games!#REF!), "",IF(AND(Games!#REF!="",Games!#REF!=""),"",IF(ISTEXT(Games!#REF!), "Side",Games!#REF!)))</f>
        <v>#REF!</v>
      </c>
      <c r="J575" s="65" t="e">
        <f>IF(ISBLANK(Games!#REF!), "",IF(Games!#REF!="Y", Games!#REF!, Games!#REF!))</f>
        <v>#REF!</v>
      </c>
      <c r="K575" s="65" t="e">
        <f>Games!#REF!</f>
        <v>#REF!</v>
      </c>
      <c r="L575" s="65" t="e">
        <f>IF(ISBLANK(Games!#REF!), "",Games!#REF!)</f>
        <v>#REF!</v>
      </c>
      <c r="M575" s="65"/>
      <c r="N575" s="167" t="str">
        <f>IF(ISBLANK(Table123[[#This Row],[Odds Side - Difference Model]]), "", 1)</f>
      </c>
      <c r="O575" s="167" t="str">
        <f>IF(ISBLANK(Table123[[#This Row],[Odds Spread]]), "", 1)</f>
      </c>
      <c r="P575" s="67"/>
      <c r="Q575" s="67"/>
      <c r="R5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5" s="67"/>
      <c r="T575" s="67"/>
      <c r="U575" s="168" t="str">
        <f>IF(ISBLANK(Table123[[#This Row],[Odds Side - Difference Model]]), "",N575+IF(Q575&lt;0, (N575/(Q575/-100)), N575*(Q575/100)))</f>
      </c>
      <c r="V575" s="169" t="str">
        <f>IFERROR(IF(ISBLANK(Table123[[#This Row],[Odds Side - Win Probability Model]]), "",N575+IF(R575&lt;0, (N575/(R575/-100)), N575*(R575/100))),"")</f>
      </c>
      <c r="W575" s="168" t="str">
        <f t="shared" si="55"/>
      </c>
      <c r="X575" s="169" t="str">
        <f t="shared" si="56"/>
      </c>
      <c r="Y575" s="168" t="str">
        <f>IF(ISBLANK(Table123[[#This Row],[Odds Spread]]), "",O575+IF(S575&lt;0, (O575/(S575/-100)), O575*(S575/100)))</f>
      </c>
      <c r="Z575" s="168" t="str">
        <f t="shared" si="57"/>
      </c>
      <c r="AA575" s="68" t="n">
        <f t="shared" si="58"/>
        <v>0</v>
      </c>
      <c r="AB575" s="68" t="n">
        <f t="shared" si="59"/>
        <v>0</v>
      </c>
      <c r="AC575" s="170" t="e">
        <f>IF('Prediction Log'!#REF!="Y", "W", IF('Prediction Log'!#REF!="N","L",""))</f>
        <v>#REF!</v>
      </c>
      <c r="AD575" s="171" t="e">
        <f>IF('Prediction Log'!#REF!="Y", "W", IF('Prediction Log'!#REF!="N","L",""))</f>
        <v>#REF!</v>
      </c>
      <c r="AE575" s="172" t="str">
        <f>IF(ISBLANK(Table123[[#This Row],[Odds Side - Difference Model]]), "",IF(AC575="W", W575, IF(AC575="L",-N575, "")))</f>
      </c>
      <c r="AF575" s="173" t="str">
        <f>IFERROR((IF(ISERR(Table123[[#This Row],[Potential Payout Side - Win Probability Model]]), "",IF(AD575="W", X575, IF(AD575="L",-N575, "")))), "")</f>
      </c>
      <c r="AG575" s="170" t="e">
        <f>IF('Prediction Log'!#REF!="Y", "W", IF('Prediction Log'!#REF!="N", "L", ""))</f>
        <v>#REF!</v>
      </c>
      <c r="AH575" s="172" t="str">
        <f>IF(ISBLANK(Table123[[#This Row],[Odds Spread]]), "",IF(AG575="W", Z575, IF(AG575="L",-O575, "")))</f>
      </c>
      <c r="AI575" s="184"/>
      <c r="AJ575" s="183" t="str">
        <f t="shared" si="60"/>
      </c>
      <c r="AK5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6">
      <c r="A576" s="65" t="e">
        <f>Games!#REF!</f>
        <v>#REF!</v>
      </c>
      <c r="B576" s="65" t="e">
        <f>IF('Prediction Log'!#REF!=0, "",'Prediction Log'!#REF!)</f>
        <v>#REF!</v>
      </c>
      <c r="C576" s="65" t="e">
        <f>IF('Prediction Log'!#REF!=0, "",'Prediction Log'!#REF!)</f>
        <v>#REF!</v>
      </c>
      <c r="D576" s="65" t="e">
        <f>IF('Prediction Log'!#REF!=0, "",'Prediction Log'!#REF!)</f>
        <v>#REF!</v>
      </c>
      <c r="E576" s="65" t="e">
        <f>IF('Prediction Log'!#REF!=0, "",'Prediction Log'!#REF!)</f>
        <v>#REF!</v>
      </c>
      <c r="F576" s="65" t="e">
        <f>IF('Prediction Log'!#REF!=0, "",'Prediction Log'!#REF!)</f>
        <v>#REF!</v>
      </c>
      <c r="G576" s="64" t="e">
        <f>IF(ISBLANK(Games!#REF!), "",'Prediction Log'!#REF!)</f>
        <v>#REF!</v>
      </c>
      <c r="H576" s="66" t="e">
        <f>'Prediction Log'!#REF!</f>
        <v>#REF!</v>
      </c>
      <c r="I576" s="65" t="e">
        <f>IF(ISBLANK(Games!#REF!), "",IF(AND(Games!#REF!="",Games!#REF!=""),"",IF(ISTEXT(Games!#REF!), "Side",Games!#REF!)))</f>
        <v>#REF!</v>
      </c>
      <c r="J576" s="65" t="e">
        <f>IF(ISBLANK(Games!#REF!), "",IF(Games!#REF!="Y", Games!#REF!, Games!#REF!))</f>
        <v>#REF!</v>
      </c>
      <c r="K576" s="65" t="e">
        <f>Games!#REF!</f>
        <v>#REF!</v>
      </c>
      <c r="L576" s="65" t="e">
        <f>IF(ISBLANK(Games!#REF!), "",Games!#REF!)</f>
        <v>#REF!</v>
      </c>
      <c r="M576" s="65"/>
      <c r="N576" s="167" t="str">
        <f>IF(ISBLANK(Table123[[#This Row],[Odds Side - Difference Model]]), "", 1)</f>
      </c>
      <c r="O576" s="167" t="str">
        <f>IF(ISBLANK(Table123[[#This Row],[Odds Spread]]), "", 1)</f>
      </c>
      <c r="P576" s="67"/>
      <c r="Q576" s="67"/>
      <c r="R5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6" s="67"/>
      <c r="T576" s="67"/>
      <c r="U576" s="168" t="str">
        <f>IF(ISBLANK(Table123[[#This Row],[Odds Side - Difference Model]]), "",N576+IF(Q576&lt;0, (N576/(Q576/-100)), N576*(Q576/100)))</f>
      </c>
      <c r="V576" s="169" t="str">
        <f>IFERROR(IF(ISBLANK(Table123[[#This Row],[Odds Side - Win Probability Model]]), "",N576+IF(R576&lt;0, (N576/(R576/-100)), N576*(R576/100))),"")</f>
      </c>
      <c r="W576" s="168" t="str">
        <f t="shared" si="55"/>
      </c>
      <c r="X576" s="169" t="str">
        <f t="shared" si="56"/>
      </c>
      <c r="Y576" s="168" t="str">
        <f>IF(ISBLANK(Table123[[#This Row],[Odds Spread]]), "",O576+IF(S576&lt;0, (O576/(S576/-100)), O576*(S576/100)))</f>
      </c>
      <c r="Z576" s="168" t="str">
        <f t="shared" si="57"/>
      </c>
      <c r="AA576" s="68" t="n">
        <f t="shared" si="58"/>
        <v>0</v>
      </c>
      <c r="AB576" s="68" t="n">
        <f t="shared" si="59"/>
        <v>0</v>
      </c>
      <c r="AC576" s="170" t="e">
        <f>IF('Prediction Log'!#REF!="Y", "W", IF('Prediction Log'!#REF!="N","L",""))</f>
        <v>#REF!</v>
      </c>
      <c r="AD576" s="171" t="e">
        <f>IF('Prediction Log'!#REF!="Y", "W", IF('Prediction Log'!#REF!="N","L",""))</f>
        <v>#REF!</v>
      </c>
      <c r="AE576" s="172" t="str">
        <f>IF(ISBLANK(Table123[[#This Row],[Odds Side - Difference Model]]), "",IF(AC576="W", W576, IF(AC576="L",-N576, "")))</f>
      </c>
      <c r="AF576" s="173" t="str">
        <f>IFERROR((IF(ISERR(Table123[[#This Row],[Potential Payout Side - Win Probability Model]]), "",IF(AD576="W", X576, IF(AD576="L",-N576, "")))), "")</f>
      </c>
      <c r="AG576" s="170" t="e">
        <f>IF('Prediction Log'!#REF!="Y", "W", IF('Prediction Log'!#REF!="N", "L", ""))</f>
        <v>#REF!</v>
      </c>
      <c r="AH576" s="172" t="str">
        <f>IF(ISBLANK(Table123[[#This Row],[Odds Spread]]), "",IF(AG576="W", Z576, IF(AG576="L",-O576, "")))</f>
      </c>
      <c r="AI576" s="184"/>
      <c r="AJ576" s="183" t="str">
        <f t="shared" si="60"/>
      </c>
      <c r="AK5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7">
      <c r="A577" s="65" t="e">
        <f>Games!#REF!</f>
        <v>#REF!</v>
      </c>
      <c r="B577" s="65" t="e">
        <f>IF('Prediction Log'!#REF!=0, "",'Prediction Log'!#REF!)</f>
        <v>#REF!</v>
      </c>
      <c r="C577" s="65" t="e">
        <f>IF('Prediction Log'!#REF!=0, "",'Prediction Log'!#REF!)</f>
        <v>#REF!</v>
      </c>
      <c r="D577" s="65" t="e">
        <f>IF('Prediction Log'!#REF!=0, "",'Prediction Log'!#REF!)</f>
        <v>#REF!</v>
      </c>
      <c r="E577" s="65" t="e">
        <f>IF('Prediction Log'!#REF!=0, "",'Prediction Log'!#REF!)</f>
        <v>#REF!</v>
      </c>
      <c r="F577" s="65" t="e">
        <f>IF('Prediction Log'!#REF!=0, "",'Prediction Log'!#REF!)</f>
        <v>#REF!</v>
      </c>
      <c r="G577" s="64" t="e">
        <f>IF(ISBLANK(Games!#REF!), "",'Prediction Log'!#REF!)</f>
        <v>#REF!</v>
      </c>
      <c r="H577" s="66" t="e">
        <f>'Prediction Log'!#REF!</f>
        <v>#REF!</v>
      </c>
      <c r="I577" s="65" t="e">
        <f>IF(ISBLANK(Games!#REF!), "",IF(AND(Games!#REF!="",Games!#REF!=""),"",IF(ISTEXT(Games!#REF!), "Side",Games!#REF!)))</f>
        <v>#REF!</v>
      </c>
      <c r="J577" s="65" t="e">
        <f>IF(ISBLANK(Games!#REF!), "",IF(Games!#REF!="Y", Games!#REF!, Games!#REF!))</f>
        <v>#REF!</v>
      </c>
      <c r="K577" s="65" t="e">
        <f>Games!#REF!</f>
        <v>#REF!</v>
      </c>
      <c r="L577" s="65" t="e">
        <f>IF(ISBLANK(Games!#REF!), "",Games!#REF!)</f>
        <v>#REF!</v>
      </c>
      <c r="M577" s="65"/>
      <c r="N577" s="167" t="str">
        <f>IF(ISBLANK(Table123[[#This Row],[Odds Side - Difference Model]]), "", 1)</f>
      </c>
      <c r="O577" s="167" t="str">
        <f>IF(ISBLANK(Table123[[#This Row],[Odds Spread]]), "", 1)</f>
      </c>
      <c r="P577" s="67"/>
      <c r="Q577" s="67"/>
      <c r="R5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7" s="67"/>
      <c r="T577" s="67"/>
      <c r="U577" s="168" t="str">
        <f>IF(ISBLANK(Table123[[#This Row],[Odds Side - Difference Model]]), "",N577+IF(Q577&lt;0, (N577/(Q577/-100)), N577*(Q577/100)))</f>
      </c>
      <c r="V577" s="169" t="str">
        <f>IFERROR(IF(ISBLANK(Table123[[#This Row],[Odds Side - Win Probability Model]]), "",N577+IF(R577&lt;0, (N577/(R577/-100)), N577*(R577/100))),"")</f>
      </c>
      <c r="W577" s="168" t="str">
        <f t="shared" si="55"/>
      </c>
      <c r="X577" s="169" t="str">
        <f t="shared" si="56"/>
      </c>
      <c r="Y577" s="168" t="str">
        <f>IF(ISBLANK(Table123[[#This Row],[Odds Spread]]), "",O577+IF(S577&lt;0, (O577/(S577/-100)), O577*(S577/100)))</f>
      </c>
      <c r="Z577" s="168" t="str">
        <f t="shared" si="57"/>
      </c>
      <c r="AA577" s="68" t="n">
        <f t="shared" si="58"/>
        <v>0</v>
      </c>
      <c r="AB577" s="68" t="n">
        <f t="shared" si="59"/>
        <v>0</v>
      </c>
      <c r="AC577" s="170" t="e">
        <f>IF('Prediction Log'!#REF!="Y", "W", IF('Prediction Log'!#REF!="N","L",""))</f>
        <v>#REF!</v>
      </c>
      <c r="AD577" s="171" t="e">
        <f>IF('Prediction Log'!#REF!="Y", "W", IF('Prediction Log'!#REF!="N","L",""))</f>
        <v>#REF!</v>
      </c>
      <c r="AE577" s="172" t="str">
        <f>IF(ISBLANK(Table123[[#This Row],[Odds Side - Difference Model]]), "",IF(AC577="W", W577, IF(AC577="L",-N577, "")))</f>
      </c>
      <c r="AF577" s="173" t="str">
        <f>IFERROR((IF(ISERR(Table123[[#This Row],[Potential Payout Side - Win Probability Model]]), "",IF(AD577="W", X577, IF(AD577="L",-N577, "")))), "")</f>
      </c>
      <c r="AG577" s="170" t="e">
        <f>IF('Prediction Log'!#REF!="Y", "W", IF('Prediction Log'!#REF!="N", "L", ""))</f>
        <v>#REF!</v>
      </c>
      <c r="AH577" s="172" t="str">
        <f>IF(ISBLANK(Table123[[#This Row],[Odds Spread]]), "",IF(AG577="W", Z577, IF(AG577="L",-O577, "")))</f>
      </c>
      <c r="AI577" s="184"/>
      <c r="AJ577" s="183" t="str">
        <f t="shared" si="60"/>
      </c>
      <c r="AK5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8">
      <c r="A578" s="65" t="e">
        <f>Games!#REF!</f>
        <v>#REF!</v>
      </c>
      <c r="B578" s="65" t="e">
        <f>IF('Prediction Log'!#REF!=0, "",'Prediction Log'!#REF!)</f>
        <v>#REF!</v>
      </c>
      <c r="C578" s="65" t="e">
        <f>IF('Prediction Log'!#REF!=0, "",'Prediction Log'!#REF!)</f>
        <v>#REF!</v>
      </c>
      <c r="D578" s="65" t="e">
        <f>IF('Prediction Log'!#REF!=0, "",'Prediction Log'!#REF!)</f>
        <v>#REF!</v>
      </c>
      <c r="E578" s="65" t="e">
        <f>IF('Prediction Log'!#REF!=0, "",'Prediction Log'!#REF!)</f>
        <v>#REF!</v>
      </c>
      <c r="F578" s="65" t="e">
        <f>IF('Prediction Log'!#REF!=0, "",'Prediction Log'!#REF!)</f>
        <v>#REF!</v>
      </c>
      <c r="G578" s="64" t="e">
        <f>IF(ISBLANK(Games!#REF!), "",'Prediction Log'!#REF!)</f>
        <v>#REF!</v>
      </c>
      <c r="H578" s="66" t="e">
        <f>'Prediction Log'!#REF!</f>
        <v>#REF!</v>
      </c>
      <c r="I578" s="65" t="e">
        <f>IF(ISBLANK(Games!#REF!), "",IF(AND(Games!#REF!="",Games!#REF!=""),"",IF(ISTEXT(Games!#REF!), "Side",Games!#REF!)))</f>
        <v>#REF!</v>
      </c>
      <c r="J578" s="65" t="e">
        <f>IF(ISBLANK(Games!#REF!), "",IF(Games!#REF!="Y", Games!#REF!, Games!#REF!))</f>
        <v>#REF!</v>
      </c>
      <c r="K578" s="65" t="e">
        <f>Games!#REF!</f>
        <v>#REF!</v>
      </c>
      <c r="L578" s="65" t="e">
        <f>IF(ISBLANK(Games!#REF!), "",Games!#REF!)</f>
        <v>#REF!</v>
      </c>
      <c r="M578" s="65"/>
      <c r="N578" s="167" t="str">
        <f>IF(ISBLANK(Table123[[#This Row],[Odds Side - Difference Model]]), "", 1)</f>
      </c>
      <c r="O578" s="167" t="str">
        <f>IF(ISBLANK(Table123[[#This Row],[Odds Spread]]), "", 1)</f>
      </c>
      <c r="P578" s="67"/>
      <c r="Q578" s="67"/>
      <c r="R5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8" s="67"/>
      <c r="T578" s="67"/>
      <c r="U578" s="168" t="str">
        <f>IF(ISBLANK(Table123[[#This Row],[Odds Side - Difference Model]]), "",N578+IF(Q578&lt;0, (N578/(Q578/-100)), N578*(Q578/100)))</f>
      </c>
      <c r="V578" s="169" t="str">
        <f>IFERROR(IF(ISBLANK(Table123[[#This Row],[Odds Side - Win Probability Model]]), "",N578+IF(R578&lt;0, (N578/(R578/-100)), N578*(R578/100))),"")</f>
      </c>
      <c r="W578" s="168" t="str">
        <f t="shared" si="55"/>
      </c>
      <c r="X578" s="169" t="str">
        <f t="shared" si="56"/>
      </c>
      <c r="Y578" s="168" t="str">
        <f>IF(ISBLANK(Table123[[#This Row],[Odds Spread]]), "",O578+IF(S578&lt;0, (O578/(S578/-100)), O578*(S578/100)))</f>
      </c>
      <c r="Z578" s="168" t="str">
        <f t="shared" si="57"/>
      </c>
      <c r="AA578" s="68" t="n">
        <f t="shared" si="58"/>
        <v>0</v>
      </c>
      <c r="AB578" s="68" t="n">
        <f t="shared" si="59"/>
        <v>0</v>
      </c>
      <c r="AC578" s="170" t="e">
        <f>IF('Prediction Log'!#REF!="Y", "W", IF('Prediction Log'!#REF!="N","L",""))</f>
        <v>#REF!</v>
      </c>
      <c r="AD578" s="171" t="e">
        <f>IF('Prediction Log'!#REF!="Y", "W", IF('Prediction Log'!#REF!="N","L",""))</f>
        <v>#REF!</v>
      </c>
      <c r="AE578" s="172" t="str">
        <f>IF(ISBLANK(Table123[[#This Row],[Odds Side - Difference Model]]), "",IF(AC578="W", W578, IF(AC578="L",-N578, "")))</f>
      </c>
      <c r="AF578" s="173" t="str">
        <f>IFERROR((IF(ISERR(Table123[[#This Row],[Potential Payout Side - Win Probability Model]]), "",IF(AD578="W", X578, IF(AD578="L",-N578, "")))), "")</f>
      </c>
      <c r="AG578" s="170" t="e">
        <f>IF('Prediction Log'!#REF!="Y", "W", IF('Prediction Log'!#REF!="N", "L", ""))</f>
        <v>#REF!</v>
      </c>
      <c r="AH578" s="172" t="str">
        <f>IF(ISBLANK(Table123[[#This Row],[Odds Spread]]), "",IF(AG578="W", Z578, IF(AG578="L",-O578, "")))</f>
      </c>
      <c r="AI578" s="184"/>
      <c r="AJ578" s="183" t="str">
        <f t="shared" si="60"/>
      </c>
      <c r="AK5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9">
      <c r="A579" s="65" t="e">
        <f>Games!#REF!</f>
        <v>#REF!</v>
      </c>
      <c r="B579" s="65" t="e">
        <f>IF('Prediction Log'!#REF!=0, "",'Prediction Log'!#REF!)</f>
        <v>#REF!</v>
      </c>
      <c r="C579" s="65" t="e">
        <f>IF('Prediction Log'!#REF!=0, "",'Prediction Log'!#REF!)</f>
        <v>#REF!</v>
      </c>
      <c r="D579" s="65" t="e">
        <f>IF('Prediction Log'!#REF!=0, "",'Prediction Log'!#REF!)</f>
        <v>#REF!</v>
      </c>
      <c r="E579" s="65" t="e">
        <f>IF('Prediction Log'!#REF!=0, "",'Prediction Log'!#REF!)</f>
        <v>#REF!</v>
      </c>
      <c r="F579" s="65" t="e">
        <f>IF('Prediction Log'!#REF!=0, "",'Prediction Log'!#REF!)</f>
        <v>#REF!</v>
      </c>
      <c r="G579" s="64" t="e">
        <f>IF(ISBLANK(Games!#REF!), "",'Prediction Log'!#REF!)</f>
        <v>#REF!</v>
      </c>
      <c r="H579" s="66" t="e">
        <f>'Prediction Log'!#REF!</f>
        <v>#REF!</v>
      </c>
      <c r="I579" s="65" t="e">
        <f>IF(ISBLANK(Games!#REF!), "",IF(AND(Games!#REF!="",Games!#REF!=""),"",IF(ISTEXT(Games!#REF!), "Side",Games!#REF!)))</f>
        <v>#REF!</v>
      </c>
      <c r="J579" s="65" t="e">
        <f>IF(ISBLANK(Games!#REF!), "",IF(Games!#REF!="Y", Games!#REF!, Games!#REF!))</f>
        <v>#REF!</v>
      </c>
      <c r="K579" s="65" t="e">
        <f>Games!#REF!</f>
        <v>#REF!</v>
      </c>
      <c r="L579" s="65" t="e">
        <f>IF(ISBLANK(Games!#REF!), "",Games!#REF!)</f>
        <v>#REF!</v>
      </c>
      <c r="M579" s="65"/>
      <c r="N579" s="167" t="str">
        <f>IF(ISBLANK(Table123[[#This Row],[Odds Side - Difference Model]]), "", 1)</f>
      </c>
      <c r="O579" s="167" t="str">
        <f>IF(ISBLANK(Table123[[#This Row],[Odds Spread]]), "", 1)</f>
      </c>
      <c r="P579" s="67"/>
      <c r="Q579" s="67"/>
      <c r="R5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9" s="67"/>
      <c r="T579" s="67"/>
      <c r="U579" s="168" t="str">
        <f>IF(ISBLANK(Table123[[#This Row],[Odds Side - Difference Model]]), "",N579+IF(Q579&lt;0, (N579/(Q579/-100)), N579*(Q579/100)))</f>
      </c>
      <c r="V579" s="169" t="str">
        <f>IFERROR(IF(ISBLANK(Table123[[#This Row],[Odds Side - Win Probability Model]]), "",N579+IF(R579&lt;0, (N579/(R579/-100)), N579*(R579/100))),"")</f>
      </c>
      <c r="W579" s="168" t="str">
        <f t="shared" ref="W579:W642" si="61">IFERROR(U579-N579, "")</f>
      </c>
      <c r="X579" s="169" t="str">
        <f t="shared" ref="X579:X642" si="62">IFERROR(V579-N579, "")</f>
      </c>
      <c r="Y579" s="168" t="str">
        <f>IF(ISBLANK(Table123[[#This Row],[Odds Spread]]), "",O579+IF(S579&lt;0, (O579/(S579/-100)), O579*(S579/100)))</f>
      </c>
      <c r="Z579" s="168" t="str">
        <f t="shared" ref="Z579:Z642" si="63">IFERROR(Y579-O579, "")</f>
      </c>
      <c r="AA579" s="68" t="n">
        <f t="shared" ref="AA579:AA642" si="64">P579+IF(T579&lt;0, (P579/(T579/-100)), P579*(T579/100))</f>
        <v>0</v>
      </c>
      <c r="AB579" s="68" t="n">
        <f t="shared" ref="AB579:AB642" si="65">T579-P579</f>
        <v>0</v>
      </c>
      <c r="AC579" s="170" t="e">
        <f>IF('Prediction Log'!#REF!="Y", "W", IF('Prediction Log'!#REF!="N","L",""))</f>
        <v>#REF!</v>
      </c>
      <c r="AD579" s="171" t="e">
        <f>IF('Prediction Log'!#REF!="Y", "W", IF('Prediction Log'!#REF!="N","L",""))</f>
        <v>#REF!</v>
      </c>
      <c r="AE579" s="172" t="str">
        <f>IF(ISBLANK(Table123[[#This Row],[Odds Side - Difference Model]]), "",IF(AC579="W", W579, IF(AC579="L",-N579, "")))</f>
      </c>
      <c r="AF579" s="173" t="str">
        <f>IFERROR((IF(ISERR(Table123[[#This Row],[Potential Payout Side - Win Probability Model]]), "",IF(AD579="W", X579, IF(AD579="L",-N579, "")))), "")</f>
      </c>
      <c r="AG579" s="170" t="e">
        <f>IF('Prediction Log'!#REF!="Y", "W", IF('Prediction Log'!#REF!="N", "L", ""))</f>
        <v>#REF!</v>
      </c>
      <c r="AH579" s="172" t="str">
        <f>IF(ISBLANK(Table123[[#This Row],[Odds Spread]]), "",IF(AG579="W", Z579, IF(AG579="L",-O579, "")))</f>
      </c>
      <c r="AI579" s="184"/>
      <c r="AJ579" s="183" t="str">
        <f t="shared" ref="AJ579:AJ642" si="66">IF(AI579="W", AB579, IF(AI579="L",-S579, ""))</f>
      </c>
      <c r="AK5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0">
      <c r="A580" s="65" t="e">
        <f>Games!#REF!</f>
        <v>#REF!</v>
      </c>
      <c r="B580" s="65" t="e">
        <f>IF('Prediction Log'!#REF!=0, "",'Prediction Log'!#REF!)</f>
        <v>#REF!</v>
      </c>
      <c r="C580" s="65" t="e">
        <f>IF('Prediction Log'!#REF!=0, "",'Prediction Log'!#REF!)</f>
        <v>#REF!</v>
      </c>
      <c r="D580" s="65" t="e">
        <f>IF('Prediction Log'!#REF!=0, "",'Prediction Log'!#REF!)</f>
        <v>#REF!</v>
      </c>
      <c r="E580" s="65" t="e">
        <f>IF('Prediction Log'!#REF!=0, "",'Prediction Log'!#REF!)</f>
        <v>#REF!</v>
      </c>
      <c r="F580" s="65" t="e">
        <f>IF('Prediction Log'!#REF!=0, "",'Prediction Log'!#REF!)</f>
        <v>#REF!</v>
      </c>
      <c r="G580" s="64" t="e">
        <f>IF(ISBLANK(Games!#REF!), "",'Prediction Log'!#REF!)</f>
        <v>#REF!</v>
      </c>
      <c r="H580" s="66" t="e">
        <f>'Prediction Log'!#REF!</f>
        <v>#REF!</v>
      </c>
      <c r="I580" s="65" t="e">
        <f>IF(ISBLANK(Games!#REF!), "",IF(AND(Games!#REF!="",Games!#REF!=""),"",IF(ISTEXT(Games!#REF!), "Side",Games!#REF!)))</f>
        <v>#REF!</v>
      </c>
      <c r="J580" s="65" t="e">
        <f>IF(ISBLANK(Games!#REF!), "",IF(Games!#REF!="Y", Games!#REF!, Games!#REF!))</f>
        <v>#REF!</v>
      </c>
      <c r="K580" s="65" t="e">
        <f>Games!#REF!</f>
        <v>#REF!</v>
      </c>
      <c r="L580" s="65" t="e">
        <f>IF(ISBLANK(Games!#REF!), "",Games!#REF!)</f>
        <v>#REF!</v>
      </c>
      <c r="M580" s="65"/>
      <c r="N580" s="167" t="str">
        <f>IF(ISBLANK(Table123[[#This Row],[Odds Side - Difference Model]]), "", 1)</f>
      </c>
      <c r="O580" s="167" t="str">
        <f>IF(ISBLANK(Table123[[#This Row],[Odds Spread]]), "", 1)</f>
      </c>
      <c r="P580" s="67"/>
      <c r="Q580" s="67"/>
      <c r="R5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0" s="67"/>
      <c r="T580" s="67"/>
      <c r="U580" s="168" t="str">
        <f>IF(ISBLANK(Table123[[#This Row],[Odds Side - Difference Model]]), "",N580+IF(Q580&lt;0, (N580/(Q580/-100)), N580*(Q580/100)))</f>
      </c>
      <c r="V580" s="169" t="str">
        <f>IFERROR(IF(ISBLANK(Table123[[#This Row],[Odds Side - Win Probability Model]]), "",N580+IF(R580&lt;0, (N580/(R580/-100)), N580*(R580/100))),"")</f>
      </c>
      <c r="W580" s="168" t="str">
        <f t="shared" si="61"/>
      </c>
      <c r="X580" s="169" t="str">
        <f t="shared" si="62"/>
      </c>
      <c r="Y580" s="168" t="str">
        <f>IF(ISBLANK(Table123[[#This Row],[Odds Spread]]), "",O580+IF(S580&lt;0, (O580/(S580/-100)), O580*(S580/100)))</f>
      </c>
      <c r="Z580" s="168" t="str">
        <f t="shared" si="63"/>
      </c>
      <c r="AA580" s="68" t="n">
        <f t="shared" si="64"/>
        <v>0</v>
      </c>
      <c r="AB580" s="68" t="n">
        <f t="shared" si="65"/>
        <v>0</v>
      </c>
      <c r="AC580" s="170" t="e">
        <f>IF('Prediction Log'!#REF!="Y", "W", IF('Prediction Log'!#REF!="N","L",""))</f>
        <v>#REF!</v>
      </c>
      <c r="AD580" s="171" t="e">
        <f>IF('Prediction Log'!#REF!="Y", "W", IF('Prediction Log'!#REF!="N","L",""))</f>
        <v>#REF!</v>
      </c>
      <c r="AE580" s="172" t="str">
        <f>IF(ISBLANK(Table123[[#This Row],[Odds Side - Difference Model]]), "",IF(AC580="W", W580, IF(AC580="L",-N580, "")))</f>
      </c>
      <c r="AF580" s="173" t="str">
        <f>IFERROR((IF(ISERR(Table123[[#This Row],[Potential Payout Side - Win Probability Model]]), "",IF(AD580="W", X580, IF(AD580="L",-N580, "")))), "")</f>
      </c>
      <c r="AG580" s="170" t="e">
        <f>IF('Prediction Log'!#REF!="Y", "W", IF('Prediction Log'!#REF!="N", "L", ""))</f>
        <v>#REF!</v>
      </c>
      <c r="AH580" s="172" t="str">
        <f>IF(ISBLANK(Table123[[#This Row],[Odds Spread]]), "",IF(AG580="W", Z580, IF(AG580="L",-O580, "")))</f>
      </c>
      <c r="AI580" s="184"/>
      <c r="AJ580" s="183" t="str">
        <f t="shared" si="66"/>
      </c>
      <c r="AK5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1">
      <c r="A581" s="65" t="e">
        <f>Games!#REF!</f>
        <v>#REF!</v>
      </c>
      <c r="B581" s="65" t="e">
        <f>IF('Prediction Log'!#REF!=0, "",'Prediction Log'!#REF!)</f>
        <v>#REF!</v>
      </c>
      <c r="C581" s="65" t="e">
        <f>IF('Prediction Log'!#REF!=0, "",'Prediction Log'!#REF!)</f>
        <v>#REF!</v>
      </c>
      <c r="D581" s="65" t="e">
        <f>IF('Prediction Log'!#REF!=0, "",'Prediction Log'!#REF!)</f>
        <v>#REF!</v>
      </c>
      <c r="E581" s="65" t="e">
        <f>IF('Prediction Log'!#REF!=0, "",'Prediction Log'!#REF!)</f>
        <v>#REF!</v>
      </c>
      <c r="F581" s="65" t="e">
        <f>IF('Prediction Log'!#REF!=0, "",'Prediction Log'!#REF!)</f>
        <v>#REF!</v>
      </c>
      <c r="G581" s="64" t="e">
        <f>IF(ISBLANK(Games!#REF!), "",'Prediction Log'!#REF!)</f>
        <v>#REF!</v>
      </c>
      <c r="H581" s="66" t="e">
        <f>'Prediction Log'!#REF!</f>
        <v>#REF!</v>
      </c>
      <c r="I581" s="65" t="e">
        <f>IF(ISBLANK(Games!#REF!), "",IF(AND(Games!#REF!="",Games!#REF!=""),"",IF(ISTEXT(Games!#REF!), "Side",Games!#REF!)))</f>
        <v>#REF!</v>
      </c>
      <c r="J581" s="65" t="e">
        <f>IF(ISBLANK(Games!#REF!), "",IF(Games!#REF!="Y", Games!#REF!, Games!#REF!))</f>
        <v>#REF!</v>
      </c>
      <c r="K581" s="65" t="e">
        <f>Games!#REF!</f>
        <v>#REF!</v>
      </c>
      <c r="L581" s="65" t="e">
        <f>IF(ISBLANK(Games!#REF!), "",Games!#REF!)</f>
        <v>#REF!</v>
      </c>
      <c r="M581" s="65"/>
      <c r="N581" s="167" t="str">
        <f>IF(ISBLANK(Table123[[#This Row],[Odds Side - Difference Model]]), "", 1)</f>
      </c>
      <c r="O581" s="167" t="str">
        <f>IF(ISBLANK(Table123[[#This Row],[Odds Spread]]), "", 1)</f>
      </c>
      <c r="P581" s="67"/>
      <c r="Q581" s="67"/>
      <c r="R5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1" s="67"/>
      <c r="T581" s="67"/>
      <c r="U581" s="168" t="str">
        <f>IF(ISBLANK(Table123[[#This Row],[Odds Side - Difference Model]]), "",N581+IF(Q581&lt;0, (N581/(Q581/-100)), N581*(Q581/100)))</f>
      </c>
      <c r="V581" s="169" t="str">
        <f>IFERROR(IF(ISBLANK(Table123[[#This Row],[Odds Side - Win Probability Model]]), "",N581+IF(R581&lt;0, (N581/(R581/-100)), N581*(R581/100))),"")</f>
      </c>
      <c r="W581" s="168" t="str">
        <f t="shared" si="61"/>
      </c>
      <c r="X581" s="169" t="str">
        <f t="shared" si="62"/>
      </c>
      <c r="Y581" s="168" t="str">
        <f>IF(ISBLANK(Table123[[#This Row],[Odds Spread]]), "",O581+IF(S581&lt;0, (O581/(S581/-100)), O581*(S581/100)))</f>
      </c>
      <c r="Z581" s="168" t="str">
        <f t="shared" si="63"/>
      </c>
      <c r="AA581" s="68" t="n">
        <f t="shared" si="64"/>
        <v>0</v>
      </c>
      <c r="AB581" s="68" t="n">
        <f t="shared" si="65"/>
        <v>0</v>
      </c>
      <c r="AC581" s="170" t="e">
        <f>IF('Prediction Log'!#REF!="Y", "W", IF('Prediction Log'!#REF!="N","L",""))</f>
        <v>#REF!</v>
      </c>
      <c r="AD581" s="171" t="e">
        <f>IF('Prediction Log'!#REF!="Y", "W", IF('Prediction Log'!#REF!="N","L",""))</f>
        <v>#REF!</v>
      </c>
      <c r="AE581" s="172" t="str">
        <f>IF(ISBLANK(Table123[[#This Row],[Odds Side - Difference Model]]), "",IF(AC581="W", W581, IF(AC581="L",-N581, "")))</f>
      </c>
      <c r="AF581" s="173" t="str">
        <f>IFERROR((IF(ISERR(Table123[[#This Row],[Potential Payout Side - Win Probability Model]]), "",IF(AD581="W", X581, IF(AD581="L",-N581, "")))), "")</f>
      </c>
      <c r="AG581" s="170" t="e">
        <f>IF('Prediction Log'!#REF!="Y", "W", IF('Prediction Log'!#REF!="N", "L", ""))</f>
        <v>#REF!</v>
      </c>
      <c r="AH581" s="172" t="str">
        <f>IF(ISBLANK(Table123[[#This Row],[Odds Spread]]), "",IF(AG581="W", Z581, IF(AG581="L",-O581, "")))</f>
      </c>
      <c r="AI581" s="184"/>
      <c r="AJ581" s="183" t="str">
        <f t="shared" si="66"/>
      </c>
      <c r="AK5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2">
      <c r="A582" s="65" t="e">
        <f>Games!#REF!</f>
        <v>#REF!</v>
      </c>
      <c r="B582" s="65" t="e">
        <f>IF('Prediction Log'!#REF!=0, "",'Prediction Log'!#REF!)</f>
        <v>#REF!</v>
      </c>
      <c r="C582" s="65" t="e">
        <f>IF('Prediction Log'!#REF!=0, "",'Prediction Log'!#REF!)</f>
        <v>#REF!</v>
      </c>
      <c r="D582" s="65" t="e">
        <f>IF('Prediction Log'!#REF!=0, "",'Prediction Log'!#REF!)</f>
        <v>#REF!</v>
      </c>
      <c r="E582" s="65" t="e">
        <f>IF('Prediction Log'!#REF!=0, "",'Prediction Log'!#REF!)</f>
        <v>#REF!</v>
      </c>
      <c r="F582" s="65" t="e">
        <f>IF('Prediction Log'!#REF!=0, "",'Prediction Log'!#REF!)</f>
        <v>#REF!</v>
      </c>
      <c r="G582" s="64" t="e">
        <f>IF(ISBLANK(Games!#REF!), "",'Prediction Log'!#REF!)</f>
        <v>#REF!</v>
      </c>
      <c r="H582" s="66" t="e">
        <f>'Prediction Log'!#REF!</f>
        <v>#REF!</v>
      </c>
      <c r="I582" s="65" t="e">
        <f>IF(ISBLANK(Games!#REF!), "",IF(AND(Games!#REF!="",Games!#REF!=""),"",IF(ISTEXT(Games!#REF!), "Side",Games!#REF!)))</f>
        <v>#REF!</v>
      </c>
      <c r="J582" s="65" t="e">
        <f>IF(ISBLANK(Games!#REF!), "",IF(Games!#REF!="Y", Games!#REF!, Games!#REF!))</f>
        <v>#REF!</v>
      </c>
      <c r="K582" s="65" t="e">
        <f>Games!#REF!</f>
        <v>#REF!</v>
      </c>
      <c r="L582" s="65" t="e">
        <f>IF(ISBLANK(Games!#REF!), "",Games!#REF!)</f>
        <v>#REF!</v>
      </c>
      <c r="M582" s="65"/>
      <c r="N582" s="167" t="str">
        <f>IF(ISBLANK(Table123[[#This Row],[Odds Side - Difference Model]]), "", 1)</f>
      </c>
      <c r="O582" s="167" t="str">
        <f>IF(ISBLANK(Table123[[#This Row],[Odds Spread]]), "", 1)</f>
      </c>
      <c r="P582" s="67"/>
      <c r="Q582" s="67"/>
      <c r="R5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2" s="67"/>
      <c r="T582" s="67"/>
      <c r="U582" s="168" t="str">
        <f>IF(ISBLANK(Table123[[#This Row],[Odds Side - Difference Model]]), "",N582+IF(Q582&lt;0, (N582/(Q582/-100)), N582*(Q582/100)))</f>
      </c>
      <c r="V582" s="169" t="str">
        <f>IFERROR(IF(ISBLANK(Table123[[#This Row],[Odds Side - Win Probability Model]]), "",N582+IF(R582&lt;0, (N582/(R582/-100)), N582*(R582/100))),"")</f>
      </c>
      <c r="W582" s="168" t="str">
        <f t="shared" si="61"/>
      </c>
      <c r="X582" s="169" t="str">
        <f t="shared" si="62"/>
      </c>
      <c r="Y582" s="168" t="str">
        <f>IF(ISBLANK(Table123[[#This Row],[Odds Spread]]), "",O582+IF(S582&lt;0, (O582/(S582/-100)), O582*(S582/100)))</f>
      </c>
      <c r="Z582" s="168" t="str">
        <f t="shared" si="63"/>
      </c>
      <c r="AA582" s="68" t="n">
        <f t="shared" si="64"/>
        <v>0</v>
      </c>
      <c r="AB582" s="68" t="n">
        <f t="shared" si="65"/>
        <v>0</v>
      </c>
      <c r="AC582" s="170" t="e">
        <f>IF('Prediction Log'!#REF!="Y", "W", IF('Prediction Log'!#REF!="N","L",""))</f>
        <v>#REF!</v>
      </c>
      <c r="AD582" s="171" t="e">
        <f>IF('Prediction Log'!#REF!="Y", "W", IF('Prediction Log'!#REF!="N","L",""))</f>
        <v>#REF!</v>
      </c>
      <c r="AE582" s="172" t="str">
        <f>IF(ISBLANK(Table123[[#This Row],[Odds Side - Difference Model]]), "",IF(AC582="W", W582, IF(AC582="L",-N582, "")))</f>
      </c>
      <c r="AF582" s="173" t="str">
        <f>IFERROR((IF(ISERR(Table123[[#This Row],[Potential Payout Side - Win Probability Model]]), "",IF(AD582="W", X582, IF(AD582="L",-N582, "")))), "")</f>
      </c>
      <c r="AG582" s="170" t="e">
        <f>IF('Prediction Log'!#REF!="Y", "W", IF('Prediction Log'!#REF!="N", "L", ""))</f>
        <v>#REF!</v>
      </c>
      <c r="AH582" s="172" t="str">
        <f>IF(ISBLANK(Table123[[#This Row],[Odds Spread]]), "",IF(AG582="W", Z582, IF(AG582="L",-O582, "")))</f>
      </c>
      <c r="AI582" s="184"/>
      <c r="AJ582" s="183" t="str">
        <f t="shared" si="66"/>
      </c>
      <c r="AK5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3">
      <c r="A583" s="65" t="e">
        <f>Games!#REF!</f>
        <v>#REF!</v>
      </c>
      <c r="B583" s="65" t="e">
        <f>IF('Prediction Log'!#REF!=0, "",'Prediction Log'!#REF!)</f>
        <v>#REF!</v>
      </c>
      <c r="C583" s="65" t="e">
        <f>IF('Prediction Log'!#REF!=0, "",'Prediction Log'!#REF!)</f>
        <v>#REF!</v>
      </c>
      <c r="D583" s="65" t="e">
        <f>IF('Prediction Log'!#REF!=0, "",'Prediction Log'!#REF!)</f>
        <v>#REF!</v>
      </c>
      <c r="E583" s="65" t="e">
        <f>IF('Prediction Log'!#REF!=0, "",'Prediction Log'!#REF!)</f>
        <v>#REF!</v>
      </c>
      <c r="F583" s="65" t="e">
        <f>IF('Prediction Log'!#REF!=0, "",'Prediction Log'!#REF!)</f>
        <v>#REF!</v>
      </c>
      <c r="G583" s="64" t="e">
        <f>IF(ISBLANK(Games!#REF!), "",'Prediction Log'!#REF!)</f>
        <v>#REF!</v>
      </c>
      <c r="H583" s="66" t="e">
        <f>'Prediction Log'!#REF!</f>
        <v>#REF!</v>
      </c>
      <c r="I583" s="65" t="e">
        <f>IF(ISBLANK(Games!#REF!), "",IF(AND(Games!#REF!="",Games!#REF!=""),"",IF(ISTEXT(Games!#REF!), "Side",Games!#REF!)))</f>
        <v>#REF!</v>
      </c>
      <c r="J583" s="65" t="e">
        <f>IF(ISBLANK(Games!#REF!), "",IF(Games!#REF!="Y", Games!#REF!, Games!#REF!))</f>
        <v>#REF!</v>
      </c>
      <c r="K583" s="65" t="e">
        <f>Games!#REF!</f>
        <v>#REF!</v>
      </c>
      <c r="L583" s="65" t="e">
        <f>IF(ISBLANK(Games!#REF!), "",Games!#REF!)</f>
        <v>#REF!</v>
      </c>
      <c r="M583" s="65"/>
      <c r="N583" s="167" t="str">
        <f>IF(ISBLANK(Table123[[#This Row],[Odds Side - Difference Model]]), "", 1)</f>
      </c>
      <c r="O583" s="167" t="str">
        <f>IF(ISBLANK(Table123[[#This Row],[Odds Spread]]), "", 1)</f>
      </c>
      <c r="P583" s="67"/>
      <c r="Q583" s="67"/>
      <c r="R5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3" s="67"/>
      <c r="T583" s="67"/>
      <c r="U583" s="168" t="str">
        <f>IF(ISBLANK(Table123[[#This Row],[Odds Side - Difference Model]]), "",N583+IF(Q583&lt;0, (N583/(Q583/-100)), N583*(Q583/100)))</f>
      </c>
      <c r="V583" s="169" t="str">
        <f>IFERROR(IF(ISBLANK(Table123[[#This Row],[Odds Side - Win Probability Model]]), "",N583+IF(R583&lt;0, (N583/(R583/-100)), N583*(R583/100))),"")</f>
      </c>
      <c r="W583" s="168" t="str">
        <f t="shared" si="61"/>
      </c>
      <c r="X583" s="169" t="str">
        <f t="shared" si="62"/>
      </c>
      <c r="Y583" s="168" t="str">
        <f>IF(ISBLANK(Table123[[#This Row],[Odds Spread]]), "",O583+IF(S583&lt;0, (O583/(S583/-100)), O583*(S583/100)))</f>
      </c>
      <c r="Z583" s="168" t="str">
        <f t="shared" si="63"/>
      </c>
      <c r="AA583" s="68" t="n">
        <f t="shared" si="64"/>
        <v>0</v>
      </c>
      <c r="AB583" s="68" t="n">
        <f t="shared" si="65"/>
        <v>0</v>
      </c>
      <c r="AC583" s="170" t="e">
        <f>IF('Prediction Log'!#REF!="Y", "W", IF('Prediction Log'!#REF!="N","L",""))</f>
        <v>#REF!</v>
      </c>
      <c r="AD583" s="171" t="e">
        <f>IF('Prediction Log'!#REF!="Y", "W", IF('Prediction Log'!#REF!="N","L",""))</f>
        <v>#REF!</v>
      </c>
      <c r="AE583" s="172" t="str">
        <f>IF(ISBLANK(Table123[[#This Row],[Odds Side - Difference Model]]), "",IF(AC583="W", W583, IF(AC583="L",-N583, "")))</f>
      </c>
      <c r="AF583" s="173" t="str">
        <f>IFERROR((IF(ISERR(Table123[[#This Row],[Potential Payout Side - Win Probability Model]]), "",IF(AD583="W", X583, IF(AD583="L",-N583, "")))), "")</f>
      </c>
      <c r="AG583" s="170" t="e">
        <f>IF('Prediction Log'!#REF!="Y", "W", IF('Prediction Log'!#REF!="N", "L", ""))</f>
        <v>#REF!</v>
      </c>
      <c r="AH583" s="172" t="str">
        <f>IF(ISBLANK(Table123[[#This Row],[Odds Spread]]), "",IF(AG583="W", Z583, IF(AG583="L",-O583, "")))</f>
      </c>
      <c r="AI583" s="184"/>
      <c r="AJ583" s="183" t="str">
        <f t="shared" si="66"/>
      </c>
      <c r="AK5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4">
      <c r="A584" s="65" t="e">
        <f>Games!#REF!</f>
        <v>#REF!</v>
      </c>
      <c r="B584" s="65" t="e">
        <f>IF('Prediction Log'!#REF!=0, "",'Prediction Log'!#REF!)</f>
        <v>#REF!</v>
      </c>
      <c r="C584" s="65" t="e">
        <f>IF('Prediction Log'!#REF!=0, "",'Prediction Log'!#REF!)</f>
        <v>#REF!</v>
      </c>
      <c r="D584" s="65" t="e">
        <f>IF('Prediction Log'!#REF!=0, "",'Prediction Log'!#REF!)</f>
        <v>#REF!</v>
      </c>
      <c r="E584" s="65" t="e">
        <f>IF('Prediction Log'!#REF!=0, "",'Prediction Log'!#REF!)</f>
        <v>#REF!</v>
      </c>
      <c r="F584" s="65" t="e">
        <f>IF('Prediction Log'!#REF!=0, "",'Prediction Log'!#REF!)</f>
        <v>#REF!</v>
      </c>
      <c r="G584" s="64" t="e">
        <f>IF(ISBLANK(Games!#REF!), "",'Prediction Log'!#REF!)</f>
        <v>#REF!</v>
      </c>
      <c r="H584" s="66" t="e">
        <f>'Prediction Log'!#REF!</f>
        <v>#REF!</v>
      </c>
      <c r="I584" s="65" t="e">
        <f>IF(ISBLANK(Games!#REF!), "",IF(AND(Games!#REF!="",Games!#REF!=""),"",IF(ISTEXT(Games!#REF!), "Side",Games!#REF!)))</f>
        <v>#REF!</v>
      </c>
      <c r="J584" s="65" t="e">
        <f>IF(ISBLANK(Games!#REF!), "",IF(Games!#REF!="Y", Games!#REF!, Games!#REF!))</f>
        <v>#REF!</v>
      </c>
      <c r="K584" s="65" t="e">
        <f>Games!#REF!</f>
        <v>#REF!</v>
      </c>
      <c r="L584" s="65" t="e">
        <f>IF(ISBLANK(Games!#REF!), "",Games!#REF!)</f>
        <v>#REF!</v>
      </c>
      <c r="M584" s="65"/>
      <c r="N584" s="167" t="str">
        <f>IF(ISBLANK(Table123[[#This Row],[Odds Side - Difference Model]]), "", 1)</f>
      </c>
      <c r="O584" s="167" t="str">
        <f>IF(ISBLANK(Table123[[#This Row],[Odds Spread]]), "", 1)</f>
      </c>
      <c r="P584" s="67"/>
      <c r="Q584" s="67"/>
      <c r="R5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4" s="67"/>
      <c r="T584" s="67"/>
      <c r="U584" s="168" t="str">
        <f>IF(ISBLANK(Table123[[#This Row],[Odds Side - Difference Model]]), "",N584+IF(Q584&lt;0, (N584/(Q584/-100)), N584*(Q584/100)))</f>
      </c>
      <c r="V584" s="169" t="str">
        <f>IFERROR(IF(ISBLANK(Table123[[#This Row],[Odds Side - Win Probability Model]]), "",N584+IF(R584&lt;0, (N584/(R584/-100)), N584*(R584/100))),"")</f>
      </c>
      <c r="W584" s="168" t="str">
        <f t="shared" si="61"/>
      </c>
      <c r="X584" s="169" t="str">
        <f t="shared" si="62"/>
      </c>
      <c r="Y584" s="168" t="str">
        <f>IF(ISBLANK(Table123[[#This Row],[Odds Spread]]), "",O584+IF(S584&lt;0, (O584/(S584/-100)), O584*(S584/100)))</f>
      </c>
      <c r="Z584" s="168" t="str">
        <f t="shared" si="63"/>
      </c>
      <c r="AA584" s="68" t="n">
        <f t="shared" si="64"/>
        <v>0</v>
      </c>
      <c r="AB584" s="68" t="n">
        <f t="shared" si="65"/>
        <v>0</v>
      </c>
      <c r="AC584" s="170" t="e">
        <f>IF('Prediction Log'!#REF!="Y", "W", IF('Prediction Log'!#REF!="N","L",""))</f>
        <v>#REF!</v>
      </c>
      <c r="AD584" s="171" t="e">
        <f>IF('Prediction Log'!#REF!="Y", "W", IF('Prediction Log'!#REF!="N","L",""))</f>
        <v>#REF!</v>
      </c>
      <c r="AE584" s="172" t="str">
        <f>IF(ISBLANK(Table123[[#This Row],[Odds Side - Difference Model]]), "",IF(AC584="W", W584, IF(AC584="L",-N584, "")))</f>
      </c>
      <c r="AF584" s="173" t="str">
        <f>IFERROR((IF(ISERR(Table123[[#This Row],[Potential Payout Side - Win Probability Model]]), "",IF(AD584="W", X584, IF(AD584="L",-N584, "")))), "")</f>
      </c>
      <c r="AG584" s="170" t="e">
        <f>IF('Prediction Log'!#REF!="Y", "W", IF('Prediction Log'!#REF!="N", "L", ""))</f>
        <v>#REF!</v>
      </c>
      <c r="AH584" s="172" t="str">
        <f>IF(ISBLANK(Table123[[#This Row],[Odds Spread]]), "",IF(AG584="W", Z584, IF(AG584="L",-O584, "")))</f>
      </c>
      <c r="AI584" s="184"/>
      <c r="AJ584" s="183" t="str">
        <f t="shared" si="66"/>
      </c>
      <c r="AK5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5">
      <c r="A585" s="65" t="e">
        <f>Games!#REF!</f>
        <v>#REF!</v>
      </c>
      <c r="B585" s="65" t="e">
        <f>IF('Prediction Log'!#REF!=0, "",'Prediction Log'!#REF!)</f>
        <v>#REF!</v>
      </c>
      <c r="C585" s="65" t="e">
        <f>IF('Prediction Log'!#REF!=0, "",'Prediction Log'!#REF!)</f>
        <v>#REF!</v>
      </c>
      <c r="D585" s="65" t="e">
        <f>IF('Prediction Log'!#REF!=0, "",'Prediction Log'!#REF!)</f>
        <v>#REF!</v>
      </c>
      <c r="E585" s="65" t="e">
        <f>IF('Prediction Log'!#REF!=0, "",'Prediction Log'!#REF!)</f>
        <v>#REF!</v>
      </c>
      <c r="F585" s="65" t="e">
        <f>IF('Prediction Log'!#REF!=0, "",'Prediction Log'!#REF!)</f>
        <v>#REF!</v>
      </c>
      <c r="G585" s="64" t="e">
        <f>IF(ISBLANK(Games!#REF!), "",'Prediction Log'!#REF!)</f>
        <v>#REF!</v>
      </c>
      <c r="H585" s="66" t="e">
        <f>'Prediction Log'!#REF!</f>
        <v>#REF!</v>
      </c>
      <c r="I585" s="65" t="e">
        <f>IF(ISBLANK(Games!#REF!), "",IF(AND(Games!#REF!="",Games!#REF!=""),"",IF(ISTEXT(Games!#REF!), "Side",Games!#REF!)))</f>
        <v>#REF!</v>
      </c>
      <c r="J585" s="65" t="e">
        <f>IF(ISBLANK(Games!#REF!), "",IF(Games!#REF!="Y", Games!#REF!, Games!#REF!))</f>
        <v>#REF!</v>
      </c>
      <c r="K585" s="65" t="e">
        <f>Games!#REF!</f>
        <v>#REF!</v>
      </c>
      <c r="L585" s="65" t="e">
        <f>IF(ISBLANK(Games!#REF!), "",Games!#REF!)</f>
        <v>#REF!</v>
      </c>
      <c r="M585" s="65"/>
      <c r="N585" s="167" t="str">
        <f>IF(ISBLANK(Table123[[#This Row],[Odds Side - Difference Model]]), "", 1)</f>
      </c>
      <c r="O585" s="167" t="str">
        <f>IF(ISBLANK(Table123[[#This Row],[Odds Spread]]), "", 1)</f>
      </c>
      <c r="P585" s="67"/>
      <c r="Q585" s="67"/>
      <c r="R5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5" s="67"/>
      <c r="T585" s="67"/>
      <c r="U585" s="168" t="str">
        <f>IF(ISBLANK(Table123[[#This Row],[Odds Side - Difference Model]]), "",N585+IF(Q585&lt;0, (N585/(Q585/-100)), N585*(Q585/100)))</f>
      </c>
      <c r="V585" s="169" t="str">
        <f>IFERROR(IF(ISBLANK(Table123[[#This Row],[Odds Side - Win Probability Model]]), "",N585+IF(R585&lt;0, (N585/(R585/-100)), N585*(R585/100))),"")</f>
      </c>
      <c r="W585" s="168" t="str">
        <f t="shared" si="61"/>
      </c>
      <c r="X585" s="169" t="str">
        <f t="shared" si="62"/>
      </c>
      <c r="Y585" s="168" t="str">
        <f>IF(ISBLANK(Table123[[#This Row],[Odds Spread]]), "",O585+IF(S585&lt;0, (O585/(S585/-100)), O585*(S585/100)))</f>
      </c>
      <c r="Z585" s="168" t="str">
        <f t="shared" si="63"/>
      </c>
      <c r="AA585" s="68" t="n">
        <f t="shared" si="64"/>
        <v>0</v>
      </c>
      <c r="AB585" s="68" t="n">
        <f t="shared" si="65"/>
        <v>0</v>
      </c>
      <c r="AC585" s="170" t="e">
        <f>IF('Prediction Log'!#REF!="Y", "W", IF('Prediction Log'!#REF!="N","L",""))</f>
        <v>#REF!</v>
      </c>
      <c r="AD585" s="171" t="e">
        <f>IF('Prediction Log'!#REF!="Y", "W", IF('Prediction Log'!#REF!="N","L",""))</f>
        <v>#REF!</v>
      </c>
      <c r="AE585" s="172" t="str">
        <f>IF(ISBLANK(Table123[[#This Row],[Odds Side - Difference Model]]), "",IF(AC585="W", W585, IF(AC585="L",-N585, "")))</f>
      </c>
      <c r="AF585" s="173" t="str">
        <f>IFERROR((IF(ISERR(Table123[[#This Row],[Potential Payout Side - Win Probability Model]]), "",IF(AD585="W", X585, IF(AD585="L",-N585, "")))), "")</f>
      </c>
      <c r="AG585" s="170" t="e">
        <f>IF('Prediction Log'!#REF!="Y", "W", IF('Prediction Log'!#REF!="N", "L", ""))</f>
        <v>#REF!</v>
      </c>
      <c r="AH585" s="172" t="str">
        <f>IF(ISBLANK(Table123[[#This Row],[Odds Spread]]), "",IF(AG585="W", Z585, IF(AG585="L",-O585, "")))</f>
      </c>
      <c r="AI585" s="184"/>
      <c r="AJ585" s="183" t="str">
        <f t="shared" si="66"/>
      </c>
      <c r="AK5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6">
      <c r="A586" s="65" t="e">
        <f>Games!#REF!</f>
        <v>#REF!</v>
      </c>
      <c r="B586" s="65" t="e">
        <f>IF('Prediction Log'!#REF!=0, "",'Prediction Log'!#REF!)</f>
        <v>#REF!</v>
      </c>
      <c r="C586" s="65" t="e">
        <f>IF('Prediction Log'!#REF!=0, "",'Prediction Log'!#REF!)</f>
        <v>#REF!</v>
      </c>
      <c r="D586" s="65" t="e">
        <f>IF('Prediction Log'!#REF!=0, "",'Prediction Log'!#REF!)</f>
        <v>#REF!</v>
      </c>
      <c r="E586" s="65" t="e">
        <f>IF('Prediction Log'!#REF!=0, "",'Prediction Log'!#REF!)</f>
        <v>#REF!</v>
      </c>
      <c r="F586" s="65" t="e">
        <f>IF('Prediction Log'!#REF!=0, "",'Prediction Log'!#REF!)</f>
        <v>#REF!</v>
      </c>
      <c r="G586" s="64" t="e">
        <f>IF(ISBLANK(Games!#REF!), "",'Prediction Log'!#REF!)</f>
        <v>#REF!</v>
      </c>
      <c r="H586" s="66" t="e">
        <f>'Prediction Log'!#REF!</f>
        <v>#REF!</v>
      </c>
      <c r="I586" s="65" t="e">
        <f>IF(ISBLANK(Games!#REF!), "",IF(AND(Games!#REF!="",Games!#REF!=""),"",IF(ISTEXT(Games!#REF!), "Side",Games!#REF!)))</f>
        <v>#REF!</v>
      </c>
      <c r="J586" s="65" t="e">
        <f>IF(ISBLANK(Games!#REF!), "",IF(Games!#REF!="Y", Games!#REF!, Games!#REF!))</f>
        <v>#REF!</v>
      </c>
      <c r="K586" s="65" t="e">
        <f>Games!#REF!</f>
        <v>#REF!</v>
      </c>
      <c r="L586" s="65" t="e">
        <f>IF(ISBLANK(Games!#REF!), "",Games!#REF!)</f>
        <v>#REF!</v>
      </c>
      <c r="M586" s="65"/>
      <c r="N586" s="167" t="str">
        <f>IF(ISBLANK(Table123[[#This Row],[Odds Side - Difference Model]]), "", 1)</f>
      </c>
      <c r="O586" s="167" t="str">
        <f>IF(ISBLANK(Table123[[#This Row],[Odds Spread]]), "", 1)</f>
      </c>
      <c r="P586" s="67"/>
      <c r="Q586" s="67"/>
      <c r="R5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6" s="67"/>
      <c r="T586" s="67"/>
      <c r="U586" s="168" t="str">
        <f>IF(ISBLANK(Table123[[#This Row],[Odds Side - Difference Model]]), "",N586+IF(Q586&lt;0, (N586/(Q586/-100)), N586*(Q586/100)))</f>
      </c>
      <c r="V586" s="169" t="str">
        <f>IFERROR(IF(ISBLANK(Table123[[#This Row],[Odds Side - Win Probability Model]]), "",N586+IF(R586&lt;0, (N586/(R586/-100)), N586*(R586/100))),"")</f>
      </c>
      <c r="W586" s="168" t="str">
        <f t="shared" si="61"/>
      </c>
      <c r="X586" s="169" t="str">
        <f t="shared" si="62"/>
      </c>
      <c r="Y586" s="168" t="str">
        <f>IF(ISBLANK(Table123[[#This Row],[Odds Spread]]), "",O586+IF(S586&lt;0, (O586/(S586/-100)), O586*(S586/100)))</f>
      </c>
      <c r="Z586" s="168" t="str">
        <f t="shared" si="63"/>
      </c>
      <c r="AA586" s="68" t="n">
        <f t="shared" si="64"/>
        <v>0</v>
      </c>
      <c r="AB586" s="68" t="n">
        <f t="shared" si="65"/>
        <v>0</v>
      </c>
      <c r="AC586" s="170" t="e">
        <f>IF('Prediction Log'!#REF!="Y", "W", IF('Prediction Log'!#REF!="N","L",""))</f>
        <v>#REF!</v>
      </c>
      <c r="AD586" s="171" t="e">
        <f>IF('Prediction Log'!#REF!="Y", "W", IF('Prediction Log'!#REF!="N","L",""))</f>
        <v>#REF!</v>
      </c>
      <c r="AE586" s="172" t="str">
        <f>IF(ISBLANK(Table123[[#This Row],[Odds Side - Difference Model]]), "",IF(AC586="W", W586, IF(AC586="L",-N586, "")))</f>
      </c>
      <c r="AF586" s="173" t="str">
        <f>IFERROR((IF(ISERR(Table123[[#This Row],[Potential Payout Side - Win Probability Model]]), "",IF(AD586="W", X586, IF(AD586="L",-N586, "")))), "")</f>
      </c>
      <c r="AG586" s="170" t="e">
        <f>IF('Prediction Log'!#REF!="Y", "W", IF('Prediction Log'!#REF!="N", "L", ""))</f>
        <v>#REF!</v>
      </c>
      <c r="AH586" s="172" t="str">
        <f>IF(ISBLANK(Table123[[#This Row],[Odds Spread]]), "",IF(AG586="W", Z586, IF(AG586="L",-O586, "")))</f>
      </c>
      <c r="AI586" s="184"/>
      <c r="AJ586" s="183" t="str">
        <f t="shared" si="66"/>
      </c>
      <c r="AK5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7">
      <c r="A587" s="65" t="e">
        <f>Games!#REF!</f>
        <v>#REF!</v>
      </c>
      <c r="B587" s="65" t="e">
        <f>IF('Prediction Log'!#REF!=0, "",'Prediction Log'!#REF!)</f>
        <v>#REF!</v>
      </c>
      <c r="C587" s="65" t="e">
        <f>IF('Prediction Log'!#REF!=0, "",'Prediction Log'!#REF!)</f>
        <v>#REF!</v>
      </c>
      <c r="D587" s="65" t="e">
        <f>IF('Prediction Log'!#REF!=0, "",'Prediction Log'!#REF!)</f>
        <v>#REF!</v>
      </c>
      <c r="E587" s="65" t="e">
        <f>IF('Prediction Log'!#REF!=0, "",'Prediction Log'!#REF!)</f>
        <v>#REF!</v>
      </c>
      <c r="F587" s="65" t="e">
        <f>IF('Prediction Log'!#REF!=0, "",'Prediction Log'!#REF!)</f>
        <v>#REF!</v>
      </c>
      <c r="G587" s="64" t="e">
        <f>IF(ISBLANK(Games!#REF!), "",'Prediction Log'!#REF!)</f>
        <v>#REF!</v>
      </c>
      <c r="H587" s="66" t="e">
        <f>'Prediction Log'!#REF!</f>
        <v>#REF!</v>
      </c>
      <c r="I587" s="65" t="e">
        <f>IF(ISBLANK(Games!#REF!), "",IF(AND(Games!#REF!="",Games!#REF!=""),"",IF(ISTEXT(Games!#REF!), "Side",Games!#REF!)))</f>
        <v>#REF!</v>
      </c>
      <c r="J587" s="65" t="e">
        <f>IF(ISBLANK(Games!#REF!), "",IF(Games!#REF!="Y", Games!#REF!, Games!#REF!))</f>
        <v>#REF!</v>
      </c>
      <c r="K587" s="65" t="e">
        <f>Games!#REF!</f>
        <v>#REF!</v>
      </c>
      <c r="L587" s="65" t="e">
        <f>IF(ISBLANK(Games!#REF!), "",Games!#REF!)</f>
        <v>#REF!</v>
      </c>
      <c r="M587" s="65"/>
      <c r="N587" s="167" t="str">
        <f>IF(ISBLANK(Table123[[#This Row],[Odds Side - Difference Model]]), "", 1)</f>
      </c>
      <c r="O587" s="167" t="str">
        <f>IF(ISBLANK(Table123[[#This Row],[Odds Spread]]), "", 1)</f>
      </c>
      <c r="P587" s="67"/>
      <c r="Q587" s="67"/>
      <c r="R5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7" s="67"/>
      <c r="T587" s="67"/>
      <c r="U587" s="168" t="str">
        <f>IF(ISBLANK(Table123[[#This Row],[Odds Side - Difference Model]]), "",N587+IF(Q587&lt;0, (N587/(Q587/-100)), N587*(Q587/100)))</f>
      </c>
      <c r="V587" s="169" t="str">
        <f>IFERROR(IF(ISBLANK(Table123[[#This Row],[Odds Side - Win Probability Model]]), "",N587+IF(R587&lt;0, (N587/(R587/-100)), N587*(R587/100))),"")</f>
      </c>
      <c r="W587" s="168" t="str">
        <f t="shared" si="61"/>
      </c>
      <c r="X587" s="169" t="str">
        <f t="shared" si="62"/>
      </c>
      <c r="Y587" s="168" t="str">
        <f>IF(ISBLANK(Table123[[#This Row],[Odds Spread]]), "",O587+IF(S587&lt;0, (O587/(S587/-100)), O587*(S587/100)))</f>
      </c>
      <c r="Z587" s="168" t="str">
        <f t="shared" si="63"/>
      </c>
      <c r="AA587" s="68" t="n">
        <f t="shared" si="64"/>
        <v>0</v>
      </c>
      <c r="AB587" s="68" t="n">
        <f t="shared" si="65"/>
        <v>0</v>
      </c>
      <c r="AC587" s="170" t="e">
        <f>IF('Prediction Log'!#REF!="Y", "W", IF('Prediction Log'!#REF!="N","L",""))</f>
        <v>#REF!</v>
      </c>
      <c r="AD587" s="171" t="e">
        <f>IF('Prediction Log'!#REF!="Y", "W", IF('Prediction Log'!#REF!="N","L",""))</f>
        <v>#REF!</v>
      </c>
      <c r="AE587" s="172" t="str">
        <f>IF(ISBLANK(Table123[[#This Row],[Odds Side - Difference Model]]), "",IF(AC587="W", W587, IF(AC587="L",-N587, "")))</f>
      </c>
      <c r="AF587" s="173" t="str">
        <f>IFERROR((IF(ISERR(Table123[[#This Row],[Potential Payout Side - Win Probability Model]]), "",IF(AD587="W", X587, IF(AD587="L",-N587, "")))), "")</f>
      </c>
      <c r="AG587" s="170" t="e">
        <f>IF('Prediction Log'!#REF!="Y", "W", IF('Prediction Log'!#REF!="N", "L", ""))</f>
        <v>#REF!</v>
      </c>
      <c r="AH587" s="172" t="str">
        <f>IF(ISBLANK(Table123[[#This Row],[Odds Spread]]), "",IF(AG587="W", Z587, IF(AG587="L",-O587, "")))</f>
      </c>
      <c r="AI587" s="184"/>
      <c r="AJ587" s="183" t="str">
        <f t="shared" si="66"/>
      </c>
      <c r="AK5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8">
      <c r="A588" s="65" t="e">
        <f>Games!#REF!</f>
        <v>#REF!</v>
      </c>
      <c r="B588" s="65" t="e">
        <f>IF('Prediction Log'!#REF!=0, "",'Prediction Log'!#REF!)</f>
        <v>#REF!</v>
      </c>
      <c r="C588" s="65" t="e">
        <f>IF('Prediction Log'!#REF!=0, "",'Prediction Log'!#REF!)</f>
        <v>#REF!</v>
      </c>
      <c r="D588" s="65" t="e">
        <f>IF('Prediction Log'!#REF!=0, "",'Prediction Log'!#REF!)</f>
        <v>#REF!</v>
      </c>
      <c r="E588" s="65" t="e">
        <f>IF('Prediction Log'!#REF!=0, "",'Prediction Log'!#REF!)</f>
        <v>#REF!</v>
      </c>
      <c r="F588" s="65" t="e">
        <f>IF('Prediction Log'!#REF!=0, "",'Prediction Log'!#REF!)</f>
        <v>#REF!</v>
      </c>
      <c r="G588" s="64" t="e">
        <f>IF(ISBLANK(Games!#REF!), "",'Prediction Log'!#REF!)</f>
        <v>#REF!</v>
      </c>
      <c r="H588" s="66" t="e">
        <f>'Prediction Log'!#REF!</f>
        <v>#REF!</v>
      </c>
      <c r="I588" s="65" t="e">
        <f>IF(ISBLANK(Games!#REF!), "",IF(AND(Games!#REF!="",Games!#REF!=""),"",IF(ISTEXT(Games!#REF!), "Side",Games!#REF!)))</f>
        <v>#REF!</v>
      </c>
      <c r="J588" s="65" t="e">
        <f>IF(ISBLANK(Games!#REF!), "",IF(Games!#REF!="Y", Games!#REF!, Games!#REF!))</f>
        <v>#REF!</v>
      </c>
      <c r="K588" s="65" t="e">
        <f>Games!#REF!</f>
        <v>#REF!</v>
      </c>
      <c r="L588" s="65" t="e">
        <f>IF(ISBLANK(Games!#REF!), "",Games!#REF!)</f>
        <v>#REF!</v>
      </c>
      <c r="M588" s="65"/>
      <c r="N588" s="167" t="str">
        <f>IF(ISBLANK(Table123[[#This Row],[Odds Side - Difference Model]]), "", 1)</f>
      </c>
      <c r="O588" s="167" t="str">
        <f>IF(ISBLANK(Table123[[#This Row],[Odds Spread]]), "", 1)</f>
      </c>
      <c r="P588" s="67"/>
      <c r="Q588" s="67"/>
      <c r="R5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8" s="67"/>
      <c r="T588" s="67"/>
      <c r="U588" s="168" t="str">
        <f>IF(ISBLANK(Table123[[#This Row],[Odds Side - Difference Model]]), "",N588+IF(Q588&lt;0, (N588/(Q588/-100)), N588*(Q588/100)))</f>
      </c>
      <c r="V588" s="169" t="str">
        <f>IFERROR(IF(ISBLANK(Table123[[#This Row],[Odds Side - Win Probability Model]]), "",N588+IF(R588&lt;0, (N588/(R588/-100)), N588*(R588/100))),"")</f>
      </c>
      <c r="W588" s="168" t="str">
        <f t="shared" si="61"/>
      </c>
      <c r="X588" s="169" t="str">
        <f t="shared" si="62"/>
      </c>
      <c r="Y588" s="168" t="str">
        <f>IF(ISBLANK(Table123[[#This Row],[Odds Spread]]), "",O588+IF(S588&lt;0, (O588/(S588/-100)), O588*(S588/100)))</f>
      </c>
      <c r="Z588" s="168" t="str">
        <f t="shared" si="63"/>
      </c>
      <c r="AA588" s="68" t="n">
        <f t="shared" si="64"/>
        <v>0</v>
      </c>
      <c r="AB588" s="68" t="n">
        <f t="shared" si="65"/>
        <v>0</v>
      </c>
      <c r="AC588" s="170" t="e">
        <f>IF('Prediction Log'!#REF!="Y", "W", IF('Prediction Log'!#REF!="N","L",""))</f>
        <v>#REF!</v>
      </c>
      <c r="AD588" s="171" t="e">
        <f>IF('Prediction Log'!#REF!="Y", "W", IF('Prediction Log'!#REF!="N","L",""))</f>
        <v>#REF!</v>
      </c>
      <c r="AE588" s="172" t="str">
        <f>IF(ISBLANK(Table123[[#This Row],[Odds Side - Difference Model]]), "",IF(AC588="W", W588, IF(AC588="L",-N588, "")))</f>
      </c>
      <c r="AF588" s="173" t="str">
        <f>IFERROR((IF(ISERR(Table123[[#This Row],[Potential Payout Side - Win Probability Model]]), "",IF(AD588="W", X588, IF(AD588="L",-N588, "")))), "")</f>
      </c>
      <c r="AG588" s="170" t="e">
        <f>IF('Prediction Log'!#REF!="Y", "W", IF('Prediction Log'!#REF!="N", "L", ""))</f>
        <v>#REF!</v>
      </c>
      <c r="AH588" s="172" t="str">
        <f>IF(ISBLANK(Table123[[#This Row],[Odds Spread]]), "",IF(AG588="W", Z588, IF(AG588="L",-O588, "")))</f>
      </c>
      <c r="AI588" s="184"/>
      <c r="AJ588" s="183" t="str">
        <f t="shared" si="66"/>
      </c>
      <c r="AK5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9">
      <c r="A589" s="65" t="e">
        <f>Games!#REF!</f>
        <v>#REF!</v>
      </c>
      <c r="B589" s="65" t="e">
        <f>IF('Prediction Log'!#REF!=0, "",'Prediction Log'!#REF!)</f>
        <v>#REF!</v>
      </c>
      <c r="C589" s="65" t="e">
        <f>IF('Prediction Log'!#REF!=0, "",'Prediction Log'!#REF!)</f>
        <v>#REF!</v>
      </c>
      <c r="D589" s="65" t="e">
        <f>IF('Prediction Log'!#REF!=0, "",'Prediction Log'!#REF!)</f>
        <v>#REF!</v>
      </c>
      <c r="E589" s="65" t="e">
        <f>IF('Prediction Log'!#REF!=0, "",'Prediction Log'!#REF!)</f>
        <v>#REF!</v>
      </c>
      <c r="F589" s="65" t="e">
        <f>IF('Prediction Log'!#REF!=0, "",'Prediction Log'!#REF!)</f>
        <v>#REF!</v>
      </c>
      <c r="G589" s="64" t="e">
        <f>IF(ISBLANK(Games!#REF!), "",'Prediction Log'!#REF!)</f>
        <v>#REF!</v>
      </c>
      <c r="H589" s="66" t="e">
        <f>'Prediction Log'!#REF!</f>
        <v>#REF!</v>
      </c>
      <c r="I589" s="65" t="e">
        <f>IF(ISBLANK(Games!#REF!), "",IF(AND(Games!#REF!="",Games!#REF!=""),"",IF(ISTEXT(Games!#REF!), "Side",Games!#REF!)))</f>
        <v>#REF!</v>
      </c>
      <c r="J589" s="65" t="e">
        <f>IF(ISBLANK(Games!#REF!), "",IF(Games!#REF!="Y", Games!#REF!, Games!#REF!))</f>
        <v>#REF!</v>
      </c>
      <c r="K589" s="65" t="e">
        <f>Games!#REF!</f>
        <v>#REF!</v>
      </c>
      <c r="L589" s="65" t="e">
        <f>IF(ISBLANK(Games!#REF!), "",Games!#REF!)</f>
        <v>#REF!</v>
      </c>
      <c r="M589" s="65"/>
      <c r="N589" s="167" t="str">
        <f>IF(ISBLANK(Table123[[#This Row],[Odds Side - Difference Model]]), "", 1)</f>
      </c>
      <c r="O589" s="167" t="str">
        <f>IF(ISBLANK(Table123[[#This Row],[Odds Spread]]), "", 1)</f>
      </c>
      <c r="P589" s="67"/>
      <c r="Q589" s="67"/>
      <c r="R5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9" s="67"/>
      <c r="T589" s="67"/>
      <c r="U589" s="168" t="str">
        <f>IF(ISBLANK(Table123[[#This Row],[Odds Side - Difference Model]]), "",N589+IF(Q589&lt;0, (N589/(Q589/-100)), N589*(Q589/100)))</f>
      </c>
      <c r="V589" s="169" t="str">
        <f>IFERROR(IF(ISBLANK(Table123[[#This Row],[Odds Side - Win Probability Model]]), "",N589+IF(R589&lt;0, (N589/(R589/-100)), N589*(R589/100))),"")</f>
      </c>
      <c r="W589" s="168" t="str">
        <f t="shared" si="61"/>
      </c>
      <c r="X589" s="169" t="str">
        <f t="shared" si="62"/>
      </c>
      <c r="Y589" s="168" t="str">
        <f>IF(ISBLANK(Table123[[#This Row],[Odds Spread]]), "",O589+IF(S589&lt;0, (O589/(S589/-100)), O589*(S589/100)))</f>
      </c>
      <c r="Z589" s="168" t="str">
        <f t="shared" si="63"/>
      </c>
      <c r="AA589" s="68" t="n">
        <f t="shared" si="64"/>
        <v>0</v>
      </c>
      <c r="AB589" s="68" t="n">
        <f t="shared" si="65"/>
        <v>0</v>
      </c>
      <c r="AC589" s="170" t="e">
        <f>IF('Prediction Log'!#REF!="Y", "W", IF('Prediction Log'!#REF!="N","L",""))</f>
        <v>#REF!</v>
      </c>
      <c r="AD589" s="171" t="e">
        <f>IF('Prediction Log'!#REF!="Y", "W", IF('Prediction Log'!#REF!="N","L",""))</f>
        <v>#REF!</v>
      </c>
      <c r="AE589" s="172" t="str">
        <f>IF(ISBLANK(Table123[[#This Row],[Odds Side - Difference Model]]), "",IF(AC589="W", W589, IF(AC589="L",-N589, "")))</f>
      </c>
      <c r="AF589" s="173" t="str">
        <f>IFERROR((IF(ISERR(Table123[[#This Row],[Potential Payout Side - Win Probability Model]]), "",IF(AD589="W", X589, IF(AD589="L",-N589, "")))), "")</f>
      </c>
      <c r="AG589" s="170" t="e">
        <f>IF('Prediction Log'!#REF!="Y", "W", IF('Prediction Log'!#REF!="N", "L", ""))</f>
        <v>#REF!</v>
      </c>
      <c r="AH589" s="172" t="str">
        <f>IF(ISBLANK(Table123[[#This Row],[Odds Spread]]), "",IF(AG589="W", Z589, IF(AG589="L",-O589, "")))</f>
      </c>
      <c r="AI589" s="184"/>
      <c r="AJ589" s="183" t="str">
        <f t="shared" si="66"/>
      </c>
      <c r="AK5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0">
      <c r="A590" s="65" t="e">
        <f>Games!#REF!</f>
        <v>#REF!</v>
      </c>
      <c r="B590" s="65" t="e">
        <f>IF('Prediction Log'!#REF!=0, "",'Prediction Log'!#REF!)</f>
        <v>#REF!</v>
      </c>
      <c r="C590" s="65" t="e">
        <f>IF('Prediction Log'!#REF!=0, "",'Prediction Log'!#REF!)</f>
        <v>#REF!</v>
      </c>
      <c r="D590" s="65" t="e">
        <f>IF('Prediction Log'!#REF!=0, "",'Prediction Log'!#REF!)</f>
        <v>#REF!</v>
      </c>
      <c r="E590" s="65" t="e">
        <f>IF('Prediction Log'!#REF!=0, "",'Prediction Log'!#REF!)</f>
        <v>#REF!</v>
      </c>
      <c r="F590" s="65" t="e">
        <f>IF('Prediction Log'!#REF!=0, "",'Prediction Log'!#REF!)</f>
        <v>#REF!</v>
      </c>
      <c r="G590" s="64" t="e">
        <f>IF(ISBLANK(Games!#REF!), "",'Prediction Log'!#REF!)</f>
        <v>#REF!</v>
      </c>
      <c r="H590" s="66" t="e">
        <f>'Prediction Log'!#REF!</f>
        <v>#REF!</v>
      </c>
      <c r="I590" s="65" t="e">
        <f>IF(ISBLANK(Games!#REF!), "",IF(AND(Games!#REF!="",Games!#REF!=""),"",IF(ISTEXT(Games!#REF!), "Side",Games!#REF!)))</f>
        <v>#REF!</v>
      </c>
      <c r="J590" s="65" t="e">
        <f>IF(ISBLANK(Games!#REF!), "",IF(Games!#REF!="Y", Games!#REF!, Games!#REF!))</f>
        <v>#REF!</v>
      </c>
      <c r="K590" s="65" t="e">
        <f>Games!#REF!</f>
        <v>#REF!</v>
      </c>
      <c r="L590" s="65" t="e">
        <f>IF(ISBLANK(Games!#REF!), "",Games!#REF!)</f>
        <v>#REF!</v>
      </c>
      <c r="M590" s="65"/>
      <c r="N590" s="167" t="str">
        <f>IF(ISBLANK(Table123[[#This Row],[Odds Side - Difference Model]]), "", 1)</f>
      </c>
      <c r="O590" s="167" t="str">
        <f>IF(ISBLANK(Table123[[#This Row],[Odds Spread]]), "", 1)</f>
      </c>
      <c r="P590" s="67"/>
      <c r="Q590" s="67"/>
      <c r="R5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0" s="67"/>
      <c r="T590" s="67"/>
      <c r="U590" s="168" t="str">
        <f>IF(ISBLANK(Table123[[#This Row],[Odds Side - Difference Model]]), "",N590+IF(Q590&lt;0, (N590/(Q590/-100)), N590*(Q590/100)))</f>
      </c>
      <c r="V590" s="169" t="str">
        <f>IFERROR(IF(ISBLANK(Table123[[#This Row],[Odds Side - Win Probability Model]]), "",N590+IF(R590&lt;0, (N590/(R590/-100)), N590*(R590/100))),"")</f>
      </c>
      <c r="W590" s="168" t="str">
        <f t="shared" si="61"/>
      </c>
      <c r="X590" s="169" t="str">
        <f t="shared" si="62"/>
      </c>
      <c r="Y590" s="168" t="str">
        <f>IF(ISBLANK(Table123[[#This Row],[Odds Spread]]), "",O590+IF(S590&lt;0, (O590/(S590/-100)), O590*(S590/100)))</f>
      </c>
      <c r="Z590" s="168" t="str">
        <f t="shared" si="63"/>
      </c>
      <c r="AA590" s="68" t="n">
        <f t="shared" si="64"/>
        <v>0</v>
      </c>
      <c r="AB590" s="68" t="n">
        <f t="shared" si="65"/>
        <v>0</v>
      </c>
      <c r="AC590" s="170" t="e">
        <f>IF('Prediction Log'!#REF!="Y", "W", IF('Prediction Log'!#REF!="N","L",""))</f>
        <v>#REF!</v>
      </c>
      <c r="AD590" s="171" t="e">
        <f>IF('Prediction Log'!#REF!="Y", "W", IF('Prediction Log'!#REF!="N","L",""))</f>
        <v>#REF!</v>
      </c>
      <c r="AE590" s="172" t="str">
        <f>IF(ISBLANK(Table123[[#This Row],[Odds Side - Difference Model]]), "",IF(AC590="W", W590, IF(AC590="L",-N590, "")))</f>
      </c>
      <c r="AF590" s="173" t="str">
        <f>IFERROR((IF(ISERR(Table123[[#This Row],[Potential Payout Side - Win Probability Model]]), "",IF(AD590="W", X590, IF(AD590="L",-N590, "")))), "")</f>
      </c>
      <c r="AG590" s="170" t="e">
        <f>IF('Prediction Log'!#REF!="Y", "W", IF('Prediction Log'!#REF!="N", "L", ""))</f>
        <v>#REF!</v>
      </c>
      <c r="AH590" s="172" t="str">
        <f>IF(ISBLANK(Table123[[#This Row],[Odds Spread]]), "",IF(AG590="W", Z590, IF(AG590="L",-O590, "")))</f>
      </c>
      <c r="AI590" s="184"/>
      <c r="AJ590" s="183" t="str">
        <f t="shared" si="66"/>
      </c>
      <c r="AK5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1">
      <c r="A591" s="65" t="e">
        <f>Games!#REF!</f>
        <v>#REF!</v>
      </c>
      <c r="B591" s="65" t="e">
        <f>IF('Prediction Log'!#REF!=0, "",'Prediction Log'!#REF!)</f>
        <v>#REF!</v>
      </c>
      <c r="C591" s="65" t="e">
        <f>IF('Prediction Log'!#REF!=0, "",'Prediction Log'!#REF!)</f>
        <v>#REF!</v>
      </c>
      <c r="D591" s="65" t="e">
        <f>IF('Prediction Log'!#REF!=0, "",'Prediction Log'!#REF!)</f>
        <v>#REF!</v>
      </c>
      <c r="E591" s="65" t="e">
        <f>IF('Prediction Log'!#REF!=0, "",'Prediction Log'!#REF!)</f>
        <v>#REF!</v>
      </c>
      <c r="F591" s="65" t="e">
        <f>IF('Prediction Log'!#REF!=0, "",'Prediction Log'!#REF!)</f>
        <v>#REF!</v>
      </c>
      <c r="G591" s="64" t="e">
        <f>IF(ISBLANK(Games!#REF!), "",'Prediction Log'!#REF!)</f>
        <v>#REF!</v>
      </c>
      <c r="H591" s="66" t="e">
        <f>'Prediction Log'!#REF!</f>
        <v>#REF!</v>
      </c>
      <c r="I591" s="65" t="e">
        <f>IF(ISBLANK(Games!#REF!), "",IF(AND(Games!#REF!="",Games!#REF!=""),"",IF(ISTEXT(Games!#REF!), "Side",Games!#REF!)))</f>
        <v>#REF!</v>
      </c>
      <c r="J591" s="65" t="e">
        <f>IF(ISBLANK(Games!#REF!), "",IF(Games!#REF!="Y", Games!#REF!, Games!#REF!))</f>
        <v>#REF!</v>
      </c>
      <c r="K591" s="65" t="e">
        <f>Games!#REF!</f>
        <v>#REF!</v>
      </c>
      <c r="L591" s="65" t="e">
        <f>IF(ISBLANK(Games!#REF!), "",Games!#REF!)</f>
        <v>#REF!</v>
      </c>
      <c r="M591" s="65"/>
      <c r="N591" s="167" t="str">
        <f>IF(ISBLANK(Table123[[#This Row],[Odds Side - Difference Model]]), "", 1)</f>
      </c>
      <c r="O591" s="167" t="str">
        <f>IF(ISBLANK(Table123[[#This Row],[Odds Spread]]), "", 1)</f>
      </c>
      <c r="P591" s="67"/>
      <c r="Q591" s="67"/>
      <c r="R5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1" s="67"/>
      <c r="T591" s="67"/>
      <c r="U591" s="168" t="str">
        <f>IF(ISBLANK(Table123[[#This Row],[Odds Side - Difference Model]]), "",N591+IF(Q591&lt;0, (N591/(Q591/-100)), N591*(Q591/100)))</f>
      </c>
      <c r="V591" s="169" t="str">
        <f>IFERROR(IF(ISBLANK(Table123[[#This Row],[Odds Side - Win Probability Model]]), "",N591+IF(R591&lt;0, (N591/(R591/-100)), N591*(R591/100))),"")</f>
      </c>
      <c r="W591" s="168" t="str">
        <f t="shared" si="61"/>
      </c>
      <c r="X591" s="169" t="str">
        <f t="shared" si="62"/>
      </c>
      <c r="Y591" s="168" t="str">
        <f>IF(ISBLANK(Table123[[#This Row],[Odds Spread]]), "",O591+IF(S591&lt;0, (O591/(S591/-100)), O591*(S591/100)))</f>
      </c>
      <c r="Z591" s="168" t="str">
        <f t="shared" si="63"/>
      </c>
      <c r="AA591" s="68" t="n">
        <f t="shared" si="64"/>
        <v>0</v>
      </c>
      <c r="AB591" s="68" t="n">
        <f t="shared" si="65"/>
        <v>0</v>
      </c>
      <c r="AC591" s="170" t="e">
        <f>IF('Prediction Log'!#REF!="Y", "W", IF('Prediction Log'!#REF!="N","L",""))</f>
        <v>#REF!</v>
      </c>
      <c r="AD591" s="171" t="e">
        <f>IF('Prediction Log'!#REF!="Y", "W", IF('Prediction Log'!#REF!="N","L",""))</f>
        <v>#REF!</v>
      </c>
      <c r="AE591" s="172" t="str">
        <f>IF(ISBLANK(Table123[[#This Row],[Odds Side - Difference Model]]), "",IF(AC591="W", W591, IF(AC591="L",-N591, "")))</f>
      </c>
      <c r="AF591" s="173" t="str">
        <f>IFERROR((IF(ISERR(Table123[[#This Row],[Potential Payout Side - Win Probability Model]]), "",IF(AD591="W", X591, IF(AD591="L",-N591, "")))), "")</f>
      </c>
      <c r="AG591" s="170" t="e">
        <f>IF('Prediction Log'!#REF!="Y", "W", IF('Prediction Log'!#REF!="N", "L", ""))</f>
        <v>#REF!</v>
      </c>
      <c r="AH591" s="172" t="str">
        <f>IF(ISBLANK(Table123[[#This Row],[Odds Spread]]), "",IF(AG591="W", Z591, IF(AG591="L",-O591, "")))</f>
      </c>
      <c r="AI591" s="184"/>
      <c r="AJ591" s="183" t="str">
        <f t="shared" si="66"/>
      </c>
      <c r="AK5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2">
      <c r="A592" s="65" t="e">
        <f>Games!#REF!</f>
        <v>#REF!</v>
      </c>
      <c r="B592" s="65" t="e">
        <f>IF('Prediction Log'!#REF!=0, "",'Prediction Log'!#REF!)</f>
        <v>#REF!</v>
      </c>
      <c r="C592" s="65" t="e">
        <f>IF('Prediction Log'!#REF!=0, "",'Prediction Log'!#REF!)</f>
        <v>#REF!</v>
      </c>
      <c r="D592" s="65" t="e">
        <f>IF('Prediction Log'!#REF!=0, "",'Prediction Log'!#REF!)</f>
        <v>#REF!</v>
      </c>
      <c r="E592" s="65" t="e">
        <f>IF('Prediction Log'!#REF!=0, "",'Prediction Log'!#REF!)</f>
        <v>#REF!</v>
      </c>
      <c r="F592" s="65" t="e">
        <f>IF('Prediction Log'!#REF!=0, "",'Prediction Log'!#REF!)</f>
        <v>#REF!</v>
      </c>
      <c r="G592" s="64" t="e">
        <f>IF(ISBLANK(Games!#REF!), "",'Prediction Log'!#REF!)</f>
        <v>#REF!</v>
      </c>
      <c r="H592" s="66" t="e">
        <f>'Prediction Log'!#REF!</f>
        <v>#REF!</v>
      </c>
      <c r="I592" s="65" t="e">
        <f>IF(ISBLANK(Games!#REF!), "",IF(AND(Games!#REF!="",Games!#REF!=""),"",IF(ISTEXT(Games!#REF!), "Side",Games!#REF!)))</f>
        <v>#REF!</v>
      </c>
      <c r="J592" s="65" t="e">
        <f>IF(ISBLANK(Games!#REF!), "",IF(Games!#REF!="Y", Games!#REF!, Games!#REF!))</f>
        <v>#REF!</v>
      </c>
      <c r="K592" s="65" t="e">
        <f>Games!#REF!</f>
        <v>#REF!</v>
      </c>
      <c r="L592" s="65" t="e">
        <f>IF(ISBLANK(Games!#REF!), "",Games!#REF!)</f>
        <v>#REF!</v>
      </c>
      <c r="M592" s="65"/>
      <c r="N592" s="167" t="str">
        <f>IF(ISBLANK(Table123[[#This Row],[Odds Side - Difference Model]]), "", 1)</f>
      </c>
      <c r="O592" s="167" t="str">
        <f>IF(ISBLANK(Table123[[#This Row],[Odds Spread]]), "", 1)</f>
      </c>
      <c r="P592" s="67"/>
      <c r="Q592" s="67"/>
      <c r="R5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2" s="67"/>
      <c r="T592" s="67"/>
      <c r="U592" s="168" t="str">
        <f>IF(ISBLANK(Table123[[#This Row],[Odds Side - Difference Model]]), "",N592+IF(Q592&lt;0, (N592/(Q592/-100)), N592*(Q592/100)))</f>
      </c>
      <c r="V592" s="169" t="str">
        <f>IFERROR(IF(ISBLANK(Table123[[#This Row],[Odds Side - Win Probability Model]]), "",N592+IF(R592&lt;0, (N592/(R592/-100)), N592*(R592/100))),"")</f>
      </c>
      <c r="W592" s="168" t="str">
        <f t="shared" si="61"/>
      </c>
      <c r="X592" s="169" t="str">
        <f t="shared" si="62"/>
      </c>
      <c r="Y592" s="168" t="str">
        <f>IF(ISBLANK(Table123[[#This Row],[Odds Spread]]), "",O592+IF(S592&lt;0, (O592/(S592/-100)), O592*(S592/100)))</f>
      </c>
      <c r="Z592" s="168" t="str">
        <f t="shared" si="63"/>
      </c>
      <c r="AA592" s="68" t="n">
        <f t="shared" si="64"/>
        <v>0</v>
      </c>
      <c r="AB592" s="68" t="n">
        <f t="shared" si="65"/>
        <v>0</v>
      </c>
      <c r="AC592" s="170" t="e">
        <f>IF('Prediction Log'!#REF!="Y", "W", IF('Prediction Log'!#REF!="N","L",""))</f>
        <v>#REF!</v>
      </c>
      <c r="AD592" s="171" t="e">
        <f>IF('Prediction Log'!#REF!="Y", "W", IF('Prediction Log'!#REF!="N","L",""))</f>
        <v>#REF!</v>
      </c>
      <c r="AE592" s="172" t="str">
        <f>IF(ISBLANK(Table123[[#This Row],[Odds Side - Difference Model]]), "",IF(AC592="W", W592, IF(AC592="L",-N592, "")))</f>
      </c>
      <c r="AF592" s="173" t="str">
        <f>IFERROR((IF(ISERR(Table123[[#This Row],[Potential Payout Side - Win Probability Model]]), "",IF(AD592="W", X592, IF(AD592="L",-N592, "")))), "")</f>
      </c>
      <c r="AG592" s="170" t="e">
        <f>IF('Prediction Log'!#REF!="Y", "W", IF('Prediction Log'!#REF!="N", "L", ""))</f>
        <v>#REF!</v>
      </c>
      <c r="AH592" s="172" t="str">
        <f>IF(ISBLANK(Table123[[#This Row],[Odds Spread]]), "",IF(AG592="W", Z592, IF(AG592="L",-O592, "")))</f>
      </c>
      <c r="AI592" s="184"/>
      <c r="AJ592" s="183" t="str">
        <f t="shared" si="66"/>
      </c>
      <c r="AK5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3">
      <c r="A593" s="65" t="e">
        <f>Games!#REF!</f>
        <v>#REF!</v>
      </c>
      <c r="B593" s="65" t="e">
        <f>IF('Prediction Log'!#REF!=0, "",'Prediction Log'!#REF!)</f>
        <v>#REF!</v>
      </c>
      <c r="C593" s="65" t="e">
        <f>IF('Prediction Log'!#REF!=0, "",'Prediction Log'!#REF!)</f>
        <v>#REF!</v>
      </c>
      <c r="D593" s="65" t="e">
        <f>IF('Prediction Log'!#REF!=0, "",'Prediction Log'!#REF!)</f>
        <v>#REF!</v>
      </c>
      <c r="E593" s="65" t="e">
        <f>IF('Prediction Log'!#REF!=0, "",'Prediction Log'!#REF!)</f>
        <v>#REF!</v>
      </c>
      <c r="F593" s="65" t="e">
        <f>IF('Prediction Log'!#REF!=0, "",'Prediction Log'!#REF!)</f>
        <v>#REF!</v>
      </c>
      <c r="G593" s="64" t="e">
        <f>IF(ISBLANK(Games!#REF!), "",'Prediction Log'!#REF!)</f>
        <v>#REF!</v>
      </c>
      <c r="H593" s="66" t="e">
        <f>'Prediction Log'!#REF!</f>
        <v>#REF!</v>
      </c>
      <c r="I593" s="65" t="e">
        <f>IF(ISBLANK(Games!#REF!), "",IF(AND(Games!#REF!="",Games!#REF!=""),"",IF(ISTEXT(Games!#REF!), "Side",Games!#REF!)))</f>
        <v>#REF!</v>
      </c>
      <c r="J593" s="65" t="e">
        <f>IF(ISBLANK(Games!#REF!), "",IF(Games!#REF!="Y", Games!#REF!, Games!#REF!))</f>
        <v>#REF!</v>
      </c>
      <c r="K593" s="65" t="e">
        <f>Games!#REF!</f>
        <v>#REF!</v>
      </c>
      <c r="L593" s="65" t="e">
        <f>IF(ISBLANK(Games!#REF!), "",Games!#REF!)</f>
        <v>#REF!</v>
      </c>
      <c r="M593" s="65"/>
      <c r="N593" s="167" t="str">
        <f>IF(ISBLANK(Table123[[#This Row],[Odds Side - Difference Model]]), "", 1)</f>
      </c>
      <c r="O593" s="167" t="str">
        <f>IF(ISBLANK(Table123[[#This Row],[Odds Spread]]), "", 1)</f>
      </c>
      <c r="P593" s="67"/>
      <c r="Q593" s="67"/>
      <c r="R5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3" s="67"/>
      <c r="T593" s="67"/>
      <c r="U593" s="168" t="str">
        <f>IF(ISBLANK(Table123[[#This Row],[Odds Side - Difference Model]]), "",N593+IF(Q593&lt;0, (N593/(Q593/-100)), N593*(Q593/100)))</f>
      </c>
      <c r="V593" s="169" t="str">
        <f>IFERROR(IF(ISBLANK(Table123[[#This Row],[Odds Side - Win Probability Model]]), "",N593+IF(R593&lt;0, (N593/(R593/-100)), N593*(R593/100))),"")</f>
      </c>
      <c r="W593" s="168" t="str">
        <f t="shared" si="61"/>
      </c>
      <c r="X593" s="169" t="str">
        <f t="shared" si="62"/>
      </c>
      <c r="Y593" s="168" t="str">
        <f>IF(ISBLANK(Table123[[#This Row],[Odds Spread]]), "",O593+IF(S593&lt;0, (O593/(S593/-100)), O593*(S593/100)))</f>
      </c>
      <c r="Z593" s="168" t="str">
        <f t="shared" si="63"/>
      </c>
      <c r="AA593" s="68" t="n">
        <f t="shared" si="64"/>
        <v>0</v>
      </c>
      <c r="AB593" s="68" t="n">
        <f t="shared" si="65"/>
        <v>0</v>
      </c>
      <c r="AC593" s="170" t="e">
        <f>IF('Prediction Log'!#REF!="Y", "W", IF('Prediction Log'!#REF!="N","L",""))</f>
        <v>#REF!</v>
      </c>
      <c r="AD593" s="171" t="e">
        <f>IF('Prediction Log'!#REF!="Y", "W", IF('Prediction Log'!#REF!="N","L",""))</f>
        <v>#REF!</v>
      </c>
      <c r="AE593" s="172" t="str">
        <f>IF(ISBLANK(Table123[[#This Row],[Odds Side - Difference Model]]), "",IF(AC593="W", W593, IF(AC593="L",-N593, "")))</f>
      </c>
      <c r="AF593" s="173" t="str">
        <f>IFERROR((IF(ISERR(Table123[[#This Row],[Potential Payout Side - Win Probability Model]]), "",IF(AD593="W", X593, IF(AD593="L",-N593, "")))), "")</f>
      </c>
      <c r="AG593" s="170" t="e">
        <f>IF('Prediction Log'!#REF!="Y", "W", IF('Prediction Log'!#REF!="N", "L", ""))</f>
        <v>#REF!</v>
      </c>
      <c r="AH593" s="172" t="str">
        <f>IF(ISBLANK(Table123[[#This Row],[Odds Spread]]), "",IF(AG593="W", Z593, IF(AG593="L",-O593, "")))</f>
      </c>
      <c r="AI593" s="184"/>
      <c r="AJ593" s="183" t="str">
        <f t="shared" si="66"/>
      </c>
      <c r="AK5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4">
      <c r="A594" s="65" t="e">
        <f>Games!#REF!</f>
        <v>#REF!</v>
      </c>
      <c r="B594" s="65" t="e">
        <f>IF('Prediction Log'!#REF!=0, "",'Prediction Log'!#REF!)</f>
        <v>#REF!</v>
      </c>
      <c r="C594" s="65" t="e">
        <f>IF('Prediction Log'!#REF!=0, "",'Prediction Log'!#REF!)</f>
        <v>#REF!</v>
      </c>
      <c r="D594" s="65" t="e">
        <f>IF('Prediction Log'!#REF!=0, "",'Prediction Log'!#REF!)</f>
        <v>#REF!</v>
      </c>
      <c r="E594" s="65" t="e">
        <f>IF('Prediction Log'!#REF!=0, "",'Prediction Log'!#REF!)</f>
        <v>#REF!</v>
      </c>
      <c r="F594" s="65" t="e">
        <f>IF('Prediction Log'!#REF!=0, "",'Prediction Log'!#REF!)</f>
        <v>#REF!</v>
      </c>
      <c r="G594" s="64" t="e">
        <f>IF(ISBLANK(Games!#REF!), "",'Prediction Log'!#REF!)</f>
        <v>#REF!</v>
      </c>
      <c r="H594" s="66" t="e">
        <f>'Prediction Log'!#REF!</f>
        <v>#REF!</v>
      </c>
      <c r="I594" s="65" t="e">
        <f>IF(ISBLANK(Games!#REF!), "",IF(AND(Games!#REF!="",Games!#REF!=""),"",IF(ISTEXT(Games!#REF!), "Side",Games!#REF!)))</f>
        <v>#REF!</v>
      </c>
      <c r="J594" s="65" t="e">
        <f>IF(ISBLANK(Games!#REF!), "",IF(Games!#REF!="Y", Games!#REF!, Games!#REF!))</f>
        <v>#REF!</v>
      </c>
      <c r="K594" s="65" t="e">
        <f>Games!#REF!</f>
        <v>#REF!</v>
      </c>
      <c r="L594" s="65" t="e">
        <f>IF(ISBLANK(Games!#REF!), "",Games!#REF!)</f>
        <v>#REF!</v>
      </c>
      <c r="M594" s="65"/>
      <c r="N594" s="167" t="str">
        <f>IF(ISBLANK(Table123[[#This Row],[Odds Side - Difference Model]]), "", 1)</f>
      </c>
      <c r="O594" s="167" t="str">
        <f>IF(ISBLANK(Table123[[#This Row],[Odds Spread]]), "", 1)</f>
      </c>
      <c r="P594" s="67"/>
      <c r="Q594" s="67"/>
      <c r="R5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4" s="67"/>
      <c r="T594" s="67"/>
      <c r="U594" s="168" t="str">
        <f>IF(ISBLANK(Table123[[#This Row],[Odds Side - Difference Model]]), "",N594+IF(Q594&lt;0, (N594/(Q594/-100)), N594*(Q594/100)))</f>
      </c>
      <c r="V594" s="169" t="str">
        <f>IFERROR(IF(ISBLANK(Table123[[#This Row],[Odds Side - Win Probability Model]]), "",N594+IF(R594&lt;0, (N594/(R594/-100)), N594*(R594/100))),"")</f>
      </c>
      <c r="W594" s="168" t="str">
        <f t="shared" si="61"/>
      </c>
      <c r="X594" s="169" t="str">
        <f t="shared" si="62"/>
      </c>
      <c r="Y594" s="168" t="str">
        <f>IF(ISBLANK(Table123[[#This Row],[Odds Spread]]), "",O594+IF(S594&lt;0, (O594/(S594/-100)), O594*(S594/100)))</f>
      </c>
      <c r="Z594" s="168" t="str">
        <f t="shared" si="63"/>
      </c>
      <c r="AA594" s="68" t="n">
        <f t="shared" si="64"/>
        <v>0</v>
      </c>
      <c r="AB594" s="68" t="n">
        <f t="shared" si="65"/>
        <v>0</v>
      </c>
      <c r="AC594" s="170" t="e">
        <f>IF('Prediction Log'!#REF!="Y", "W", IF('Prediction Log'!#REF!="N","L",""))</f>
        <v>#REF!</v>
      </c>
      <c r="AD594" s="171" t="e">
        <f>IF('Prediction Log'!#REF!="Y", "W", IF('Prediction Log'!#REF!="N","L",""))</f>
        <v>#REF!</v>
      </c>
      <c r="AE594" s="172" t="str">
        <f>IF(ISBLANK(Table123[[#This Row],[Odds Side - Difference Model]]), "",IF(AC594="W", W594, IF(AC594="L",-N594, "")))</f>
      </c>
      <c r="AF594" s="173" t="str">
        <f>IFERROR((IF(ISERR(Table123[[#This Row],[Potential Payout Side - Win Probability Model]]), "",IF(AD594="W", X594, IF(AD594="L",-N594, "")))), "")</f>
      </c>
      <c r="AG594" s="170" t="e">
        <f>IF('Prediction Log'!#REF!="Y", "W", IF('Prediction Log'!#REF!="N", "L", ""))</f>
        <v>#REF!</v>
      </c>
      <c r="AH594" s="172" t="str">
        <f>IF(ISBLANK(Table123[[#This Row],[Odds Spread]]), "",IF(AG594="W", Z594, IF(AG594="L",-O594, "")))</f>
      </c>
      <c r="AI594" s="184"/>
      <c r="AJ594" s="183" t="str">
        <f t="shared" si="66"/>
      </c>
      <c r="AK5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5">
      <c r="A595" s="65" t="e">
        <f>Games!#REF!</f>
        <v>#REF!</v>
      </c>
      <c r="B595" s="65" t="e">
        <f>IF('Prediction Log'!#REF!=0, "",'Prediction Log'!#REF!)</f>
        <v>#REF!</v>
      </c>
      <c r="C595" s="65" t="e">
        <f>IF('Prediction Log'!#REF!=0, "",'Prediction Log'!#REF!)</f>
        <v>#REF!</v>
      </c>
      <c r="D595" s="65" t="e">
        <f>IF('Prediction Log'!#REF!=0, "",'Prediction Log'!#REF!)</f>
        <v>#REF!</v>
      </c>
      <c r="E595" s="65" t="e">
        <f>IF('Prediction Log'!#REF!=0, "",'Prediction Log'!#REF!)</f>
        <v>#REF!</v>
      </c>
      <c r="F595" s="65" t="e">
        <f>IF('Prediction Log'!#REF!=0, "",'Prediction Log'!#REF!)</f>
        <v>#REF!</v>
      </c>
      <c r="G595" s="64" t="e">
        <f>IF(ISBLANK(Games!#REF!), "",'Prediction Log'!#REF!)</f>
        <v>#REF!</v>
      </c>
      <c r="H595" s="66" t="e">
        <f>'Prediction Log'!#REF!</f>
        <v>#REF!</v>
      </c>
      <c r="I595" s="65" t="e">
        <f>IF(ISBLANK(Games!#REF!), "",IF(AND(Games!#REF!="",Games!#REF!=""),"",IF(ISTEXT(Games!#REF!), "Side",Games!#REF!)))</f>
        <v>#REF!</v>
      </c>
      <c r="J595" s="65" t="e">
        <f>IF(ISBLANK(Games!#REF!), "",IF(Games!#REF!="Y", Games!#REF!, Games!#REF!))</f>
        <v>#REF!</v>
      </c>
      <c r="K595" s="65" t="e">
        <f>Games!#REF!</f>
        <v>#REF!</v>
      </c>
      <c r="L595" s="65" t="e">
        <f>IF(ISBLANK(Games!#REF!), "",Games!#REF!)</f>
        <v>#REF!</v>
      </c>
      <c r="M595" s="65"/>
      <c r="N595" s="167" t="str">
        <f>IF(ISBLANK(Table123[[#This Row],[Odds Side - Difference Model]]), "", 1)</f>
      </c>
      <c r="O595" s="167" t="str">
        <f>IF(ISBLANK(Table123[[#This Row],[Odds Spread]]), "", 1)</f>
      </c>
      <c r="P595" s="67"/>
      <c r="Q595" s="67"/>
      <c r="R5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5" s="67"/>
      <c r="T595" s="67"/>
      <c r="U595" s="168" t="str">
        <f>IF(ISBLANK(Table123[[#This Row],[Odds Side - Difference Model]]), "",N595+IF(Q595&lt;0, (N595/(Q595/-100)), N595*(Q595/100)))</f>
      </c>
      <c r="V595" s="169" t="str">
        <f>IFERROR(IF(ISBLANK(Table123[[#This Row],[Odds Side - Win Probability Model]]), "",N595+IF(R595&lt;0, (N595/(R595/-100)), N595*(R595/100))),"")</f>
      </c>
      <c r="W595" s="168" t="str">
        <f t="shared" si="61"/>
      </c>
      <c r="X595" s="169" t="str">
        <f t="shared" si="62"/>
      </c>
      <c r="Y595" s="168" t="str">
        <f>IF(ISBLANK(Table123[[#This Row],[Odds Spread]]), "",O595+IF(S595&lt;0, (O595/(S595/-100)), O595*(S595/100)))</f>
      </c>
      <c r="Z595" s="168" t="str">
        <f t="shared" si="63"/>
      </c>
      <c r="AA595" s="68" t="n">
        <f t="shared" si="64"/>
        <v>0</v>
      </c>
      <c r="AB595" s="68" t="n">
        <f t="shared" si="65"/>
        <v>0</v>
      </c>
      <c r="AC595" s="170" t="e">
        <f>IF('Prediction Log'!#REF!="Y", "W", IF('Prediction Log'!#REF!="N","L",""))</f>
        <v>#REF!</v>
      </c>
      <c r="AD595" s="171" t="e">
        <f>IF('Prediction Log'!#REF!="Y", "W", IF('Prediction Log'!#REF!="N","L",""))</f>
        <v>#REF!</v>
      </c>
      <c r="AE595" s="172" t="str">
        <f>IF(ISBLANK(Table123[[#This Row],[Odds Side - Difference Model]]), "",IF(AC595="W", W595, IF(AC595="L",-N595, "")))</f>
      </c>
      <c r="AF595" s="173" t="str">
        <f>IFERROR((IF(ISERR(Table123[[#This Row],[Potential Payout Side - Win Probability Model]]), "",IF(AD595="W", X595, IF(AD595="L",-N595, "")))), "")</f>
      </c>
      <c r="AG595" s="170" t="e">
        <f>IF('Prediction Log'!#REF!="Y", "W", IF('Prediction Log'!#REF!="N", "L", ""))</f>
        <v>#REF!</v>
      </c>
      <c r="AH595" s="172" t="str">
        <f>IF(ISBLANK(Table123[[#This Row],[Odds Spread]]), "",IF(AG595="W", Z595, IF(AG595="L",-O595, "")))</f>
      </c>
      <c r="AI595" s="184"/>
      <c r="AJ595" s="183" t="str">
        <f t="shared" si="66"/>
      </c>
      <c r="AK5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6">
      <c r="A596" s="65" t="e">
        <f>Games!#REF!</f>
        <v>#REF!</v>
      </c>
      <c r="B596" s="65" t="e">
        <f>IF('Prediction Log'!#REF!=0, "",'Prediction Log'!#REF!)</f>
        <v>#REF!</v>
      </c>
      <c r="C596" s="65" t="e">
        <f>IF('Prediction Log'!#REF!=0, "",'Prediction Log'!#REF!)</f>
        <v>#REF!</v>
      </c>
      <c r="D596" s="65" t="e">
        <f>IF('Prediction Log'!#REF!=0, "",'Prediction Log'!#REF!)</f>
        <v>#REF!</v>
      </c>
      <c r="E596" s="65" t="e">
        <f>IF('Prediction Log'!#REF!=0, "",'Prediction Log'!#REF!)</f>
        <v>#REF!</v>
      </c>
      <c r="F596" s="65" t="e">
        <f>IF('Prediction Log'!#REF!=0, "",'Prediction Log'!#REF!)</f>
        <v>#REF!</v>
      </c>
      <c r="G596" s="64" t="e">
        <f>IF(ISBLANK(Games!#REF!), "",'Prediction Log'!#REF!)</f>
        <v>#REF!</v>
      </c>
      <c r="H596" s="66" t="e">
        <f>'Prediction Log'!#REF!</f>
        <v>#REF!</v>
      </c>
      <c r="I596" s="65" t="e">
        <f>IF(ISBLANK(Games!#REF!), "",IF(AND(Games!#REF!="",Games!#REF!=""),"",IF(ISTEXT(Games!#REF!), "Side",Games!#REF!)))</f>
        <v>#REF!</v>
      </c>
      <c r="J596" s="65" t="e">
        <f>IF(ISBLANK(Games!#REF!), "",IF(Games!#REF!="Y", Games!#REF!, Games!#REF!))</f>
        <v>#REF!</v>
      </c>
      <c r="K596" s="65" t="e">
        <f>Games!#REF!</f>
        <v>#REF!</v>
      </c>
      <c r="L596" s="65" t="e">
        <f>IF(ISBLANK(Games!#REF!), "",Games!#REF!)</f>
        <v>#REF!</v>
      </c>
      <c r="M596" s="65"/>
      <c r="N596" s="167" t="str">
        <f>IF(ISBLANK(Table123[[#This Row],[Odds Side - Difference Model]]), "", 1)</f>
      </c>
      <c r="O596" s="167" t="str">
        <f>IF(ISBLANK(Table123[[#This Row],[Odds Spread]]), "", 1)</f>
      </c>
      <c r="P596" s="67"/>
      <c r="Q596" s="67"/>
      <c r="R5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6" s="67"/>
      <c r="T596" s="67"/>
      <c r="U596" s="168" t="str">
        <f>IF(ISBLANK(Table123[[#This Row],[Odds Side - Difference Model]]), "",N596+IF(Q596&lt;0, (N596/(Q596/-100)), N596*(Q596/100)))</f>
      </c>
      <c r="V596" s="169" t="str">
        <f>IFERROR(IF(ISBLANK(Table123[[#This Row],[Odds Side - Win Probability Model]]), "",N596+IF(R596&lt;0, (N596/(R596/-100)), N596*(R596/100))),"")</f>
      </c>
      <c r="W596" s="168" t="str">
        <f t="shared" si="61"/>
      </c>
      <c r="X596" s="169" t="str">
        <f t="shared" si="62"/>
      </c>
      <c r="Y596" s="168" t="str">
        <f>IF(ISBLANK(Table123[[#This Row],[Odds Spread]]), "",O596+IF(S596&lt;0, (O596/(S596/-100)), O596*(S596/100)))</f>
      </c>
      <c r="Z596" s="168" t="str">
        <f t="shared" si="63"/>
      </c>
      <c r="AA596" s="68" t="n">
        <f t="shared" si="64"/>
        <v>0</v>
      </c>
      <c r="AB596" s="68" t="n">
        <f t="shared" si="65"/>
        <v>0</v>
      </c>
      <c r="AC596" s="170" t="e">
        <f>IF('Prediction Log'!#REF!="Y", "W", IF('Prediction Log'!#REF!="N","L",""))</f>
        <v>#REF!</v>
      </c>
      <c r="AD596" s="171" t="e">
        <f>IF('Prediction Log'!#REF!="Y", "W", IF('Prediction Log'!#REF!="N","L",""))</f>
        <v>#REF!</v>
      </c>
      <c r="AE596" s="172" t="str">
        <f>IF(ISBLANK(Table123[[#This Row],[Odds Side - Difference Model]]), "",IF(AC596="W", W596, IF(AC596="L",-N596, "")))</f>
      </c>
      <c r="AF596" s="173" t="str">
        <f>IFERROR((IF(ISERR(Table123[[#This Row],[Potential Payout Side - Win Probability Model]]), "",IF(AD596="W", X596, IF(AD596="L",-N596, "")))), "")</f>
      </c>
      <c r="AG596" s="170" t="e">
        <f>IF('Prediction Log'!#REF!="Y", "W", IF('Prediction Log'!#REF!="N", "L", ""))</f>
        <v>#REF!</v>
      </c>
      <c r="AH596" s="172" t="str">
        <f>IF(ISBLANK(Table123[[#This Row],[Odds Spread]]), "",IF(AG596="W", Z596, IF(AG596="L",-O596, "")))</f>
      </c>
      <c r="AI596" s="184"/>
      <c r="AJ596" s="183" t="str">
        <f t="shared" si="66"/>
      </c>
      <c r="AK5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7">
      <c r="A597" s="65" t="e">
        <f>Games!#REF!</f>
        <v>#REF!</v>
      </c>
      <c r="B597" s="65" t="e">
        <f>IF('Prediction Log'!#REF!=0, "",'Prediction Log'!#REF!)</f>
        <v>#REF!</v>
      </c>
      <c r="C597" s="65" t="e">
        <f>IF('Prediction Log'!#REF!=0, "",'Prediction Log'!#REF!)</f>
        <v>#REF!</v>
      </c>
      <c r="D597" s="65" t="e">
        <f>IF('Prediction Log'!#REF!=0, "",'Prediction Log'!#REF!)</f>
        <v>#REF!</v>
      </c>
      <c r="E597" s="65" t="e">
        <f>IF('Prediction Log'!#REF!=0, "",'Prediction Log'!#REF!)</f>
        <v>#REF!</v>
      </c>
      <c r="F597" s="65" t="e">
        <f>IF('Prediction Log'!#REF!=0, "",'Prediction Log'!#REF!)</f>
        <v>#REF!</v>
      </c>
      <c r="G597" s="64" t="e">
        <f>IF(ISBLANK(Games!#REF!), "",'Prediction Log'!#REF!)</f>
        <v>#REF!</v>
      </c>
      <c r="H597" s="66" t="e">
        <f>'Prediction Log'!#REF!</f>
        <v>#REF!</v>
      </c>
      <c r="I597" s="65" t="e">
        <f>IF(ISBLANK(Games!#REF!), "",IF(AND(Games!#REF!="",Games!#REF!=""),"",IF(ISTEXT(Games!#REF!), "Side",Games!#REF!)))</f>
        <v>#REF!</v>
      </c>
      <c r="J597" s="65" t="e">
        <f>IF(ISBLANK(Games!#REF!), "",IF(Games!#REF!="Y", Games!#REF!, Games!#REF!))</f>
        <v>#REF!</v>
      </c>
      <c r="K597" s="65" t="e">
        <f>Games!#REF!</f>
        <v>#REF!</v>
      </c>
      <c r="L597" s="65" t="e">
        <f>IF(ISBLANK(Games!#REF!), "",Games!#REF!)</f>
        <v>#REF!</v>
      </c>
      <c r="M597" s="65"/>
      <c r="N597" s="167" t="str">
        <f>IF(ISBLANK(Table123[[#This Row],[Odds Side - Difference Model]]), "", 1)</f>
      </c>
      <c r="O597" s="167" t="str">
        <f>IF(ISBLANK(Table123[[#This Row],[Odds Spread]]), "", 1)</f>
      </c>
      <c r="P597" s="67"/>
      <c r="Q597" s="67"/>
      <c r="R5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7" s="67"/>
      <c r="T597" s="67"/>
      <c r="U597" s="168" t="str">
        <f>IF(ISBLANK(Table123[[#This Row],[Odds Side - Difference Model]]), "",N597+IF(Q597&lt;0, (N597/(Q597/-100)), N597*(Q597/100)))</f>
      </c>
      <c r="V597" s="169" t="str">
        <f>IFERROR(IF(ISBLANK(Table123[[#This Row],[Odds Side - Win Probability Model]]), "",N597+IF(R597&lt;0, (N597/(R597/-100)), N597*(R597/100))),"")</f>
      </c>
      <c r="W597" s="168" t="str">
        <f t="shared" si="61"/>
      </c>
      <c r="X597" s="169" t="str">
        <f t="shared" si="62"/>
      </c>
      <c r="Y597" s="168" t="str">
        <f>IF(ISBLANK(Table123[[#This Row],[Odds Spread]]), "",O597+IF(S597&lt;0, (O597/(S597/-100)), O597*(S597/100)))</f>
      </c>
      <c r="Z597" s="168" t="str">
        <f t="shared" si="63"/>
      </c>
      <c r="AA597" s="68" t="n">
        <f t="shared" si="64"/>
        <v>0</v>
      </c>
      <c r="AB597" s="68" t="n">
        <f t="shared" si="65"/>
        <v>0</v>
      </c>
      <c r="AC597" s="170" t="e">
        <f>IF('Prediction Log'!#REF!="Y", "W", IF('Prediction Log'!#REF!="N","L",""))</f>
        <v>#REF!</v>
      </c>
      <c r="AD597" s="171" t="e">
        <f>IF('Prediction Log'!#REF!="Y", "W", IF('Prediction Log'!#REF!="N","L",""))</f>
        <v>#REF!</v>
      </c>
      <c r="AE597" s="172" t="str">
        <f>IF(ISBLANK(Table123[[#This Row],[Odds Side - Difference Model]]), "",IF(AC597="W", W597, IF(AC597="L",-N597, "")))</f>
      </c>
      <c r="AF597" s="173" t="str">
        <f>IFERROR((IF(ISERR(Table123[[#This Row],[Potential Payout Side - Win Probability Model]]), "",IF(AD597="W", X597, IF(AD597="L",-N597, "")))), "")</f>
      </c>
      <c r="AG597" s="170" t="e">
        <f>IF('Prediction Log'!#REF!="Y", "W", IF('Prediction Log'!#REF!="N", "L", ""))</f>
        <v>#REF!</v>
      </c>
      <c r="AH597" s="172" t="str">
        <f>IF(ISBLANK(Table123[[#This Row],[Odds Spread]]), "",IF(AG597="W", Z597, IF(AG597="L",-O597, "")))</f>
      </c>
      <c r="AI597" s="184"/>
      <c r="AJ597" s="183" t="str">
        <f t="shared" si="66"/>
      </c>
      <c r="AK5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8">
      <c r="A598" s="65" t="e">
        <f>Games!#REF!</f>
        <v>#REF!</v>
      </c>
      <c r="B598" s="65" t="e">
        <f>IF('Prediction Log'!#REF!=0, "",'Prediction Log'!#REF!)</f>
        <v>#REF!</v>
      </c>
      <c r="C598" s="65" t="e">
        <f>IF('Prediction Log'!#REF!=0, "",'Prediction Log'!#REF!)</f>
        <v>#REF!</v>
      </c>
      <c r="D598" s="65" t="e">
        <f>IF('Prediction Log'!#REF!=0, "",'Prediction Log'!#REF!)</f>
        <v>#REF!</v>
      </c>
      <c r="E598" s="65" t="e">
        <f>IF('Prediction Log'!#REF!=0, "",'Prediction Log'!#REF!)</f>
        <v>#REF!</v>
      </c>
      <c r="F598" s="65" t="e">
        <f>IF('Prediction Log'!#REF!=0, "",'Prediction Log'!#REF!)</f>
        <v>#REF!</v>
      </c>
      <c r="G598" s="64" t="e">
        <f>IF(ISBLANK(Games!#REF!), "",'Prediction Log'!#REF!)</f>
        <v>#REF!</v>
      </c>
      <c r="H598" s="66" t="e">
        <f>'Prediction Log'!#REF!</f>
        <v>#REF!</v>
      </c>
      <c r="I598" s="65" t="e">
        <f>IF(ISBLANK(Games!#REF!), "",IF(AND(Games!#REF!="",Games!#REF!=""),"",IF(ISTEXT(Games!#REF!), "Side",Games!#REF!)))</f>
        <v>#REF!</v>
      </c>
      <c r="J598" s="65" t="e">
        <f>IF(ISBLANK(Games!#REF!), "",IF(Games!#REF!="Y", Games!#REF!, Games!#REF!))</f>
        <v>#REF!</v>
      </c>
      <c r="K598" s="65" t="e">
        <f>Games!#REF!</f>
        <v>#REF!</v>
      </c>
      <c r="L598" s="65" t="e">
        <f>IF(ISBLANK(Games!#REF!), "",Games!#REF!)</f>
        <v>#REF!</v>
      </c>
      <c r="M598" s="65"/>
      <c r="N598" s="167" t="str">
        <f>IF(ISBLANK(Table123[[#This Row],[Odds Side - Difference Model]]), "", 1)</f>
      </c>
      <c r="O598" s="167" t="str">
        <f>IF(ISBLANK(Table123[[#This Row],[Odds Spread]]), "", 1)</f>
      </c>
      <c r="P598" s="67"/>
      <c r="Q598" s="67"/>
      <c r="R5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8" s="67"/>
      <c r="T598" s="67"/>
      <c r="U598" s="168" t="str">
        <f>IF(ISBLANK(Table123[[#This Row],[Odds Side - Difference Model]]), "",N598+IF(Q598&lt;0, (N598/(Q598/-100)), N598*(Q598/100)))</f>
      </c>
      <c r="V598" s="169" t="str">
        <f>IFERROR(IF(ISBLANK(Table123[[#This Row],[Odds Side - Win Probability Model]]), "",N598+IF(R598&lt;0, (N598/(R598/-100)), N598*(R598/100))),"")</f>
      </c>
      <c r="W598" s="168" t="str">
        <f t="shared" si="61"/>
      </c>
      <c r="X598" s="169" t="str">
        <f t="shared" si="62"/>
      </c>
      <c r="Y598" s="168" t="str">
        <f>IF(ISBLANK(Table123[[#This Row],[Odds Spread]]), "",O598+IF(S598&lt;0, (O598/(S598/-100)), O598*(S598/100)))</f>
      </c>
      <c r="Z598" s="168" t="str">
        <f t="shared" si="63"/>
      </c>
      <c r="AA598" s="68" t="n">
        <f t="shared" si="64"/>
        <v>0</v>
      </c>
      <c r="AB598" s="68" t="n">
        <f t="shared" si="65"/>
        <v>0</v>
      </c>
      <c r="AC598" s="170" t="e">
        <f>IF('Prediction Log'!#REF!="Y", "W", IF('Prediction Log'!#REF!="N","L",""))</f>
        <v>#REF!</v>
      </c>
      <c r="AD598" s="171" t="e">
        <f>IF('Prediction Log'!#REF!="Y", "W", IF('Prediction Log'!#REF!="N","L",""))</f>
        <v>#REF!</v>
      </c>
      <c r="AE598" s="172" t="str">
        <f>IF(ISBLANK(Table123[[#This Row],[Odds Side - Difference Model]]), "",IF(AC598="W", W598, IF(AC598="L",-N598, "")))</f>
      </c>
      <c r="AF598" s="173" t="str">
        <f>IFERROR((IF(ISERR(Table123[[#This Row],[Potential Payout Side - Win Probability Model]]), "",IF(AD598="W", X598, IF(AD598="L",-N598, "")))), "")</f>
      </c>
      <c r="AG598" s="170" t="e">
        <f>IF('Prediction Log'!#REF!="Y", "W", IF('Prediction Log'!#REF!="N", "L", ""))</f>
        <v>#REF!</v>
      </c>
      <c r="AH598" s="172" t="str">
        <f>IF(ISBLANK(Table123[[#This Row],[Odds Spread]]), "",IF(AG598="W", Z598, IF(AG598="L",-O598, "")))</f>
      </c>
      <c r="AI598" s="184"/>
      <c r="AJ598" s="183" t="str">
        <f t="shared" si="66"/>
      </c>
      <c r="AK5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9">
      <c r="A599" s="65" t="e">
        <f>Games!#REF!</f>
        <v>#REF!</v>
      </c>
      <c r="B599" s="65" t="e">
        <f>IF('Prediction Log'!#REF!=0, "",'Prediction Log'!#REF!)</f>
        <v>#REF!</v>
      </c>
      <c r="C599" s="65" t="e">
        <f>IF('Prediction Log'!#REF!=0, "",'Prediction Log'!#REF!)</f>
        <v>#REF!</v>
      </c>
      <c r="D599" s="65" t="e">
        <f>IF('Prediction Log'!#REF!=0, "",'Prediction Log'!#REF!)</f>
        <v>#REF!</v>
      </c>
      <c r="E599" s="65" t="e">
        <f>IF('Prediction Log'!#REF!=0, "",'Prediction Log'!#REF!)</f>
        <v>#REF!</v>
      </c>
      <c r="F599" s="65" t="e">
        <f>IF('Prediction Log'!#REF!=0, "",'Prediction Log'!#REF!)</f>
        <v>#REF!</v>
      </c>
      <c r="G599" s="64" t="e">
        <f>IF(ISBLANK(Games!#REF!), "",'Prediction Log'!#REF!)</f>
        <v>#REF!</v>
      </c>
      <c r="H599" s="66" t="e">
        <f>'Prediction Log'!#REF!</f>
        <v>#REF!</v>
      </c>
      <c r="I599" s="65" t="e">
        <f>IF(ISBLANK(Games!#REF!), "",IF(AND(Games!#REF!="",Games!#REF!=""),"",IF(ISTEXT(Games!#REF!), "Side",Games!#REF!)))</f>
        <v>#REF!</v>
      </c>
      <c r="J599" s="65" t="e">
        <f>IF(ISBLANK(Games!#REF!), "",IF(Games!#REF!="Y", Games!#REF!, Games!#REF!))</f>
        <v>#REF!</v>
      </c>
      <c r="K599" s="65" t="e">
        <f>Games!#REF!</f>
        <v>#REF!</v>
      </c>
      <c r="L599" s="65" t="e">
        <f>IF(ISBLANK(Games!#REF!), "",Games!#REF!)</f>
        <v>#REF!</v>
      </c>
      <c r="M599" s="65"/>
      <c r="N599" s="167" t="str">
        <f>IF(ISBLANK(Table123[[#This Row],[Odds Side - Difference Model]]), "", 1)</f>
      </c>
      <c r="O599" s="167" t="str">
        <f>IF(ISBLANK(Table123[[#This Row],[Odds Spread]]), "", 1)</f>
      </c>
      <c r="P599" s="67"/>
      <c r="Q599" s="67"/>
      <c r="R5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9" s="67"/>
      <c r="T599" s="67"/>
      <c r="U599" s="168" t="str">
        <f>IF(ISBLANK(Table123[[#This Row],[Odds Side - Difference Model]]), "",N599+IF(Q599&lt;0, (N599/(Q599/-100)), N599*(Q599/100)))</f>
      </c>
      <c r="V599" s="169" t="str">
        <f>IFERROR(IF(ISBLANK(Table123[[#This Row],[Odds Side - Win Probability Model]]), "",N599+IF(R599&lt;0, (N599/(R599/-100)), N599*(R599/100))),"")</f>
      </c>
      <c r="W599" s="168" t="str">
        <f t="shared" si="61"/>
      </c>
      <c r="X599" s="169" t="str">
        <f t="shared" si="62"/>
      </c>
      <c r="Y599" s="168" t="str">
        <f>IF(ISBLANK(Table123[[#This Row],[Odds Spread]]), "",O599+IF(S599&lt;0, (O599/(S599/-100)), O599*(S599/100)))</f>
      </c>
      <c r="Z599" s="168" t="str">
        <f t="shared" si="63"/>
      </c>
      <c r="AA599" s="68" t="n">
        <f t="shared" si="64"/>
        <v>0</v>
      </c>
      <c r="AB599" s="68" t="n">
        <f t="shared" si="65"/>
        <v>0</v>
      </c>
      <c r="AC599" s="170" t="e">
        <f>IF('Prediction Log'!#REF!="Y", "W", IF('Prediction Log'!#REF!="N","L",""))</f>
        <v>#REF!</v>
      </c>
      <c r="AD599" s="171" t="e">
        <f>IF('Prediction Log'!#REF!="Y", "W", IF('Prediction Log'!#REF!="N","L",""))</f>
        <v>#REF!</v>
      </c>
      <c r="AE599" s="172" t="str">
        <f>IF(ISBLANK(Table123[[#This Row],[Odds Side - Difference Model]]), "",IF(AC599="W", W599, IF(AC599="L",-N599, "")))</f>
      </c>
      <c r="AF599" s="173" t="str">
        <f>IFERROR((IF(ISERR(Table123[[#This Row],[Potential Payout Side - Win Probability Model]]), "",IF(AD599="W", X599, IF(AD599="L",-N599, "")))), "")</f>
      </c>
      <c r="AG599" s="170" t="e">
        <f>IF('Prediction Log'!#REF!="Y", "W", IF('Prediction Log'!#REF!="N", "L", ""))</f>
        <v>#REF!</v>
      </c>
      <c r="AH599" s="172" t="str">
        <f>IF(ISBLANK(Table123[[#This Row],[Odds Spread]]), "",IF(AG599="W", Z599, IF(AG599="L",-O599, "")))</f>
      </c>
      <c r="AI599" s="184"/>
      <c r="AJ599" s="183" t="str">
        <f t="shared" si="66"/>
      </c>
      <c r="AK5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0">
      <c r="A600" s="65" t="e">
        <f>Games!#REF!</f>
        <v>#REF!</v>
      </c>
      <c r="B600" s="65" t="e">
        <f>IF('Prediction Log'!#REF!=0, "",'Prediction Log'!#REF!)</f>
        <v>#REF!</v>
      </c>
      <c r="C600" s="65" t="e">
        <f>IF('Prediction Log'!#REF!=0, "",'Prediction Log'!#REF!)</f>
        <v>#REF!</v>
      </c>
      <c r="D600" s="65" t="e">
        <f>IF('Prediction Log'!#REF!=0, "",'Prediction Log'!#REF!)</f>
        <v>#REF!</v>
      </c>
      <c r="E600" s="65" t="e">
        <f>IF('Prediction Log'!#REF!=0, "",'Prediction Log'!#REF!)</f>
        <v>#REF!</v>
      </c>
      <c r="F600" s="65" t="e">
        <f>IF('Prediction Log'!#REF!=0, "",'Prediction Log'!#REF!)</f>
        <v>#REF!</v>
      </c>
      <c r="G600" s="64" t="e">
        <f>IF(ISBLANK(Games!#REF!), "",'Prediction Log'!#REF!)</f>
        <v>#REF!</v>
      </c>
      <c r="H600" s="66" t="e">
        <f>'Prediction Log'!#REF!</f>
        <v>#REF!</v>
      </c>
      <c r="I600" s="65" t="e">
        <f>IF(ISBLANK(Games!#REF!), "",IF(AND(Games!#REF!="",Games!#REF!=""),"",IF(ISTEXT(Games!#REF!), "Side",Games!#REF!)))</f>
        <v>#REF!</v>
      </c>
      <c r="J600" s="65" t="e">
        <f>IF(ISBLANK(Games!#REF!), "",IF(Games!#REF!="Y", Games!#REF!, Games!#REF!))</f>
        <v>#REF!</v>
      </c>
      <c r="K600" s="65" t="e">
        <f>Games!#REF!</f>
        <v>#REF!</v>
      </c>
      <c r="L600" s="65" t="e">
        <f>IF(ISBLANK(Games!#REF!), "",Games!#REF!)</f>
        <v>#REF!</v>
      </c>
      <c r="M600" s="65"/>
      <c r="N600" s="167" t="str">
        <f>IF(ISBLANK(Table123[[#This Row],[Odds Side - Difference Model]]), "", 1)</f>
      </c>
      <c r="O600" s="167" t="str">
        <f>IF(ISBLANK(Table123[[#This Row],[Odds Spread]]), "", 1)</f>
      </c>
      <c r="P600" s="67"/>
      <c r="Q600" s="67"/>
      <c r="R6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0" s="67"/>
      <c r="T600" s="67"/>
      <c r="U600" s="168" t="str">
        <f>IF(ISBLANK(Table123[[#This Row],[Odds Side - Difference Model]]), "",N600+IF(Q600&lt;0, (N600/(Q600/-100)), N600*(Q600/100)))</f>
      </c>
      <c r="V600" s="169" t="str">
        <f>IFERROR(IF(ISBLANK(Table123[[#This Row],[Odds Side - Win Probability Model]]), "",N600+IF(R600&lt;0, (N600/(R600/-100)), N600*(R600/100))),"")</f>
      </c>
      <c r="W600" s="168" t="str">
        <f t="shared" si="61"/>
      </c>
      <c r="X600" s="169" t="str">
        <f t="shared" si="62"/>
      </c>
      <c r="Y600" s="168" t="str">
        <f>IF(ISBLANK(Table123[[#This Row],[Odds Spread]]), "",O600+IF(S600&lt;0, (O600/(S600/-100)), O600*(S600/100)))</f>
      </c>
      <c r="Z600" s="168" t="str">
        <f t="shared" si="63"/>
      </c>
      <c r="AA600" s="68" t="n">
        <f t="shared" si="64"/>
        <v>0</v>
      </c>
      <c r="AB600" s="68" t="n">
        <f t="shared" si="65"/>
        <v>0</v>
      </c>
      <c r="AC600" s="170" t="e">
        <f>IF('Prediction Log'!#REF!="Y", "W", IF('Prediction Log'!#REF!="N","L",""))</f>
        <v>#REF!</v>
      </c>
      <c r="AD600" s="171" t="e">
        <f>IF('Prediction Log'!#REF!="Y", "W", IF('Prediction Log'!#REF!="N","L",""))</f>
        <v>#REF!</v>
      </c>
      <c r="AE600" s="172" t="str">
        <f>IF(ISBLANK(Table123[[#This Row],[Odds Side - Difference Model]]), "",IF(AC600="W", W600, IF(AC600="L",-N600, "")))</f>
      </c>
      <c r="AF600" s="173" t="str">
        <f>IFERROR((IF(ISERR(Table123[[#This Row],[Potential Payout Side - Win Probability Model]]), "",IF(AD600="W", X600, IF(AD600="L",-N600, "")))), "")</f>
      </c>
      <c r="AG600" s="170" t="e">
        <f>IF('Prediction Log'!#REF!="Y", "W", IF('Prediction Log'!#REF!="N", "L", ""))</f>
        <v>#REF!</v>
      </c>
      <c r="AH600" s="172" t="str">
        <f>IF(ISBLANK(Table123[[#This Row],[Odds Spread]]), "",IF(AG600="W", Z600, IF(AG600="L",-O600, "")))</f>
      </c>
      <c r="AI600" s="184"/>
      <c r="AJ600" s="183" t="str">
        <f t="shared" si="66"/>
      </c>
      <c r="AK6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1">
      <c r="A601" s="65" t="e">
        <f>Games!#REF!</f>
        <v>#REF!</v>
      </c>
      <c r="B601" s="65" t="e">
        <f>IF('Prediction Log'!#REF!=0, "",'Prediction Log'!#REF!)</f>
        <v>#REF!</v>
      </c>
      <c r="C601" s="65" t="e">
        <f>IF('Prediction Log'!#REF!=0, "",'Prediction Log'!#REF!)</f>
        <v>#REF!</v>
      </c>
      <c r="D601" s="65" t="e">
        <f>IF('Prediction Log'!#REF!=0, "",'Prediction Log'!#REF!)</f>
        <v>#REF!</v>
      </c>
      <c r="E601" s="65" t="e">
        <f>IF('Prediction Log'!#REF!=0, "",'Prediction Log'!#REF!)</f>
        <v>#REF!</v>
      </c>
      <c r="F601" s="65" t="e">
        <f>IF('Prediction Log'!#REF!=0, "",'Prediction Log'!#REF!)</f>
        <v>#REF!</v>
      </c>
      <c r="G601" s="64" t="e">
        <f>IF(ISBLANK(Games!#REF!), "",'Prediction Log'!#REF!)</f>
        <v>#REF!</v>
      </c>
      <c r="H601" s="66" t="e">
        <f>'Prediction Log'!#REF!</f>
        <v>#REF!</v>
      </c>
      <c r="I601" s="65" t="e">
        <f>IF(ISBLANK(Games!#REF!), "",IF(AND(Games!#REF!="",Games!#REF!=""),"",IF(ISTEXT(Games!#REF!), "Side",Games!#REF!)))</f>
        <v>#REF!</v>
      </c>
      <c r="J601" s="65" t="e">
        <f>IF(ISBLANK(Games!#REF!), "",IF(Games!#REF!="Y", Games!#REF!, Games!#REF!))</f>
        <v>#REF!</v>
      </c>
      <c r="K601" s="65" t="e">
        <f>Games!#REF!</f>
        <v>#REF!</v>
      </c>
      <c r="L601" s="65" t="e">
        <f>IF(ISBLANK(Games!#REF!), "",Games!#REF!)</f>
        <v>#REF!</v>
      </c>
      <c r="M601" s="65"/>
      <c r="N601" s="167" t="str">
        <f>IF(ISBLANK(Table123[[#This Row],[Odds Side - Difference Model]]), "", 1)</f>
      </c>
      <c r="O601" s="167" t="str">
        <f>IF(ISBLANK(Table123[[#This Row],[Odds Spread]]), "", 1)</f>
      </c>
      <c r="P601" s="67"/>
      <c r="Q601" s="67"/>
      <c r="R6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1" s="67"/>
      <c r="T601" s="67"/>
      <c r="U601" s="168" t="str">
        <f>IF(ISBLANK(Table123[[#This Row],[Odds Side - Difference Model]]), "",N601+IF(Q601&lt;0, (N601/(Q601/-100)), N601*(Q601/100)))</f>
      </c>
      <c r="V601" s="169" t="str">
        <f>IFERROR(IF(ISBLANK(Table123[[#This Row],[Odds Side - Win Probability Model]]), "",N601+IF(R601&lt;0, (N601/(R601/-100)), N601*(R601/100))),"")</f>
      </c>
      <c r="W601" s="168" t="str">
        <f t="shared" si="61"/>
      </c>
      <c r="X601" s="169" t="str">
        <f t="shared" si="62"/>
      </c>
      <c r="Y601" s="168" t="str">
        <f>IF(ISBLANK(Table123[[#This Row],[Odds Spread]]), "",O601+IF(S601&lt;0, (O601/(S601/-100)), O601*(S601/100)))</f>
      </c>
      <c r="Z601" s="168" t="str">
        <f t="shared" si="63"/>
      </c>
      <c r="AA601" s="68" t="n">
        <f t="shared" si="64"/>
        <v>0</v>
      </c>
      <c r="AB601" s="68" t="n">
        <f t="shared" si="65"/>
        <v>0</v>
      </c>
      <c r="AC601" s="170" t="e">
        <f>IF('Prediction Log'!#REF!="Y", "W", IF('Prediction Log'!#REF!="N","L",""))</f>
        <v>#REF!</v>
      </c>
      <c r="AD601" s="171" t="e">
        <f>IF('Prediction Log'!#REF!="Y", "W", IF('Prediction Log'!#REF!="N","L",""))</f>
        <v>#REF!</v>
      </c>
      <c r="AE601" s="172" t="str">
        <f>IF(ISBLANK(Table123[[#This Row],[Odds Side - Difference Model]]), "",IF(AC601="W", W601, IF(AC601="L",-N601, "")))</f>
      </c>
      <c r="AF601" s="173" t="str">
        <f>IFERROR((IF(ISERR(Table123[[#This Row],[Potential Payout Side - Win Probability Model]]), "",IF(AD601="W", X601, IF(AD601="L",-N601, "")))), "")</f>
      </c>
      <c r="AG601" s="170" t="e">
        <f>IF('Prediction Log'!#REF!="Y", "W", IF('Prediction Log'!#REF!="N", "L", ""))</f>
        <v>#REF!</v>
      </c>
      <c r="AH601" s="172" t="str">
        <f>IF(ISBLANK(Table123[[#This Row],[Odds Spread]]), "",IF(AG601="W", Z601, IF(AG601="L",-O601, "")))</f>
      </c>
      <c r="AI601" s="184"/>
      <c r="AJ601" s="183" t="str">
        <f t="shared" si="66"/>
      </c>
      <c r="AK6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2">
      <c r="A602" s="65" t="e">
        <f>Games!#REF!</f>
        <v>#REF!</v>
      </c>
      <c r="B602" s="65" t="e">
        <f>IF('Prediction Log'!#REF!=0, "",'Prediction Log'!#REF!)</f>
        <v>#REF!</v>
      </c>
      <c r="C602" s="65" t="e">
        <f>IF('Prediction Log'!#REF!=0, "",'Prediction Log'!#REF!)</f>
        <v>#REF!</v>
      </c>
      <c r="D602" s="65" t="e">
        <f>IF('Prediction Log'!#REF!=0, "",'Prediction Log'!#REF!)</f>
        <v>#REF!</v>
      </c>
      <c r="E602" s="65" t="e">
        <f>IF('Prediction Log'!#REF!=0, "",'Prediction Log'!#REF!)</f>
        <v>#REF!</v>
      </c>
      <c r="F602" s="65" t="e">
        <f>IF('Prediction Log'!#REF!=0, "",'Prediction Log'!#REF!)</f>
        <v>#REF!</v>
      </c>
      <c r="G602" s="64" t="e">
        <f>IF(ISBLANK(Games!#REF!), "",'Prediction Log'!#REF!)</f>
        <v>#REF!</v>
      </c>
      <c r="H602" s="66" t="e">
        <f>'Prediction Log'!#REF!</f>
        <v>#REF!</v>
      </c>
      <c r="I602" s="65" t="e">
        <f>IF(ISBLANK(Games!#REF!), "",IF(AND(Games!#REF!="",Games!#REF!=""),"",IF(ISTEXT(Games!#REF!), "Side",Games!#REF!)))</f>
        <v>#REF!</v>
      </c>
      <c r="J602" s="65" t="e">
        <f>IF(ISBLANK(Games!#REF!), "",IF(Games!#REF!="Y", Games!#REF!, Games!#REF!))</f>
        <v>#REF!</v>
      </c>
      <c r="K602" s="65" t="e">
        <f>Games!#REF!</f>
        <v>#REF!</v>
      </c>
      <c r="L602" s="65" t="e">
        <f>IF(ISBLANK(Games!#REF!), "",Games!#REF!)</f>
        <v>#REF!</v>
      </c>
      <c r="M602" s="65"/>
      <c r="N602" s="167" t="str">
        <f>IF(ISBLANK(Table123[[#This Row],[Odds Side - Difference Model]]), "", 1)</f>
      </c>
      <c r="O602" s="167" t="str">
        <f>IF(ISBLANK(Table123[[#This Row],[Odds Spread]]), "", 1)</f>
      </c>
      <c r="P602" s="67"/>
      <c r="Q602" s="67"/>
      <c r="R6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2" s="67"/>
      <c r="T602" s="67"/>
      <c r="U602" s="168" t="str">
        <f>IF(ISBLANK(Table123[[#This Row],[Odds Side - Difference Model]]), "",N602+IF(Q602&lt;0, (N602/(Q602/-100)), N602*(Q602/100)))</f>
      </c>
      <c r="V602" s="169" t="str">
        <f>IFERROR(IF(ISBLANK(Table123[[#This Row],[Odds Side - Win Probability Model]]), "",N602+IF(R602&lt;0, (N602/(R602/-100)), N602*(R602/100))),"")</f>
      </c>
      <c r="W602" s="168" t="str">
        <f t="shared" si="61"/>
      </c>
      <c r="X602" s="169" t="str">
        <f t="shared" si="62"/>
      </c>
      <c r="Y602" s="168" t="str">
        <f>IF(ISBLANK(Table123[[#This Row],[Odds Spread]]), "",O602+IF(S602&lt;0, (O602/(S602/-100)), O602*(S602/100)))</f>
      </c>
      <c r="Z602" s="168" t="str">
        <f t="shared" si="63"/>
      </c>
      <c r="AA602" s="68" t="n">
        <f t="shared" si="64"/>
        <v>0</v>
      </c>
      <c r="AB602" s="68" t="n">
        <f t="shared" si="65"/>
        <v>0</v>
      </c>
      <c r="AC602" s="170" t="e">
        <f>IF('Prediction Log'!#REF!="Y", "W", IF('Prediction Log'!#REF!="N","L",""))</f>
        <v>#REF!</v>
      </c>
      <c r="AD602" s="171" t="e">
        <f>IF('Prediction Log'!#REF!="Y", "W", IF('Prediction Log'!#REF!="N","L",""))</f>
        <v>#REF!</v>
      </c>
      <c r="AE602" s="172" t="str">
        <f>IF(ISBLANK(Table123[[#This Row],[Odds Side - Difference Model]]), "",IF(AC602="W", W602, IF(AC602="L",-N602, "")))</f>
      </c>
      <c r="AF602" s="173" t="str">
        <f>IFERROR((IF(ISERR(Table123[[#This Row],[Potential Payout Side - Win Probability Model]]), "",IF(AD602="W", X602, IF(AD602="L",-N602, "")))), "")</f>
      </c>
      <c r="AG602" s="170" t="e">
        <f>IF('Prediction Log'!#REF!="Y", "W", IF('Prediction Log'!#REF!="N", "L", ""))</f>
        <v>#REF!</v>
      </c>
      <c r="AH602" s="172" t="str">
        <f>IF(ISBLANK(Table123[[#This Row],[Odds Spread]]), "",IF(AG602="W", Z602, IF(AG602="L",-O602, "")))</f>
      </c>
      <c r="AI602" s="184"/>
      <c r="AJ602" s="183" t="str">
        <f t="shared" si="66"/>
      </c>
      <c r="AK6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3">
      <c r="A603" s="65" t="e">
        <f>Games!#REF!</f>
        <v>#REF!</v>
      </c>
      <c r="B603" s="65" t="e">
        <f>IF('Prediction Log'!#REF!=0, "",'Prediction Log'!#REF!)</f>
        <v>#REF!</v>
      </c>
      <c r="C603" s="65" t="e">
        <f>IF('Prediction Log'!#REF!=0, "",'Prediction Log'!#REF!)</f>
        <v>#REF!</v>
      </c>
      <c r="D603" s="65" t="e">
        <f>IF('Prediction Log'!#REF!=0, "",'Prediction Log'!#REF!)</f>
        <v>#REF!</v>
      </c>
      <c r="E603" s="65" t="e">
        <f>IF('Prediction Log'!#REF!=0, "",'Prediction Log'!#REF!)</f>
        <v>#REF!</v>
      </c>
      <c r="F603" s="65" t="e">
        <f>IF('Prediction Log'!#REF!=0, "",'Prediction Log'!#REF!)</f>
        <v>#REF!</v>
      </c>
      <c r="G603" s="64" t="e">
        <f>IF(ISBLANK(Games!#REF!), "",'Prediction Log'!#REF!)</f>
        <v>#REF!</v>
      </c>
      <c r="H603" s="66" t="e">
        <f>'Prediction Log'!#REF!</f>
        <v>#REF!</v>
      </c>
      <c r="I603" s="65" t="e">
        <f>IF(ISBLANK(Games!#REF!), "",IF(AND(Games!#REF!="",Games!#REF!=""),"",IF(ISTEXT(Games!#REF!), "Side",Games!#REF!)))</f>
        <v>#REF!</v>
      </c>
      <c r="J603" s="65" t="e">
        <f>IF(ISBLANK(Games!#REF!), "",IF(Games!#REF!="Y", Games!#REF!, Games!#REF!))</f>
        <v>#REF!</v>
      </c>
      <c r="K603" s="65" t="e">
        <f>Games!#REF!</f>
        <v>#REF!</v>
      </c>
      <c r="L603" s="65" t="e">
        <f>IF(ISBLANK(Games!#REF!), "",Games!#REF!)</f>
        <v>#REF!</v>
      </c>
      <c r="M603" s="65"/>
      <c r="N603" s="167" t="str">
        <f>IF(ISBLANK(Table123[[#This Row],[Odds Side - Difference Model]]), "", 1)</f>
      </c>
      <c r="O603" s="167" t="str">
        <f>IF(ISBLANK(Table123[[#This Row],[Odds Spread]]), "", 1)</f>
      </c>
      <c r="P603" s="67"/>
      <c r="Q603" s="67"/>
      <c r="R6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3" s="67"/>
      <c r="T603" s="67"/>
      <c r="U603" s="168" t="str">
        <f>IF(ISBLANK(Table123[[#This Row],[Odds Side - Difference Model]]), "",N603+IF(Q603&lt;0, (N603/(Q603/-100)), N603*(Q603/100)))</f>
      </c>
      <c r="V603" s="169" t="str">
        <f>IFERROR(IF(ISBLANK(Table123[[#This Row],[Odds Side - Win Probability Model]]), "",N603+IF(R603&lt;0, (N603/(R603/-100)), N603*(R603/100))),"")</f>
      </c>
      <c r="W603" s="168" t="str">
        <f t="shared" si="61"/>
      </c>
      <c r="X603" s="169" t="str">
        <f t="shared" si="62"/>
      </c>
      <c r="Y603" s="168" t="str">
        <f>IF(ISBLANK(Table123[[#This Row],[Odds Spread]]), "",O603+IF(S603&lt;0, (O603/(S603/-100)), O603*(S603/100)))</f>
      </c>
      <c r="Z603" s="168" t="str">
        <f t="shared" si="63"/>
      </c>
      <c r="AA603" s="68" t="n">
        <f t="shared" si="64"/>
        <v>0</v>
      </c>
      <c r="AB603" s="68" t="n">
        <f t="shared" si="65"/>
        <v>0</v>
      </c>
      <c r="AC603" s="170" t="e">
        <f>IF('Prediction Log'!#REF!="Y", "W", IF('Prediction Log'!#REF!="N","L",""))</f>
        <v>#REF!</v>
      </c>
      <c r="AD603" s="171" t="e">
        <f>IF('Prediction Log'!#REF!="Y", "W", IF('Prediction Log'!#REF!="N","L",""))</f>
        <v>#REF!</v>
      </c>
      <c r="AE603" s="172" t="str">
        <f>IF(ISBLANK(Table123[[#This Row],[Odds Side - Difference Model]]), "",IF(AC603="W", W603, IF(AC603="L",-N603, "")))</f>
      </c>
      <c r="AF603" s="173" t="str">
        <f>IFERROR((IF(ISERR(Table123[[#This Row],[Potential Payout Side - Win Probability Model]]), "",IF(AD603="W", X603, IF(AD603="L",-N603, "")))), "")</f>
      </c>
      <c r="AG603" s="170" t="e">
        <f>IF('Prediction Log'!#REF!="Y", "W", IF('Prediction Log'!#REF!="N", "L", ""))</f>
        <v>#REF!</v>
      </c>
      <c r="AH603" s="172" t="str">
        <f>IF(ISBLANK(Table123[[#This Row],[Odds Spread]]), "",IF(AG603="W", Z603, IF(AG603="L",-O603, "")))</f>
      </c>
      <c r="AI603" s="184"/>
      <c r="AJ603" s="183" t="str">
        <f t="shared" si="66"/>
      </c>
      <c r="AK6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4">
      <c r="A604" s="65" t="e">
        <f>Games!#REF!</f>
        <v>#REF!</v>
      </c>
      <c r="B604" s="65" t="e">
        <f>IF('Prediction Log'!#REF!=0, "",'Prediction Log'!#REF!)</f>
        <v>#REF!</v>
      </c>
      <c r="C604" s="65" t="e">
        <f>IF('Prediction Log'!#REF!=0, "",'Prediction Log'!#REF!)</f>
        <v>#REF!</v>
      </c>
      <c r="D604" s="65" t="e">
        <f>IF('Prediction Log'!#REF!=0, "",'Prediction Log'!#REF!)</f>
        <v>#REF!</v>
      </c>
      <c r="E604" s="65" t="e">
        <f>IF('Prediction Log'!#REF!=0, "",'Prediction Log'!#REF!)</f>
        <v>#REF!</v>
      </c>
      <c r="F604" s="65" t="e">
        <f>IF('Prediction Log'!#REF!=0, "",'Prediction Log'!#REF!)</f>
        <v>#REF!</v>
      </c>
      <c r="G604" s="64" t="e">
        <f>IF(ISBLANK(Games!#REF!), "",'Prediction Log'!#REF!)</f>
        <v>#REF!</v>
      </c>
      <c r="H604" s="66" t="e">
        <f>'Prediction Log'!#REF!</f>
        <v>#REF!</v>
      </c>
      <c r="I604" s="65" t="e">
        <f>IF(ISBLANK(Games!#REF!), "",IF(AND(Games!#REF!="",Games!#REF!=""),"",IF(ISTEXT(Games!#REF!), "Side",Games!#REF!)))</f>
        <v>#REF!</v>
      </c>
      <c r="J604" s="65" t="e">
        <f>IF(ISBLANK(Games!#REF!), "",IF(Games!#REF!="Y", Games!#REF!, Games!#REF!))</f>
        <v>#REF!</v>
      </c>
      <c r="K604" s="65" t="e">
        <f>Games!#REF!</f>
        <v>#REF!</v>
      </c>
      <c r="L604" s="65" t="e">
        <f>IF(ISBLANK(Games!#REF!), "",Games!#REF!)</f>
        <v>#REF!</v>
      </c>
      <c r="M604" s="65"/>
      <c r="N604" s="167" t="str">
        <f>IF(ISBLANK(Table123[[#This Row],[Odds Side - Difference Model]]), "", 1)</f>
      </c>
      <c r="O604" s="167" t="str">
        <f>IF(ISBLANK(Table123[[#This Row],[Odds Spread]]), "", 1)</f>
      </c>
      <c r="P604" s="67"/>
      <c r="Q604" s="67"/>
      <c r="R6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4" s="67"/>
      <c r="T604" s="67"/>
      <c r="U604" s="168" t="str">
        <f>IF(ISBLANK(Table123[[#This Row],[Odds Side - Difference Model]]), "",N604+IF(Q604&lt;0, (N604/(Q604/-100)), N604*(Q604/100)))</f>
      </c>
      <c r="V604" s="169" t="str">
        <f>IFERROR(IF(ISBLANK(Table123[[#This Row],[Odds Side - Win Probability Model]]), "",N604+IF(R604&lt;0, (N604/(R604/-100)), N604*(R604/100))),"")</f>
      </c>
      <c r="W604" s="168" t="str">
        <f t="shared" si="61"/>
      </c>
      <c r="X604" s="169" t="str">
        <f t="shared" si="62"/>
      </c>
      <c r="Y604" s="168" t="str">
        <f>IF(ISBLANK(Table123[[#This Row],[Odds Spread]]), "",O604+IF(S604&lt;0, (O604/(S604/-100)), O604*(S604/100)))</f>
      </c>
      <c r="Z604" s="168" t="str">
        <f t="shared" si="63"/>
      </c>
      <c r="AA604" s="68" t="n">
        <f t="shared" si="64"/>
        <v>0</v>
      </c>
      <c r="AB604" s="68" t="n">
        <f t="shared" si="65"/>
        <v>0</v>
      </c>
      <c r="AC604" s="170" t="e">
        <f>IF('Prediction Log'!#REF!="Y", "W", IF('Prediction Log'!#REF!="N","L",""))</f>
        <v>#REF!</v>
      </c>
      <c r="AD604" s="171" t="e">
        <f>IF('Prediction Log'!#REF!="Y", "W", IF('Prediction Log'!#REF!="N","L",""))</f>
        <v>#REF!</v>
      </c>
      <c r="AE604" s="172" t="str">
        <f>IF(ISBLANK(Table123[[#This Row],[Odds Side - Difference Model]]), "",IF(AC604="W", W604, IF(AC604="L",-N604, "")))</f>
      </c>
      <c r="AF604" s="173" t="str">
        <f>IFERROR((IF(ISERR(Table123[[#This Row],[Potential Payout Side - Win Probability Model]]), "",IF(AD604="W", X604, IF(AD604="L",-N604, "")))), "")</f>
      </c>
      <c r="AG604" s="170" t="e">
        <f>IF('Prediction Log'!#REF!="Y", "W", IF('Prediction Log'!#REF!="N", "L", ""))</f>
        <v>#REF!</v>
      </c>
      <c r="AH604" s="172" t="str">
        <f>IF(ISBLANK(Table123[[#This Row],[Odds Spread]]), "",IF(AG604="W", Z604, IF(AG604="L",-O604, "")))</f>
      </c>
      <c r="AI604" s="184"/>
      <c r="AJ604" s="183" t="str">
        <f t="shared" si="66"/>
      </c>
      <c r="AK6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5">
      <c r="A605" s="65" t="e">
        <f>Games!#REF!</f>
        <v>#REF!</v>
      </c>
      <c r="B605" s="65" t="e">
        <f>IF('Prediction Log'!#REF!=0, "",'Prediction Log'!#REF!)</f>
        <v>#REF!</v>
      </c>
      <c r="C605" s="65" t="e">
        <f>IF('Prediction Log'!#REF!=0, "",'Prediction Log'!#REF!)</f>
        <v>#REF!</v>
      </c>
      <c r="D605" s="65" t="e">
        <f>IF('Prediction Log'!#REF!=0, "",'Prediction Log'!#REF!)</f>
        <v>#REF!</v>
      </c>
      <c r="E605" s="65" t="e">
        <f>IF('Prediction Log'!#REF!=0, "",'Prediction Log'!#REF!)</f>
        <v>#REF!</v>
      </c>
      <c r="F605" s="65" t="e">
        <f>IF('Prediction Log'!#REF!=0, "",'Prediction Log'!#REF!)</f>
        <v>#REF!</v>
      </c>
      <c r="G605" s="64" t="e">
        <f>IF(ISBLANK(Games!#REF!), "",'Prediction Log'!#REF!)</f>
        <v>#REF!</v>
      </c>
      <c r="H605" s="66" t="e">
        <f>'Prediction Log'!#REF!</f>
        <v>#REF!</v>
      </c>
      <c r="I605" s="65" t="e">
        <f>IF(ISBLANK(Games!#REF!), "",IF(AND(Games!#REF!="",Games!#REF!=""),"",IF(ISTEXT(Games!#REF!), "Side",Games!#REF!)))</f>
        <v>#REF!</v>
      </c>
      <c r="J605" s="65" t="e">
        <f>IF(ISBLANK(Games!#REF!), "",IF(Games!#REF!="Y", Games!#REF!, Games!#REF!))</f>
        <v>#REF!</v>
      </c>
      <c r="K605" s="65" t="e">
        <f>Games!#REF!</f>
        <v>#REF!</v>
      </c>
      <c r="L605" s="65" t="e">
        <f>IF(ISBLANK(Games!#REF!), "",Games!#REF!)</f>
        <v>#REF!</v>
      </c>
      <c r="M605" s="65"/>
      <c r="N605" s="167" t="str">
        <f>IF(ISBLANK(Table123[[#This Row],[Odds Side - Difference Model]]), "", 1)</f>
      </c>
      <c r="O605" s="167" t="str">
        <f>IF(ISBLANK(Table123[[#This Row],[Odds Spread]]), "", 1)</f>
      </c>
      <c r="P605" s="67"/>
      <c r="Q605" s="67"/>
      <c r="R6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5" s="67"/>
      <c r="T605" s="67"/>
      <c r="U605" s="168" t="str">
        <f>IF(ISBLANK(Table123[[#This Row],[Odds Side - Difference Model]]), "",N605+IF(Q605&lt;0, (N605/(Q605/-100)), N605*(Q605/100)))</f>
      </c>
      <c r="V605" s="169" t="str">
        <f>IFERROR(IF(ISBLANK(Table123[[#This Row],[Odds Side - Win Probability Model]]), "",N605+IF(R605&lt;0, (N605/(R605/-100)), N605*(R605/100))),"")</f>
      </c>
      <c r="W605" s="168" t="str">
        <f t="shared" si="61"/>
      </c>
      <c r="X605" s="169" t="str">
        <f t="shared" si="62"/>
      </c>
      <c r="Y605" s="168" t="str">
        <f>IF(ISBLANK(Table123[[#This Row],[Odds Spread]]), "",O605+IF(S605&lt;0, (O605/(S605/-100)), O605*(S605/100)))</f>
      </c>
      <c r="Z605" s="168" t="str">
        <f t="shared" si="63"/>
      </c>
      <c r="AA605" s="68" t="n">
        <f t="shared" si="64"/>
        <v>0</v>
      </c>
      <c r="AB605" s="68" t="n">
        <f t="shared" si="65"/>
        <v>0</v>
      </c>
      <c r="AC605" s="170" t="e">
        <f>IF('Prediction Log'!#REF!="Y", "W", IF('Prediction Log'!#REF!="N","L",""))</f>
        <v>#REF!</v>
      </c>
      <c r="AD605" s="171" t="e">
        <f>IF('Prediction Log'!#REF!="Y", "W", IF('Prediction Log'!#REF!="N","L",""))</f>
        <v>#REF!</v>
      </c>
      <c r="AE605" s="172" t="str">
        <f>IF(ISBLANK(Table123[[#This Row],[Odds Side - Difference Model]]), "",IF(AC605="W", W605, IF(AC605="L",-N605, "")))</f>
      </c>
      <c r="AF605" s="173" t="str">
        <f>IFERROR((IF(ISERR(Table123[[#This Row],[Potential Payout Side - Win Probability Model]]), "",IF(AD605="W", X605, IF(AD605="L",-N605, "")))), "")</f>
      </c>
      <c r="AG605" s="170" t="e">
        <f>IF('Prediction Log'!#REF!="Y", "W", IF('Prediction Log'!#REF!="N", "L", ""))</f>
        <v>#REF!</v>
      </c>
      <c r="AH605" s="172" t="str">
        <f>IF(ISBLANK(Table123[[#This Row],[Odds Spread]]), "",IF(AG605="W", Z605, IF(AG605="L",-O605, "")))</f>
      </c>
      <c r="AI605" s="184"/>
      <c r="AJ605" s="183" t="str">
        <f t="shared" si="66"/>
      </c>
      <c r="AK6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6">
      <c r="A606" s="65" t="e">
        <f>Games!#REF!</f>
        <v>#REF!</v>
      </c>
      <c r="B606" s="65" t="e">
        <f>IF('Prediction Log'!#REF!=0, "",'Prediction Log'!#REF!)</f>
        <v>#REF!</v>
      </c>
      <c r="C606" s="65" t="e">
        <f>IF('Prediction Log'!#REF!=0, "",'Prediction Log'!#REF!)</f>
        <v>#REF!</v>
      </c>
      <c r="D606" s="65" t="e">
        <f>IF('Prediction Log'!#REF!=0, "",'Prediction Log'!#REF!)</f>
        <v>#REF!</v>
      </c>
      <c r="E606" s="65" t="e">
        <f>IF('Prediction Log'!#REF!=0, "",'Prediction Log'!#REF!)</f>
        <v>#REF!</v>
      </c>
      <c r="F606" s="65" t="e">
        <f>IF('Prediction Log'!#REF!=0, "",'Prediction Log'!#REF!)</f>
        <v>#REF!</v>
      </c>
      <c r="G606" s="64" t="e">
        <f>IF(ISBLANK(Games!#REF!), "",'Prediction Log'!#REF!)</f>
        <v>#REF!</v>
      </c>
      <c r="H606" s="66" t="e">
        <f>'Prediction Log'!#REF!</f>
        <v>#REF!</v>
      </c>
      <c r="I606" s="65" t="e">
        <f>IF(ISBLANK(Games!#REF!), "",IF(AND(Games!#REF!="",Games!#REF!=""),"",IF(ISTEXT(Games!#REF!), "Side",Games!#REF!)))</f>
        <v>#REF!</v>
      </c>
      <c r="J606" s="65" t="e">
        <f>IF(ISBLANK(Games!#REF!), "",IF(Games!#REF!="Y", Games!#REF!, Games!#REF!))</f>
        <v>#REF!</v>
      </c>
      <c r="K606" s="65" t="e">
        <f>Games!#REF!</f>
        <v>#REF!</v>
      </c>
      <c r="L606" s="65" t="e">
        <f>IF(ISBLANK(Games!#REF!), "",Games!#REF!)</f>
        <v>#REF!</v>
      </c>
      <c r="M606" s="65"/>
      <c r="N606" s="167" t="str">
        <f>IF(ISBLANK(Table123[[#This Row],[Odds Side - Difference Model]]), "", 1)</f>
      </c>
      <c r="O606" s="167" t="str">
        <f>IF(ISBLANK(Table123[[#This Row],[Odds Spread]]), "", 1)</f>
      </c>
      <c r="P606" s="67"/>
      <c r="Q606" s="67"/>
      <c r="R6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6" s="67"/>
      <c r="T606" s="67"/>
      <c r="U606" s="168" t="str">
        <f>IF(ISBLANK(Table123[[#This Row],[Odds Side - Difference Model]]), "",N606+IF(Q606&lt;0, (N606/(Q606/-100)), N606*(Q606/100)))</f>
      </c>
      <c r="V606" s="169" t="str">
        <f>IFERROR(IF(ISBLANK(Table123[[#This Row],[Odds Side - Win Probability Model]]), "",N606+IF(R606&lt;0, (N606/(R606/-100)), N606*(R606/100))),"")</f>
      </c>
      <c r="W606" s="168" t="str">
        <f t="shared" si="61"/>
      </c>
      <c r="X606" s="169" t="str">
        <f t="shared" si="62"/>
      </c>
      <c r="Y606" s="168" t="str">
        <f>IF(ISBLANK(Table123[[#This Row],[Odds Spread]]), "",O606+IF(S606&lt;0, (O606/(S606/-100)), O606*(S606/100)))</f>
      </c>
      <c r="Z606" s="168" t="str">
        <f t="shared" si="63"/>
      </c>
      <c r="AA606" s="68" t="n">
        <f t="shared" si="64"/>
        <v>0</v>
      </c>
      <c r="AB606" s="68" t="n">
        <f t="shared" si="65"/>
        <v>0</v>
      </c>
      <c r="AC606" s="170" t="e">
        <f>IF('Prediction Log'!#REF!="Y", "W", IF('Prediction Log'!#REF!="N","L",""))</f>
        <v>#REF!</v>
      </c>
      <c r="AD606" s="171" t="e">
        <f>IF('Prediction Log'!#REF!="Y", "W", IF('Prediction Log'!#REF!="N","L",""))</f>
        <v>#REF!</v>
      </c>
      <c r="AE606" s="172" t="str">
        <f>IF(ISBLANK(Table123[[#This Row],[Odds Side - Difference Model]]), "",IF(AC606="W", W606, IF(AC606="L",-N606, "")))</f>
      </c>
      <c r="AF606" s="173" t="str">
        <f>IFERROR((IF(ISERR(Table123[[#This Row],[Potential Payout Side - Win Probability Model]]), "",IF(AD606="W", X606, IF(AD606="L",-N606, "")))), "")</f>
      </c>
      <c r="AG606" s="170" t="e">
        <f>IF('Prediction Log'!#REF!="Y", "W", IF('Prediction Log'!#REF!="N", "L", ""))</f>
        <v>#REF!</v>
      </c>
      <c r="AH606" s="172" t="str">
        <f>IF(ISBLANK(Table123[[#This Row],[Odds Spread]]), "",IF(AG606="W", Z606, IF(AG606="L",-O606, "")))</f>
      </c>
      <c r="AI606" s="184"/>
      <c r="AJ606" s="183" t="str">
        <f t="shared" si="66"/>
      </c>
      <c r="AK6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7">
      <c r="A607" s="65" t="e">
        <f>Games!#REF!</f>
        <v>#REF!</v>
      </c>
      <c r="B607" s="65" t="e">
        <f>IF('Prediction Log'!#REF!=0, "",'Prediction Log'!#REF!)</f>
        <v>#REF!</v>
      </c>
      <c r="C607" s="65" t="e">
        <f>IF('Prediction Log'!#REF!=0, "",'Prediction Log'!#REF!)</f>
        <v>#REF!</v>
      </c>
      <c r="D607" s="65" t="e">
        <f>IF('Prediction Log'!#REF!=0, "",'Prediction Log'!#REF!)</f>
        <v>#REF!</v>
      </c>
      <c r="E607" s="65" t="e">
        <f>IF('Prediction Log'!#REF!=0, "",'Prediction Log'!#REF!)</f>
        <v>#REF!</v>
      </c>
      <c r="F607" s="65" t="e">
        <f>IF('Prediction Log'!#REF!=0, "",'Prediction Log'!#REF!)</f>
        <v>#REF!</v>
      </c>
      <c r="G607" s="64" t="e">
        <f>IF(ISBLANK(Games!#REF!), "",'Prediction Log'!#REF!)</f>
        <v>#REF!</v>
      </c>
      <c r="H607" s="66" t="e">
        <f>'Prediction Log'!#REF!</f>
        <v>#REF!</v>
      </c>
      <c r="I607" s="65" t="e">
        <f>IF(ISBLANK(Games!#REF!), "",IF(AND(Games!#REF!="",Games!#REF!=""),"",IF(ISTEXT(Games!#REF!), "Side",Games!#REF!)))</f>
        <v>#REF!</v>
      </c>
      <c r="J607" s="65" t="e">
        <f>IF(ISBLANK(Games!#REF!), "",IF(Games!#REF!="Y", Games!#REF!, Games!#REF!))</f>
        <v>#REF!</v>
      </c>
      <c r="K607" s="65" t="e">
        <f>Games!#REF!</f>
        <v>#REF!</v>
      </c>
      <c r="L607" s="65" t="e">
        <f>IF(ISBLANK(Games!#REF!), "",Games!#REF!)</f>
        <v>#REF!</v>
      </c>
      <c r="M607" s="65"/>
      <c r="N607" s="167" t="str">
        <f>IF(ISBLANK(Table123[[#This Row],[Odds Side - Difference Model]]), "", 1)</f>
      </c>
      <c r="O607" s="167" t="str">
        <f>IF(ISBLANK(Table123[[#This Row],[Odds Spread]]), "", 1)</f>
      </c>
      <c r="P607" s="67"/>
      <c r="Q607" s="67"/>
      <c r="R6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7" s="67"/>
      <c r="T607" s="67"/>
      <c r="U607" s="168" t="str">
        <f>IF(ISBLANK(Table123[[#This Row],[Odds Side - Difference Model]]), "",N607+IF(Q607&lt;0, (N607/(Q607/-100)), N607*(Q607/100)))</f>
      </c>
      <c r="V607" s="169" t="str">
        <f>IFERROR(IF(ISBLANK(Table123[[#This Row],[Odds Side - Win Probability Model]]), "",N607+IF(R607&lt;0, (N607/(R607/-100)), N607*(R607/100))),"")</f>
      </c>
      <c r="W607" s="168" t="str">
        <f t="shared" si="61"/>
      </c>
      <c r="X607" s="169" t="str">
        <f t="shared" si="62"/>
      </c>
      <c r="Y607" s="168" t="str">
        <f>IF(ISBLANK(Table123[[#This Row],[Odds Spread]]), "",O607+IF(S607&lt;0, (O607/(S607/-100)), O607*(S607/100)))</f>
      </c>
      <c r="Z607" s="168" t="str">
        <f t="shared" si="63"/>
      </c>
      <c r="AA607" s="68" t="n">
        <f t="shared" si="64"/>
        <v>0</v>
      </c>
      <c r="AB607" s="68" t="n">
        <f t="shared" si="65"/>
        <v>0</v>
      </c>
      <c r="AC607" s="170" t="e">
        <f>IF('Prediction Log'!#REF!="Y", "W", IF('Prediction Log'!#REF!="N","L",""))</f>
        <v>#REF!</v>
      </c>
      <c r="AD607" s="171" t="e">
        <f>IF('Prediction Log'!#REF!="Y", "W", IF('Prediction Log'!#REF!="N","L",""))</f>
        <v>#REF!</v>
      </c>
      <c r="AE607" s="172" t="str">
        <f>IF(ISBLANK(Table123[[#This Row],[Odds Side - Difference Model]]), "",IF(AC607="W", W607, IF(AC607="L",-N607, "")))</f>
      </c>
      <c r="AF607" s="173" t="str">
        <f>IFERROR((IF(ISERR(Table123[[#This Row],[Potential Payout Side - Win Probability Model]]), "",IF(AD607="W", X607, IF(AD607="L",-N607, "")))), "")</f>
      </c>
      <c r="AG607" s="170" t="e">
        <f>IF('Prediction Log'!#REF!="Y", "W", IF('Prediction Log'!#REF!="N", "L", ""))</f>
        <v>#REF!</v>
      </c>
      <c r="AH607" s="172" t="str">
        <f>IF(ISBLANK(Table123[[#This Row],[Odds Spread]]), "",IF(AG607="W", Z607, IF(AG607="L",-O607, "")))</f>
      </c>
      <c r="AI607" s="184"/>
      <c r="AJ607" s="183" t="str">
        <f t="shared" si="66"/>
      </c>
      <c r="AK6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8">
      <c r="A608" s="65" t="e">
        <f>Games!#REF!</f>
        <v>#REF!</v>
      </c>
      <c r="B608" s="65" t="e">
        <f>IF('Prediction Log'!#REF!=0, "",'Prediction Log'!#REF!)</f>
        <v>#REF!</v>
      </c>
      <c r="C608" s="65" t="e">
        <f>IF('Prediction Log'!#REF!=0, "",'Prediction Log'!#REF!)</f>
        <v>#REF!</v>
      </c>
      <c r="D608" s="65" t="e">
        <f>IF('Prediction Log'!#REF!=0, "",'Prediction Log'!#REF!)</f>
        <v>#REF!</v>
      </c>
      <c r="E608" s="65" t="e">
        <f>IF('Prediction Log'!#REF!=0, "",'Prediction Log'!#REF!)</f>
        <v>#REF!</v>
      </c>
      <c r="F608" s="65" t="e">
        <f>IF('Prediction Log'!#REF!=0, "",'Prediction Log'!#REF!)</f>
        <v>#REF!</v>
      </c>
      <c r="G608" s="64" t="e">
        <f>IF(ISBLANK(Games!#REF!), "",'Prediction Log'!#REF!)</f>
        <v>#REF!</v>
      </c>
      <c r="H608" s="66" t="e">
        <f>'Prediction Log'!#REF!</f>
        <v>#REF!</v>
      </c>
      <c r="I608" s="65" t="e">
        <f>IF(ISBLANK(Games!#REF!), "",IF(AND(Games!#REF!="",Games!#REF!=""),"",IF(ISTEXT(Games!#REF!), "Side",Games!#REF!)))</f>
        <v>#REF!</v>
      </c>
      <c r="J608" s="65" t="e">
        <f>IF(ISBLANK(Games!#REF!), "",IF(Games!#REF!="Y", Games!#REF!, Games!#REF!))</f>
        <v>#REF!</v>
      </c>
      <c r="K608" s="65" t="e">
        <f>Games!#REF!</f>
        <v>#REF!</v>
      </c>
      <c r="L608" s="65" t="e">
        <f>IF(ISBLANK(Games!#REF!), "",Games!#REF!)</f>
        <v>#REF!</v>
      </c>
      <c r="M608" s="65"/>
      <c r="N608" s="167" t="str">
        <f>IF(ISBLANK(Table123[[#This Row],[Odds Side - Difference Model]]), "", 1)</f>
      </c>
      <c r="O608" s="167" t="str">
        <f>IF(ISBLANK(Table123[[#This Row],[Odds Spread]]), "", 1)</f>
      </c>
      <c r="P608" s="67"/>
      <c r="Q608" s="67"/>
      <c r="R6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8" s="67"/>
      <c r="T608" s="67"/>
      <c r="U608" s="168" t="str">
        <f>IF(ISBLANK(Table123[[#This Row],[Odds Side - Difference Model]]), "",N608+IF(Q608&lt;0, (N608/(Q608/-100)), N608*(Q608/100)))</f>
      </c>
      <c r="V608" s="169" t="str">
        <f>IFERROR(IF(ISBLANK(Table123[[#This Row],[Odds Side - Win Probability Model]]), "",N608+IF(R608&lt;0, (N608/(R608/-100)), N608*(R608/100))),"")</f>
      </c>
      <c r="W608" s="168" t="str">
        <f t="shared" si="61"/>
      </c>
      <c r="X608" s="169" t="str">
        <f t="shared" si="62"/>
      </c>
      <c r="Y608" s="168" t="str">
        <f>IF(ISBLANK(Table123[[#This Row],[Odds Spread]]), "",O608+IF(S608&lt;0, (O608/(S608/-100)), O608*(S608/100)))</f>
      </c>
      <c r="Z608" s="168" t="str">
        <f t="shared" si="63"/>
      </c>
      <c r="AA608" s="68" t="n">
        <f t="shared" si="64"/>
        <v>0</v>
      </c>
      <c r="AB608" s="68" t="n">
        <f t="shared" si="65"/>
        <v>0</v>
      </c>
      <c r="AC608" s="170" t="e">
        <f>IF('Prediction Log'!#REF!="Y", "W", IF('Prediction Log'!#REF!="N","L",""))</f>
        <v>#REF!</v>
      </c>
      <c r="AD608" s="171" t="e">
        <f>IF('Prediction Log'!#REF!="Y", "W", IF('Prediction Log'!#REF!="N","L",""))</f>
        <v>#REF!</v>
      </c>
      <c r="AE608" s="172" t="str">
        <f>IF(ISBLANK(Table123[[#This Row],[Odds Side - Difference Model]]), "",IF(AC608="W", W608, IF(AC608="L",-N608, "")))</f>
      </c>
      <c r="AF608" s="173" t="str">
        <f>IFERROR((IF(ISERR(Table123[[#This Row],[Potential Payout Side - Win Probability Model]]), "",IF(AD608="W", X608, IF(AD608="L",-N608, "")))), "")</f>
      </c>
      <c r="AG608" s="170" t="e">
        <f>IF('Prediction Log'!#REF!="Y", "W", IF('Prediction Log'!#REF!="N", "L", ""))</f>
        <v>#REF!</v>
      </c>
      <c r="AH608" s="172" t="str">
        <f>IF(ISBLANK(Table123[[#This Row],[Odds Spread]]), "",IF(AG608="W", Z608, IF(AG608="L",-O608, "")))</f>
      </c>
      <c r="AI608" s="184"/>
      <c r="AJ608" s="183" t="str">
        <f t="shared" si="66"/>
      </c>
      <c r="AK6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9">
      <c r="A609" s="65" t="e">
        <f>Games!#REF!</f>
        <v>#REF!</v>
      </c>
      <c r="B609" s="65" t="e">
        <f>IF('Prediction Log'!#REF!=0, "",'Prediction Log'!#REF!)</f>
        <v>#REF!</v>
      </c>
      <c r="C609" s="65" t="e">
        <f>IF('Prediction Log'!#REF!=0, "",'Prediction Log'!#REF!)</f>
        <v>#REF!</v>
      </c>
      <c r="D609" s="65" t="e">
        <f>IF('Prediction Log'!#REF!=0, "",'Prediction Log'!#REF!)</f>
        <v>#REF!</v>
      </c>
      <c r="E609" s="65" t="e">
        <f>IF('Prediction Log'!#REF!=0, "",'Prediction Log'!#REF!)</f>
        <v>#REF!</v>
      </c>
      <c r="F609" s="65" t="e">
        <f>IF('Prediction Log'!#REF!=0, "",'Prediction Log'!#REF!)</f>
        <v>#REF!</v>
      </c>
      <c r="G609" s="64" t="e">
        <f>IF(ISBLANK(Games!#REF!), "",'Prediction Log'!#REF!)</f>
        <v>#REF!</v>
      </c>
      <c r="H609" s="66" t="e">
        <f>'Prediction Log'!#REF!</f>
        <v>#REF!</v>
      </c>
      <c r="I609" s="65" t="e">
        <f>IF(ISBLANK(Games!#REF!), "",IF(AND(Games!#REF!="",Games!#REF!=""),"",IF(ISTEXT(Games!#REF!), "Side",Games!#REF!)))</f>
        <v>#REF!</v>
      </c>
      <c r="J609" s="65" t="e">
        <f>IF(ISBLANK(Games!#REF!), "",IF(Games!#REF!="Y", Games!#REF!, Games!#REF!))</f>
        <v>#REF!</v>
      </c>
      <c r="K609" s="65" t="e">
        <f>Games!#REF!</f>
        <v>#REF!</v>
      </c>
      <c r="L609" s="65" t="e">
        <f>IF(ISBLANK(Games!#REF!), "",Games!#REF!)</f>
        <v>#REF!</v>
      </c>
      <c r="M609" s="65"/>
      <c r="N609" s="167" t="str">
        <f>IF(ISBLANK(Table123[[#This Row],[Odds Side - Difference Model]]), "", 1)</f>
      </c>
      <c r="O609" s="167" t="str">
        <f>IF(ISBLANK(Table123[[#This Row],[Odds Spread]]), "", 1)</f>
      </c>
      <c r="P609" s="67"/>
      <c r="Q609" s="67"/>
      <c r="R6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9" s="67"/>
      <c r="T609" s="67"/>
      <c r="U609" s="168" t="str">
        <f>IF(ISBLANK(Table123[[#This Row],[Odds Side - Difference Model]]), "",N609+IF(Q609&lt;0, (N609/(Q609/-100)), N609*(Q609/100)))</f>
      </c>
      <c r="V609" s="169" t="str">
        <f>IFERROR(IF(ISBLANK(Table123[[#This Row],[Odds Side - Win Probability Model]]), "",N609+IF(R609&lt;0, (N609/(R609/-100)), N609*(R609/100))),"")</f>
      </c>
      <c r="W609" s="168" t="str">
        <f t="shared" si="61"/>
      </c>
      <c r="X609" s="169" t="str">
        <f t="shared" si="62"/>
      </c>
      <c r="Y609" s="168" t="str">
        <f>IF(ISBLANK(Table123[[#This Row],[Odds Spread]]), "",O609+IF(S609&lt;0, (O609/(S609/-100)), O609*(S609/100)))</f>
      </c>
      <c r="Z609" s="168" t="str">
        <f t="shared" si="63"/>
      </c>
      <c r="AA609" s="68" t="n">
        <f t="shared" si="64"/>
        <v>0</v>
      </c>
      <c r="AB609" s="68" t="n">
        <f t="shared" si="65"/>
        <v>0</v>
      </c>
      <c r="AC609" s="170" t="e">
        <f>IF('Prediction Log'!#REF!="Y", "W", IF('Prediction Log'!#REF!="N","L",""))</f>
        <v>#REF!</v>
      </c>
      <c r="AD609" s="171" t="e">
        <f>IF('Prediction Log'!#REF!="Y", "W", IF('Prediction Log'!#REF!="N","L",""))</f>
        <v>#REF!</v>
      </c>
      <c r="AE609" s="172" t="str">
        <f>IF(ISBLANK(Table123[[#This Row],[Odds Side - Difference Model]]), "",IF(AC609="W", W609, IF(AC609="L",-N609, "")))</f>
      </c>
      <c r="AF609" s="173" t="str">
        <f>IFERROR((IF(ISERR(Table123[[#This Row],[Potential Payout Side - Win Probability Model]]), "",IF(AD609="W", X609, IF(AD609="L",-N609, "")))), "")</f>
      </c>
      <c r="AG609" s="170" t="e">
        <f>IF('Prediction Log'!#REF!="Y", "W", IF('Prediction Log'!#REF!="N", "L", ""))</f>
        <v>#REF!</v>
      </c>
      <c r="AH609" s="172" t="str">
        <f>IF(ISBLANK(Table123[[#This Row],[Odds Spread]]), "",IF(AG609="W", Z609, IF(AG609="L",-O609, "")))</f>
      </c>
      <c r="AI609" s="184"/>
      <c r="AJ609" s="183" t="str">
        <f t="shared" si="66"/>
      </c>
      <c r="AK6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0">
      <c r="A610" s="65" t="e">
        <f>Games!#REF!</f>
        <v>#REF!</v>
      </c>
      <c r="B610" s="65" t="e">
        <f>IF('Prediction Log'!#REF!=0, "",'Prediction Log'!#REF!)</f>
        <v>#REF!</v>
      </c>
      <c r="C610" s="65" t="e">
        <f>IF('Prediction Log'!#REF!=0, "",'Prediction Log'!#REF!)</f>
        <v>#REF!</v>
      </c>
      <c r="D610" s="65" t="e">
        <f>IF('Prediction Log'!#REF!=0, "",'Prediction Log'!#REF!)</f>
        <v>#REF!</v>
      </c>
      <c r="E610" s="65" t="e">
        <f>IF('Prediction Log'!#REF!=0, "",'Prediction Log'!#REF!)</f>
        <v>#REF!</v>
      </c>
      <c r="F610" s="65" t="e">
        <f>IF('Prediction Log'!#REF!=0, "",'Prediction Log'!#REF!)</f>
        <v>#REF!</v>
      </c>
      <c r="G610" s="64" t="e">
        <f>IF(ISBLANK(Games!#REF!), "",'Prediction Log'!#REF!)</f>
        <v>#REF!</v>
      </c>
      <c r="H610" s="66" t="e">
        <f>'Prediction Log'!#REF!</f>
        <v>#REF!</v>
      </c>
      <c r="I610" s="65" t="e">
        <f>IF(ISBLANK(Games!#REF!), "",IF(AND(Games!#REF!="",Games!#REF!=""),"",IF(ISTEXT(Games!#REF!), "Side",Games!#REF!)))</f>
        <v>#REF!</v>
      </c>
      <c r="J610" s="65" t="e">
        <f>IF(ISBLANK(Games!#REF!), "",IF(Games!#REF!="Y", Games!#REF!, Games!#REF!))</f>
        <v>#REF!</v>
      </c>
      <c r="K610" s="65" t="e">
        <f>Games!#REF!</f>
        <v>#REF!</v>
      </c>
      <c r="L610" s="65" t="e">
        <f>IF(ISBLANK(Games!#REF!), "",Games!#REF!)</f>
        <v>#REF!</v>
      </c>
      <c r="M610" s="65"/>
      <c r="N610" s="167" t="str">
        <f>IF(ISBLANK(Table123[[#This Row],[Odds Side - Difference Model]]), "", 1)</f>
      </c>
      <c r="O610" s="167" t="str">
        <f>IF(ISBLANK(Table123[[#This Row],[Odds Spread]]), "", 1)</f>
      </c>
      <c r="P610" s="67"/>
      <c r="Q610" s="67"/>
      <c r="R6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0" s="67"/>
      <c r="T610" s="67"/>
      <c r="U610" s="168" t="str">
        <f>IF(ISBLANK(Table123[[#This Row],[Odds Side - Difference Model]]), "",N610+IF(Q610&lt;0, (N610/(Q610/-100)), N610*(Q610/100)))</f>
      </c>
      <c r="V610" s="169" t="str">
        <f>IFERROR(IF(ISBLANK(Table123[[#This Row],[Odds Side - Win Probability Model]]), "",N610+IF(R610&lt;0, (N610/(R610/-100)), N610*(R610/100))),"")</f>
      </c>
      <c r="W610" s="168" t="str">
        <f t="shared" si="61"/>
      </c>
      <c r="X610" s="169" t="str">
        <f t="shared" si="62"/>
      </c>
      <c r="Y610" s="168" t="str">
        <f>IF(ISBLANK(Table123[[#This Row],[Odds Spread]]), "",O610+IF(S610&lt;0, (O610/(S610/-100)), O610*(S610/100)))</f>
      </c>
      <c r="Z610" s="168" t="str">
        <f t="shared" si="63"/>
      </c>
      <c r="AA610" s="68" t="n">
        <f t="shared" si="64"/>
        <v>0</v>
      </c>
      <c r="AB610" s="68" t="n">
        <f t="shared" si="65"/>
        <v>0</v>
      </c>
      <c r="AC610" s="170" t="e">
        <f>IF('Prediction Log'!#REF!="Y", "W", IF('Prediction Log'!#REF!="N","L",""))</f>
        <v>#REF!</v>
      </c>
      <c r="AD610" s="171" t="e">
        <f>IF('Prediction Log'!#REF!="Y", "W", IF('Prediction Log'!#REF!="N","L",""))</f>
        <v>#REF!</v>
      </c>
      <c r="AE610" s="172" t="str">
        <f>IF(ISBLANK(Table123[[#This Row],[Odds Side - Difference Model]]), "",IF(AC610="W", W610, IF(AC610="L",-N610, "")))</f>
      </c>
      <c r="AF610" s="173" t="str">
        <f>IFERROR((IF(ISERR(Table123[[#This Row],[Potential Payout Side - Win Probability Model]]), "",IF(AD610="W", X610, IF(AD610="L",-N610, "")))), "")</f>
      </c>
      <c r="AG610" s="170" t="e">
        <f>IF('Prediction Log'!#REF!="Y", "W", IF('Prediction Log'!#REF!="N", "L", ""))</f>
        <v>#REF!</v>
      </c>
      <c r="AH610" s="172" t="str">
        <f>IF(ISBLANK(Table123[[#This Row],[Odds Spread]]), "",IF(AG610="W", Z610, IF(AG610="L",-O610, "")))</f>
      </c>
      <c r="AI610" s="184"/>
      <c r="AJ610" s="183" t="str">
        <f t="shared" si="66"/>
      </c>
      <c r="AK6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1">
      <c r="A611" s="65" t="e">
        <f>Games!#REF!</f>
        <v>#REF!</v>
      </c>
      <c r="B611" s="65" t="e">
        <f>IF('Prediction Log'!#REF!=0, "",'Prediction Log'!#REF!)</f>
        <v>#REF!</v>
      </c>
      <c r="C611" s="65" t="e">
        <f>IF('Prediction Log'!#REF!=0, "",'Prediction Log'!#REF!)</f>
        <v>#REF!</v>
      </c>
      <c r="D611" s="65" t="e">
        <f>IF('Prediction Log'!#REF!=0, "",'Prediction Log'!#REF!)</f>
        <v>#REF!</v>
      </c>
      <c r="E611" s="65" t="e">
        <f>IF('Prediction Log'!#REF!=0, "",'Prediction Log'!#REF!)</f>
        <v>#REF!</v>
      </c>
      <c r="F611" s="65" t="e">
        <f>IF('Prediction Log'!#REF!=0, "",'Prediction Log'!#REF!)</f>
        <v>#REF!</v>
      </c>
      <c r="G611" s="64" t="e">
        <f>IF(ISBLANK(Games!#REF!), "",'Prediction Log'!#REF!)</f>
        <v>#REF!</v>
      </c>
      <c r="H611" s="66" t="e">
        <f>'Prediction Log'!#REF!</f>
        <v>#REF!</v>
      </c>
      <c r="I611" s="65" t="e">
        <f>IF(ISBLANK(Games!#REF!), "",IF(AND(Games!#REF!="",Games!#REF!=""),"",IF(ISTEXT(Games!#REF!), "Side",Games!#REF!)))</f>
        <v>#REF!</v>
      </c>
      <c r="J611" s="65" t="e">
        <f>IF(ISBLANK(Games!#REF!), "",IF(Games!#REF!="Y", Games!#REF!, Games!#REF!))</f>
        <v>#REF!</v>
      </c>
      <c r="K611" s="65" t="e">
        <f>Games!#REF!</f>
        <v>#REF!</v>
      </c>
      <c r="L611" s="65" t="e">
        <f>IF(ISBLANK(Games!#REF!), "",Games!#REF!)</f>
        <v>#REF!</v>
      </c>
      <c r="M611" s="65"/>
      <c r="N611" s="167" t="str">
        <f>IF(ISBLANK(Table123[[#This Row],[Odds Side - Difference Model]]), "", 1)</f>
      </c>
      <c r="O611" s="167" t="str">
        <f>IF(ISBLANK(Table123[[#This Row],[Odds Spread]]), "", 1)</f>
      </c>
      <c r="P611" s="67"/>
      <c r="Q611" s="67"/>
      <c r="R6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1" s="67"/>
      <c r="T611" s="67"/>
      <c r="U611" s="168" t="str">
        <f>IF(ISBLANK(Table123[[#This Row],[Odds Side - Difference Model]]), "",N611+IF(Q611&lt;0, (N611/(Q611/-100)), N611*(Q611/100)))</f>
      </c>
      <c r="V611" s="169" t="str">
        <f>IFERROR(IF(ISBLANK(Table123[[#This Row],[Odds Side - Win Probability Model]]), "",N611+IF(R611&lt;0, (N611/(R611/-100)), N611*(R611/100))),"")</f>
      </c>
      <c r="W611" s="168" t="str">
        <f t="shared" si="61"/>
      </c>
      <c r="X611" s="169" t="str">
        <f t="shared" si="62"/>
      </c>
      <c r="Y611" s="168" t="str">
        <f>IF(ISBLANK(Table123[[#This Row],[Odds Spread]]), "",O611+IF(S611&lt;0, (O611/(S611/-100)), O611*(S611/100)))</f>
      </c>
      <c r="Z611" s="168" t="str">
        <f t="shared" si="63"/>
      </c>
      <c r="AA611" s="68" t="n">
        <f t="shared" si="64"/>
        <v>0</v>
      </c>
      <c r="AB611" s="68" t="n">
        <f t="shared" si="65"/>
        <v>0</v>
      </c>
      <c r="AC611" s="170" t="e">
        <f>IF('Prediction Log'!#REF!="Y", "W", IF('Prediction Log'!#REF!="N","L",""))</f>
        <v>#REF!</v>
      </c>
      <c r="AD611" s="171" t="e">
        <f>IF('Prediction Log'!#REF!="Y", "W", IF('Prediction Log'!#REF!="N","L",""))</f>
        <v>#REF!</v>
      </c>
      <c r="AE611" s="172" t="str">
        <f>IF(ISBLANK(Table123[[#This Row],[Odds Side - Difference Model]]), "",IF(AC611="W", W611, IF(AC611="L",-N611, "")))</f>
      </c>
      <c r="AF611" s="173" t="str">
        <f>IFERROR((IF(ISERR(Table123[[#This Row],[Potential Payout Side - Win Probability Model]]), "",IF(AD611="W", X611, IF(AD611="L",-N611, "")))), "")</f>
      </c>
      <c r="AG611" s="170" t="e">
        <f>IF('Prediction Log'!#REF!="Y", "W", IF('Prediction Log'!#REF!="N", "L", ""))</f>
        <v>#REF!</v>
      </c>
      <c r="AH611" s="172" t="str">
        <f>IF(ISBLANK(Table123[[#This Row],[Odds Spread]]), "",IF(AG611="W", Z611, IF(AG611="L",-O611, "")))</f>
      </c>
      <c r="AI611" s="184"/>
      <c r="AJ611" s="183" t="str">
        <f t="shared" si="66"/>
      </c>
      <c r="AK6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2">
      <c r="A612" s="65" t="e">
        <f>Games!#REF!</f>
        <v>#REF!</v>
      </c>
      <c r="B612" s="65" t="e">
        <f>IF('Prediction Log'!#REF!=0, "",'Prediction Log'!#REF!)</f>
        <v>#REF!</v>
      </c>
      <c r="C612" s="65" t="e">
        <f>IF('Prediction Log'!#REF!=0, "",'Prediction Log'!#REF!)</f>
        <v>#REF!</v>
      </c>
      <c r="D612" s="65" t="e">
        <f>IF('Prediction Log'!#REF!=0, "",'Prediction Log'!#REF!)</f>
        <v>#REF!</v>
      </c>
      <c r="E612" s="65" t="e">
        <f>IF('Prediction Log'!#REF!=0, "",'Prediction Log'!#REF!)</f>
        <v>#REF!</v>
      </c>
      <c r="F612" s="65" t="e">
        <f>IF('Prediction Log'!#REF!=0, "",'Prediction Log'!#REF!)</f>
        <v>#REF!</v>
      </c>
      <c r="G612" s="64" t="e">
        <f>IF(ISBLANK(Games!#REF!), "",'Prediction Log'!#REF!)</f>
        <v>#REF!</v>
      </c>
      <c r="H612" s="66" t="e">
        <f>'Prediction Log'!#REF!</f>
        <v>#REF!</v>
      </c>
      <c r="I612" s="65" t="e">
        <f>IF(ISBLANK(Games!#REF!), "",IF(AND(Games!#REF!="",Games!#REF!=""),"",IF(ISTEXT(Games!#REF!), "Side",Games!#REF!)))</f>
        <v>#REF!</v>
      </c>
      <c r="J612" s="65" t="e">
        <f>IF(ISBLANK(Games!#REF!), "",IF(Games!#REF!="Y", Games!#REF!, Games!#REF!))</f>
        <v>#REF!</v>
      </c>
      <c r="K612" s="65" t="e">
        <f>Games!#REF!</f>
        <v>#REF!</v>
      </c>
      <c r="L612" s="65" t="e">
        <f>IF(ISBLANK(Games!#REF!), "",Games!#REF!)</f>
        <v>#REF!</v>
      </c>
      <c r="M612" s="65"/>
      <c r="N612" s="167" t="str">
        <f>IF(ISBLANK(Table123[[#This Row],[Odds Side - Difference Model]]), "", 1)</f>
      </c>
      <c r="O612" s="167" t="str">
        <f>IF(ISBLANK(Table123[[#This Row],[Odds Spread]]), "", 1)</f>
      </c>
      <c r="P612" s="67"/>
      <c r="Q612" s="67"/>
      <c r="R6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2" s="67"/>
      <c r="T612" s="67"/>
      <c r="U612" s="168" t="str">
        <f>IF(ISBLANK(Table123[[#This Row],[Odds Side - Difference Model]]), "",N612+IF(Q612&lt;0, (N612/(Q612/-100)), N612*(Q612/100)))</f>
      </c>
      <c r="V612" s="169" t="str">
        <f>IFERROR(IF(ISBLANK(Table123[[#This Row],[Odds Side - Win Probability Model]]), "",N612+IF(R612&lt;0, (N612/(R612/-100)), N612*(R612/100))),"")</f>
      </c>
      <c r="W612" s="168" t="str">
        <f t="shared" si="61"/>
      </c>
      <c r="X612" s="169" t="str">
        <f t="shared" si="62"/>
      </c>
      <c r="Y612" s="168" t="str">
        <f>IF(ISBLANK(Table123[[#This Row],[Odds Spread]]), "",O612+IF(S612&lt;0, (O612/(S612/-100)), O612*(S612/100)))</f>
      </c>
      <c r="Z612" s="168" t="str">
        <f t="shared" si="63"/>
      </c>
      <c r="AA612" s="68" t="n">
        <f t="shared" si="64"/>
        <v>0</v>
      </c>
      <c r="AB612" s="68" t="n">
        <f t="shared" si="65"/>
        <v>0</v>
      </c>
      <c r="AC612" s="170" t="e">
        <f>IF('Prediction Log'!#REF!="Y", "W", IF('Prediction Log'!#REF!="N","L",""))</f>
        <v>#REF!</v>
      </c>
      <c r="AD612" s="171" t="e">
        <f>IF('Prediction Log'!#REF!="Y", "W", IF('Prediction Log'!#REF!="N","L",""))</f>
        <v>#REF!</v>
      </c>
      <c r="AE612" s="172" t="str">
        <f>IF(ISBLANK(Table123[[#This Row],[Odds Side - Difference Model]]), "",IF(AC612="W", W612, IF(AC612="L",-N612, "")))</f>
      </c>
      <c r="AF612" s="173" t="str">
        <f>IFERROR((IF(ISERR(Table123[[#This Row],[Potential Payout Side - Win Probability Model]]), "",IF(AD612="W", X612, IF(AD612="L",-N612, "")))), "")</f>
      </c>
      <c r="AG612" s="170" t="e">
        <f>IF('Prediction Log'!#REF!="Y", "W", IF('Prediction Log'!#REF!="N", "L", ""))</f>
        <v>#REF!</v>
      </c>
      <c r="AH612" s="172" t="str">
        <f>IF(ISBLANK(Table123[[#This Row],[Odds Spread]]), "",IF(AG612="W", Z612, IF(AG612="L",-O612, "")))</f>
      </c>
      <c r="AI612" s="184"/>
      <c r="AJ612" s="183" t="str">
        <f t="shared" si="66"/>
      </c>
      <c r="AK6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3">
      <c r="A613" s="65" t="e">
        <f>Games!#REF!</f>
        <v>#REF!</v>
      </c>
      <c r="B613" s="65" t="e">
        <f>IF('Prediction Log'!#REF!=0, "",'Prediction Log'!#REF!)</f>
        <v>#REF!</v>
      </c>
      <c r="C613" s="65" t="e">
        <f>IF('Prediction Log'!#REF!=0, "",'Prediction Log'!#REF!)</f>
        <v>#REF!</v>
      </c>
      <c r="D613" s="65" t="e">
        <f>IF('Prediction Log'!#REF!=0, "",'Prediction Log'!#REF!)</f>
        <v>#REF!</v>
      </c>
      <c r="E613" s="65" t="e">
        <f>IF('Prediction Log'!#REF!=0, "",'Prediction Log'!#REF!)</f>
        <v>#REF!</v>
      </c>
      <c r="F613" s="65" t="e">
        <f>IF('Prediction Log'!#REF!=0, "",'Prediction Log'!#REF!)</f>
        <v>#REF!</v>
      </c>
      <c r="G613" s="64" t="e">
        <f>IF(ISBLANK(Games!#REF!), "",'Prediction Log'!#REF!)</f>
        <v>#REF!</v>
      </c>
      <c r="H613" s="66" t="e">
        <f>'Prediction Log'!#REF!</f>
        <v>#REF!</v>
      </c>
      <c r="I613" s="65" t="e">
        <f>IF(ISBLANK(Games!#REF!), "",IF(AND(Games!#REF!="",Games!#REF!=""),"",IF(ISTEXT(Games!#REF!), "Side",Games!#REF!)))</f>
        <v>#REF!</v>
      </c>
      <c r="J613" s="65" t="e">
        <f>IF(ISBLANK(Games!#REF!), "",IF(Games!#REF!="Y", Games!#REF!, Games!#REF!))</f>
        <v>#REF!</v>
      </c>
      <c r="K613" s="65" t="e">
        <f>Games!#REF!</f>
        <v>#REF!</v>
      </c>
      <c r="L613" s="65" t="e">
        <f>IF(ISBLANK(Games!#REF!), "",Games!#REF!)</f>
        <v>#REF!</v>
      </c>
      <c r="M613" s="65"/>
      <c r="N613" s="167" t="str">
        <f>IF(ISBLANK(Table123[[#This Row],[Odds Side - Difference Model]]), "", 1)</f>
      </c>
      <c r="O613" s="167" t="str">
        <f>IF(ISBLANK(Table123[[#This Row],[Odds Spread]]), "", 1)</f>
      </c>
      <c r="P613" s="67"/>
      <c r="Q613" s="67"/>
      <c r="R6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3" s="67"/>
      <c r="T613" s="67"/>
      <c r="U613" s="168" t="str">
        <f>IF(ISBLANK(Table123[[#This Row],[Odds Side - Difference Model]]), "",N613+IF(Q613&lt;0, (N613/(Q613/-100)), N613*(Q613/100)))</f>
      </c>
      <c r="V613" s="169" t="str">
        <f>IFERROR(IF(ISBLANK(Table123[[#This Row],[Odds Side - Win Probability Model]]), "",N613+IF(R613&lt;0, (N613/(R613/-100)), N613*(R613/100))),"")</f>
      </c>
      <c r="W613" s="168" t="str">
        <f t="shared" si="61"/>
      </c>
      <c r="X613" s="169" t="str">
        <f t="shared" si="62"/>
      </c>
      <c r="Y613" s="168" t="str">
        <f>IF(ISBLANK(Table123[[#This Row],[Odds Spread]]), "",O613+IF(S613&lt;0, (O613/(S613/-100)), O613*(S613/100)))</f>
      </c>
      <c r="Z613" s="168" t="str">
        <f t="shared" si="63"/>
      </c>
      <c r="AA613" s="68" t="n">
        <f t="shared" si="64"/>
        <v>0</v>
      </c>
      <c r="AB613" s="68" t="n">
        <f t="shared" si="65"/>
        <v>0</v>
      </c>
      <c r="AC613" s="170" t="e">
        <f>IF('Prediction Log'!#REF!="Y", "W", IF('Prediction Log'!#REF!="N","L",""))</f>
        <v>#REF!</v>
      </c>
      <c r="AD613" s="171" t="e">
        <f>IF('Prediction Log'!#REF!="Y", "W", IF('Prediction Log'!#REF!="N","L",""))</f>
        <v>#REF!</v>
      </c>
      <c r="AE613" s="172" t="str">
        <f>IF(ISBLANK(Table123[[#This Row],[Odds Side - Difference Model]]), "",IF(AC613="W", W613, IF(AC613="L",-N613, "")))</f>
      </c>
      <c r="AF613" s="173" t="str">
        <f>IFERROR((IF(ISERR(Table123[[#This Row],[Potential Payout Side - Win Probability Model]]), "",IF(AD613="W", X613, IF(AD613="L",-N613, "")))), "")</f>
      </c>
      <c r="AG613" s="170" t="e">
        <f>IF('Prediction Log'!#REF!="Y", "W", IF('Prediction Log'!#REF!="N", "L", ""))</f>
        <v>#REF!</v>
      </c>
      <c r="AH613" s="172" t="str">
        <f>IF(ISBLANK(Table123[[#This Row],[Odds Spread]]), "",IF(AG613="W", Z613, IF(AG613="L",-O613, "")))</f>
      </c>
      <c r="AI613" s="184"/>
      <c r="AJ613" s="183" t="str">
        <f t="shared" si="66"/>
      </c>
      <c r="AK6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4">
      <c r="A614" s="65" t="e">
        <f>Games!#REF!</f>
        <v>#REF!</v>
      </c>
      <c r="B614" s="65" t="e">
        <f>IF('Prediction Log'!#REF!=0, "",'Prediction Log'!#REF!)</f>
        <v>#REF!</v>
      </c>
      <c r="C614" s="65" t="e">
        <f>IF('Prediction Log'!#REF!=0, "",'Prediction Log'!#REF!)</f>
        <v>#REF!</v>
      </c>
      <c r="D614" s="65" t="e">
        <f>IF('Prediction Log'!#REF!=0, "",'Prediction Log'!#REF!)</f>
        <v>#REF!</v>
      </c>
      <c r="E614" s="65" t="e">
        <f>IF('Prediction Log'!#REF!=0, "",'Prediction Log'!#REF!)</f>
        <v>#REF!</v>
      </c>
      <c r="F614" s="65" t="e">
        <f>IF('Prediction Log'!#REF!=0, "",'Prediction Log'!#REF!)</f>
        <v>#REF!</v>
      </c>
      <c r="G614" s="64" t="e">
        <f>IF(ISBLANK(Games!#REF!), "",'Prediction Log'!#REF!)</f>
        <v>#REF!</v>
      </c>
      <c r="H614" s="66" t="e">
        <f>'Prediction Log'!#REF!</f>
        <v>#REF!</v>
      </c>
      <c r="I614" s="65" t="e">
        <f>IF(ISBLANK(Games!#REF!), "",IF(AND(Games!#REF!="",Games!#REF!=""),"",IF(ISTEXT(Games!#REF!), "Side",Games!#REF!)))</f>
        <v>#REF!</v>
      </c>
      <c r="J614" s="65" t="e">
        <f>IF(ISBLANK(Games!#REF!), "",IF(Games!#REF!="Y", Games!#REF!, Games!#REF!))</f>
        <v>#REF!</v>
      </c>
      <c r="K614" s="65" t="e">
        <f>Games!#REF!</f>
        <v>#REF!</v>
      </c>
      <c r="L614" s="65" t="e">
        <f>IF(ISBLANK(Games!#REF!), "",Games!#REF!)</f>
        <v>#REF!</v>
      </c>
      <c r="M614" s="65"/>
      <c r="N614" s="167" t="str">
        <f>IF(ISBLANK(Table123[[#This Row],[Odds Side - Difference Model]]), "", 1)</f>
      </c>
      <c r="O614" s="167" t="str">
        <f>IF(ISBLANK(Table123[[#This Row],[Odds Spread]]), "", 1)</f>
      </c>
      <c r="P614" s="67"/>
      <c r="Q614" s="67"/>
      <c r="R6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4" s="67"/>
      <c r="T614" s="67"/>
      <c r="U614" s="168" t="str">
        <f>IF(ISBLANK(Table123[[#This Row],[Odds Side - Difference Model]]), "",N614+IF(Q614&lt;0, (N614/(Q614/-100)), N614*(Q614/100)))</f>
      </c>
      <c r="V614" s="169" t="str">
        <f>IFERROR(IF(ISBLANK(Table123[[#This Row],[Odds Side - Win Probability Model]]), "",N614+IF(R614&lt;0, (N614/(R614/-100)), N614*(R614/100))),"")</f>
      </c>
      <c r="W614" s="168" t="str">
        <f t="shared" si="61"/>
      </c>
      <c r="X614" s="169" t="str">
        <f t="shared" si="62"/>
      </c>
      <c r="Y614" s="168" t="str">
        <f>IF(ISBLANK(Table123[[#This Row],[Odds Spread]]), "",O614+IF(S614&lt;0, (O614/(S614/-100)), O614*(S614/100)))</f>
      </c>
      <c r="Z614" s="168" t="str">
        <f t="shared" si="63"/>
      </c>
      <c r="AA614" s="68" t="n">
        <f t="shared" si="64"/>
        <v>0</v>
      </c>
      <c r="AB614" s="68" t="n">
        <f t="shared" si="65"/>
        <v>0</v>
      </c>
      <c r="AC614" s="170" t="e">
        <f>IF('Prediction Log'!#REF!="Y", "W", IF('Prediction Log'!#REF!="N","L",""))</f>
        <v>#REF!</v>
      </c>
      <c r="AD614" s="171" t="e">
        <f>IF('Prediction Log'!#REF!="Y", "W", IF('Prediction Log'!#REF!="N","L",""))</f>
        <v>#REF!</v>
      </c>
      <c r="AE614" s="172" t="str">
        <f>IF(ISBLANK(Table123[[#This Row],[Odds Side - Difference Model]]), "",IF(AC614="W", W614, IF(AC614="L",-N614, "")))</f>
      </c>
      <c r="AF614" s="173" t="str">
        <f>IFERROR((IF(ISERR(Table123[[#This Row],[Potential Payout Side - Win Probability Model]]), "",IF(AD614="W", X614, IF(AD614="L",-N614, "")))), "")</f>
      </c>
      <c r="AG614" s="170" t="e">
        <f>IF('Prediction Log'!#REF!="Y", "W", IF('Prediction Log'!#REF!="N", "L", ""))</f>
        <v>#REF!</v>
      </c>
      <c r="AH614" s="172" t="str">
        <f>IF(ISBLANK(Table123[[#This Row],[Odds Spread]]), "",IF(AG614="W", Z614, IF(AG614="L",-O614, "")))</f>
      </c>
      <c r="AI614" s="184"/>
      <c r="AJ614" s="183" t="str">
        <f t="shared" si="66"/>
      </c>
      <c r="AK6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5">
      <c r="A615" s="65" t="e">
        <f>Games!#REF!</f>
        <v>#REF!</v>
      </c>
      <c r="B615" s="65" t="e">
        <f>IF('Prediction Log'!#REF!=0, "",'Prediction Log'!#REF!)</f>
        <v>#REF!</v>
      </c>
      <c r="C615" s="65" t="e">
        <f>IF('Prediction Log'!#REF!=0, "",'Prediction Log'!#REF!)</f>
        <v>#REF!</v>
      </c>
      <c r="D615" s="65" t="e">
        <f>IF('Prediction Log'!#REF!=0, "",'Prediction Log'!#REF!)</f>
        <v>#REF!</v>
      </c>
      <c r="E615" s="65" t="e">
        <f>IF('Prediction Log'!#REF!=0, "",'Prediction Log'!#REF!)</f>
        <v>#REF!</v>
      </c>
      <c r="F615" s="65" t="e">
        <f>IF('Prediction Log'!#REF!=0, "",'Prediction Log'!#REF!)</f>
        <v>#REF!</v>
      </c>
      <c r="G615" s="64" t="e">
        <f>IF(ISBLANK(Games!#REF!), "",'Prediction Log'!#REF!)</f>
        <v>#REF!</v>
      </c>
      <c r="H615" s="66" t="e">
        <f>'Prediction Log'!#REF!</f>
        <v>#REF!</v>
      </c>
      <c r="I615" s="65" t="e">
        <f>IF(ISBLANK(Games!#REF!), "",IF(AND(Games!#REF!="",Games!#REF!=""),"",IF(ISTEXT(Games!#REF!), "Side",Games!#REF!)))</f>
        <v>#REF!</v>
      </c>
      <c r="J615" s="65" t="e">
        <f>IF(ISBLANK(Games!#REF!), "",IF(Games!#REF!="Y", Games!#REF!, Games!#REF!))</f>
        <v>#REF!</v>
      </c>
      <c r="K615" s="65" t="e">
        <f>Games!#REF!</f>
        <v>#REF!</v>
      </c>
      <c r="L615" s="65" t="e">
        <f>IF(ISBLANK(Games!#REF!), "",Games!#REF!)</f>
        <v>#REF!</v>
      </c>
      <c r="M615" s="65"/>
      <c r="N615" s="167" t="str">
        <f>IF(ISBLANK(Table123[[#This Row],[Odds Side - Difference Model]]), "", 1)</f>
      </c>
      <c r="O615" s="167" t="str">
        <f>IF(ISBLANK(Table123[[#This Row],[Odds Spread]]), "", 1)</f>
      </c>
      <c r="P615" s="67"/>
      <c r="Q615" s="67"/>
      <c r="R6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5" s="67"/>
      <c r="T615" s="67"/>
      <c r="U615" s="168" t="str">
        <f>IF(ISBLANK(Table123[[#This Row],[Odds Side - Difference Model]]), "",N615+IF(Q615&lt;0, (N615/(Q615/-100)), N615*(Q615/100)))</f>
      </c>
      <c r="V615" s="169" t="str">
        <f>IFERROR(IF(ISBLANK(Table123[[#This Row],[Odds Side - Win Probability Model]]), "",N615+IF(R615&lt;0, (N615/(R615/-100)), N615*(R615/100))),"")</f>
      </c>
      <c r="W615" s="168" t="str">
        <f t="shared" si="61"/>
      </c>
      <c r="X615" s="169" t="str">
        <f t="shared" si="62"/>
      </c>
      <c r="Y615" s="168" t="str">
        <f>IF(ISBLANK(Table123[[#This Row],[Odds Spread]]), "",O615+IF(S615&lt;0, (O615/(S615/-100)), O615*(S615/100)))</f>
      </c>
      <c r="Z615" s="168" t="str">
        <f t="shared" si="63"/>
      </c>
      <c r="AA615" s="68" t="n">
        <f t="shared" si="64"/>
        <v>0</v>
      </c>
      <c r="AB615" s="68" t="n">
        <f t="shared" si="65"/>
        <v>0</v>
      </c>
      <c r="AC615" s="170" t="e">
        <f>IF('Prediction Log'!#REF!="Y", "W", IF('Prediction Log'!#REF!="N","L",""))</f>
        <v>#REF!</v>
      </c>
      <c r="AD615" s="171" t="e">
        <f>IF('Prediction Log'!#REF!="Y", "W", IF('Prediction Log'!#REF!="N","L",""))</f>
        <v>#REF!</v>
      </c>
      <c r="AE615" s="172" t="str">
        <f>IF(ISBLANK(Table123[[#This Row],[Odds Side - Difference Model]]), "",IF(AC615="W", W615, IF(AC615="L",-N615, "")))</f>
      </c>
      <c r="AF615" s="173" t="str">
        <f>IFERROR((IF(ISERR(Table123[[#This Row],[Potential Payout Side - Win Probability Model]]), "",IF(AD615="W", X615, IF(AD615="L",-N615, "")))), "")</f>
      </c>
      <c r="AG615" s="170" t="e">
        <f>IF('Prediction Log'!#REF!="Y", "W", IF('Prediction Log'!#REF!="N", "L", ""))</f>
        <v>#REF!</v>
      </c>
      <c r="AH615" s="172" t="str">
        <f>IF(ISBLANK(Table123[[#This Row],[Odds Spread]]), "",IF(AG615="W", Z615, IF(AG615="L",-O615, "")))</f>
      </c>
      <c r="AI615" s="184"/>
      <c r="AJ615" s="183" t="str">
        <f t="shared" si="66"/>
      </c>
      <c r="AK6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6">
      <c r="A616" s="65" t="e">
        <f>Games!#REF!</f>
        <v>#REF!</v>
      </c>
      <c r="B616" s="65" t="e">
        <f>IF('Prediction Log'!#REF!=0, "",'Prediction Log'!#REF!)</f>
        <v>#REF!</v>
      </c>
      <c r="C616" s="65" t="e">
        <f>IF('Prediction Log'!#REF!=0, "",'Prediction Log'!#REF!)</f>
        <v>#REF!</v>
      </c>
      <c r="D616" s="65" t="e">
        <f>IF('Prediction Log'!#REF!=0, "",'Prediction Log'!#REF!)</f>
        <v>#REF!</v>
      </c>
      <c r="E616" s="65" t="e">
        <f>IF('Prediction Log'!#REF!=0, "",'Prediction Log'!#REF!)</f>
        <v>#REF!</v>
      </c>
      <c r="F616" s="65" t="e">
        <f>IF('Prediction Log'!#REF!=0, "",'Prediction Log'!#REF!)</f>
        <v>#REF!</v>
      </c>
      <c r="G616" s="64" t="e">
        <f>IF(ISBLANK(Games!#REF!), "",'Prediction Log'!#REF!)</f>
        <v>#REF!</v>
      </c>
      <c r="H616" s="66" t="e">
        <f>'Prediction Log'!#REF!</f>
        <v>#REF!</v>
      </c>
      <c r="I616" s="65" t="e">
        <f>IF(ISBLANK(Games!#REF!), "",IF(AND(Games!#REF!="",Games!#REF!=""),"",IF(ISTEXT(Games!#REF!), "Side",Games!#REF!)))</f>
        <v>#REF!</v>
      </c>
      <c r="J616" s="65" t="e">
        <f>IF(ISBLANK(Games!#REF!), "",IF(Games!#REF!="Y", Games!#REF!, Games!#REF!))</f>
        <v>#REF!</v>
      </c>
      <c r="K616" s="65" t="e">
        <f>Games!#REF!</f>
        <v>#REF!</v>
      </c>
      <c r="L616" s="65" t="e">
        <f>IF(ISBLANK(Games!#REF!), "",Games!#REF!)</f>
        <v>#REF!</v>
      </c>
      <c r="M616" s="65"/>
      <c r="N616" s="167" t="str">
        <f>IF(ISBLANK(Table123[[#This Row],[Odds Side - Difference Model]]), "", 1)</f>
      </c>
      <c r="O616" s="167" t="str">
        <f>IF(ISBLANK(Table123[[#This Row],[Odds Spread]]), "", 1)</f>
      </c>
      <c r="P616" s="67"/>
      <c r="Q616" s="67"/>
      <c r="R6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6" s="67"/>
      <c r="T616" s="67"/>
      <c r="U616" s="168" t="str">
        <f>IF(ISBLANK(Table123[[#This Row],[Odds Side - Difference Model]]), "",N616+IF(Q616&lt;0, (N616/(Q616/-100)), N616*(Q616/100)))</f>
      </c>
      <c r="V616" s="169" t="str">
        <f>IFERROR(IF(ISBLANK(Table123[[#This Row],[Odds Side - Win Probability Model]]), "",N616+IF(R616&lt;0, (N616/(R616/-100)), N616*(R616/100))),"")</f>
      </c>
      <c r="W616" s="168" t="str">
        <f t="shared" si="61"/>
      </c>
      <c r="X616" s="169" t="str">
        <f t="shared" si="62"/>
      </c>
      <c r="Y616" s="168" t="str">
        <f>IF(ISBLANK(Table123[[#This Row],[Odds Spread]]), "",O616+IF(S616&lt;0, (O616/(S616/-100)), O616*(S616/100)))</f>
      </c>
      <c r="Z616" s="168" t="str">
        <f t="shared" si="63"/>
      </c>
      <c r="AA616" s="68" t="n">
        <f t="shared" si="64"/>
        <v>0</v>
      </c>
      <c r="AB616" s="68" t="n">
        <f t="shared" si="65"/>
        <v>0</v>
      </c>
      <c r="AC616" s="170" t="e">
        <f>IF('Prediction Log'!#REF!="Y", "W", IF('Prediction Log'!#REF!="N","L",""))</f>
        <v>#REF!</v>
      </c>
      <c r="AD616" s="171" t="e">
        <f>IF('Prediction Log'!#REF!="Y", "W", IF('Prediction Log'!#REF!="N","L",""))</f>
        <v>#REF!</v>
      </c>
      <c r="AE616" s="172" t="str">
        <f>IF(ISBLANK(Table123[[#This Row],[Odds Side - Difference Model]]), "",IF(AC616="W", W616, IF(AC616="L",-N616, "")))</f>
      </c>
      <c r="AF616" s="173" t="str">
        <f>IFERROR((IF(ISERR(Table123[[#This Row],[Potential Payout Side - Win Probability Model]]), "",IF(AD616="W", X616, IF(AD616="L",-N616, "")))), "")</f>
      </c>
      <c r="AG616" s="170" t="e">
        <f>IF('Prediction Log'!#REF!="Y", "W", IF('Prediction Log'!#REF!="N", "L", ""))</f>
        <v>#REF!</v>
      </c>
      <c r="AH616" s="172" t="str">
        <f>IF(ISBLANK(Table123[[#This Row],[Odds Spread]]), "",IF(AG616="W", Z616, IF(AG616="L",-O616, "")))</f>
      </c>
      <c r="AI616" s="184"/>
      <c r="AJ616" s="183" t="str">
        <f t="shared" si="66"/>
      </c>
      <c r="AK6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7">
      <c r="A617" s="65" t="e">
        <f>Games!#REF!</f>
        <v>#REF!</v>
      </c>
      <c r="B617" s="65" t="e">
        <f>IF('Prediction Log'!#REF!=0, "",'Prediction Log'!#REF!)</f>
        <v>#REF!</v>
      </c>
      <c r="C617" s="65" t="e">
        <f>IF('Prediction Log'!#REF!=0, "",'Prediction Log'!#REF!)</f>
        <v>#REF!</v>
      </c>
      <c r="D617" s="65" t="e">
        <f>IF('Prediction Log'!#REF!=0, "",'Prediction Log'!#REF!)</f>
        <v>#REF!</v>
      </c>
      <c r="E617" s="65" t="e">
        <f>IF('Prediction Log'!#REF!=0, "",'Prediction Log'!#REF!)</f>
        <v>#REF!</v>
      </c>
      <c r="F617" s="65" t="e">
        <f>IF('Prediction Log'!#REF!=0, "",'Prediction Log'!#REF!)</f>
        <v>#REF!</v>
      </c>
      <c r="G617" s="64" t="e">
        <f>IF(ISBLANK(Games!#REF!), "",'Prediction Log'!#REF!)</f>
        <v>#REF!</v>
      </c>
      <c r="H617" s="66" t="e">
        <f>'Prediction Log'!#REF!</f>
        <v>#REF!</v>
      </c>
      <c r="I617" s="65" t="e">
        <f>IF(ISBLANK(Games!#REF!), "",IF(AND(Games!#REF!="",Games!#REF!=""),"",IF(ISTEXT(Games!#REF!), "Side",Games!#REF!)))</f>
        <v>#REF!</v>
      </c>
      <c r="J617" s="65" t="e">
        <f>IF(ISBLANK(Games!#REF!), "",IF(Games!#REF!="Y", Games!#REF!, Games!#REF!))</f>
        <v>#REF!</v>
      </c>
      <c r="K617" s="65" t="e">
        <f>Games!#REF!</f>
        <v>#REF!</v>
      </c>
      <c r="L617" s="65" t="e">
        <f>IF(ISBLANK(Games!#REF!), "",Games!#REF!)</f>
        <v>#REF!</v>
      </c>
      <c r="M617" s="65"/>
      <c r="N617" s="167" t="str">
        <f>IF(ISBLANK(Table123[[#This Row],[Odds Side - Difference Model]]), "", 1)</f>
      </c>
      <c r="O617" s="167" t="str">
        <f>IF(ISBLANK(Table123[[#This Row],[Odds Spread]]), "", 1)</f>
      </c>
      <c r="P617" s="67"/>
      <c r="Q617" s="67"/>
      <c r="R6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7" s="67"/>
      <c r="T617" s="67"/>
      <c r="U617" s="168" t="str">
        <f>IF(ISBLANK(Table123[[#This Row],[Odds Side - Difference Model]]), "",N617+IF(Q617&lt;0, (N617/(Q617/-100)), N617*(Q617/100)))</f>
      </c>
      <c r="V617" s="169" t="str">
        <f>IFERROR(IF(ISBLANK(Table123[[#This Row],[Odds Side - Win Probability Model]]), "",N617+IF(R617&lt;0, (N617/(R617/-100)), N617*(R617/100))),"")</f>
      </c>
      <c r="W617" s="168" t="str">
        <f t="shared" si="61"/>
      </c>
      <c r="X617" s="169" t="str">
        <f t="shared" si="62"/>
      </c>
      <c r="Y617" s="168" t="str">
        <f>IF(ISBLANK(Table123[[#This Row],[Odds Spread]]), "",O617+IF(S617&lt;0, (O617/(S617/-100)), O617*(S617/100)))</f>
      </c>
      <c r="Z617" s="168" t="str">
        <f t="shared" si="63"/>
      </c>
      <c r="AA617" s="68" t="n">
        <f t="shared" si="64"/>
        <v>0</v>
      </c>
      <c r="AB617" s="68" t="n">
        <f t="shared" si="65"/>
        <v>0</v>
      </c>
      <c r="AC617" s="170" t="e">
        <f>IF('Prediction Log'!#REF!="Y", "W", IF('Prediction Log'!#REF!="N","L",""))</f>
        <v>#REF!</v>
      </c>
      <c r="AD617" s="171" t="e">
        <f>IF('Prediction Log'!#REF!="Y", "W", IF('Prediction Log'!#REF!="N","L",""))</f>
        <v>#REF!</v>
      </c>
      <c r="AE617" s="172" t="str">
        <f>IF(ISBLANK(Table123[[#This Row],[Odds Side - Difference Model]]), "",IF(AC617="W", W617, IF(AC617="L",-N617, "")))</f>
      </c>
      <c r="AF617" s="173" t="str">
        <f>IFERROR((IF(ISERR(Table123[[#This Row],[Potential Payout Side - Win Probability Model]]), "",IF(AD617="W", X617, IF(AD617="L",-N617, "")))), "")</f>
      </c>
      <c r="AG617" s="170" t="e">
        <f>IF('Prediction Log'!#REF!="Y", "W", IF('Prediction Log'!#REF!="N", "L", ""))</f>
        <v>#REF!</v>
      </c>
      <c r="AH617" s="172" t="str">
        <f>IF(ISBLANK(Table123[[#This Row],[Odds Spread]]), "",IF(AG617="W", Z617, IF(AG617="L",-O617, "")))</f>
      </c>
      <c r="AI617" s="184"/>
      <c r="AJ617" s="183" t="str">
        <f t="shared" si="66"/>
      </c>
      <c r="AK6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8">
      <c r="A618" s="65" t="e">
        <f>Games!#REF!</f>
        <v>#REF!</v>
      </c>
      <c r="B618" s="65" t="e">
        <f>IF('Prediction Log'!#REF!=0, "",'Prediction Log'!#REF!)</f>
        <v>#REF!</v>
      </c>
      <c r="C618" s="65" t="e">
        <f>IF('Prediction Log'!#REF!=0, "",'Prediction Log'!#REF!)</f>
        <v>#REF!</v>
      </c>
      <c r="D618" s="65" t="e">
        <f>IF('Prediction Log'!#REF!=0, "",'Prediction Log'!#REF!)</f>
        <v>#REF!</v>
      </c>
      <c r="E618" s="65" t="e">
        <f>IF('Prediction Log'!#REF!=0, "",'Prediction Log'!#REF!)</f>
        <v>#REF!</v>
      </c>
      <c r="F618" s="65" t="e">
        <f>IF('Prediction Log'!#REF!=0, "",'Prediction Log'!#REF!)</f>
        <v>#REF!</v>
      </c>
      <c r="G618" s="64" t="e">
        <f>IF(ISBLANK(Games!#REF!), "",'Prediction Log'!#REF!)</f>
        <v>#REF!</v>
      </c>
      <c r="H618" s="66" t="e">
        <f>'Prediction Log'!#REF!</f>
        <v>#REF!</v>
      </c>
      <c r="I618" s="65" t="e">
        <f>IF(ISBLANK(Games!#REF!), "",IF(AND(Games!#REF!="",Games!#REF!=""),"",IF(ISTEXT(Games!#REF!), "Side",Games!#REF!)))</f>
        <v>#REF!</v>
      </c>
      <c r="J618" s="65" t="e">
        <f>IF(ISBLANK(Games!#REF!), "",IF(Games!#REF!="Y", Games!#REF!, Games!#REF!))</f>
        <v>#REF!</v>
      </c>
      <c r="K618" s="65" t="e">
        <f>Games!#REF!</f>
        <v>#REF!</v>
      </c>
      <c r="L618" s="65" t="e">
        <f>IF(ISBLANK(Games!#REF!), "",Games!#REF!)</f>
        <v>#REF!</v>
      </c>
      <c r="M618" s="65"/>
      <c r="N618" s="167" t="str">
        <f>IF(ISBLANK(Table123[[#This Row],[Odds Side - Difference Model]]), "", 1)</f>
      </c>
      <c r="O618" s="167" t="str">
        <f>IF(ISBLANK(Table123[[#This Row],[Odds Spread]]), "", 1)</f>
      </c>
      <c r="P618" s="67"/>
      <c r="Q618" s="67"/>
      <c r="R6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8" s="67"/>
      <c r="T618" s="67"/>
      <c r="U618" s="168" t="str">
        <f>IF(ISBLANK(Table123[[#This Row],[Odds Side - Difference Model]]), "",N618+IF(Q618&lt;0, (N618/(Q618/-100)), N618*(Q618/100)))</f>
      </c>
      <c r="V618" s="169" t="str">
        <f>IFERROR(IF(ISBLANK(Table123[[#This Row],[Odds Side - Win Probability Model]]), "",N618+IF(R618&lt;0, (N618/(R618/-100)), N618*(R618/100))),"")</f>
      </c>
      <c r="W618" s="168" t="str">
        <f t="shared" si="61"/>
      </c>
      <c r="X618" s="169" t="str">
        <f t="shared" si="62"/>
      </c>
      <c r="Y618" s="168" t="str">
        <f>IF(ISBLANK(Table123[[#This Row],[Odds Spread]]), "",O618+IF(S618&lt;0, (O618/(S618/-100)), O618*(S618/100)))</f>
      </c>
      <c r="Z618" s="168" t="str">
        <f t="shared" si="63"/>
      </c>
      <c r="AA618" s="68" t="n">
        <f t="shared" si="64"/>
        <v>0</v>
      </c>
      <c r="AB618" s="68" t="n">
        <f t="shared" si="65"/>
        <v>0</v>
      </c>
      <c r="AC618" s="170" t="e">
        <f>IF('Prediction Log'!#REF!="Y", "W", IF('Prediction Log'!#REF!="N","L",""))</f>
        <v>#REF!</v>
      </c>
      <c r="AD618" s="171" t="e">
        <f>IF('Prediction Log'!#REF!="Y", "W", IF('Prediction Log'!#REF!="N","L",""))</f>
        <v>#REF!</v>
      </c>
      <c r="AE618" s="172" t="str">
        <f>IF(ISBLANK(Table123[[#This Row],[Odds Side - Difference Model]]), "",IF(AC618="W", W618, IF(AC618="L",-N618, "")))</f>
      </c>
      <c r="AF618" s="173" t="str">
        <f>IFERROR((IF(ISERR(Table123[[#This Row],[Potential Payout Side - Win Probability Model]]), "",IF(AD618="W", X618, IF(AD618="L",-N618, "")))), "")</f>
      </c>
      <c r="AG618" s="170" t="e">
        <f>IF('Prediction Log'!#REF!="Y", "W", IF('Prediction Log'!#REF!="N", "L", ""))</f>
        <v>#REF!</v>
      </c>
      <c r="AH618" s="172" t="str">
        <f>IF(ISBLANK(Table123[[#This Row],[Odds Spread]]), "",IF(AG618="W", Z618, IF(AG618="L",-O618, "")))</f>
      </c>
      <c r="AI618" s="184"/>
      <c r="AJ618" s="183" t="str">
        <f t="shared" si="66"/>
      </c>
      <c r="AK6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9">
      <c r="A619" s="65" t="e">
        <f>Games!#REF!</f>
        <v>#REF!</v>
      </c>
      <c r="B619" s="65" t="e">
        <f>IF('Prediction Log'!#REF!=0, "",'Prediction Log'!#REF!)</f>
        <v>#REF!</v>
      </c>
      <c r="C619" s="65" t="e">
        <f>IF('Prediction Log'!#REF!=0, "",'Prediction Log'!#REF!)</f>
        <v>#REF!</v>
      </c>
      <c r="D619" s="65" t="e">
        <f>IF('Prediction Log'!#REF!=0, "",'Prediction Log'!#REF!)</f>
        <v>#REF!</v>
      </c>
      <c r="E619" s="65" t="e">
        <f>IF('Prediction Log'!#REF!=0, "",'Prediction Log'!#REF!)</f>
        <v>#REF!</v>
      </c>
      <c r="F619" s="65" t="e">
        <f>IF('Prediction Log'!#REF!=0, "",'Prediction Log'!#REF!)</f>
        <v>#REF!</v>
      </c>
      <c r="G619" s="64" t="e">
        <f>IF(ISBLANK(Games!#REF!), "",'Prediction Log'!#REF!)</f>
        <v>#REF!</v>
      </c>
      <c r="H619" s="66" t="e">
        <f>'Prediction Log'!#REF!</f>
        <v>#REF!</v>
      </c>
      <c r="I619" s="65" t="e">
        <f>IF(ISBLANK(Games!#REF!), "",IF(AND(Games!#REF!="",Games!#REF!=""),"",IF(ISTEXT(Games!#REF!), "Side",Games!#REF!)))</f>
        <v>#REF!</v>
      </c>
      <c r="J619" s="65" t="e">
        <f>IF(ISBLANK(Games!#REF!), "",IF(Games!#REF!="Y", Games!#REF!, Games!#REF!))</f>
        <v>#REF!</v>
      </c>
      <c r="K619" s="65" t="e">
        <f>Games!#REF!</f>
        <v>#REF!</v>
      </c>
      <c r="L619" s="65" t="e">
        <f>IF(ISBLANK(Games!#REF!), "",Games!#REF!)</f>
        <v>#REF!</v>
      </c>
      <c r="M619" s="65"/>
      <c r="N619" s="167" t="str">
        <f>IF(ISBLANK(Table123[[#This Row],[Odds Side - Difference Model]]), "", 1)</f>
      </c>
      <c r="O619" s="167" t="str">
        <f>IF(ISBLANK(Table123[[#This Row],[Odds Spread]]), "", 1)</f>
      </c>
      <c r="P619" s="67"/>
      <c r="Q619" s="67"/>
      <c r="R6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9" s="67"/>
      <c r="T619" s="67"/>
      <c r="U619" s="168" t="str">
        <f>IF(ISBLANK(Table123[[#This Row],[Odds Side - Difference Model]]), "",N619+IF(Q619&lt;0, (N619/(Q619/-100)), N619*(Q619/100)))</f>
      </c>
      <c r="V619" s="169" t="str">
        <f>IFERROR(IF(ISBLANK(Table123[[#This Row],[Odds Side - Win Probability Model]]), "",N619+IF(R619&lt;0, (N619/(R619/-100)), N619*(R619/100))),"")</f>
      </c>
      <c r="W619" s="168" t="str">
        <f t="shared" si="61"/>
      </c>
      <c r="X619" s="169" t="str">
        <f t="shared" si="62"/>
      </c>
      <c r="Y619" s="168" t="str">
        <f>IF(ISBLANK(Table123[[#This Row],[Odds Spread]]), "",O619+IF(S619&lt;0, (O619/(S619/-100)), O619*(S619/100)))</f>
      </c>
      <c r="Z619" s="168" t="str">
        <f t="shared" si="63"/>
      </c>
      <c r="AA619" s="68" t="n">
        <f t="shared" si="64"/>
        <v>0</v>
      </c>
      <c r="AB619" s="68" t="n">
        <f t="shared" si="65"/>
        <v>0</v>
      </c>
      <c r="AC619" s="170" t="e">
        <f>IF('Prediction Log'!#REF!="Y", "W", IF('Prediction Log'!#REF!="N","L",""))</f>
        <v>#REF!</v>
      </c>
      <c r="AD619" s="171" t="e">
        <f>IF('Prediction Log'!#REF!="Y", "W", IF('Prediction Log'!#REF!="N","L",""))</f>
        <v>#REF!</v>
      </c>
      <c r="AE619" s="172" t="str">
        <f>IF(ISBLANK(Table123[[#This Row],[Odds Side - Difference Model]]), "",IF(AC619="W", W619, IF(AC619="L",-N619, "")))</f>
      </c>
      <c r="AF619" s="173" t="str">
        <f>IFERROR((IF(ISERR(Table123[[#This Row],[Potential Payout Side - Win Probability Model]]), "",IF(AD619="W", X619, IF(AD619="L",-N619, "")))), "")</f>
      </c>
      <c r="AG619" s="170" t="e">
        <f>IF('Prediction Log'!#REF!="Y", "W", IF('Prediction Log'!#REF!="N", "L", ""))</f>
        <v>#REF!</v>
      </c>
      <c r="AH619" s="172" t="str">
        <f>IF(ISBLANK(Table123[[#This Row],[Odds Spread]]), "",IF(AG619="W", Z619, IF(AG619="L",-O619, "")))</f>
      </c>
      <c r="AI619" s="184"/>
      <c r="AJ619" s="183" t="str">
        <f t="shared" si="66"/>
      </c>
      <c r="AK6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0">
      <c r="A620" s="65" t="e">
        <f>Games!#REF!</f>
        <v>#REF!</v>
      </c>
      <c r="B620" s="65" t="e">
        <f>IF('Prediction Log'!#REF!=0, "",'Prediction Log'!#REF!)</f>
        <v>#REF!</v>
      </c>
      <c r="C620" s="65" t="e">
        <f>IF('Prediction Log'!#REF!=0, "",'Prediction Log'!#REF!)</f>
        <v>#REF!</v>
      </c>
      <c r="D620" s="65" t="e">
        <f>IF('Prediction Log'!#REF!=0, "",'Prediction Log'!#REF!)</f>
        <v>#REF!</v>
      </c>
      <c r="E620" s="65" t="e">
        <f>IF('Prediction Log'!#REF!=0, "",'Prediction Log'!#REF!)</f>
        <v>#REF!</v>
      </c>
      <c r="F620" s="65" t="e">
        <f>IF('Prediction Log'!#REF!=0, "",'Prediction Log'!#REF!)</f>
        <v>#REF!</v>
      </c>
      <c r="G620" s="64" t="e">
        <f>IF(ISBLANK(Games!#REF!), "",'Prediction Log'!#REF!)</f>
        <v>#REF!</v>
      </c>
      <c r="H620" s="66" t="e">
        <f>'Prediction Log'!#REF!</f>
        <v>#REF!</v>
      </c>
      <c r="I620" s="65" t="e">
        <f>IF(ISBLANK(Games!#REF!), "",IF(AND(Games!#REF!="",Games!#REF!=""),"",IF(ISTEXT(Games!#REF!), "Side",Games!#REF!)))</f>
        <v>#REF!</v>
      </c>
      <c r="J620" s="65" t="e">
        <f>IF(ISBLANK(Games!#REF!), "",IF(Games!#REF!="Y", Games!#REF!, Games!#REF!))</f>
        <v>#REF!</v>
      </c>
      <c r="K620" s="65" t="e">
        <f>Games!#REF!</f>
        <v>#REF!</v>
      </c>
      <c r="L620" s="65" t="e">
        <f>IF(ISBLANK(Games!#REF!), "",Games!#REF!)</f>
        <v>#REF!</v>
      </c>
      <c r="M620" s="65"/>
      <c r="N620" s="167" t="str">
        <f>IF(ISBLANK(Table123[[#This Row],[Odds Side - Difference Model]]), "", 1)</f>
      </c>
      <c r="O620" s="167" t="str">
        <f>IF(ISBLANK(Table123[[#This Row],[Odds Spread]]), "", 1)</f>
      </c>
      <c r="P620" s="67"/>
      <c r="Q620" s="67"/>
      <c r="R6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0" s="67"/>
      <c r="T620" s="67"/>
      <c r="U620" s="168" t="str">
        <f>IF(ISBLANK(Table123[[#This Row],[Odds Side - Difference Model]]), "",N620+IF(Q620&lt;0, (N620/(Q620/-100)), N620*(Q620/100)))</f>
      </c>
      <c r="V620" s="169" t="str">
        <f>IFERROR(IF(ISBLANK(Table123[[#This Row],[Odds Side - Win Probability Model]]), "",N620+IF(R620&lt;0, (N620/(R620/-100)), N620*(R620/100))),"")</f>
      </c>
      <c r="W620" s="168" t="str">
        <f t="shared" si="61"/>
      </c>
      <c r="X620" s="169" t="str">
        <f t="shared" si="62"/>
      </c>
      <c r="Y620" s="168" t="str">
        <f>IF(ISBLANK(Table123[[#This Row],[Odds Spread]]), "",O620+IF(S620&lt;0, (O620/(S620/-100)), O620*(S620/100)))</f>
      </c>
      <c r="Z620" s="168" t="str">
        <f t="shared" si="63"/>
      </c>
      <c r="AA620" s="68" t="n">
        <f t="shared" si="64"/>
        <v>0</v>
      </c>
      <c r="AB620" s="68" t="n">
        <f t="shared" si="65"/>
        <v>0</v>
      </c>
      <c r="AC620" s="170" t="e">
        <f>IF('Prediction Log'!#REF!="Y", "W", IF('Prediction Log'!#REF!="N","L",""))</f>
        <v>#REF!</v>
      </c>
      <c r="AD620" s="171" t="e">
        <f>IF('Prediction Log'!#REF!="Y", "W", IF('Prediction Log'!#REF!="N","L",""))</f>
        <v>#REF!</v>
      </c>
      <c r="AE620" s="172" t="str">
        <f>IF(ISBLANK(Table123[[#This Row],[Odds Side - Difference Model]]), "",IF(AC620="W", W620, IF(AC620="L",-N620, "")))</f>
      </c>
      <c r="AF620" s="173" t="str">
        <f>IFERROR((IF(ISERR(Table123[[#This Row],[Potential Payout Side - Win Probability Model]]), "",IF(AD620="W", X620, IF(AD620="L",-N620, "")))), "")</f>
      </c>
      <c r="AG620" s="170" t="e">
        <f>IF('Prediction Log'!#REF!="Y", "W", IF('Prediction Log'!#REF!="N", "L", ""))</f>
        <v>#REF!</v>
      </c>
      <c r="AH620" s="172" t="str">
        <f>IF(ISBLANK(Table123[[#This Row],[Odds Spread]]), "",IF(AG620="W", Z620, IF(AG620="L",-O620, "")))</f>
      </c>
      <c r="AI620" s="184"/>
      <c r="AJ620" s="183" t="str">
        <f t="shared" si="66"/>
      </c>
      <c r="AK6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1">
      <c r="A621" s="65" t="e">
        <f>Games!#REF!</f>
        <v>#REF!</v>
      </c>
      <c r="B621" s="65" t="e">
        <f>IF('Prediction Log'!#REF!=0, "",'Prediction Log'!#REF!)</f>
        <v>#REF!</v>
      </c>
      <c r="C621" s="65" t="e">
        <f>IF('Prediction Log'!#REF!=0, "",'Prediction Log'!#REF!)</f>
        <v>#REF!</v>
      </c>
      <c r="D621" s="65" t="e">
        <f>IF('Prediction Log'!#REF!=0, "",'Prediction Log'!#REF!)</f>
        <v>#REF!</v>
      </c>
      <c r="E621" s="65" t="e">
        <f>IF('Prediction Log'!#REF!=0, "",'Prediction Log'!#REF!)</f>
        <v>#REF!</v>
      </c>
      <c r="F621" s="65" t="e">
        <f>IF('Prediction Log'!#REF!=0, "",'Prediction Log'!#REF!)</f>
        <v>#REF!</v>
      </c>
      <c r="G621" s="64" t="e">
        <f>IF(ISBLANK(Games!#REF!), "",'Prediction Log'!#REF!)</f>
        <v>#REF!</v>
      </c>
      <c r="H621" s="66" t="e">
        <f>'Prediction Log'!#REF!</f>
        <v>#REF!</v>
      </c>
      <c r="I621" s="65" t="e">
        <f>IF(ISBLANK(Games!#REF!), "",IF(AND(Games!#REF!="",Games!#REF!=""),"",IF(ISTEXT(Games!#REF!), "Side",Games!#REF!)))</f>
        <v>#REF!</v>
      </c>
      <c r="J621" s="65" t="e">
        <f>IF(ISBLANK(Games!#REF!), "",IF(Games!#REF!="Y", Games!#REF!, Games!#REF!))</f>
        <v>#REF!</v>
      </c>
      <c r="K621" s="65" t="e">
        <f>Games!#REF!</f>
        <v>#REF!</v>
      </c>
      <c r="L621" s="65" t="e">
        <f>IF(ISBLANK(Games!#REF!), "",Games!#REF!)</f>
        <v>#REF!</v>
      </c>
      <c r="M621" s="65"/>
      <c r="N621" s="167" t="str">
        <f>IF(ISBLANK(Table123[[#This Row],[Odds Side - Difference Model]]), "", 1)</f>
      </c>
      <c r="O621" s="167" t="str">
        <f>IF(ISBLANK(Table123[[#This Row],[Odds Spread]]), "", 1)</f>
      </c>
      <c r="P621" s="67"/>
      <c r="Q621" s="67"/>
      <c r="R6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1" s="67"/>
      <c r="T621" s="67"/>
      <c r="U621" s="168" t="str">
        <f>IF(ISBLANK(Table123[[#This Row],[Odds Side - Difference Model]]), "",N621+IF(Q621&lt;0, (N621/(Q621/-100)), N621*(Q621/100)))</f>
      </c>
      <c r="V621" s="169" t="str">
        <f>IFERROR(IF(ISBLANK(Table123[[#This Row],[Odds Side - Win Probability Model]]), "",N621+IF(R621&lt;0, (N621/(R621/-100)), N621*(R621/100))),"")</f>
      </c>
      <c r="W621" s="168" t="str">
        <f t="shared" si="61"/>
      </c>
      <c r="X621" s="169" t="str">
        <f t="shared" si="62"/>
      </c>
      <c r="Y621" s="168" t="str">
        <f>IF(ISBLANK(Table123[[#This Row],[Odds Spread]]), "",O621+IF(S621&lt;0, (O621/(S621/-100)), O621*(S621/100)))</f>
      </c>
      <c r="Z621" s="168" t="str">
        <f t="shared" si="63"/>
      </c>
      <c r="AA621" s="68" t="n">
        <f t="shared" si="64"/>
        <v>0</v>
      </c>
      <c r="AB621" s="68" t="n">
        <f t="shared" si="65"/>
        <v>0</v>
      </c>
      <c r="AC621" s="170" t="e">
        <f>IF('Prediction Log'!#REF!="Y", "W", IF('Prediction Log'!#REF!="N","L",""))</f>
        <v>#REF!</v>
      </c>
      <c r="AD621" s="171" t="e">
        <f>IF('Prediction Log'!#REF!="Y", "W", IF('Prediction Log'!#REF!="N","L",""))</f>
        <v>#REF!</v>
      </c>
      <c r="AE621" s="172" t="str">
        <f>IF(ISBLANK(Table123[[#This Row],[Odds Side - Difference Model]]), "",IF(AC621="W", W621, IF(AC621="L",-N621, "")))</f>
      </c>
      <c r="AF621" s="173" t="str">
        <f>IFERROR((IF(ISERR(Table123[[#This Row],[Potential Payout Side - Win Probability Model]]), "",IF(AD621="W", X621, IF(AD621="L",-N621, "")))), "")</f>
      </c>
      <c r="AG621" s="170" t="e">
        <f>IF('Prediction Log'!#REF!="Y", "W", IF('Prediction Log'!#REF!="N", "L", ""))</f>
        <v>#REF!</v>
      </c>
      <c r="AH621" s="172" t="str">
        <f>IF(ISBLANK(Table123[[#This Row],[Odds Spread]]), "",IF(AG621="W", Z621, IF(AG621="L",-O621, "")))</f>
      </c>
      <c r="AI621" s="184"/>
      <c r="AJ621" s="183" t="str">
        <f t="shared" si="66"/>
      </c>
      <c r="AK6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2">
      <c r="A622" s="65" t="e">
        <f>Games!#REF!</f>
        <v>#REF!</v>
      </c>
      <c r="B622" s="65" t="e">
        <f>IF('Prediction Log'!#REF!=0, "",'Prediction Log'!#REF!)</f>
        <v>#REF!</v>
      </c>
      <c r="C622" s="65" t="e">
        <f>IF('Prediction Log'!#REF!=0, "",'Prediction Log'!#REF!)</f>
        <v>#REF!</v>
      </c>
      <c r="D622" s="65" t="e">
        <f>IF('Prediction Log'!#REF!=0, "",'Prediction Log'!#REF!)</f>
        <v>#REF!</v>
      </c>
      <c r="E622" s="65" t="e">
        <f>IF('Prediction Log'!#REF!=0, "",'Prediction Log'!#REF!)</f>
        <v>#REF!</v>
      </c>
      <c r="F622" s="65" t="e">
        <f>IF('Prediction Log'!#REF!=0, "",'Prediction Log'!#REF!)</f>
        <v>#REF!</v>
      </c>
      <c r="G622" s="64" t="e">
        <f>IF(ISBLANK(Games!#REF!), "",'Prediction Log'!#REF!)</f>
        <v>#REF!</v>
      </c>
      <c r="H622" s="66" t="e">
        <f>'Prediction Log'!#REF!</f>
        <v>#REF!</v>
      </c>
      <c r="I622" s="65" t="e">
        <f>IF(ISBLANK(Games!#REF!), "",IF(AND(Games!#REF!="",Games!#REF!=""),"",IF(ISTEXT(Games!#REF!), "Side",Games!#REF!)))</f>
        <v>#REF!</v>
      </c>
      <c r="J622" s="65" t="e">
        <f>IF(ISBLANK(Games!#REF!), "",IF(Games!#REF!="Y", Games!#REF!, Games!#REF!))</f>
        <v>#REF!</v>
      </c>
      <c r="K622" s="65" t="e">
        <f>Games!#REF!</f>
        <v>#REF!</v>
      </c>
      <c r="L622" s="65" t="e">
        <f>IF(ISBLANK(Games!#REF!), "",Games!#REF!)</f>
        <v>#REF!</v>
      </c>
      <c r="M622" s="65"/>
      <c r="N622" s="167" t="str">
        <f>IF(ISBLANK(Table123[[#This Row],[Odds Side - Difference Model]]), "", 1)</f>
      </c>
      <c r="O622" s="167" t="str">
        <f>IF(ISBLANK(Table123[[#This Row],[Odds Spread]]), "", 1)</f>
      </c>
      <c r="P622" s="67"/>
      <c r="Q622" s="67"/>
      <c r="R6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2" s="67"/>
      <c r="T622" s="67"/>
      <c r="U622" s="168" t="str">
        <f>IF(ISBLANK(Table123[[#This Row],[Odds Side - Difference Model]]), "",N622+IF(Q622&lt;0, (N622/(Q622/-100)), N622*(Q622/100)))</f>
      </c>
      <c r="V622" s="169" t="str">
        <f>IFERROR(IF(ISBLANK(Table123[[#This Row],[Odds Side - Win Probability Model]]), "",N622+IF(R622&lt;0, (N622/(R622/-100)), N622*(R622/100))),"")</f>
      </c>
      <c r="W622" s="168" t="str">
        <f t="shared" si="61"/>
      </c>
      <c r="X622" s="169" t="str">
        <f t="shared" si="62"/>
      </c>
      <c r="Y622" s="168" t="str">
        <f>IF(ISBLANK(Table123[[#This Row],[Odds Spread]]), "",O622+IF(S622&lt;0, (O622/(S622/-100)), O622*(S622/100)))</f>
      </c>
      <c r="Z622" s="168" t="str">
        <f t="shared" si="63"/>
      </c>
      <c r="AA622" s="68" t="n">
        <f t="shared" si="64"/>
        <v>0</v>
      </c>
      <c r="AB622" s="68" t="n">
        <f t="shared" si="65"/>
        <v>0</v>
      </c>
      <c r="AC622" s="170" t="e">
        <f>IF('Prediction Log'!#REF!="Y", "W", IF('Prediction Log'!#REF!="N","L",""))</f>
        <v>#REF!</v>
      </c>
      <c r="AD622" s="171" t="e">
        <f>IF('Prediction Log'!#REF!="Y", "W", IF('Prediction Log'!#REF!="N","L",""))</f>
        <v>#REF!</v>
      </c>
      <c r="AE622" s="172" t="str">
        <f>IF(ISBLANK(Table123[[#This Row],[Odds Side - Difference Model]]), "",IF(AC622="W", W622, IF(AC622="L",-N622, "")))</f>
      </c>
      <c r="AF622" s="173" t="str">
        <f>IFERROR((IF(ISERR(Table123[[#This Row],[Potential Payout Side - Win Probability Model]]), "",IF(AD622="W", X622, IF(AD622="L",-N622, "")))), "")</f>
      </c>
      <c r="AG622" s="170" t="e">
        <f>IF('Prediction Log'!#REF!="Y", "W", IF('Prediction Log'!#REF!="N", "L", ""))</f>
        <v>#REF!</v>
      </c>
      <c r="AH622" s="172" t="str">
        <f>IF(ISBLANK(Table123[[#This Row],[Odds Spread]]), "",IF(AG622="W", Z622, IF(AG622="L",-O622, "")))</f>
      </c>
      <c r="AI622" s="184"/>
      <c r="AJ622" s="183" t="str">
        <f t="shared" si="66"/>
      </c>
      <c r="AK6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3">
      <c r="A623" s="65" t="e">
        <f>Games!#REF!</f>
        <v>#REF!</v>
      </c>
      <c r="B623" s="65" t="e">
        <f>IF('Prediction Log'!#REF!=0, "",'Prediction Log'!#REF!)</f>
        <v>#REF!</v>
      </c>
      <c r="C623" s="65" t="e">
        <f>IF('Prediction Log'!#REF!=0, "",'Prediction Log'!#REF!)</f>
        <v>#REF!</v>
      </c>
      <c r="D623" s="65" t="e">
        <f>IF('Prediction Log'!#REF!=0, "",'Prediction Log'!#REF!)</f>
        <v>#REF!</v>
      </c>
      <c r="E623" s="65" t="e">
        <f>IF('Prediction Log'!#REF!=0, "",'Prediction Log'!#REF!)</f>
        <v>#REF!</v>
      </c>
      <c r="F623" s="65" t="e">
        <f>IF('Prediction Log'!#REF!=0, "",'Prediction Log'!#REF!)</f>
        <v>#REF!</v>
      </c>
      <c r="G623" s="64" t="e">
        <f>IF(ISBLANK(Games!#REF!), "",'Prediction Log'!#REF!)</f>
        <v>#REF!</v>
      </c>
      <c r="H623" s="66" t="e">
        <f>'Prediction Log'!#REF!</f>
        <v>#REF!</v>
      </c>
      <c r="I623" s="65" t="e">
        <f>IF(ISBLANK(Games!#REF!), "",IF(AND(Games!#REF!="",Games!#REF!=""),"",IF(ISTEXT(Games!#REF!), "Side",Games!#REF!)))</f>
        <v>#REF!</v>
      </c>
      <c r="J623" s="65" t="e">
        <f>IF(ISBLANK(Games!#REF!), "",IF(Games!#REF!="Y", Games!#REF!, Games!#REF!))</f>
        <v>#REF!</v>
      </c>
      <c r="K623" s="65" t="e">
        <f>Games!#REF!</f>
        <v>#REF!</v>
      </c>
      <c r="L623" s="65" t="e">
        <f>IF(ISBLANK(Games!#REF!), "",Games!#REF!)</f>
        <v>#REF!</v>
      </c>
      <c r="M623" s="65"/>
      <c r="N623" s="167" t="str">
        <f>IF(ISBLANK(Table123[[#This Row],[Odds Side - Difference Model]]), "", 1)</f>
      </c>
      <c r="O623" s="167" t="str">
        <f>IF(ISBLANK(Table123[[#This Row],[Odds Spread]]), "", 1)</f>
      </c>
      <c r="P623" s="67"/>
      <c r="Q623" s="67"/>
      <c r="R6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3" s="67"/>
      <c r="T623" s="67"/>
      <c r="U623" s="168" t="str">
        <f>IF(ISBLANK(Table123[[#This Row],[Odds Side - Difference Model]]), "",N623+IF(Q623&lt;0, (N623/(Q623/-100)), N623*(Q623/100)))</f>
      </c>
      <c r="V623" s="169" t="str">
        <f>IFERROR(IF(ISBLANK(Table123[[#This Row],[Odds Side - Win Probability Model]]), "",N623+IF(R623&lt;0, (N623/(R623/-100)), N623*(R623/100))),"")</f>
      </c>
      <c r="W623" s="168" t="str">
        <f t="shared" si="61"/>
      </c>
      <c r="X623" s="169" t="str">
        <f t="shared" si="62"/>
      </c>
      <c r="Y623" s="168" t="str">
        <f>IF(ISBLANK(Table123[[#This Row],[Odds Spread]]), "",O623+IF(S623&lt;0, (O623/(S623/-100)), O623*(S623/100)))</f>
      </c>
      <c r="Z623" s="168" t="str">
        <f t="shared" si="63"/>
      </c>
      <c r="AA623" s="68" t="n">
        <f t="shared" si="64"/>
        <v>0</v>
      </c>
      <c r="AB623" s="68" t="n">
        <f t="shared" si="65"/>
        <v>0</v>
      </c>
      <c r="AC623" s="170" t="e">
        <f>IF('Prediction Log'!#REF!="Y", "W", IF('Prediction Log'!#REF!="N","L",""))</f>
        <v>#REF!</v>
      </c>
      <c r="AD623" s="171" t="e">
        <f>IF('Prediction Log'!#REF!="Y", "W", IF('Prediction Log'!#REF!="N","L",""))</f>
        <v>#REF!</v>
      </c>
      <c r="AE623" s="172" t="str">
        <f>IF(ISBLANK(Table123[[#This Row],[Odds Side - Difference Model]]), "",IF(AC623="W", W623, IF(AC623="L",-N623, "")))</f>
      </c>
      <c r="AF623" s="173" t="str">
        <f>IFERROR((IF(ISERR(Table123[[#This Row],[Potential Payout Side - Win Probability Model]]), "",IF(AD623="W", X623, IF(AD623="L",-N623, "")))), "")</f>
      </c>
      <c r="AG623" s="170" t="e">
        <f>IF('Prediction Log'!#REF!="Y", "W", IF('Prediction Log'!#REF!="N", "L", ""))</f>
        <v>#REF!</v>
      </c>
      <c r="AH623" s="172" t="str">
        <f>IF(ISBLANK(Table123[[#This Row],[Odds Spread]]), "",IF(AG623="W", Z623, IF(AG623="L",-O623, "")))</f>
      </c>
      <c r="AI623" s="184"/>
      <c r="AJ623" s="183" t="str">
        <f t="shared" si="66"/>
      </c>
      <c r="AK6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4">
      <c r="A624" s="65" t="e">
        <f>Games!#REF!</f>
        <v>#REF!</v>
      </c>
      <c r="B624" s="65" t="e">
        <f>IF('Prediction Log'!#REF!=0, "",'Prediction Log'!#REF!)</f>
        <v>#REF!</v>
      </c>
      <c r="C624" s="65" t="e">
        <f>IF('Prediction Log'!#REF!=0, "",'Prediction Log'!#REF!)</f>
        <v>#REF!</v>
      </c>
      <c r="D624" s="65" t="e">
        <f>IF('Prediction Log'!#REF!=0, "",'Prediction Log'!#REF!)</f>
        <v>#REF!</v>
      </c>
      <c r="E624" s="65" t="e">
        <f>IF('Prediction Log'!#REF!=0, "",'Prediction Log'!#REF!)</f>
        <v>#REF!</v>
      </c>
      <c r="F624" s="65" t="e">
        <f>IF('Prediction Log'!#REF!=0, "",'Prediction Log'!#REF!)</f>
        <v>#REF!</v>
      </c>
      <c r="G624" s="64" t="e">
        <f>IF(ISBLANK(Games!#REF!), "",'Prediction Log'!#REF!)</f>
        <v>#REF!</v>
      </c>
      <c r="H624" s="66" t="e">
        <f>'Prediction Log'!#REF!</f>
        <v>#REF!</v>
      </c>
      <c r="I624" s="65" t="e">
        <f>IF(ISBLANK(Games!#REF!), "",IF(AND(Games!#REF!="",Games!#REF!=""),"",IF(ISTEXT(Games!#REF!), "Side",Games!#REF!)))</f>
        <v>#REF!</v>
      </c>
      <c r="J624" s="65" t="e">
        <f>IF(ISBLANK(Games!#REF!), "",IF(Games!#REF!="Y", Games!#REF!, Games!#REF!))</f>
        <v>#REF!</v>
      </c>
      <c r="K624" s="65" t="e">
        <f>Games!#REF!</f>
        <v>#REF!</v>
      </c>
      <c r="L624" s="65" t="e">
        <f>IF(ISBLANK(Games!#REF!), "",Games!#REF!)</f>
        <v>#REF!</v>
      </c>
      <c r="M624" s="65"/>
      <c r="N624" s="167" t="str">
        <f>IF(ISBLANK(Table123[[#This Row],[Odds Side - Difference Model]]), "", 1)</f>
      </c>
      <c r="O624" s="167" t="str">
        <f>IF(ISBLANK(Table123[[#This Row],[Odds Spread]]), "", 1)</f>
      </c>
      <c r="P624" s="67"/>
      <c r="Q624" s="67"/>
      <c r="R6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4" s="67"/>
      <c r="T624" s="67"/>
      <c r="U624" s="168" t="str">
        <f>IF(ISBLANK(Table123[[#This Row],[Odds Side - Difference Model]]), "",N624+IF(Q624&lt;0, (N624/(Q624/-100)), N624*(Q624/100)))</f>
      </c>
      <c r="V624" s="169" t="str">
        <f>IFERROR(IF(ISBLANK(Table123[[#This Row],[Odds Side - Win Probability Model]]), "",N624+IF(R624&lt;0, (N624/(R624/-100)), N624*(R624/100))),"")</f>
      </c>
      <c r="W624" s="168" t="str">
        <f t="shared" si="61"/>
      </c>
      <c r="X624" s="169" t="str">
        <f t="shared" si="62"/>
      </c>
      <c r="Y624" s="168" t="str">
        <f>IF(ISBLANK(Table123[[#This Row],[Odds Spread]]), "",O624+IF(S624&lt;0, (O624/(S624/-100)), O624*(S624/100)))</f>
      </c>
      <c r="Z624" s="168" t="str">
        <f t="shared" si="63"/>
      </c>
      <c r="AA624" s="68" t="n">
        <f t="shared" si="64"/>
        <v>0</v>
      </c>
      <c r="AB624" s="68" t="n">
        <f t="shared" si="65"/>
        <v>0</v>
      </c>
      <c r="AC624" s="170" t="e">
        <f>IF('Prediction Log'!#REF!="Y", "W", IF('Prediction Log'!#REF!="N","L",""))</f>
        <v>#REF!</v>
      </c>
      <c r="AD624" s="171" t="e">
        <f>IF('Prediction Log'!#REF!="Y", "W", IF('Prediction Log'!#REF!="N","L",""))</f>
        <v>#REF!</v>
      </c>
      <c r="AE624" s="172" t="str">
        <f>IF(ISBLANK(Table123[[#This Row],[Odds Side - Difference Model]]), "",IF(AC624="W", W624, IF(AC624="L",-N624, "")))</f>
      </c>
      <c r="AF624" s="173" t="str">
        <f>IFERROR((IF(ISERR(Table123[[#This Row],[Potential Payout Side - Win Probability Model]]), "",IF(AD624="W", X624, IF(AD624="L",-N624, "")))), "")</f>
      </c>
      <c r="AG624" s="170" t="e">
        <f>IF('Prediction Log'!#REF!="Y", "W", IF('Prediction Log'!#REF!="N", "L", ""))</f>
        <v>#REF!</v>
      </c>
      <c r="AH624" s="172" t="str">
        <f>IF(ISBLANK(Table123[[#This Row],[Odds Spread]]), "",IF(AG624="W", Z624, IF(AG624="L",-O624, "")))</f>
      </c>
      <c r="AI624" s="184"/>
      <c r="AJ624" s="183" t="str">
        <f t="shared" si="66"/>
      </c>
      <c r="AK6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5">
      <c r="A625" s="65" t="e">
        <f>Games!#REF!</f>
        <v>#REF!</v>
      </c>
      <c r="B625" s="65" t="e">
        <f>IF('Prediction Log'!#REF!=0, "",'Prediction Log'!#REF!)</f>
        <v>#REF!</v>
      </c>
      <c r="C625" s="65" t="e">
        <f>IF('Prediction Log'!#REF!=0, "",'Prediction Log'!#REF!)</f>
        <v>#REF!</v>
      </c>
      <c r="D625" s="65" t="e">
        <f>IF('Prediction Log'!#REF!=0, "",'Prediction Log'!#REF!)</f>
        <v>#REF!</v>
      </c>
      <c r="E625" s="65" t="e">
        <f>IF('Prediction Log'!#REF!=0, "",'Prediction Log'!#REF!)</f>
        <v>#REF!</v>
      </c>
      <c r="F625" s="65" t="e">
        <f>IF('Prediction Log'!#REF!=0, "",'Prediction Log'!#REF!)</f>
        <v>#REF!</v>
      </c>
      <c r="G625" s="64" t="e">
        <f>IF(ISBLANK(Games!#REF!), "",'Prediction Log'!#REF!)</f>
        <v>#REF!</v>
      </c>
      <c r="H625" s="66" t="e">
        <f>'Prediction Log'!#REF!</f>
        <v>#REF!</v>
      </c>
      <c r="I625" s="65" t="e">
        <f>IF(ISBLANK(Games!#REF!), "",IF(AND(Games!#REF!="",Games!#REF!=""),"",IF(ISTEXT(Games!#REF!), "Side",Games!#REF!)))</f>
        <v>#REF!</v>
      </c>
      <c r="J625" s="65" t="e">
        <f>IF(ISBLANK(Games!#REF!), "",IF(Games!#REF!="Y", Games!#REF!, Games!#REF!))</f>
        <v>#REF!</v>
      </c>
      <c r="K625" s="65" t="e">
        <f>Games!#REF!</f>
        <v>#REF!</v>
      </c>
      <c r="L625" s="65" t="e">
        <f>IF(ISBLANK(Games!#REF!), "",Games!#REF!)</f>
        <v>#REF!</v>
      </c>
      <c r="M625" s="65"/>
      <c r="N625" s="167" t="str">
        <f>IF(ISBLANK(Table123[[#This Row],[Odds Side - Difference Model]]), "", 1)</f>
      </c>
      <c r="O625" s="167" t="str">
        <f>IF(ISBLANK(Table123[[#This Row],[Odds Spread]]), "", 1)</f>
      </c>
      <c r="P625" s="67"/>
      <c r="Q625" s="67"/>
      <c r="R6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5" s="67"/>
      <c r="T625" s="67"/>
      <c r="U625" s="168" t="str">
        <f>IF(ISBLANK(Table123[[#This Row],[Odds Side - Difference Model]]), "",N625+IF(Q625&lt;0, (N625/(Q625/-100)), N625*(Q625/100)))</f>
      </c>
      <c r="V625" s="169" t="str">
        <f>IFERROR(IF(ISBLANK(Table123[[#This Row],[Odds Side - Win Probability Model]]), "",N625+IF(R625&lt;0, (N625/(R625/-100)), N625*(R625/100))),"")</f>
      </c>
      <c r="W625" s="168" t="str">
        <f t="shared" si="61"/>
      </c>
      <c r="X625" s="169" t="str">
        <f t="shared" si="62"/>
      </c>
      <c r="Y625" s="168" t="str">
        <f>IF(ISBLANK(Table123[[#This Row],[Odds Spread]]), "",O625+IF(S625&lt;0, (O625/(S625/-100)), O625*(S625/100)))</f>
      </c>
      <c r="Z625" s="168" t="str">
        <f t="shared" si="63"/>
      </c>
      <c r="AA625" s="68" t="n">
        <f t="shared" si="64"/>
        <v>0</v>
      </c>
      <c r="AB625" s="68" t="n">
        <f t="shared" si="65"/>
        <v>0</v>
      </c>
      <c r="AC625" s="170" t="e">
        <f>IF('Prediction Log'!#REF!="Y", "W", IF('Prediction Log'!#REF!="N","L",""))</f>
        <v>#REF!</v>
      </c>
      <c r="AD625" s="171" t="e">
        <f>IF('Prediction Log'!#REF!="Y", "W", IF('Prediction Log'!#REF!="N","L",""))</f>
        <v>#REF!</v>
      </c>
      <c r="AE625" s="172" t="str">
        <f>IF(ISBLANK(Table123[[#This Row],[Odds Side - Difference Model]]), "",IF(AC625="W", W625, IF(AC625="L",-N625, "")))</f>
      </c>
      <c r="AF625" s="173" t="str">
        <f>IFERROR((IF(ISERR(Table123[[#This Row],[Potential Payout Side - Win Probability Model]]), "",IF(AD625="W", X625, IF(AD625="L",-N625, "")))), "")</f>
      </c>
      <c r="AG625" s="170" t="e">
        <f>IF('Prediction Log'!#REF!="Y", "W", IF('Prediction Log'!#REF!="N", "L", ""))</f>
        <v>#REF!</v>
      </c>
      <c r="AH625" s="172" t="str">
        <f>IF(ISBLANK(Table123[[#This Row],[Odds Spread]]), "",IF(AG625="W", Z625, IF(AG625="L",-O625, "")))</f>
      </c>
      <c r="AI625" s="184"/>
      <c r="AJ625" s="183" t="str">
        <f t="shared" si="66"/>
      </c>
      <c r="AK6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6">
      <c r="A626" s="65" t="e">
        <f>Games!#REF!</f>
        <v>#REF!</v>
      </c>
      <c r="B626" s="65" t="e">
        <f>IF('Prediction Log'!#REF!=0, "",'Prediction Log'!#REF!)</f>
        <v>#REF!</v>
      </c>
      <c r="C626" s="65" t="e">
        <f>IF('Prediction Log'!#REF!=0, "",'Prediction Log'!#REF!)</f>
        <v>#REF!</v>
      </c>
      <c r="D626" s="65" t="e">
        <f>IF('Prediction Log'!#REF!=0, "",'Prediction Log'!#REF!)</f>
        <v>#REF!</v>
      </c>
      <c r="E626" s="65" t="e">
        <f>IF('Prediction Log'!#REF!=0, "",'Prediction Log'!#REF!)</f>
        <v>#REF!</v>
      </c>
      <c r="F626" s="65" t="e">
        <f>IF('Prediction Log'!#REF!=0, "",'Prediction Log'!#REF!)</f>
        <v>#REF!</v>
      </c>
      <c r="G626" s="64" t="e">
        <f>IF(ISBLANK(Games!#REF!), "",'Prediction Log'!#REF!)</f>
        <v>#REF!</v>
      </c>
      <c r="H626" s="66" t="e">
        <f>'Prediction Log'!#REF!</f>
        <v>#REF!</v>
      </c>
      <c r="I626" s="65" t="e">
        <f>IF(ISBLANK(Games!#REF!), "",IF(AND(Games!#REF!="",Games!#REF!=""),"",IF(ISTEXT(Games!#REF!), "Side",Games!#REF!)))</f>
        <v>#REF!</v>
      </c>
      <c r="J626" s="65" t="e">
        <f>IF(ISBLANK(Games!#REF!), "",IF(Games!#REF!="Y", Games!#REF!, Games!#REF!))</f>
        <v>#REF!</v>
      </c>
      <c r="K626" s="65" t="e">
        <f>Games!#REF!</f>
        <v>#REF!</v>
      </c>
      <c r="L626" s="65" t="e">
        <f>IF(ISBLANK(Games!#REF!), "",Games!#REF!)</f>
        <v>#REF!</v>
      </c>
      <c r="M626" s="65"/>
      <c r="N626" s="167" t="str">
        <f>IF(ISBLANK(Table123[[#This Row],[Odds Side - Difference Model]]), "", 1)</f>
      </c>
      <c r="O626" s="167" t="str">
        <f>IF(ISBLANK(Table123[[#This Row],[Odds Spread]]), "", 1)</f>
      </c>
      <c r="P626" s="67"/>
      <c r="Q626" s="67"/>
      <c r="R6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6" s="67"/>
      <c r="T626" s="67"/>
      <c r="U626" s="168" t="str">
        <f>IF(ISBLANK(Table123[[#This Row],[Odds Side - Difference Model]]), "",N626+IF(Q626&lt;0, (N626/(Q626/-100)), N626*(Q626/100)))</f>
      </c>
      <c r="V626" s="169" t="str">
        <f>IFERROR(IF(ISBLANK(Table123[[#This Row],[Odds Side - Win Probability Model]]), "",N626+IF(R626&lt;0, (N626/(R626/-100)), N626*(R626/100))),"")</f>
      </c>
      <c r="W626" s="168" t="str">
        <f t="shared" si="61"/>
      </c>
      <c r="X626" s="169" t="str">
        <f t="shared" si="62"/>
      </c>
      <c r="Y626" s="168" t="str">
        <f>IF(ISBLANK(Table123[[#This Row],[Odds Spread]]), "",O626+IF(S626&lt;0, (O626/(S626/-100)), O626*(S626/100)))</f>
      </c>
      <c r="Z626" s="168" t="str">
        <f t="shared" si="63"/>
      </c>
      <c r="AA626" s="68" t="n">
        <f t="shared" si="64"/>
        <v>0</v>
      </c>
      <c r="AB626" s="68" t="n">
        <f t="shared" si="65"/>
        <v>0</v>
      </c>
      <c r="AC626" s="170" t="e">
        <f>IF('Prediction Log'!#REF!="Y", "W", IF('Prediction Log'!#REF!="N","L",""))</f>
        <v>#REF!</v>
      </c>
      <c r="AD626" s="171" t="e">
        <f>IF('Prediction Log'!#REF!="Y", "W", IF('Prediction Log'!#REF!="N","L",""))</f>
        <v>#REF!</v>
      </c>
      <c r="AE626" s="172" t="str">
        <f>IF(ISBLANK(Table123[[#This Row],[Odds Side - Difference Model]]), "",IF(AC626="W", W626, IF(AC626="L",-N626, "")))</f>
      </c>
      <c r="AF626" s="173" t="str">
        <f>IFERROR((IF(ISERR(Table123[[#This Row],[Potential Payout Side - Win Probability Model]]), "",IF(AD626="W", X626, IF(AD626="L",-N626, "")))), "")</f>
      </c>
      <c r="AG626" s="170" t="e">
        <f>IF('Prediction Log'!#REF!="Y", "W", IF('Prediction Log'!#REF!="N", "L", ""))</f>
        <v>#REF!</v>
      </c>
      <c r="AH626" s="172" t="str">
        <f>IF(ISBLANK(Table123[[#This Row],[Odds Spread]]), "",IF(AG626="W", Z626, IF(AG626="L",-O626, "")))</f>
      </c>
      <c r="AI626" s="184"/>
      <c r="AJ626" s="183" t="str">
        <f t="shared" si="66"/>
      </c>
      <c r="AK6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7">
      <c r="A627" s="65" t="e">
        <f>Games!#REF!</f>
        <v>#REF!</v>
      </c>
      <c r="B627" s="65" t="e">
        <f>IF('Prediction Log'!#REF!=0, "",'Prediction Log'!#REF!)</f>
        <v>#REF!</v>
      </c>
      <c r="C627" s="65" t="e">
        <f>IF('Prediction Log'!#REF!=0, "",'Prediction Log'!#REF!)</f>
        <v>#REF!</v>
      </c>
      <c r="D627" s="65" t="e">
        <f>IF('Prediction Log'!#REF!=0, "",'Prediction Log'!#REF!)</f>
        <v>#REF!</v>
      </c>
      <c r="E627" s="65" t="e">
        <f>IF('Prediction Log'!#REF!=0, "",'Prediction Log'!#REF!)</f>
        <v>#REF!</v>
      </c>
      <c r="F627" s="65" t="e">
        <f>IF('Prediction Log'!#REF!=0, "",'Prediction Log'!#REF!)</f>
        <v>#REF!</v>
      </c>
      <c r="G627" s="64" t="e">
        <f>IF(ISBLANK(Games!#REF!), "",'Prediction Log'!#REF!)</f>
        <v>#REF!</v>
      </c>
      <c r="H627" s="66" t="e">
        <f>'Prediction Log'!#REF!</f>
        <v>#REF!</v>
      </c>
      <c r="I627" s="65" t="e">
        <f>IF(ISBLANK(Games!#REF!), "",IF(AND(Games!#REF!="",Games!#REF!=""),"",IF(ISTEXT(Games!#REF!), "Side",Games!#REF!)))</f>
        <v>#REF!</v>
      </c>
      <c r="J627" s="65" t="e">
        <f>IF(ISBLANK(Games!#REF!), "",IF(Games!#REF!="Y", Games!#REF!, Games!#REF!))</f>
        <v>#REF!</v>
      </c>
      <c r="K627" s="65" t="e">
        <f>Games!#REF!</f>
        <v>#REF!</v>
      </c>
      <c r="L627" s="65" t="e">
        <f>IF(ISBLANK(Games!#REF!), "",Games!#REF!)</f>
        <v>#REF!</v>
      </c>
      <c r="M627" s="65"/>
      <c r="N627" s="167" t="str">
        <f>IF(ISBLANK(Table123[[#This Row],[Odds Side - Difference Model]]), "", 1)</f>
      </c>
      <c r="O627" s="167" t="str">
        <f>IF(ISBLANK(Table123[[#This Row],[Odds Spread]]), "", 1)</f>
      </c>
      <c r="P627" s="67"/>
      <c r="Q627" s="67"/>
      <c r="R6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7" s="67"/>
      <c r="T627" s="67"/>
      <c r="U627" s="168" t="str">
        <f>IF(ISBLANK(Table123[[#This Row],[Odds Side - Difference Model]]), "",N627+IF(Q627&lt;0, (N627/(Q627/-100)), N627*(Q627/100)))</f>
      </c>
      <c r="V627" s="169" t="str">
        <f>IFERROR(IF(ISBLANK(Table123[[#This Row],[Odds Side - Win Probability Model]]), "",N627+IF(R627&lt;0, (N627/(R627/-100)), N627*(R627/100))),"")</f>
      </c>
      <c r="W627" s="168" t="str">
        <f t="shared" si="61"/>
      </c>
      <c r="X627" s="169" t="str">
        <f t="shared" si="62"/>
      </c>
      <c r="Y627" s="168" t="str">
        <f>IF(ISBLANK(Table123[[#This Row],[Odds Spread]]), "",O627+IF(S627&lt;0, (O627/(S627/-100)), O627*(S627/100)))</f>
      </c>
      <c r="Z627" s="168" t="str">
        <f t="shared" si="63"/>
      </c>
      <c r="AA627" s="68" t="n">
        <f t="shared" si="64"/>
        <v>0</v>
      </c>
      <c r="AB627" s="68" t="n">
        <f t="shared" si="65"/>
        <v>0</v>
      </c>
      <c r="AC627" s="170" t="e">
        <f>IF('Prediction Log'!#REF!="Y", "W", IF('Prediction Log'!#REF!="N","L",""))</f>
        <v>#REF!</v>
      </c>
      <c r="AD627" s="171" t="e">
        <f>IF('Prediction Log'!#REF!="Y", "W", IF('Prediction Log'!#REF!="N","L",""))</f>
        <v>#REF!</v>
      </c>
      <c r="AE627" s="172" t="str">
        <f>IF(ISBLANK(Table123[[#This Row],[Odds Side - Difference Model]]), "",IF(AC627="W", W627, IF(AC627="L",-N627, "")))</f>
      </c>
      <c r="AF627" s="173" t="str">
        <f>IFERROR((IF(ISERR(Table123[[#This Row],[Potential Payout Side - Win Probability Model]]), "",IF(AD627="W", X627, IF(AD627="L",-N627, "")))), "")</f>
      </c>
      <c r="AG627" s="170" t="e">
        <f>IF('Prediction Log'!#REF!="Y", "W", IF('Prediction Log'!#REF!="N", "L", ""))</f>
        <v>#REF!</v>
      </c>
      <c r="AH627" s="172" t="str">
        <f>IF(ISBLANK(Table123[[#This Row],[Odds Spread]]), "",IF(AG627="W", Z627, IF(AG627="L",-O627, "")))</f>
      </c>
      <c r="AI627" s="184"/>
      <c r="AJ627" s="183" t="str">
        <f t="shared" si="66"/>
      </c>
      <c r="AK6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8">
      <c r="A628" s="65" t="e">
        <f>Games!#REF!</f>
        <v>#REF!</v>
      </c>
      <c r="B628" s="65" t="e">
        <f>IF('Prediction Log'!#REF!=0, "",'Prediction Log'!#REF!)</f>
        <v>#REF!</v>
      </c>
      <c r="C628" s="65" t="e">
        <f>IF('Prediction Log'!#REF!=0, "",'Prediction Log'!#REF!)</f>
        <v>#REF!</v>
      </c>
      <c r="D628" s="65" t="e">
        <f>IF('Prediction Log'!#REF!=0, "",'Prediction Log'!#REF!)</f>
        <v>#REF!</v>
      </c>
      <c r="E628" s="65" t="e">
        <f>IF('Prediction Log'!#REF!=0, "",'Prediction Log'!#REF!)</f>
        <v>#REF!</v>
      </c>
      <c r="F628" s="65" t="e">
        <f>IF('Prediction Log'!#REF!=0, "",'Prediction Log'!#REF!)</f>
        <v>#REF!</v>
      </c>
      <c r="G628" s="64" t="e">
        <f>IF(ISBLANK(Games!#REF!), "",'Prediction Log'!#REF!)</f>
        <v>#REF!</v>
      </c>
      <c r="H628" s="66" t="e">
        <f>'Prediction Log'!#REF!</f>
        <v>#REF!</v>
      </c>
      <c r="I628" s="65" t="e">
        <f>IF(ISBLANK(Games!#REF!), "",IF(AND(Games!#REF!="",Games!#REF!=""),"",IF(ISTEXT(Games!#REF!), "Side",Games!#REF!)))</f>
        <v>#REF!</v>
      </c>
      <c r="J628" s="65" t="e">
        <f>IF(ISBLANK(Games!#REF!), "",IF(Games!#REF!="Y", Games!#REF!, Games!#REF!))</f>
        <v>#REF!</v>
      </c>
      <c r="K628" s="65" t="e">
        <f>Games!#REF!</f>
        <v>#REF!</v>
      </c>
      <c r="L628" s="65" t="e">
        <f>IF(ISBLANK(Games!#REF!), "",Games!#REF!)</f>
        <v>#REF!</v>
      </c>
      <c r="M628" s="65"/>
      <c r="N628" s="167" t="str">
        <f>IF(ISBLANK(Table123[[#This Row],[Odds Side - Difference Model]]), "", 1)</f>
      </c>
      <c r="O628" s="167" t="str">
        <f>IF(ISBLANK(Table123[[#This Row],[Odds Spread]]), "", 1)</f>
      </c>
      <c r="P628" s="67"/>
      <c r="Q628" s="67"/>
      <c r="R6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8" s="67"/>
      <c r="T628" s="67"/>
      <c r="U628" s="168" t="str">
        <f>IF(ISBLANK(Table123[[#This Row],[Odds Side - Difference Model]]), "",N628+IF(Q628&lt;0, (N628/(Q628/-100)), N628*(Q628/100)))</f>
      </c>
      <c r="V628" s="169" t="str">
        <f>IFERROR(IF(ISBLANK(Table123[[#This Row],[Odds Side - Win Probability Model]]), "",N628+IF(R628&lt;0, (N628/(R628/-100)), N628*(R628/100))),"")</f>
      </c>
      <c r="W628" s="168" t="str">
        <f t="shared" si="61"/>
      </c>
      <c r="X628" s="169" t="str">
        <f t="shared" si="62"/>
      </c>
      <c r="Y628" s="168" t="str">
        <f>IF(ISBLANK(Table123[[#This Row],[Odds Spread]]), "",O628+IF(S628&lt;0, (O628/(S628/-100)), O628*(S628/100)))</f>
      </c>
      <c r="Z628" s="168" t="str">
        <f t="shared" si="63"/>
      </c>
      <c r="AA628" s="68" t="n">
        <f t="shared" si="64"/>
        <v>0</v>
      </c>
      <c r="AB628" s="68" t="n">
        <f t="shared" si="65"/>
        <v>0</v>
      </c>
      <c r="AC628" s="170" t="e">
        <f>IF('Prediction Log'!#REF!="Y", "W", IF('Prediction Log'!#REF!="N","L",""))</f>
        <v>#REF!</v>
      </c>
      <c r="AD628" s="171" t="e">
        <f>IF('Prediction Log'!#REF!="Y", "W", IF('Prediction Log'!#REF!="N","L",""))</f>
        <v>#REF!</v>
      </c>
      <c r="AE628" s="172" t="str">
        <f>IF(ISBLANK(Table123[[#This Row],[Odds Side - Difference Model]]), "",IF(AC628="W", W628, IF(AC628="L",-N628, "")))</f>
      </c>
      <c r="AF628" s="173" t="str">
        <f>IFERROR((IF(ISERR(Table123[[#This Row],[Potential Payout Side - Win Probability Model]]), "",IF(AD628="W", X628, IF(AD628="L",-N628, "")))), "")</f>
      </c>
      <c r="AG628" s="170" t="e">
        <f>IF('Prediction Log'!#REF!="Y", "W", IF('Prediction Log'!#REF!="N", "L", ""))</f>
        <v>#REF!</v>
      </c>
      <c r="AH628" s="172" t="str">
        <f>IF(ISBLANK(Table123[[#This Row],[Odds Spread]]), "",IF(AG628="W", Z628, IF(AG628="L",-O628, "")))</f>
      </c>
      <c r="AI628" s="184"/>
      <c r="AJ628" s="183" t="str">
        <f t="shared" si="66"/>
      </c>
      <c r="AK6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9">
      <c r="A629" s="65" t="e">
        <f>Games!#REF!</f>
        <v>#REF!</v>
      </c>
      <c r="B629" s="65" t="e">
        <f>IF('Prediction Log'!#REF!=0, "",'Prediction Log'!#REF!)</f>
        <v>#REF!</v>
      </c>
      <c r="C629" s="65" t="e">
        <f>IF('Prediction Log'!#REF!=0, "",'Prediction Log'!#REF!)</f>
        <v>#REF!</v>
      </c>
      <c r="D629" s="65" t="e">
        <f>IF('Prediction Log'!#REF!=0, "",'Prediction Log'!#REF!)</f>
        <v>#REF!</v>
      </c>
      <c r="E629" s="65" t="e">
        <f>IF('Prediction Log'!#REF!=0, "",'Prediction Log'!#REF!)</f>
        <v>#REF!</v>
      </c>
      <c r="F629" s="65" t="e">
        <f>IF('Prediction Log'!#REF!=0, "",'Prediction Log'!#REF!)</f>
        <v>#REF!</v>
      </c>
      <c r="G629" s="64" t="e">
        <f>IF(ISBLANK(Games!#REF!), "",'Prediction Log'!#REF!)</f>
        <v>#REF!</v>
      </c>
      <c r="H629" s="66" t="e">
        <f>'Prediction Log'!#REF!</f>
        <v>#REF!</v>
      </c>
      <c r="I629" s="65" t="e">
        <f>IF(ISBLANK(Games!#REF!), "",IF(AND(Games!#REF!="",Games!#REF!=""),"",IF(ISTEXT(Games!#REF!), "Side",Games!#REF!)))</f>
        <v>#REF!</v>
      </c>
      <c r="J629" s="65" t="e">
        <f>IF(ISBLANK(Games!#REF!), "",IF(Games!#REF!="Y", Games!#REF!, Games!#REF!))</f>
        <v>#REF!</v>
      </c>
      <c r="K629" s="65" t="e">
        <f>Games!#REF!</f>
        <v>#REF!</v>
      </c>
      <c r="L629" s="65" t="e">
        <f>IF(ISBLANK(Games!#REF!), "",Games!#REF!)</f>
        <v>#REF!</v>
      </c>
      <c r="M629" s="65"/>
      <c r="N629" s="167" t="str">
        <f>IF(ISBLANK(Table123[[#This Row],[Odds Side - Difference Model]]), "", 1)</f>
      </c>
      <c r="O629" s="167" t="str">
        <f>IF(ISBLANK(Table123[[#This Row],[Odds Spread]]), "", 1)</f>
      </c>
      <c r="P629" s="67"/>
      <c r="Q629" s="67"/>
      <c r="R6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9" s="67"/>
      <c r="T629" s="67"/>
      <c r="U629" s="168" t="str">
        <f>IF(ISBLANK(Table123[[#This Row],[Odds Side - Difference Model]]), "",N629+IF(Q629&lt;0, (N629/(Q629/-100)), N629*(Q629/100)))</f>
      </c>
      <c r="V629" s="169" t="str">
        <f>IFERROR(IF(ISBLANK(Table123[[#This Row],[Odds Side - Win Probability Model]]), "",N629+IF(R629&lt;0, (N629/(R629/-100)), N629*(R629/100))),"")</f>
      </c>
      <c r="W629" s="168" t="str">
        <f t="shared" si="61"/>
      </c>
      <c r="X629" s="169" t="str">
        <f t="shared" si="62"/>
      </c>
      <c r="Y629" s="168" t="str">
        <f>IF(ISBLANK(Table123[[#This Row],[Odds Spread]]), "",O629+IF(S629&lt;0, (O629/(S629/-100)), O629*(S629/100)))</f>
      </c>
      <c r="Z629" s="168" t="str">
        <f t="shared" si="63"/>
      </c>
      <c r="AA629" s="68" t="n">
        <f t="shared" si="64"/>
        <v>0</v>
      </c>
      <c r="AB629" s="68" t="n">
        <f t="shared" si="65"/>
        <v>0</v>
      </c>
      <c r="AC629" s="170" t="e">
        <f>IF('Prediction Log'!#REF!="Y", "W", IF('Prediction Log'!#REF!="N","L",""))</f>
        <v>#REF!</v>
      </c>
      <c r="AD629" s="171" t="e">
        <f>IF('Prediction Log'!#REF!="Y", "W", IF('Prediction Log'!#REF!="N","L",""))</f>
        <v>#REF!</v>
      </c>
      <c r="AE629" s="172" t="str">
        <f>IF(ISBLANK(Table123[[#This Row],[Odds Side - Difference Model]]), "",IF(AC629="W", W629, IF(AC629="L",-N629, "")))</f>
      </c>
      <c r="AF629" s="173" t="str">
        <f>IFERROR((IF(ISERR(Table123[[#This Row],[Potential Payout Side - Win Probability Model]]), "",IF(AD629="W", X629, IF(AD629="L",-N629, "")))), "")</f>
      </c>
      <c r="AG629" s="170" t="e">
        <f>IF('Prediction Log'!#REF!="Y", "W", IF('Prediction Log'!#REF!="N", "L", ""))</f>
        <v>#REF!</v>
      </c>
      <c r="AH629" s="172" t="str">
        <f>IF(ISBLANK(Table123[[#This Row],[Odds Spread]]), "",IF(AG629="W", Z629, IF(AG629="L",-O629, "")))</f>
      </c>
      <c r="AI629" s="184"/>
      <c r="AJ629" s="183" t="str">
        <f t="shared" si="66"/>
      </c>
      <c r="AK6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0">
      <c r="A630" s="65" t="e">
        <f>Games!#REF!</f>
        <v>#REF!</v>
      </c>
      <c r="B630" s="65" t="e">
        <f>IF('Prediction Log'!#REF!=0, "",'Prediction Log'!#REF!)</f>
        <v>#REF!</v>
      </c>
      <c r="C630" s="65" t="e">
        <f>IF('Prediction Log'!#REF!=0, "",'Prediction Log'!#REF!)</f>
        <v>#REF!</v>
      </c>
      <c r="D630" s="65" t="e">
        <f>IF('Prediction Log'!#REF!=0, "",'Prediction Log'!#REF!)</f>
        <v>#REF!</v>
      </c>
      <c r="E630" s="65" t="e">
        <f>IF('Prediction Log'!#REF!=0, "",'Prediction Log'!#REF!)</f>
        <v>#REF!</v>
      </c>
      <c r="F630" s="65" t="e">
        <f>IF('Prediction Log'!#REF!=0, "",'Prediction Log'!#REF!)</f>
        <v>#REF!</v>
      </c>
      <c r="G630" s="64" t="e">
        <f>IF(ISBLANK(Games!#REF!), "",'Prediction Log'!#REF!)</f>
        <v>#REF!</v>
      </c>
      <c r="H630" s="66" t="e">
        <f>'Prediction Log'!#REF!</f>
        <v>#REF!</v>
      </c>
      <c r="I630" s="65" t="e">
        <f>IF(ISBLANK(Games!#REF!), "",IF(AND(Games!#REF!="",Games!#REF!=""),"",IF(ISTEXT(Games!#REF!), "Side",Games!#REF!)))</f>
        <v>#REF!</v>
      </c>
      <c r="J630" s="65" t="e">
        <f>IF(ISBLANK(Games!#REF!), "",IF(Games!#REF!="Y", Games!#REF!, Games!#REF!))</f>
        <v>#REF!</v>
      </c>
      <c r="K630" s="65" t="e">
        <f>Games!#REF!</f>
        <v>#REF!</v>
      </c>
      <c r="L630" s="65" t="e">
        <f>IF(ISBLANK(Games!#REF!), "",Games!#REF!)</f>
        <v>#REF!</v>
      </c>
      <c r="M630" s="65"/>
      <c r="N630" s="167" t="str">
        <f>IF(ISBLANK(Table123[[#This Row],[Odds Side - Difference Model]]), "", 1)</f>
      </c>
      <c r="O630" s="167" t="str">
        <f>IF(ISBLANK(Table123[[#This Row],[Odds Spread]]), "", 1)</f>
      </c>
      <c r="P630" s="67"/>
      <c r="Q630" s="67"/>
      <c r="R6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0" s="67"/>
      <c r="T630" s="67"/>
      <c r="U630" s="168" t="str">
        <f>IF(ISBLANK(Table123[[#This Row],[Odds Side - Difference Model]]), "",N630+IF(Q630&lt;0, (N630/(Q630/-100)), N630*(Q630/100)))</f>
      </c>
      <c r="V630" s="169" t="str">
        <f>IFERROR(IF(ISBLANK(Table123[[#This Row],[Odds Side - Win Probability Model]]), "",N630+IF(R630&lt;0, (N630/(R630/-100)), N630*(R630/100))),"")</f>
      </c>
      <c r="W630" s="168" t="str">
        <f t="shared" si="61"/>
      </c>
      <c r="X630" s="169" t="str">
        <f t="shared" si="62"/>
      </c>
      <c r="Y630" s="168" t="str">
        <f>IF(ISBLANK(Table123[[#This Row],[Odds Spread]]), "",O630+IF(S630&lt;0, (O630/(S630/-100)), O630*(S630/100)))</f>
      </c>
      <c r="Z630" s="168" t="str">
        <f t="shared" si="63"/>
      </c>
      <c r="AA630" s="68" t="n">
        <f t="shared" si="64"/>
        <v>0</v>
      </c>
      <c r="AB630" s="68" t="n">
        <f t="shared" si="65"/>
        <v>0</v>
      </c>
      <c r="AC630" s="170" t="e">
        <f>IF('Prediction Log'!#REF!="Y", "W", IF('Prediction Log'!#REF!="N","L",""))</f>
        <v>#REF!</v>
      </c>
      <c r="AD630" s="171" t="e">
        <f>IF('Prediction Log'!#REF!="Y", "W", IF('Prediction Log'!#REF!="N","L",""))</f>
        <v>#REF!</v>
      </c>
      <c r="AE630" s="172" t="str">
        <f>IF(ISBLANK(Table123[[#This Row],[Odds Side - Difference Model]]), "",IF(AC630="W", W630, IF(AC630="L",-N630, "")))</f>
      </c>
      <c r="AF630" s="173" t="str">
        <f>IFERROR((IF(ISERR(Table123[[#This Row],[Potential Payout Side - Win Probability Model]]), "",IF(AD630="W", X630, IF(AD630="L",-N630, "")))), "")</f>
      </c>
      <c r="AG630" s="170" t="e">
        <f>IF('Prediction Log'!#REF!="Y", "W", IF('Prediction Log'!#REF!="N", "L", ""))</f>
        <v>#REF!</v>
      </c>
      <c r="AH630" s="172" t="str">
        <f>IF(ISBLANK(Table123[[#This Row],[Odds Spread]]), "",IF(AG630="W", Z630, IF(AG630="L",-O630, "")))</f>
      </c>
      <c r="AI630" s="184"/>
      <c r="AJ630" s="183" t="str">
        <f t="shared" si="66"/>
      </c>
      <c r="AK6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1">
      <c r="A631" s="65" t="e">
        <f>Games!#REF!</f>
        <v>#REF!</v>
      </c>
      <c r="B631" s="65" t="e">
        <f>IF('Prediction Log'!#REF!=0, "",'Prediction Log'!#REF!)</f>
        <v>#REF!</v>
      </c>
      <c r="C631" s="65" t="e">
        <f>IF('Prediction Log'!#REF!=0, "",'Prediction Log'!#REF!)</f>
        <v>#REF!</v>
      </c>
      <c r="D631" s="65" t="e">
        <f>IF('Prediction Log'!#REF!=0, "",'Prediction Log'!#REF!)</f>
        <v>#REF!</v>
      </c>
      <c r="E631" s="65" t="e">
        <f>IF('Prediction Log'!#REF!=0, "",'Prediction Log'!#REF!)</f>
        <v>#REF!</v>
      </c>
      <c r="F631" s="65" t="e">
        <f>IF('Prediction Log'!#REF!=0, "",'Prediction Log'!#REF!)</f>
        <v>#REF!</v>
      </c>
      <c r="G631" s="64" t="e">
        <f>IF(ISBLANK(Games!#REF!), "",'Prediction Log'!#REF!)</f>
        <v>#REF!</v>
      </c>
      <c r="H631" s="66" t="e">
        <f>'Prediction Log'!#REF!</f>
        <v>#REF!</v>
      </c>
      <c r="I631" s="65" t="e">
        <f>IF(ISBLANK(Games!#REF!), "",IF(AND(Games!#REF!="",Games!#REF!=""),"",IF(ISTEXT(Games!#REF!), "Side",Games!#REF!)))</f>
        <v>#REF!</v>
      </c>
      <c r="J631" s="65" t="e">
        <f>IF(ISBLANK(Games!#REF!), "",IF(Games!#REF!="Y", Games!#REF!, Games!#REF!))</f>
        <v>#REF!</v>
      </c>
      <c r="K631" s="65" t="e">
        <f>Games!#REF!</f>
        <v>#REF!</v>
      </c>
      <c r="L631" s="65" t="e">
        <f>IF(ISBLANK(Games!#REF!), "",Games!#REF!)</f>
        <v>#REF!</v>
      </c>
      <c r="M631" s="65"/>
      <c r="N631" s="167" t="str">
        <f>IF(ISBLANK(Table123[[#This Row],[Odds Side - Difference Model]]), "", 1)</f>
      </c>
      <c r="O631" s="167" t="str">
        <f>IF(ISBLANK(Table123[[#This Row],[Odds Spread]]), "", 1)</f>
      </c>
      <c r="P631" s="67"/>
      <c r="Q631" s="67"/>
      <c r="R6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1" s="67"/>
      <c r="T631" s="67"/>
      <c r="U631" s="168" t="str">
        <f>IF(ISBLANK(Table123[[#This Row],[Odds Side - Difference Model]]), "",N631+IF(Q631&lt;0, (N631/(Q631/-100)), N631*(Q631/100)))</f>
      </c>
      <c r="V631" s="169" t="str">
        <f>IFERROR(IF(ISBLANK(Table123[[#This Row],[Odds Side - Win Probability Model]]), "",N631+IF(R631&lt;0, (N631/(R631/-100)), N631*(R631/100))),"")</f>
      </c>
      <c r="W631" s="168" t="str">
        <f t="shared" si="61"/>
      </c>
      <c r="X631" s="169" t="str">
        <f t="shared" si="62"/>
      </c>
      <c r="Y631" s="168" t="str">
        <f>IF(ISBLANK(Table123[[#This Row],[Odds Spread]]), "",O631+IF(S631&lt;0, (O631/(S631/-100)), O631*(S631/100)))</f>
      </c>
      <c r="Z631" s="168" t="str">
        <f t="shared" si="63"/>
      </c>
      <c r="AA631" s="68" t="n">
        <f t="shared" si="64"/>
        <v>0</v>
      </c>
      <c r="AB631" s="68" t="n">
        <f t="shared" si="65"/>
        <v>0</v>
      </c>
      <c r="AC631" s="170" t="e">
        <f>IF('Prediction Log'!#REF!="Y", "W", IF('Prediction Log'!#REF!="N","L",""))</f>
        <v>#REF!</v>
      </c>
      <c r="AD631" s="171" t="e">
        <f>IF('Prediction Log'!#REF!="Y", "W", IF('Prediction Log'!#REF!="N","L",""))</f>
        <v>#REF!</v>
      </c>
      <c r="AE631" s="172" t="str">
        <f>IF(ISBLANK(Table123[[#This Row],[Odds Side - Difference Model]]), "",IF(AC631="W", W631, IF(AC631="L",-N631, "")))</f>
      </c>
      <c r="AF631" s="173" t="str">
        <f>IFERROR((IF(ISERR(Table123[[#This Row],[Potential Payout Side - Win Probability Model]]), "",IF(AD631="W", X631, IF(AD631="L",-N631, "")))), "")</f>
      </c>
      <c r="AG631" s="170" t="e">
        <f>IF('Prediction Log'!#REF!="Y", "W", IF('Prediction Log'!#REF!="N", "L", ""))</f>
        <v>#REF!</v>
      </c>
      <c r="AH631" s="172" t="str">
        <f>IF(ISBLANK(Table123[[#This Row],[Odds Spread]]), "",IF(AG631="W", Z631, IF(AG631="L",-O631, "")))</f>
      </c>
      <c r="AI631" s="184"/>
      <c r="AJ631" s="183" t="str">
        <f t="shared" si="66"/>
      </c>
      <c r="AK6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2">
      <c r="A632" s="65" t="e">
        <f>Games!#REF!</f>
        <v>#REF!</v>
      </c>
      <c r="B632" s="65" t="e">
        <f>IF('Prediction Log'!#REF!=0, "",'Prediction Log'!#REF!)</f>
        <v>#REF!</v>
      </c>
      <c r="C632" s="65" t="e">
        <f>IF('Prediction Log'!#REF!=0, "",'Prediction Log'!#REF!)</f>
        <v>#REF!</v>
      </c>
      <c r="D632" s="65" t="e">
        <f>IF('Prediction Log'!#REF!=0, "",'Prediction Log'!#REF!)</f>
        <v>#REF!</v>
      </c>
      <c r="E632" s="65" t="e">
        <f>IF('Prediction Log'!#REF!=0, "",'Prediction Log'!#REF!)</f>
        <v>#REF!</v>
      </c>
      <c r="F632" s="65" t="e">
        <f>IF('Prediction Log'!#REF!=0, "",'Prediction Log'!#REF!)</f>
        <v>#REF!</v>
      </c>
      <c r="G632" s="64" t="e">
        <f>IF(ISBLANK(Games!#REF!), "",'Prediction Log'!#REF!)</f>
        <v>#REF!</v>
      </c>
      <c r="H632" s="66" t="e">
        <f>'Prediction Log'!#REF!</f>
        <v>#REF!</v>
      </c>
      <c r="I632" s="65" t="e">
        <f>IF(ISBLANK(Games!#REF!), "",IF(AND(Games!#REF!="",Games!#REF!=""),"",IF(ISTEXT(Games!#REF!), "Side",Games!#REF!)))</f>
        <v>#REF!</v>
      </c>
      <c r="J632" s="65" t="e">
        <f>IF(ISBLANK(Games!#REF!), "",IF(Games!#REF!="Y", Games!#REF!, Games!#REF!))</f>
        <v>#REF!</v>
      </c>
      <c r="K632" s="65" t="e">
        <f>Games!#REF!</f>
        <v>#REF!</v>
      </c>
      <c r="L632" s="65" t="e">
        <f>IF(ISBLANK(Games!#REF!), "",Games!#REF!)</f>
        <v>#REF!</v>
      </c>
      <c r="M632" s="65"/>
      <c r="N632" s="167" t="str">
        <f>IF(ISBLANK(Table123[[#This Row],[Odds Side - Difference Model]]), "", 1)</f>
      </c>
      <c r="O632" s="167" t="str">
        <f>IF(ISBLANK(Table123[[#This Row],[Odds Spread]]), "", 1)</f>
      </c>
      <c r="P632" s="67"/>
      <c r="Q632" s="67"/>
      <c r="R6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2" s="67"/>
      <c r="T632" s="67"/>
      <c r="U632" s="168" t="str">
        <f>IF(ISBLANK(Table123[[#This Row],[Odds Side - Difference Model]]), "",N632+IF(Q632&lt;0, (N632/(Q632/-100)), N632*(Q632/100)))</f>
      </c>
      <c r="V632" s="169" t="str">
        <f>IFERROR(IF(ISBLANK(Table123[[#This Row],[Odds Side - Win Probability Model]]), "",N632+IF(R632&lt;0, (N632/(R632/-100)), N632*(R632/100))),"")</f>
      </c>
      <c r="W632" s="168" t="str">
        <f t="shared" si="61"/>
      </c>
      <c r="X632" s="169" t="str">
        <f t="shared" si="62"/>
      </c>
      <c r="Y632" s="168" t="str">
        <f>IF(ISBLANK(Table123[[#This Row],[Odds Spread]]), "",O632+IF(S632&lt;0, (O632/(S632/-100)), O632*(S632/100)))</f>
      </c>
      <c r="Z632" s="168" t="str">
        <f t="shared" si="63"/>
      </c>
      <c r="AA632" s="68" t="n">
        <f t="shared" si="64"/>
        <v>0</v>
      </c>
      <c r="AB632" s="68" t="n">
        <f t="shared" si="65"/>
        <v>0</v>
      </c>
      <c r="AC632" s="170" t="e">
        <f>IF('Prediction Log'!#REF!="Y", "W", IF('Prediction Log'!#REF!="N","L",""))</f>
        <v>#REF!</v>
      </c>
      <c r="AD632" s="171" t="e">
        <f>IF('Prediction Log'!#REF!="Y", "W", IF('Prediction Log'!#REF!="N","L",""))</f>
        <v>#REF!</v>
      </c>
      <c r="AE632" s="172" t="str">
        <f>IF(ISBLANK(Table123[[#This Row],[Odds Side - Difference Model]]), "",IF(AC632="W", W632, IF(AC632="L",-N632, "")))</f>
      </c>
      <c r="AF632" s="173" t="str">
        <f>IFERROR((IF(ISERR(Table123[[#This Row],[Potential Payout Side - Win Probability Model]]), "",IF(AD632="W", X632, IF(AD632="L",-N632, "")))), "")</f>
      </c>
      <c r="AG632" s="170" t="e">
        <f>IF('Prediction Log'!#REF!="Y", "W", IF('Prediction Log'!#REF!="N", "L", ""))</f>
        <v>#REF!</v>
      </c>
      <c r="AH632" s="172" t="str">
        <f>IF(ISBLANK(Table123[[#This Row],[Odds Spread]]), "",IF(AG632="W", Z632, IF(AG632="L",-O632, "")))</f>
      </c>
      <c r="AI632" s="184"/>
      <c r="AJ632" s="183" t="str">
        <f t="shared" si="66"/>
      </c>
      <c r="AK6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3">
      <c r="A633" s="65" t="e">
        <f>Games!#REF!</f>
        <v>#REF!</v>
      </c>
      <c r="B633" s="65" t="e">
        <f>IF('Prediction Log'!#REF!=0, "",'Prediction Log'!#REF!)</f>
        <v>#REF!</v>
      </c>
      <c r="C633" s="65" t="e">
        <f>IF('Prediction Log'!#REF!=0, "",'Prediction Log'!#REF!)</f>
        <v>#REF!</v>
      </c>
      <c r="D633" s="65" t="e">
        <f>IF('Prediction Log'!#REF!=0, "",'Prediction Log'!#REF!)</f>
        <v>#REF!</v>
      </c>
      <c r="E633" s="65" t="e">
        <f>IF('Prediction Log'!#REF!=0, "",'Prediction Log'!#REF!)</f>
        <v>#REF!</v>
      </c>
      <c r="F633" s="65" t="e">
        <f>IF('Prediction Log'!#REF!=0, "",'Prediction Log'!#REF!)</f>
        <v>#REF!</v>
      </c>
      <c r="G633" s="64" t="e">
        <f>IF(ISBLANK(Games!#REF!), "",'Prediction Log'!#REF!)</f>
        <v>#REF!</v>
      </c>
      <c r="H633" s="66" t="e">
        <f>'Prediction Log'!#REF!</f>
        <v>#REF!</v>
      </c>
      <c r="I633" s="65" t="e">
        <f>IF(ISBLANK(Games!#REF!), "",IF(AND(Games!#REF!="",Games!#REF!=""),"",IF(ISTEXT(Games!#REF!), "Side",Games!#REF!)))</f>
        <v>#REF!</v>
      </c>
      <c r="J633" s="65" t="e">
        <f>IF(ISBLANK(Games!#REF!), "",IF(Games!#REF!="Y", Games!#REF!, Games!#REF!))</f>
        <v>#REF!</v>
      </c>
      <c r="K633" s="65" t="e">
        <f>Games!#REF!</f>
        <v>#REF!</v>
      </c>
      <c r="L633" s="65" t="e">
        <f>IF(ISBLANK(Games!#REF!), "",Games!#REF!)</f>
        <v>#REF!</v>
      </c>
      <c r="M633" s="65"/>
      <c r="N633" s="167" t="str">
        <f>IF(ISBLANK(Table123[[#This Row],[Odds Side - Difference Model]]), "", 1)</f>
      </c>
      <c r="O633" s="167" t="str">
        <f>IF(ISBLANK(Table123[[#This Row],[Odds Spread]]), "", 1)</f>
      </c>
      <c r="P633" s="67"/>
      <c r="Q633" s="67"/>
      <c r="R6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3" s="67"/>
      <c r="T633" s="67"/>
      <c r="U633" s="168" t="str">
        <f>IF(ISBLANK(Table123[[#This Row],[Odds Side - Difference Model]]), "",N633+IF(Q633&lt;0, (N633/(Q633/-100)), N633*(Q633/100)))</f>
      </c>
      <c r="V633" s="169" t="str">
        <f>IFERROR(IF(ISBLANK(Table123[[#This Row],[Odds Side - Win Probability Model]]), "",N633+IF(R633&lt;0, (N633/(R633/-100)), N633*(R633/100))),"")</f>
      </c>
      <c r="W633" s="168" t="str">
        <f t="shared" si="61"/>
      </c>
      <c r="X633" s="169" t="str">
        <f t="shared" si="62"/>
      </c>
      <c r="Y633" s="168" t="str">
        <f>IF(ISBLANK(Table123[[#This Row],[Odds Spread]]), "",O633+IF(S633&lt;0, (O633/(S633/-100)), O633*(S633/100)))</f>
      </c>
      <c r="Z633" s="168" t="str">
        <f t="shared" si="63"/>
      </c>
      <c r="AA633" s="68" t="n">
        <f t="shared" si="64"/>
        <v>0</v>
      </c>
      <c r="AB633" s="68" t="n">
        <f t="shared" si="65"/>
        <v>0</v>
      </c>
      <c r="AC633" s="170" t="e">
        <f>IF('Prediction Log'!#REF!="Y", "W", IF('Prediction Log'!#REF!="N","L",""))</f>
        <v>#REF!</v>
      </c>
      <c r="AD633" s="171" t="e">
        <f>IF('Prediction Log'!#REF!="Y", "W", IF('Prediction Log'!#REF!="N","L",""))</f>
        <v>#REF!</v>
      </c>
      <c r="AE633" s="172" t="str">
        <f>IF(ISBLANK(Table123[[#This Row],[Odds Side - Difference Model]]), "",IF(AC633="W", W633, IF(AC633="L",-N633, "")))</f>
      </c>
      <c r="AF633" s="173" t="str">
        <f>IFERROR((IF(ISERR(Table123[[#This Row],[Potential Payout Side - Win Probability Model]]), "",IF(AD633="W", X633, IF(AD633="L",-N633, "")))), "")</f>
      </c>
      <c r="AG633" s="170" t="e">
        <f>IF('Prediction Log'!#REF!="Y", "W", IF('Prediction Log'!#REF!="N", "L", ""))</f>
        <v>#REF!</v>
      </c>
      <c r="AH633" s="172" t="str">
        <f>IF(ISBLANK(Table123[[#This Row],[Odds Spread]]), "",IF(AG633="W", Z633, IF(AG633="L",-O633, "")))</f>
      </c>
      <c r="AI633" s="184"/>
      <c r="AJ633" s="183" t="str">
        <f t="shared" si="66"/>
      </c>
      <c r="AK6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4">
      <c r="A634" s="65" t="e">
        <f>Games!#REF!</f>
        <v>#REF!</v>
      </c>
      <c r="B634" s="65" t="e">
        <f>IF('Prediction Log'!#REF!=0, "",'Prediction Log'!#REF!)</f>
        <v>#REF!</v>
      </c>
      <c r="C634" s="65" t="e">
        <f>IF('Prediction Log'!#REF!=0, "",'Prediction Log'!#REF!)</f>
        <v>#REF!</v>
      </c>
      <c r="D634" s="65" t="e">
        <f>IF('Prediction Log'!#REF!=0, "",'Prediction Log'!#REF!)</f>
        <v>#REF!</v>
      </c>
      <c r="E634" s="65" t="e">
        <f>IF('Prediction Log'!#REF!=0, "",'Prediction Log'!#REF!)</f>
        <v>#REF!</v>
      </c>
      <c r="F634" s="65" t="e">
        <f>IF('Prediction Log'!#REF!=0, "",'Prediction Log'!#REF!)</f>
        <v>#REF!</v>
      </c>
      <c r="G634" s="64" t="e">
        <f>IF(ISBLANK(Games!#REF!), "",'Prediction Log'!#REF!)</f>
        <v>#REF!</v>
      </c>
      <c r="H634" s="66" t="e">
        <f>'Prediction Log'!#REF!</f>
        <v>#REF!</v>
      </c>
      <c r="I634" s="65" t="e">
        <f>IF(ISBLANK(Games!#REF!), "",IF(AND(Games!#REF!="",Games!#REF!=""),"",IF(ISTEXT(Games!#REF!), "Side",Games!#REF!)))</f>
        <v>#REF!</v>
      </c>
      <c r="J634" s="65" t="e">
        <f>IF(ISBLANK(Games!#REF!), "",IF(Games!#REF!="Y", Games!#REF!, Games!#REF!))</f>
        <v>#REF!</v>
      </c>
      <c r="K634" s="65" t="e">
        <f>Games!#REF!</f>
        <v>#REF!</v>
      </c>
      <c r="L634" s="65" t="e">
        <f>IF(ISBLANK(Games!#REF!), "",Games!#REF!)</f>
        <v>#REF!</v>
      </c>
      <c r="M634" s="65"/>
      <c r="N634" s="167" t="str">
        <f>IF(ISBLANK(Table123[[#This Row],[Odds Side - Difference Model]]), "", 1)</f>
      </c>
      <c r="O634" s="167" t="str">
        <f>IF(ISBLANK(Table123[[#This Row],[Odds Spread]]), "", 1)</f>
      </c>
      <c r="P634" s="67"/>
      <c r="Q634" s="67"/>
      <c r="R6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4" s="67"/>
      <c r="T634" s="67"/>
      <c r="U634" s="168" t="str">
        <f>IF(ISBLANK(Table123[[#This Row],[Odds Side - Difference Model]]), "",N634+IF(Q634&lt;0, (N634/(Q634/-100)), N634*(Q634/100)))</f>
      </c>
      <c r="V634" s="169" t="str">
        <f>IFERROR(IF(ISBLANK(Table123[[#This Row],[Odds Side - Win Probability Model]]), "",N634+IF(R634&lt;0, (N634/(R634/-100)), N634*(R634/100))),"")</f>
      </c>
      <c r="W634" s="168" t="str">
        <f t="shared" si="61"/>
      </c>
      <c r="X634" s="169" t="str">
        <f t="shared" si="62"/>
      </c>
      <c r="Y634" s="168" t="str">
        <f>IF(ISBLANK(Table123[[#This Row],[Odds Spread]]), "",O634+IF(S634&lt;0, (O634/(S634/-100)), O634*(S634/100)))</f>
      </c>
      <c r="Z634" s="168" t="str">
        <f t="shared" si="63"/>
      </c>
      <c r="AA634" s="68" t="n">
        <f t="shared" si="64"/>
        <v>0</v>
      </c>
      <c r="AB634" s="68" t="n">
        <f t="shared" si="65"/>
        <v>0</v>
      </c>
      <c r="AC634" s="170" t="e">
        <f>IF('Prediction Log'!#REF!="Y", "W", IF('Prediction Log'!#REF!="N","L",""))</f>
        <v>#REF!</v>
      </c>
      <c r="AD634" s="171" t="e">
        <f>IF('Prediction Log'!#REF!="Y", "W", IF('Prediction Log'!#REF!="N","L",""))</f>
        <v>#REF!</v>
      </c>
      <c r="AE634" s="172" t="str">
        <f>IF(ISBLANK(Table123[[#This Row],[Odds Side - Difference Model]]), "",IF(AC634="W", W634, IF(AC634="L",-N634, "")))</f>
      </c>
      <c r="AF634" s="173" t="str">
        <f>IFERROR((IF(ISERR(Table123[[#This Row],[Potential Payout Side - Win Probability Model]]), "",IF(AD634="W", X634, IF(AD634="L",-N634, "")))), "")</f>
      </c>
      <c r="AG634" s="170" t="e">
        <f>IF('Prediction Log'!#REF!="Y", "W", IF('Prediction Log'!#REF!="N", "L", ""))</f>
        <v>#REF!</v>
      </c>
      <c r="AH634" s="172" t="str">
        <f>IF(ISBLANK(Table123[[#This Row],[Odds Spread]]), "",IF(AG634="W", Z634, IF(AG634="L",-O634, "")))</f>
      </c>
      <c r="AI634" s="184"/>
      <c r="AJ634" s="183" t="str">
        <f t="shared" si="66"/>
      </c>
      <c r="AK6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5">
      <c r="A635" s="65" t="e">
        <f>Games!#REF!</f>
        <v>#REF!</v>
      </c>
      <c r="B635" s="65" t="e">
        <f>IF('Prediction Log'!#REF!=0, "",'Prediction Log'!#REF!)</f>
        <v>#REF!</v>
      </c>
      <c r="C635" s="65" t="e">
        <f>IF('Prediction Log'!#REF!=0, "",'Prediction Log'!#REF!)</f>
        <v>#REF!</v>
      </c>
      <c r="D635" s="65" t="e">
        <f>IF('Prediction Log'!#REF!=0, "",'Prediction Log'!#REF!)</f>
        <v>#REF!</v>
      </c>
      <c r="E635" s="65" t="e">
        <f>IF('Prediction Log'!#REF!=0, "",'Prediction Log'!#REF!)</f>
        <v>#REF!</v>
      </c>
      <c r="F635" s="65" t="e">
        <f>IF('Prediction Log'!#REF!=0, "",'Prediction Log'!#REF!)</f>
        <v>#REF!</v>
      </c>
      <c r="G635" s="64" t="e">
        <f>IF(ISBLANK(Games!#REF!), "",'Prediction Log'!#REF!)</f>
        <v>#REF!</v>
      </c>
      <c r="H635" s="66" t="e">
        <f>'Prediction Log'!#REF!</f>
        <v>#REF!</v>
      </c>
      <c r="I635" s="65" t="e">
        <f>IF(ISBLANK(Games!#REF!), "",IF(AND(Games!#REF!="",Games!#REF!=""),"",IF(ISTEXT(Games!#REF!), "Side",Games!#REF!)))</f>
        <v>#REF!</v>
      </c>
      <c r="J635" s="65" t="e">
        <f>IF(ISBLANK(Games!#REF!), "",IF(Games!#REF!="Y", Games!#REF!, Games!#REF!))</f>
        <v>#REF!</v>
      </c>
      <c r="K635" s="65" t="e">
        <f>Games!#REF!</f>
        <v>#REF!</v>
      </c>
      <c r="L635" s="65" t="e">
        <f>IF(ISBLANK(Games!#REF!), "",Games!#REF!)</f>
        <v>#REF!</v>
      </c>
      <c r="M635" s="65"/>
      <c r="N635" s="167" t="str">
        <f>IF(ISBLANK(Table123[[#This Row],[Odds Side - Difference Model]]), "", 1)</f>
      </c>
      <c r="O635" s="167" t="str">
        <f>IF(ISBLANK(Table123[[#This Row],[Odds Spread]]), "", 1)</f>
      </c>
      <c r="P635" s="67"/>
      <c r="Q635" s="67"/>
      <c r="R6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5" s="67"/>
      <c r="T635" s="67"/>
      <c r="U635" s="168" t="str">
        <f>IF(ISBLANK(Table123[[#This Row],[Odds Side - Difference Model]]), "",N635+IF(Q635&lt;0, (N635/(Q635/-100)), N635*(Q635/100)))</f>
      </c>
      <c r="V635" s="169" t="str">
        <f>IFERROR(IF(ISBLANK(Table123[[#This Row],[Odds Side - Win Probability Model]]), "",N635+IF(R635&lt;0, (N635/(R635/-100)), N635*(R635/100))),"")</f>
      </c>
      <c r="W635" s="168" t="str">
        <f t="shared" si="61"/>
      </c>
      <c r="X635" s="169" t="str">
        <f t="shared" si="62"/>
      </c>
      <c r="Y635" s="168" t="str">
        <f>IF(ISBLANK(Table123[[#This Row],[Odds Spread]]), "",O635+IF(S635&lt;0, (O635/(S635/-100)), O635*(S635/100)))</f>
      </c>
      <c r="Z635" s="168" t="str">
        <f t="shared" si="63"/>
      </c>
      <c r="AA635" s="68" t="n">
        <f t="shared" si="64"/>
        <v>0</v>
      </c>
      <c r="AB635" s="68" t="n">
        <f t="shared" si="65"/>
        <v>0</v>
      </c>
      <c r="AC635" s="170" t="e">
        <f>IF('Prediction Log'!#REF!="Y", "W", IF('Prediction Log'!#REF!="N","L",""))</f>
        <v>#REF!</v>
      </c>
      <c r="AD635" s="171" t="e">
        <f>IF('Prediction Log'!#REF!="Y", "W", IF('Prediction Log'!#REF!="N","L",""))</f>
        <v>#REF!</v>
      </c>
      <c r="AE635" s="172" t="str">
        <f>IF(ISBLANK(Table123[[#This Row],[Odds Side - Difference Model]]), "",IF(AC635="W", W635, IF(AC635="L",-N635, "")))</f>
      </c>
      <c r="AF635" s="173" t="str">
        <f>IFERROR((IF(ISERR(Table123[[#This Row],[Potential Payout Side - Win Probability Model]]), "",IF(AD635="W", X635, IF(AD635="L",-N635, "")))), "")</f>
      </c>
      <c r="AG635" s="170" t="e">
        <f>IF('Prediction Log'!#REF!="Y", "W", IF('Prediction Log'!#REF!="N", "L", ""))</f>
        <v>#REF!</v>
      </c>
      <c r="AH635" s="172" t="str">
        <f>IF(ISBLANK(Table123[[#This Row],[Odds Spread]]), "",IF(AG635="W", Z635, IF(AG635="L",-O635, "")))</f>
      </c>
      <c r="AI635" s="184"/>
      <c r="AJ635" s="183" t="str">
        <f t="shared" si="66"/>
      </c>
      <c r="AK6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6">
      <c r="A636" s="65" t="e">
        <f>Games!#REF!</f>
        <v>#REF!</v>
      </c>
      <c r="B636" s="65" t="e">
        <f>IF('Prediction Log'!#REF!=0, "",'Prediction Log'!#REF!)</f>
        <v>#REF!</v>
      </c>
      <c r="C636" s="65" t="e">
        <f>IF('Prediction Log'!#REF!=0, "",'Prediction Log'!#REF!)</f>
        <v>#REF!</v>
      </c>
      <c r="D636" s="65" t="e">
        <f>IF('Prediction Log'!#REF!=0, "",'Prediction Log'!#REF!)</f>
        <v>#REF!</v>
      </c>
      <c r="E636" s="65" t="e">
        <f>IF('Prediction Log'!#REF!=0, "",'Prediction Log'!#REF!)</f>
        <v>#REF!</v>
      </c>
      <c r="F636" s="65" t="e">
        <f>IF('Prediction Log'!#REF!=0, "",'Prediction Log'!#REF!)</f>
        <v>#REF!</v>
      </c>
      <c r="G636" s="64" t="e">
        <f>IF(ISBLANK(Games!#REF!), "",'Prediction Log'!#REF!)</f>
        <v>#REF!</v>
      </c>
      <c r="H636" s="66" t="e">
        <f>'Prediction Log'!#REF!</f>
        <v>#REF!</v>
      </c>
      <c r="I636" s="65" t="e">
        <f>IF(ISBLANK(Games!#REF!), "",IF(AND(Games!#REF!="",Games!#REF!=""),"",IF(ISTEXT(Games!#REF!), "Side",Games!#REF!)))</f>
        <v>#REF!</v>
      </c>
      <c r="J636" s="65" t="e">
        <f>IF(ISBLANK(Games!#REF!), "",IF(Games!#REF!="Y", Games!#REF!, Games!#REF!))</f>
        <v>#REF!</v>
      </c>
      <c r="K636" s="65" t="e">
        <f>Games!#REF!</f>
        <v>#REF!</v>
      </c>
      <c r="L636" s="65" t="e">
        <f>IF(ISBLANK(Games!#REF!), "",Games!#REF!)</f>
        <v>#REF!</v>
      </c>
      <c r="M636" s="65"/>
      <c r="N636" s="167" t="str">
        <f>IF(ISBLANK(Table123[[#This Row],[Odds Side - Difference Model]]), "", 1)</f>
      </c>
      <c r="O636" s="167" t="str">
        <f>IF(ISBLANK(Table123[[#This Row],[Odds Spread]]), "", 1)</f>
      </c>
      <c r="P636" s="67"/>
      <c r="Q636" s="67"/>
      <c r="R6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6" s="67"/>
      <c r="T636" s="67"/>
      <c r="U636" s="168" t="str">
        <f>IF(ISBLANK(Table123[[#This Row],[Odds Side - Difference Model]]), "",N636+IF(Q636&lt;0, (N636/(Q636/-100)), N636*(Q636/100)))</f>
      </c>
      <c r="V636" s="169" t="str">
        <f>IFERROR(IF(ISBLANK(Table123[[#This Row],[Odds Side - Win Probability Model]]), "",N636+IF(R636&lt;0, (N636/(R636/-100)), N636*(R636/100))),"")</f>
      </c>
      <c r="W636" s="168" t="str">
        <f t="shared" si="61"/>
      </c>
      <c r="X636" s="169" t="str">
        <f t="shared" si="62"/>
      </c>
      <c r="Y636" s="168" t="str">
        <f>IF(ISBLANK(Table123[[#This Row],[Odds Spread]]), "",O636+IF(S636&lt;0, (O636/(S636/-100)), O636*(S636/100)))</f>
      </c>
      <c r="Z636" s="168" t="str">
        <f t="shared" si="63"/>
      </c>
      <c r="AA636" s="68" t="n">
        <f t="shared" si="64"/>
        <v>0</v>
      </c>
      <c r="AB636" s="68" t="n">
        <f t="shared" si="65"/>
        <v>0</v>
      </c>
      <c r="AC636" s="170" t="e">
        <f>IF('Prediction Log'!#REF!="Y", "W", IF('Prediction Log'!#REF!="N","L",""))</f>
        <v>#REF!</v>
      </c>
      <c r="AD636" s="171" t="e">
        <f>IF('Prediction Log'!#REF!="Y", "W", IF('Prediction Log'!#REF!="N","L",""))</f>
        <v>#REF!</v>
      </c>
      <c r="AE636" s="172" t="str">
        <f>IF(ISBLANK(Table123[[#This Row],[Odds Side - Difference Model]]), "",IF(AC636="W", W636, IF(AC636="L",-N636, "")))</f>
      </c>
      <c r="AF636" s="173" t="str">
        <f>IFERROR((IF(ISERR(Table123[[#This Row],[Potential Payout Side - Win Probability Model]]), "",IF(AD636="W", X636, IF(AD636="L",-N636, "")))), "")</f>
      </c>
      <c r="AG636" s="170" t="e">
        <f>IF('Prediction Log'!#REF!="Y", "W", IF('Prediction Log'!#REF!="N", "L", ""))</f>
        <v>#REF!</v>
      </c>
      <c r="AH636" s="172" t="str">
        <f>IF(ISBLANK(Table123[[#This Row],[Odds Spread]]), "",IF(AG636="W", Z636, IF(AG636="L",-O636, "")))</f>
      </c>
      <c r="AI636" s="184"/>
      <c r="AJ636" s="183" t="str">
        <f t="shared" si="66"/>
      </c>
      <c r="AK6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7">
      <c r="A637" s="65" t="e">
        <f>Games!#REF!</f>
        <v>#REF!</v>
      </c>
      <c r="B637" s="65" t="e">
        <f>IF('Prediction Log'!#REF!=0, "",'Prediction Log'!#REF!)</f>
        <v>#REF!</v>
      </c>
      <c r="C637" s="65" t="e">
        <f>IF('Prediction Log'!#REF!=0, "",'Prediction Log'!#REF!)</f>
        <v>#REF!</v>
      </c>
      <c r="D637" s="65" t="e">
        <f>IF('Prediction Log'!#REF!=0, "",'Prediction Log'!#REF!)</f>
        <v>#REF!</v>
      </c>
      <c r="E637" s="65" t="e">
        <f>IF('Prediction Log'!#REF!=0, "",'Prediction Log'!#REF!)</f>
        <v>#REF!</v>
      </c>
      <c r="F637" s="65" t="e">
        <f>IF('Prediction Log'!#REF!=0, "",'Prediction Log'!#REF!)</f>
        <v>#REF!</v>
      </c>
      <c r="G637" s="64" t="e">
        <f>IF(ISBLANK(Games!#REF!), "",'Prediction Log'!#REF!)</f>
        <v>#REF!</v>
      </c>
      <c r="H637" s="66" t="e">
        <f>'Prediction Log'!#REF!</f>
        <v>#REF!</v>
      </c>
      <c r="I637" s="65" t="e">
        <f>IF(ISBLANK(Games!#REF!), "",IF(AND(Games!#REF!="",Games!#REF!=""),"",IF(ISTEXT(Games!#REF!), "Side",Games!#REF!)))</f>
        <v>#REF!</v>
      </c>
      <c r="J637" s="65" t="e">
        <f>IF(ISBLANK(Games!#REF!), "",IF(Games!#REF!="Y", Games!#REF!, Games!#REF!))</f>
        <v>#REF!</v>
      </c>
      <c r="K637" s="65" t="e">
        <f>Games!#REF!</f>
        <v>#REF!</v>
      </c>
      <c r="L637" s="65" t="e">
        <f>IF(ISBLANK(Games!#REF!), "",Games!#REF!)</f>
        <v>#REF!</v>
      </c>
      <c r="M637" s="65"/>
      <c r="N637" s="167" t="str">
        <f>IF(ISBLANK(Table123[[#This Row],[Odds Side - Difference Model]]), "", 1)</f>
      </c>
      <c r="O637" s="167" t="str">
        <f>IF(ISBLANK(Table123[[#This Row],[Odds Spread]]), "", 1)</f>
      </c>
      <c r="P637" s="67"/>
      <c r="Q637" s="67"/>
      <c r="R6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7" s="67"/>
      <c r="T637" s="67"/>
      <c r="U637" s="168" t="str">
        <f>IF(ISBLANK(Table123[[#This Row],[Odds Side - Difference Model]]), "",N637+IF(Q637&lt;0, (N637/(Q637/-100)), N637*(Q637/100)))</f>
      </c>
      <c r="V637" s="169" t="str">
        <f>IFERROR(IF(ISBLANK(Table123[[#This Row],[Odds Side - Win Probability Model]]), "",N637+IF(R637&lt;0, (N637/(R637/-100)), N637*(R637/100))),"")</f>
      </c>
      <c r="W637" s="168" t="str">
        <f t="shared" si="61"/>
      </c>
      <c r="X637" s="169" t="str">
        <f t="shared" si="62"/>
      </c>
      <c r="Y637" s="168" t="str">
        <f>IF(ISBLANK(Table123[[#This Row],[Odds Spread]]), "",O637+IF(S637&lt;0, (O637/(S637/-100)), O637*(S637/100)))</f>
      </c>
      <c r="Z637" s="168" t="str">
        <f t="shared" si="63"/>
      </c>
      <c r="AA637" s="68" t="n">
        <f t="shared" si="64"/>
        <v>0</v>
      </c>
      <c r="AB637" s="68" t="n">
        <f t="shared" si="65"/>
        <v>0</v>
      </c>
      <c r="AC637" s="170" t="e">
        <f>IF('Prediction Log'!#REF!="Y", "W", IF('Prediction Log'!#REF!="N","L",""))</f>
        <v>#REF!</v>
      </c>
      <c r="AD637" s="171" t="e">
        <f>IF('Prediction Log'!#REF!="Y", "W", IF('Prediction Log'!#REF!="N","L",""))</f>
        <v>#REF!</v>
      </c>
      <c r="AE637" s="172" t="str">
        <f>IF(ISBLANK(Table123[[#This Row],[Odds Side - Difference Model]]), "",IF(AC637="W", W637, IF(AC637="L",-N637, "")))</f>
      </c>
      <c r="AF637" s="173" t="str">
        <f>IFERROR((IF(ISERR(Table123[[#This Row],[Potential Payout Side - Win Probability Model]]), "",IF(AD637="W", X637, IF(AD637="L",-N637, "")))), "")</f>
      </c>
      <c r="AG637" s="170" t="e">
        <f>IF('Prediction Log'!#REF!="Y", "W", IF('Prediction Log'!#REF!="N", "L", ""))</f>
        <v>#REF!</v>
      </c>
      <c r="AH637" s="172" t="str">
        <f>IF(ISBLANK(Table123[[#This Row],[Odds Spread]]), "",IF(AG637="W", Z637, IF(AG637="L",-O637, "")))</f>
      </c>
      <c r="AI637" s="184"/>
      <c r="AJ637" s="183" t="str">
        <f t="shared" si="66"/>
      </c>
      <c r="AK6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8">
      <c r="A638" s="65" t="e">
        <f>Games!#REF!</f>
        <v>#REF!</v>
      </c>
      <c r="B638" s="65" t="e">
        <f>IF('Prediction Log'!#REF!=0, "",'Prediction Log'!#REF!)</f>
        <v>#REF!</v>
      </c>
      <c r="C638" s="65" t="e">
        <f>IF('Prediction Log'!#REF!=0, "",'Prediction Log'!#REF!)</f>
        <v>#REF!</v>
      </c>
      <c r="D638" s="65" t="e">
        <f>IF('Prediction Log'!#REF!=0, "",'Prediction Log'!#REF!)</f>
        <v>#REF!</v>
      </c>
      <c r="E638" s="65" t="e">
        <f>IF('Prediction Log'!#REF!=0, "",'Prediction Log'!#REF!)</f>
        <v>#REF!</v>
      </c>
      <c r="F638" s="65" t="e">
        <f>IF('Prediction Log'!#REF!=0, "",'Prediction Log'!#REF!)</f>
        <v>#REF!</v>
      </c>
      <c r="G638" s="64" t="e">
        <f>IF(ISBLANK(Games!#REF!), "",'Prediction Log'!#REF!)</f>
        <v>#REF!</v>
      </c>
      <c r="H638" s="66" t="e">
        <f>'Prediction Log'!#REF!</f>
        <v>#REF!</v>
      </c>
      <c r="I638" s="65" t="e">
        <f>IF(ISBLANK(Games!#REF!), "",IF(AND(Games!#REF!="",Games!#REF!=""),"",IF(ISTEXT(Games!#REF!), "Side",Games!#REF!)))</f>
        <v>#REF!</v>
      </c>
      <c r="J638" s="65" t="e">
        <f>IF(ISBLANK(Games!#REF!), "",IF(Games!#REF!="Y", Games!#REF!, Games!#REF!))</f>
        <v>#REF!</v>
      </c>
      <c r="K638" s="65" t="e">
        <f>Games!#REF!</f>
        <v>#REF!</v>
      </c>
      <c r="L638" s="65" t="e">
        <f>IF(ISBLANK(Games!#REF!), "",Games!#REF!)</f>
        <v>#REF!</v>
      </c>
      <c r="M638" s="65"/>
      <c r="N638" s="167" t="str">
        <f>IF(ISBLANK(Table123[[#This Row],[Odds Side - Difference Model]]), "", 1)</f>
      </c>
      <c r="O638" s="167" t="str">
        <f>IF(ISBLANK(Table123[[#This Row],[Odds Spread]]), "", 1)</f>
      </c>
      <c r="P638" s="67"/>
      <c r="Q638" s="67"/>
      <c r="R6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8" s="67"/>
      <c r="T638" s="67"/>
      <c r="U638" s="168" t="str">
        <f>IF(ISBLANK(Table123[[#This Row],[Odds Side - Difference Model]]), "",N638+IF(Q638&lt;0, (N638/(Q638/-100)), N638*(Q638/100)))</f>
      </c>
      <c r="V638" s="169" t="str">
        <f>IFERROR(IF(ISBLANK(Table123[[#This Row],[Odds Side - Win Probability Model]]), "",N638+IF(R638&lt;0, (N638/(R638/-100)), N638*(R638/100))),"")</f>
      </c>
      <c r="W638" s="168" t="str">
        <f t="shared" si="61"/>
      </c>
      <c r="X638" s="169" t="str">
        <f t="shared" si="62"/>
      </c>
      <c r="Y638" s="168" t="str">
        <f>IF(ISBLANK(Table123[[#This Row],[Odds Spread]]), "",O638+IF(S638&lt;0, (O638/(S638/-100)), O638*(S638/100)))</f>
      </c>
      <c r="Z638" s="168" t="str">
        <f t="shared" si="63"/>
      </c>
      <c r="AA638" s="68" t="n">
        <f t="shared" si="64"/>
        <v>0</v>
      </c>
      <c r="AB638" s="68" t="n">
        <f t="shared" si="65"/>
        <v>0</v>
      </c>
      <c r="AC638" s="170" t="e">
        <f>IF('Prediction Log'!#REF!="Y", "W", IF('Prediction Log'!#REF!="N","L",""))</f>
        <v>#REF!</v>
      </c>
      <c r="AD638" s="171" t="e">
        <f>IF('Prediction Log'!#REF!="Y", "W", IF('Prediction Log'!#REF!="N","L",""))</f>
        <v>#REF!</v>
      </c>
      <c r="AE638" s="172" t="str">
        <f>IF(ISBLANK(Table123[[#This Row],[Odds Side - Difference Model]]), "",IF(AC638="W", W638, IF(AC638="L",-N638, "")))</f>
      </c>
      <c r="AF638" s="173" t="str">
        <f>IFERROR((IF(ISERR(Table123[[#This Row],[Potential Payout Side - Win Probability Model]]), "",IF(AD638="W", X638, IF(AD638="L",-N638, "")))), "")</f>
      </c>
      <c r="AG638" s="170" t="e">
        <f>IF('Prediction Log'!#REF!="Y", "W", IF('Prediction Log'!#REF!="N", "L", ""))</f>
        <v>#REF!</v>
      </c>
      <c r="AH638" s="172" t="str">
        <f>IF(ISBLANK(Table123[[#This Row],[Odds Spread]]), "",IF(AG638="W", Z638, IF(AG638="L",-O638, "")))</f>
      </c>
      <c r="AI638" s="184"/>
      <c r="AJ638" s="183" t="str">
        <f t="shared" si="66"/>
      </c>
      <c r="AK6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9">
      <c r="A639" s="65" t="e">
        <f>Games!#REF!</f>
        <v>#REF!</v>
      </c>
      <c r="B639" s="65" t="e">
        <f>IF('Prediction Log'!#REF!=0, "",'Prediction Log'!#REF!)</f>
        <v>#REF!</v>
      </c>
      <c r="C639" s="65" t="e">
        <f>IF('Prediction Log'!#REF!=0, "",'Prediction Log'!#REF!)</f>
        <v>#REF!</v>
      </c>
      <c r="D639" s="65" t="e">
        <f>IF('Prediction Log'!#REF!=0, "",'Prediction Log'!#REF!)</f>
        <v>#REF!</v>
      </c>
      <c r="E639" s="65" t="e">
        <f>IF('Prediction Log'!#REF!=0, "",'Prediction Log'!#REF!)</f>
        <v>#REF!</v>
      </c>
      <c r="F639" s="65" t="e">
        <f>IF('Prediction Log'!#REF!=0, "",'Prediction Log'!#REF!)</f>
        <v>#REF!</v>
      </c>
      <c r="G639" s="64" t="e">
        <f>IF(ISBLANK(Games!#REF!), "",'Prediction Log'!#REF!)</f>
        <v>#REF!</v>
      </c>
      <c r="H639" s="66" t="e">
        <f>'Prediction Log'!#REF!</f>
        <v>#REF!</v>
      </c>
      <c r="I639" s="65" t="e">
        <f>IF(ISBLANK(Games!#REF!), "",IF(AND(Games!#REF!="",Games!#REF!=""),"",IF(ISTEXT(Games!#REF!), "Side",Games!#REF!)))</f>
        <v>#REF!</v>
      </c>
      <c r="J639" s="65" t="e">
        <f>IF(ISBLANK(Games!#REF!), "",IF(Games!#REF!="Y", Games!#REF!, Games!#REF!))</f>
        <v>#REF!</v>
      </c>
      <c r="K639" s="65" t="e">
        <f>Games!#REF!</f>
        <v>#REF!</v>
      </c>
      <c r="L639" s="65" t="e">
        <f>IF(ISBLANK(Games!#REF!), "",Games!#REF!)</f>
        <v>#REF!</v>
      </c>
      <c r="M639" s="65"/>
      <c r="N639" s="167" t="str">
        <f>IF(ISBLANK(Table123[[#This Row],[Odds Side - Difference Model]]), "", 1)</f>
      </c>
      <c r="O639" s="167" t="str">
        <f>IF(ISBLANK(Table123[[#This Row],[Odds Spread]]), "", 1)</f>
      </c>
      <c r="P639" s="67"/>
      <c r="Q639" s="67"/>
      <c r="R6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9" s="67"/>
      <c r="T639" s="67"/>
      <c r="U639" s="168" t="str">
        <f>IF(ISBLANK(Table123[[#This Row],[Odds Side - Difference Model]]), "",N639+IF(Q639&lt;0, (N639/(Q639/-100)), N639*(Q639/100)))</f>
      </c>
      <c r="V639" s="169" t="str">
        <f>IFERROR(IF(ISBLANK(Table123[[#This Row],[Odds Side - Win Probability Model]]), "",N639+IF(R639&lt;0, (N639/(R639/-100)), N639*(R639/100))),"")</f>
      </c>
      <c r="W639" s="168" t="str">
        <f t="shared" si="61"/>
      </c>
      <c r="X639" s="169" t="str">
        <f t="shared" si="62"/>
      </c>
      <c r="Y639" s="168" t="str">
        <f>IF(ISBLANK(Table123[[#This Row],[Odds Spread]]), "",O639+IF(S639&lt;0, (O639/(S639/-100)), O639*(S639/100)))</f>
      </c>
      <c r="Z639" s="168" t="str">
        <f t="shared" si="63"/>
      </c>
      <c r="AA639" s="68" t="n">
        <f t="shared" si="64"/>
        <v>0</v>
      </c>
      <c r="AB639" s="68" t="n">
        <f t="shared" si="65"/>
        <v>0</v>
      </c>
      <c r="AC639" s="170" t="e">
        <f>IF('Prediction Log'!#REF!="Y", "W", IF('Prediction Log'!#REF!="N","L",""))</f>
        <v>#REF!</v>
      </c>
      <c r="AD639" s="171" t="e">
        <f>IF('Prediction Log'!#REF!="Y", "W", IF('Prediction Log'!#REF!="N","L",""))</f>
        <v>#REF!</v>
      </c>
      <c r="AE639" s="172" t="str">
        <f>IF(ISBLANK(Table123[[#This Row],[Odds Side - Difference Model]]), "",IF(AC639="W", W639, IF(AC639="L",-N639, "")))</f>
      </c>
      <c r="AF639" s="173" t="str">
        <f>IFERROR((IF(ISERR(Table123[[#This Row],[Potential Payout Side - Win Probability Model]]), "",IF(AD639="W", X639, IF(AD639="L",-N639, "")))), "")</f>
      </c>
      <c r="AG639" s="170" t="e">
        <f>IF('Prediction Log'!#REF!="Y", "W", IF('Prediction Log'!#REF!="N", "L", ""))</f>
        <v>#REF!</v>
      </c>
      <c r="AH639" s="172" t="str">
        <f>IF(ISBLANK(Table123[[#This Row],[Odds Spread]]), "",IF(AG639="W", Z639, IF(AG639="L",-O639, "")))</f>
      </c>
      <c r="AI639" s="184"/>
      <c r="AJ639" s="183" t="str">
        <f t="shared" si="66"/>
      </c>
      <c r="AK6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0">
      <c r="A640" s="65" t="e">
        <f>Games!#REF!</f>
        <v>#REF!</v>
      </c>
      <c r="B640" s="65" t="e">
        <f>IF('Prediction Log'!#REF!=0, "",'Prediction Log'!#REF!)</f>
        <v>#REF!</v>
      </c>
      <c r="C640" s="65" t="e">
        <f>IF('Prediction Log'!#REF!=0, "",'Prediction Log'!#REF!)</f>
        <v>#REF!</v>
      </c>
      <c r="D640" s="65" t="e">
        <f>IF('Prediction Log'!#REF!=0, "",'Prediction Log'!#REF!)</f>
        <v>#REF!</v>
      </c>
      <c r="E640" s="65" t="e">
        <f>IF('Prediction Log'!#REF!=0, "",'Prediction Log'!#REF!)</f>
        <v>#REF!</v>
      </c>
      <c r="F640" s="65" t="e">
        <f>IF('Prediction Log'!#REF!=0, "",'Prediction Log'!#REF!)</f>
        <v>#REF!</v>
      </c>
      <c r="G640" s="64" t="e">
        <f>IF(ISBLANK(Games!#REF!), "",'Prediction Log'!#REF!)</f>
        <v>#REF!</v>
      </c>
      <c r="H640" s="66" t="e">
        <f>'Prediction Log'!#REF!</f>
        <v>#REF!</v>
      </c>
      <c r="I640" s="65" t="e">
        <f>IF(ISBLANK(Games!#REF!), "",IF(AND(Games!#REF!="",Games!#REF!=""),"",IF(ISTEXT(Games!#REF!), "Side",Games!#REF!)))</f>
        <v>#REF!</v>
      </c>
      <c r="J640" s="65" t="e">
        <f>IF(ISBLANK(Games!#REF!), "",IF(Games!#REF!="Y", Games!#REF!, Games!#REF!))</f>
        <v>#REF!</v>
      </c>
      <c r="K640" s="65" t="e">
        <f>Games!#REF!</f>
        <v>#REF!</v>
      </c>
      <c r="L640" s="65" t="e">
        <f>IF(ISBLANK(Games!#REF!), "",Games!#REF!)</f>
        <v>#REF!</v>
      </c>
      <c r="M640" s="65"/>
      <c r="N640" s="167" t="str">
        <f>IF(ISBLANK(Table123[[#This Row],[Odds Side - Difference Model]]), "", 1)</f>
      </c>
      <c r="O640" s="167" t="str">
        <f>IF(ISBLANK(Table123[[#This Row],[Odds Spread]]), "", 1)</f>
      </c>
      <c r="P640" s="67"/>
      <c r="Q640" s="67"/>
      <c r="R6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0" s="67"/>
      <c r="T640" s="67"/>
      <c r="U640" s="168" t="str">
        <f>IF(ISBLANK(Table123[[#This Row],[Odds Side - Difference Model]]), "",N640+IF(Q640&lt;0, (N640/(Q640/-100)), N640*(Q640/100)))</f>
      </c>
      <c r="V640" s="169" t="str">
        <f>IFERROR(IF(ISBLANK(Table123[[#This Row],[Odds Side - Win Probability Model]]), "",N640+IF(R640&lt;0, (N640/(R640/-100)), N640*(R640/100))),"")</f>
      </c>
      <c r="W640" s="168" t="str">
        <f t="shared" si="61"/>
      </c>
      <c r="X640" s="169" t="str">
        <f t="shared" si="62"/>
      </c>
      <c r="Y640" s="168" t="str">
        <f>IF(ISBLANK(Table123[[#This Row],[Odds Spread]]), "",O640+IF(S640&lt;0, (O640/(S640/-100)), O640*(S640/100)))</f>
      </c>
      <c r="Z640" s="168" t="str">
        <f t="shared" si="63"/>
      </c>
      <c r="AA640" s="68" t="n">
        <f t="shared" si="64"/>
        <v>0</v>
      </c>
      <c r="AB640" s="68" t="n">
        <f t="shared" si="65"/>
        <v>0</v>
      </c>
      <c r="AC640" s="170" t="e">
        <f>IF('Prediction Log'!#REF!="Y", "W", IF('Prediction Log'!#REF!="N","L",""))</f>
        <v>#REF!</v>
      </c>
      <c r="AD640" s="171" t="e">
        <f>IF('Prediction Log'!#REF!="Y", "W", IF('Prediction Log'!#REF!="N","L",""))</f>
        <v>#REF!</v>
      </c>
      <c r="AE640" s="172" t="str">
        <f>IF(ISBLANK(Table123[[#This Row],[Odds Side - Difference Model]]), "",IF(AC640="W", W640, IF(AC640="L",-N640, "")))</f>
      </c>
      <c r="AF640" s="173" t="str">
        <f>IFERROR((IF(ISERR(Table123[[#This Row],[Potential Payout Side - Win Probability Model]]), "",IF(AD640="W", X640, IF(AD640="L",-N640, "")))), "")</f>
      </c>
      <c r="AG640" s="170" t="e">
        <f>IF('Prediction Log'!#REF!="Y", "W", IF('Prediction Log'!#REF!="N", "L", ""))</f>
        <v>#REF!</v>
      </c>
      <c r="AH640" s="172" t="str">
        <f>IF(ISBLANK(Table123[[#This Row],[Odds Spread]]), "",IF(AG640="W", Z640, IF(AG640="L",-O640, "")))</f>
      </c>
      <c r="AI640" s="184"/>
      <c r="AJ640" s="183" t="str">
        <f t="shared" si="66"/>
      </c>
      <c r="AK6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1">
      <c r="A641" s="65" t="e">
        <f>Games!#REF!</f>
        <v>#REF!</v>
      </c>
      <c r="B641" s="65" t="e">
        <f>IF('Prediction Log'!#REF!=0, "",'Prediction Log'!#REF!)</f>
        <v>#REF!</v>
      </c>
      <c r="C641" s="65" t="e">
        <f>IF('Prediction Log'!#REF!=0, "",'Prediction Log'!#REF!)</f>
        <v>#REF!</v>
      </c>
      <c r="D641" s="65" t="e">
        <f>IF('Prediction Log'!#REF!=0, "",'Prediction Log'!#REF!)</f>
        <v>#REF!</v>
      </c>
      <c r="E641" s="65" t="e">
        <f>IF('Prediction Log'!#REF!=0, "",'Prediction Log'!#REF!)</f>
        <v>#REF!</v>
      </c>
      <c r="F641" s="65" t="e">
        <f>IF('Prediction Log'!#REF!=0, "",'Prediction Log'!#REF!)</f>
        <v>#REF!</v>
      </c>
      <c r="G641" s="64" t="e">
        <f>IF(ISBLANK(Games!#REF!), "",'Prediction Log'!#REF!)</f>
        <v>#REF!</v>
      </c>
      <c r="H641" s="66" t="e">
        <f>'Prediction Log'!#REF!</f>
        <v>#REF!</v>
      </c>
      <c r="I641" s="65" t="e">
        <f>IF(ISBLANK(Games!#REF!), "",IF(AND(Games!#REF!="",Games!#REF!=""),"",IF(ISTEXT(Games!#REF!), "Side",Games!#REF!)))</f>
        <v>#REF!</v>
      </c>
      <c r="J641" s="65" t="e">
        <f>IF(ISBLANK(Games!#REF!), "",IF(Games!#REF!="Y", Games!#REF!, Games!#REF!))</f>
        <v>#REF!</v>
      </c>
      <c r="K641" s="65" t="e">
        <f>Games!#REF!</f>
        <v>#REF!</v>
      </c>
      <c r="L641" s="65" t="e">
        <f>IF(ISBLANK(Games!#REF!), "",Games!#REF!)</f>
        <v>#REF!</v>
      </c>
      <c r="M641" s="65"/>
      <c r="N641" s="167" t="str">
        <f>IF(ISBLANK(Table123[[#This Row],[Odds Side - Difference Model]]), "", 1)</f>
      </c>
      <c r="O641" s="167" t="str">
        <f>IF(ISBLANK(Table123[[#This Row],[Odds Spread]]), "", 1)</f>
      </c>
      <c r="P641" s="67"/>
      <c r="Q641" s="67"/>
      <c r="R6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1" s="67"/>
      <c r="T641" s="67"/>
      <c r="U641" s="168" t="str">
        <f>IF(ISBLANK(Table123[[#This Row],[Odds Side - Difference Model]]), "",N641+IF(Q641&lt;0, (N641/(Q641/-100)), N641*(Q641/100)))</f>
      </c>
      <c r="V641" s="169" t="str">
        <f>IFERROR(IF(ISBLANK(Table123[[#This Row],[Odds Side - Win Probability Model]]), "",N641+IF(R641&lt;0, (N641/(R641/-100)), N641*(R641/100))),"")</f>
      </c>
      <c r="W641" s="168" t="str">
        <f t="shared" si="61"/>
      </c>
      <c r="X641" s="169" t="str">
        <f t="shared" si="62"/>
      </c>
      <c r="Y641" s="168" t="str">
        <f>IF(ISBLANK(Table123[[#This Row],[Odds Spread]]), "",O641+IF(S641&lt;0, (O641/(S641/-100)), O641*(S641/100)))</f>
      </c>
      <c r="Z641" s="168" t="str">
        <f t="shared" si="63"/>
      </c>
      <c r="AA641" s="68" t="n">
        <f t="shared" si="64"/>
        <v>0</v>
      </c>
      <c r="AB641" s="68" t="n">
        <f t="shared" si="65"/>
        <v>0</v>
      </c>
      <c r="AC641" s="170" t="e">
        <f>IF('Prediction Log'!#REF!="Y", "W", IF('Prediction Log'!#REF!="N","L",""))</f>
        <v>#REF!</v>
      </c>
      <c r="AD641" s="171" t="e">
        <f>IF('Prediction Log'!#REF!="Y", "W", IF('Prediction Log'!#REF!="N","L",""))</f>
        <v>#REF!</v>
      </c>
      <c r="AE641" s="172" t="str">
        <f>IF(ISBLANK(Table123[[#This Row],[Odds Side - Difference Model]]), "",IF(AC641="W", W641, IF(AC641="L",-N641, "")))</f>
      </c>
      <c r="AF641" s="173" t="str">
        <f>IFERROR((IF(ISERR(Table123[[#This Row],[Potential Payout Side - Win Probability Model]]), "",IF(AD641="W", X641, IF(AD641="L",-N641, "")))), "")</f>
      </c>
      <c r="AG641" s="170" t="e">
        <f>IF('Prediction Log'!#REF!="Y", "W", IF('Prediction Log'!#REF!="N", "L", ""))</f>
        <v>#REF!</v>
      </c>
      <c r="AH641" s="172" t="str">
        <f>IF(ISBLANK(Table123[[#This Row],[Odds Spread]]), "",IF(AG641="W", Z641, IF(AG641="L",-O641, "")))</f>
      </c>
      <c r="AI641" s="184"/>
      <c r="AJ641" s="183" t="str">
        <f t="shared" si="66"/>
      </c>
      <c r="AK6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2">
      <c r="A642" s="65" t="e">
        <f>Games!#REF!</f>
        <v>#REF!</v>
      </c>
      <c r="B642" s="65" t="e">
        <f>IF('Prediction Log'!#REF!=0, "",'Prediction Log'!#REF!)</f>
        <v>#REF!</v>
      </c>
      <c r="C642" s="65" t="e">
        <f>IF('Prediction Log'!#REF!=0, "",'Prediction Log'!#REF!)</f>
        <v>#REF!</v>
      </c>
      <c r="D642" s="65" t="e">
        <f>IF('Prediction Log'!#REF!=0, "",'Prediction Log'!#REF!)</f>
        <v>#REF!</v>
      </c>
      <c r="E642" s="65" t="e">
        <f>IF('Prediction Log'!#REF!=0, "",'Prediction Log'!#REF!)</f>
        <v>#REF!</v>
      </c>
      <c r="F642" s="65" t="e">
        <f>IF('Prediction Log'!#REF!=0, "",'Prediction Log'!#REF!)</f>
        <v>#REF!</v>
      </c>
      <c r="G642" s="64" t="e">
        <f>IF(ISBLANK(Games!#REF!), "",'Prediction Log'!#REF!)</f>
        <v>#REF!</v>
      </c>
      <c r="H642" s="66" t="e">
        <f>'Prediction Log'!#REF!</f>
        <v>#REF!</v>
      </c>
      <c r="I642" s="65" t="e">
        <f>IF(ISBLANK(Games!#REF!), "",IF(AND(Games!#REF!="",Games!#REF!=""),"",IF(ISTEXT(Games!#REF!), "Side",Games!#REF!)))</f>
        <v>#REF!</v>
      </c>
      <c r="J642" s="65" t="e">
        <f>IF(ISBLANK(Games!#REF!), "",IF(Games!#REF!="Y", Games!#REF!, Games!#REF!))</f>
        <v>#REF!</v>
      </c>
      <c r="K642" s="65" t="e">
        <f>Games!#REF!</f>
        <v>#REF!</v>
      </c>
      <c r="L642" s="65" t="e">
        <f>IF(ISBLANK(Games!#REF!), "",Games!#REF!)</f>
        <v>#REF!</v>
      </c>
      <c r="M642" s="65"/>
      <c r="N642" s="167" t="str">
        <f>IF(ISBLANK(Table123[[#This Row],[Odds Side - Difference Model]]), "", 1)</f>
      </c>
      <c r="O642" s="167" t="str">
        <f>IF(ISBLANK(Table123[[#This Row],[Odds Spread]]), "", 1)</f>
      </c>
      <c r="P642" s="67"/>
      <c r="Q642" s="67"/>
      <c r="R6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2" s="67"/>
      <c r="T642" s="67"/>
      <c r="U642" s="168" t="str">
        <f>IF(ISBLANK(Table123[[#This Row],[Odds Side - Difference Model]]), "",N642+IF(Q642&lt;0, (N642/(Q642/-100)), N642*(Q642/100)))</f>
      </c>
      <c r="V642" s="169" t="str">
        <f>IFERROR(IF(ISBLANK(Table123[[#This Row],[Odds Side - Win Probability Model]]), "",N642+IF(R642&lt;0, (N642/(R642/-100)), N642*(R642/100))),"")</f>
      </c>
      <c r="W642" s="168" t="str">
        <f t="shared" si="61"/>
      </c>
      <c r="X642" s="169" t="str">
        <f t="shared" si="62"/>
      </c>
      <c r="Y642" s="168" t="str">
        <f>IF(ISBLANK(Table123[[#This Row],[Odds Spread]]), "",O642+IF(S642&lt;0, (O642/(S642/-100)), O642*(S642/100)))</f>
      </c>
      <c r="Z642" s="168" t="str">
        <f t="shared" si="63"/>
      </c>
      <c r="AA642" s="68" t="n">
        <f t="shared" si="64"/>
        <v>0</v>
      </c>
      <c r="AB642" s="68" t="n">
        <f t="shared" si="65"/>
        <v>0</v>
      </c>
      <c r="AC642" s="170" t="e">
        <f>IF('Prediction Log'!#REF!="Y", "W", IF('Prediction Log'!#REF!="N","L",""))</f>
        <v>#REF!</v>
      </c>
      <c r="AD642" s="171" t="e">
        <f>IF('Prediction Log'!#REF!="Y", "W", IF('Prediction Log'!#REF!="N","L",""))</f>
        <v>#REF!</v>
      </c>
      <c r="AE642" s="172" t="str">
        <f>IF(ISBLANK(Table123[[#This Row],[Odds Side - Difference Model]]), "",IF(AC642="W", W642, IF(AC642="L",-N642, "")))</f>
      </c>
      <c r="AF642" s="173" t="str">
        <f>IFERROR((IF(ISERR(Table123[[#This Row],[Potential Payout Side - Win Probability Model]]), "",IF(AD642="W", X642, IF(AD642="L",-N642, "")))), "")</f>
      </c>
      <c r="AG642" s="170" t="e">
        <f>IF('Prediction Log'!#REF!="Y", "W", IF('Prediction Log'!#REF!="N", "L", ""))</f>
        <v>#REF!</v>
      </c>
      <c r="AH642" s="172" t="str">
        <f>IF(ISBLANK(Table123[[#This Row],[Odds Spread]]), "",IF(AG642="W", Z642, IF(AG642="L",-O642, "")))</f>
      </c>
      <c r="AI642" s="184"/>
      <c r="AJ642" s="183" t="str">
        <f t="shared" si="66"/>
      </c>
      <c r="AK6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3">
      <c r="A643" s="65" t="e">
        <f>Games!#REF!</f>
        <v>#REF!</v>
      </c>
      <c r="B643" s="65" t="e">
        <f>IF('Prediction Log'!#REF!=0, "",'Prediction Log'!#REF!)</f>
        <v>#REF!</v>
      </c>
      <c r="C643" s="65" t="e">
        <f>IF('Prediction Log'!#REF!=0, "",'Prediction Log'!#REF!)</f>
        <v>#REF!</v>
      </c>
      <c r="D643" s="65" t="e">
        <f>IF('Prediction Log'!#REF!=0, "",'Prediction Log'!#REF!)</f>
        <v>#REF!</v>
      </c>
      <c r="E643" s="65" t="e">
        <f>IF('Prediction Log'!#REF!=0, "",'Prediction Log'!#REF!)</f>
        <v>#REF!</v>
      </c>
      <c r="F643" s="65" t="e">
        <f>IF('Prediction Log'!#REF!=0, "",'Prediction Log'!#REF!)</f>
        <v>#REF!</v>
      </c>
      <c r="G643" s="64" t="e">
        <f>IF(ISBLANK(Games!#REF!), "",'Prediction Log'!#REF!)</f>
        <v>#REF!</v>
      </c>
      <c r="H643" s="66" t="e">
        <f>'Prediction Log'!#REF!</f>
        <v>#REF!</v>
      </c>
      <c r="I643" s="65" t="e">
        <f>IF(ISBLANK(Games!#REF!), "",IF(AND(Games!#REF!="",Games!#REF!=""),"",IF(ISTEXT(Games!#REF!), "Side",Games!#REF!)))</f>
        <v>#REF!</v>
      </c>
      <c r="J643" s="65" t="e">
        <f>IF(ISBLANK(Games!#REF!), "",IF(Games!#REF!="Y", Games!#REF!, Games!#REF!))</f>
        <v>#REF!</v>
      </c>
      <c r="K643" s="65" t="e">
        <f>Games!#REF!</f>
        <v>#REF!</v>
      </c>
      <c r="L643" s="65" t="e">
        <f>IF(ISBLANK(Games!#REF!), "",Games!#REF!)</f>
        <v>#REF!</v>
      </c>
      <c r="M643" s="65"/>
      <c r="N643" s="167" t="str">
        <f>IF(ISBLANK(Table123[[#This Row],[Odds Side - Difference Model]]), "", 1)</f>
      </c>
      <c r="O643" s="167" t="str">
        <f>IF(ISBLANK(Table123[[#This Row],[Odds Spread]]), "", 1)</f>
      </c>
      <c r="P643" s="67"/>
      <c r="Q643" s="67"/>
      <c r="R6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3" s="67"/>
      <c r="T643" s="67"/>
      <c r="U643" s="168" t="str">
        <f>IF(ISBLANK(Table123[[#This Row],[Odds Side - Difference Model]]), "",N643+IF(Q643&lt;0, (N643/(Q643/-100)), N643*(Q643/100)))</f>
      </c>
      <c r="V643" s="169" t="str">
        <f>IFERROR(IF(ISBLANK(Table123[[#This Row],[Odds Side - Win Probability Model]]), "",N643+IF(R643&lt;0, (N643/(R643/-100)), N643*(R643/100))),"")</f>
      </c>
      <c r="W643" s="168" t="str">
        <f t="shared" ref="W643:W706" si="67">IFERROR(U643-N643, "")</f>
      </c>
      <c r="X643" s="169" t="str">
        <f t="shared" ref="X643:X706" si="68">IFERROR(V643-N643, "")</f>
      </c>
      <c r="Y643" s="168" t="str">
        <f>IF(ISBLANK(Table123[[#This Row],[Odds Spread]]), "",O643+IF(S643&lt;0, (O643/(S643/-100)), O643*(S643/100)))</f>
      </c>
      <c r="Z643" s="168" t="str">
        <f t="shared" ref="Z643:Z706" si="69">IFERROR(Y643-O643, "")</f>
      </c>
      <c r="AA643" s="68" t="n">
        <f t="shared" ref="AA643:AA706" si="70">P643+IF(T643&lt;0, (P643/(T643/-100)), P643*(T643/100))</f>
        <v>0</v>
      </c>
      <c r="AB643" s="68" t="n">
        <f t="shared" ref="AB643:AB706" si="71">T643-P643</f>
        <v>0</v>
      </c>
      <c r="AC643" s="170" t="e">
        <f>IF('Prediction Log'!#REF!="Y", "W", IF('Prediction Log'!#REF!="N","L",""))</f>
        <v>#REF!</v>
      </c>
      <c r="AD643" s="171" t="e">
        <f>IF('Prediction Log'!#REF!="Y", "W", IF('Prediction Log'!#REF!="N","L",""))</f>
        <v>#REF!</v>
      </c>
      <c r="AE643" s="172" t="str">
        <f>IF(ISBLANK(Table123[[#This Row],[Odds Side - Difference Model]]), "",IF(AC643="W", W643, IF(AC643="L",-N643, "")))</f>
      </c>
      <c r="AF643" s="173" t="str">
        <f>IFERROR((IF(ISERR(Table123[[#This Row],[Potential Payout Side - Win Probability Model]]), "",IF(AD643="W", X643, IF(AD643="L",-N643, "")))), "")</f>
      </c>
      <c r="AG643" s="170" t="e">
        <f>IF('Prediction Log'!#REF!="Y", "W", IF('Prediction Log'!#REF!="N", "L", ""))</f>
        <v>#REF!</v>
      </c>
      <c r="AH643" s="172" t="str">
        <f>IF(ISBLANK(Table123[[#This Row],[Odds Spread]]), "",IF(AG643="W", Z643, IF(AG643="L",-O643, "")))</f>
      </c>
      <c r="AI643" s="184"/>
      <c r="AJ643" s="183" t="str">
        <f t="shared" ref="AJ643:AJ706" si="72">IF(AI643="W", AB643, IF(AI643="L",-S643, ""))</f>
      </c>
      <c r="AK6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4">
      <c r="A644" s="65" t="e">
        <f>Games!#REF!</f>
        <v>#REF!</v>
      </c>
      <c r="B644" s="65" t="e">
        <f>IF('Prediction Log'!#REF!=0, "",'Prediction Log'!#REF!)</f>
        <v>#REF!</v>
      </c>
      <c r="C644" s="65" t="e">
        <f>IF('Prediction Log'!#REF!=0, "",'Prediction Log'!#REF!)</f>
        <v>#REF!</v>
      </c>
      <c r="D644" s="65" t="e">
        <f>IF('Prediction Log'!#REF!=0, "",'Prediction Log'!#REF!)</f>
        <v>#REF!</v>
      </c>
      <c r="E644" s="65" t="e">
        <f>IF('Prediction Log'!#REF!=0, "",'Prediction Log'!#REF!)</f>
        <v>#REF!</v>
      </c>
      <c r="F644" s="65" t="e">
        <f>IF('Prediction Log'!#REF!=0, "",'Prediction Log'!#REF!)</f>
        <v>#REF!</v>
      </c>
      <c r="G644" s="64" t="e">
        <f>IF(ISBLANK(Games!#REF!), "",'Prediction Log'!#REF!)</f>
        <v>#REF!</v>
      </c>
      <c r="H644" s="66" t="e">
        <f>'Prediction Log'!#REF!</f>
        <v>#REF!</v>
      </c>
      <c r="I644" s="65" t="e">
        <f>IF(ISBLANK(Games!#REF!), "",IF(AND(Games!#REF!="",Games!#REF!=""),"",IF(ISTEXT(Games!#REF!), "Side",Games!#REF!)))</f>
        <v>#REF!</v>
      </c>
      <c r="J644" s="65" t="e">
        <f>IF(ISBLANK(Games!#REF!), "",IF(Games!#REF!="Y", Games!#REF!, Games!#REF!))</f>
        <v>#REF!</v>
      </c>
      <c r="K644" s="65" t="e">
        <f>Games!#REF!</f>
        <v>#REF!</v>
      </c>
      <c r="L644" s="65" t="e">
        <f>IF(ISBLANK(Games!#REF!), "",Games!#REF!)</f>
        <v>#REF!</v>
      </c>
      <c r="M644" s="65"/>
      <c r="N644" s="167" t="str">
        <f>IF(ISBLANK(Table123[[#This Row],[Odds Side - Difference Model]]), "", 1)</f>
      </c>
      <c r="O644" s="167" t="str">
        <f>IF(ISBLANK(Table123[[#This Row],[Odds Spread]]), "", 1)</f>
      </c>
      <c r="P644" s="67"/>
      <c r="Q644" s="67"/>
      <c r="R6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4" s="67"/>
      <c r="T644" s="67"/>
      <c r="U644" s="168" t="str">
        <f>IF(ISBLANK(Table123[[#This Row],[Odds Side - Difference Model]]), "",N644+IF(Q644&lt;0, (N644/(Q644/-100)), N644*(Q644/100)))</f>
      </c>
      <c r="V644" s="169" t="str">
        <f>IFERROR(IF(ISBLANK(Table123[[#This Row],[Odds Side - Win Probability Model]]), "",N644+IF(R644&lt;0, (N644/(R644/-100)), N644*(R644/100))),"")</f>
      </c>
      <c r="W644" s="168" t="str">
        <f t="shared" si="67"/>
      </c>
      <c r="X644" s="169" t="str">
        <f t="shared" si="68"/>
      </c>
      <c r="Y644" s="168" t="str">
        <f>IF(ISBLANK(Table123[[#This Row],[Odds Spread]]), "",O644+IF(S644&lt;0, (O644/(S644/-100)), O644*(S644/100)))</f>
      </c>
      <c r="Z644" s="168" t="str">
        <f t="shared" si="69"/>
      </c>
      <c r="AA644" s="68" t="n">
        <f t="shared" si="70"/>
        <v>0</v>
      </c>
      <c r="AB644" s="68" t="n">
        <f t="shared" si="71"/>
        <v>0</v>
      </c>
      <c r="AC644" s="170" t="e">
        <f>IF('Prediction Log'!#REF!="Y", "W", IF('Prediction Log'!#REF!="N","L",""))</f>
        <v>#REF!</v>
      </c>
      <c r="AD644" s="171" t="e">
        <f>IF('Prediction Log'!#REF!="Y", "W", IF('Prediction Log'!#REF!="N","L",""))</f>
        <v>#REF!</v>
      </c>
      <c r="AE644" s="172" t="str">
        <f>IF(ISBLANK(Table123[[#This Row],[Odds Side - Difference Model]]), "",IF(AC644="W", W644, IF(AC644="L",-N644, "")))</f>
      </c>
      <c r="AF644" s="173" t="str">
        <f>IFERROR((IF(ISERR(Table123[[#This Row],[Potential Payout Side - Win Probability Model]]), "",IF(AD644="W", X644, IF(AD644="L",-N644, "")))), "")</f>
      </c>
      <c r="AG644" s="170" t="e">
        <f>IF('Prediction Log'!#REF!="Y", "W", IF('Prediction Log'!#REF!="N", "L", ""))</f>
        <v>#REF!</v>
      </c>
      <c r="AH644" s="172" t="str">
        <f>IF(ISBLANK(Table123[[#This Row],[Odds Spread]]), "",IF(AG644="W", Z644, IF(AG644="L",-O644, "")))</f>
      </c>
      <c r="AI644" s="184"/>
      <c r="AJ644" s="183" t="str">
        <f t="shared" si="72"/>
      </c>
      <c r="AK6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5">
      <c r="A645" s="65" t="e">
        <f>Games!#REF!</f>
        <v>#REF!</v>
      </c>
      <c r="B645" s="65" t="e">
        <f>IF('Prediction Log'!#REF!=0, "",'Prediction Log'!#REF!)</f>
        <v>#REF!</v>
      </c>
      <c r="C645" s="65" t="e">
        <f>IF('Prediction Log'!#REF!=0, "",'Prediction Log'!#REF!)</f>
        <v>#REF!</v>
      </c>
      <c r="D645" s="65" t="e">
        <f>IF('Prediction Log'!#REF!=0, "",'Prediction Log'!#REF!)</f>
        <v>#REF!</v>
      </c>
      <c r="E645" s="65" t="e">
        <f>IF('Prediction Log'!#REF!=0, "",'Prediction Log'!#REF!)</f>
        <v>#REF!</v>
      </c>
      <c r="F645" s="65" t="e">
        <f>IF('Prediction Log'!#REF!=0, "",'Prediction Log'!#REF!)</f>
        <v>#REF!</v>
      </c>
      <c r="G645" s="64" t="e">
        <f>IF(ISBLANK(Games!#REF!), "",'Prediction Log'!#REF!)</f>
        <v>#REF!</v>
      </c>
      <c r="H645" s="66" t="e">
        <f>'Prediction Log'!#REF!</f>
        <v>#REF!</v>
      </c>
      <c r="I645" s="65" t="e">
        <f>IF(ISBLANK(Games!#REF!), "",IF(AND(Games!#REF!="",Games!#REF!=""),"",IF(ISTEXT(Games!#REF!), "Side",Games!#REF!)))</f>
        <v>#REF!</v>
      </c>
      <c r="J645" s="65" t="e">
        <f>IF(ISBLANK(Games!#REF!), "",IF(Games!#REF!="Y", Games!#REF!, Games!#REF!))</f>
        <v>#REF!</v>
      </c>
      <c r="K645" s="65" t="e">
        <f>Games!#REF!</f>
        <v>#REF!</v>
      </c>
      <c r="L645" s="65" t="e">
        <f>IF(ISBLANK(Games!#REF!), "",Games!#REF!)</f>
        <v>#REF!</v>
      </c>
      <c r="M645" s="65"/>
      <c r="N645" s="167" t="str">
        <f>IF(ISBLANK(Table123[[#This Row],[Odds Side - Difference Model]]), "", 1)</f>
      </c>
      <c r="O645" s="167" t="str">
        <f>IF(ISBLANK(Table123[[#This Row],[Odds Spread]]), "", 1)</f>
      </c>
      <c r="P645" s="67"/>
      <c r="Q645" s="67"/>
      <c r="R6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5" s="67"/>
      <c r="T645" s="67"/>
      <c r="U645" s="168" t="str">
        <f>IF(ISBLANK(Table123[[#This Row],[Odds Side - Difference Model]]), "",N645+IF(Q645&lt;0, (N645/(Q645/-100)), N645*(Q645/100)))</f>
      </c>
      <c r="V645" s="169" t="str">
        <f>IFERROR(IF(ISBLANK(Table123[[#This Row],[Odds Side - Win Probability Model]]), "",N645+IF(R645&lt;0, (N645/(R645/-100)), N645*(R645/100))),"")</f>
      </c>
      <c r="W645" s="168" t="str">
        <f t="shared" si="67"/>
      </c>
      <c r="X645" s="169" t="str">
        <f t="shared" si="68"/>
      </c>
      <c r="Y645" s="168" t="str">
        <f>IF(ISBLANK(Table123[[#This Row],[Odds Spread]]), "",O645+IF(S645&lt;0, (O645/(S645/-100)), O645*(S645/100)))</f>
      </c>
      <c r="Z645" s="168" t="str">
        <f t="shared" si="69"/>
      </c>
      <c r="AA645" s="68" t="n">
        <f t="shared" si="70"/>
        <v>0</v>
      </c>
      <c r="AB645" s="68" t="n">
        <f t="shared" si="71"/>
        <v>0</v>
      </c>
      <c r="AC645" s="170" t="e">
        <f>IF('Prediction Log'!#REF!="Y", "W", IF('Prediction Log'!#REF!="N","L",""))</f>
        <v>#REF!</v>
      </c>
      <c r="AD645" s="171" t="e">
        <f>IF('Prediction Log'!#REF!="Y", "W", IF('Prediction Log'!#REF!="N","L",""))</f>
        <v>#REF!</v>
      </c>
      <c r="AE645" s="172" t="str">
        <f>IF(ISBLANK(Table123[[#This Row],[Odds Side - Difference Model]]), "",IF(AC645="W", W645, IF(AC645="L",-N645, "")))</f>
      </c>
      <c r="AF645" s="173" t="str">
        <f>IFERROR((IF(ISERR(Table123[[#This Row],[Potential Payout Side - Win Probability Model]]), "",IF(AD645="W", X645, IF(AD645="L",-N645, "")))), "")</f>
      </c>
      <c r="AG645" s="170" t="e">
        <f>IF('Prediction Log'!#REF!="Y", "W", IF('Prediction Log'!#REF!="N", "L", ""))</f>
        <v>#REF!</v>
      </c>
      <c r="AH645" s="172" t="str">
        <f>IF(ISBLANK(Table123[[#This Row],[Odds Spread]]), "",IF(AG645="W", Z645, IF(AG645="L",-O645, "")))</f>
      </c>
      <c r="AI645" s="184"/>
      <c r="AJ645" s="183" t="str">
        <f t="shared" si="72"/>
      </c>
      <c r="AK6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6">
      <c r="A646" s="65" t="e">
        <f>Games!#REF!</f>
        <v>#REF!</v>
      </c>
      <c r="B646" s="65" t="e">
        <f>IF('Prediction Log'!#REF!=0, "",'Prediction Log'!#REF!)</f>
        <v>#REF!</v>
      </c>
      <c r="C646" s="65" t="e">
        <f>IF('Prediction Log'!#REF!=0, "",'Prediction Log'!#REF!)</f>
        <v>#REF!</v>
      </c>
      <c r="D646" s="65" t="e">
        <f>IF('Prediction Log'!#REF!=0, "",'Prediction Log'!#REF!)</f>
        <v>#REF!</v>
      </c>
      <c r="E646" s="65" t="e">
        <f>IF('Prediction Log'!#REF!=0, "",'Prediction Log'!#REF!)</f>
        <v>#REF!</v>
      </c>
      <c r="F646" s="65" t="e">
        <f>IF('Prediction Log'!#REF!=0, "",'Prediction Log'!#REF!)</f>
        <v>#REF!</v>
      </c>
      <c r="G646" s="64" t="e">
        <f>IF(ISBLANK(Games!#REF!), "",'Prediction Log'!#REF!)</f>
        <v>#REF!</v>
      </c>
      <c r="H646" s="66" t="e">
        <f>'Prediction Log'!#REF!</f>
        <v>#REF!</v>
      </c>
      <c r="I646" s="65" t="e">
        <f>IF(ISBLANK(Games!#REF!), "",IF(AND(Games!#REF!="",Games!#REF!=""),"",IF(ISTEXT(Games!#REF!), "Side",Games!#REF!)))</f>
        <v>#REF!</v>
      </c>
      <c r="J646" s="65" t="e">
        <f>IF(ISBLANK(Games!#REF!), "",IF(Games!#REF!="Y", Games!#REF!, Games!#REF!))</f>
        <v>#REF!</v>
      </c>
      <c r="K646" s="65" t="e">
        <f>Games!#REF!</f>
        <v>#REF!</v>
      </c>
      <c r="L646" s="65" t="e">
        <f>IF(ISBLANK(Games!#REF!), "",Games!#REF!)</f>
        <v>#REF!</v>
      </c>
      <c r="M646" s="65"/>
      <c r="N646" s="167" t="str">
        <f>IF(ISBLANK(Table123[[#This Row],[Odds Side - Difference Model]]), "", 1)</f>
      </c>
      <c r="O646" s="167" t="str">
        <f>IF(ISBLANK(Table123[[#This Row],[Odds Spread]]), "", 1)</f>
      </c>
      <c r="P646" s="67"/>
      <c r="Q646" s="67"/>
      <c r="R6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6" s="67"/>
      <c r="T646" s="67"/>
      <c r="U646" s="168" t="str">
        <f>IF(ISBLANK(Table123[[#This Row],[Odds Side - Difference Model]]), "",N646+IF(Q646&lt;0, (N646/(Q646/-100)), N646*(Q646/100)))</f>
      </c>
      <c r="V646" s="169" t="str">
        <f>IFERROR(IF(ISBLANK(Table123[[#This Row],[Odds Side - Win Probability Model]]), "",N646+IF(R646&lt;0, (N646/(R646/-100)), N646*(R646/100))),"")</f>
      </c>
      <c r="W646" s="168" t="str">
        <f t="shared" si="67"/>
      </c>
      <c r="X646" s="169" t="str">
        <f t="shared" si="68"/>
      </c>
      <c r="Y646" s="168" t="str">
        <f>IF(ISBLANK(Table123[[#This Row],[Odds Spread]]), "",O646+IF(S646&lt;0, (O646/(S646/-100)), O646*(S646/100)))</f>
      </c>
      <c r="Z646" s="168" t="str">
        <f t="shared" si="69"/>
      </c>
      <c r="AA646" s="68" t="n">
        <f t="shared" si="70"/>
        <v>0</v>
      </c>
      <c r="AB646" s="68" t="n">
        <f t="shared" si="71"/>
        <v>0</v>
      </c>
      <c r="AC646" s="170" t="e">
        <f>IF('Prediction Log'!#REF!="Y", "W", IF('Prediction Log'!#REF!="N","L",""))</f>
        <v>#REF!</v>
      </c>
      <c r="AD646" s="171" t="e">
        <f>IF('Prediction Log'!#REF!="Y", "W", IF('Prediction Log'!#REF!="N","L",""))</f>
        <v>#REF!</v>
      </c>
      <c r="AE646" s="172" t="str">
        <f>IF(ISBLANK(Table123[[#This Row],[Odds Side - Difference Model]]), "",IF(AC646="W", W646, IF(AC646="L",-N646, "")))</f>
      </c>
      <c r="AF646" s="173" t="str">
        <f>IFERROR((IF(ISERR(Table123[[#This Row],[Potential Payout Side - Win Probability Model]]), "",IF(AD646="W", X646, IF(AD646="L",-N646, "")))), "")</f>
      </c>
      <c r="AG646" s="170" t="e">
        <f>IF('Prediction Log'!#REF!="Y", "W", IF('Prediction Log'!#REF!="N", "L", ""))</f>
        <v>#REF!</v>
      </c>
      <c r="AH646" s="172" t="str">
        <f>IF(ISBLANK(Table123[[#This Row],[Odds Spread]]), "",IF(AG646="W", Z646, IF(AG646="L",-O646, "")))</f>
      </c>
      <c r="AI646" s="184"/>
      <c r="AJ646" s="183" t="str">
        <f t="shared" si="72"/>
      </c>
      <c r="AK6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7">
      <c r="A647" s="65" t="e">
        <f>Games!#REF!</f>
        <v>#REF!</v>
      </c>
      <c r="B647" s="65" t="e">
        <f>IF('Prediction Log'!#REF!=0, "",'Prediction Log'!#REF!)</f>
        <v>#REF!</v>
      </c>
      <c r="C647" s="65" t="e">
        <f>IF('Prediction Log'!#REF!=0, "",'Prediction Log'!#REF!)</f>
        <v>#REF!</v>
      </c>
      <c r="D647" s="65" t="e">
        <f>IF('Prediction Log'!#REF!=0, "",'Prediction Log'!#REF!)</f>
        <v>#REF!</v>
      </c>
      <c r="E647" s="65" t="e">
        <f>IF('Prediction Log'!#REF!=0, "",'Prediction Log'!#REF!)</f>
        <v>#REF!</v>
      </c>
      <c r="F647" s="65" t="e">
        <f>IF('Prediction Log'!#REF!=0, "",'Prediction Log'!#REF!)</f>
        <v>#REF!</v>
      </c>
      <c r="G647" s="64" t="e">
        <f>IF(ISBLANK(Games!#REF!), "",'Prediction Log'!#REF!)</f>
        <v>#REF!</v>
      </c>
      <c r="H647" s="66" t="e">
        <f>'Prediction Log'!#REF!</f>
        <v>#REF!</v>
      </c>
      <c r="I647" s="65" t="e">
        <f>IF(ISBLANK(Games!#REF!), "",IF(AND(Games!#REF!="",Games!#REF!=""),"",IF(ISTEXT(Games!#REF!), "Side",Games!#REF!)))</f>
        <v>#REF!</v>
      </c>
      <c r="J647" s="65" t="e">
        <f>IF(ISBLANK(Games!#REF!), "",IF(Games!#REF!="Y", Games!#REF!, Games!#REF!))</f>
        <v>#REF!</v>
      </c>
      <c r="K647" s="65" t="e">
        <f>Games!#REF!</f>
        <v>#REF!</v>
      </c>
      <c r="L647" s="65" t="e">
        <f>IF(ISBLANK(Games!#REF!), "",Games!#REF!)</f>
        <v>#REF!</v>
      </c>
      <c r="M647" s="65"/>
      <c r="N647" s="167" t="str">
        <f>IF(ISBLANK(Table123[[#This Row],[Odds Side - Difference Model]]), "", 1)</f>
      </c>
      <c r="O647" s="167" t="str">
        <f>IF(ISBLANK(Table123[[#This Row],[Odds Spread]]), "", 1)</f>
      </c>
      <c r="P647" s="67"/>
      <c r="Q647" s="67"/>
      <c r="R6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7" s="67"/>
      <c r="T647" s="67"/>
      <c r="U647" s="168" t="str">
        <f>IF(ISBLANK(Table123[[#This Row],[Odds Side - Difference Model]]), "",N647+IF(Q647&lt;0, (N647/(Q647/-100)), N647*(Q647/100)))</f>
      </c>
      <c r="V647" s="169" t="str">
        <f>IFERROR(IF(ISBLANK(Table123[[#This Row],[Odds Side - Win Probability Model]]), "",N647+IF(R647&lt;0, (N647/(R647/-100)), N647*(R647/100))),"")</f>
      </c>
      <c r="W647" s="168" t="str">
        <f t="shared" si="67"/>
      </c>
      <c r="X647" s="169" t="str">
        <f t="shared" si="68"/>
      </c>
      <c r="Y647" s="168" t="str">
        <f>IF(ISBLANK(Table123[[#This Row],[Odds Spread]]), "",O647+IF(S647&lt;0, (O647/(S647/-100)), O647*(S647/100)))</f>
      </c>
      <c r="Z647" s="168" t="str">
        <f t="shared" si="69"/>
      </c>
      <c r="AA647" s="68" t="n">
        <f t="shared" si="70"/>
        <v>0</v>
      </c>
      <c r="AB647" s="68" t="n">
        <f t="shared" si="71"/>
        <v>0</v>
      </c>
      <c r="AC647" s="170" t="e">
        <f>IF('Prediction Log'!#REF!="Y", "W", IF('Prediction Log'!#REF!="N","L",""))</f>
        <v>#REF!</v>
      </c>
      <c r="AD647" s="171" t="e">
        <f>IF('Prediction Log'!#REF!="Y", "W", IF('Prediction Log'!#REF!="N","L",""))</f>
        <v>#REF!</v>
      </c>
      <c r="AE647" s="172" t="str">
        <f>IF(ISBLANK(Table123[[#This Row],[Odds Side - Difference Model]]), "",IF(AC647="W", W647, IF(AC647="L",-N647, "")))</f>
      </c>
      <c r="AF647" s="173" t="str">
        <f>IFERROR((IF(ISERR(Table123[[#This Row],[Potential Payout Side - Win Probability Model]]), "",IF(AD647="W", X647, IF(AD647="L",-N647, "")))), "")</f>
      </c>
      <c r="AG647" s="170" t="e">
        <f>IF('Prediction Log'!#REF!="Y", "W", IF('Prediction Log'!#REF!="N", "L", ""))</f>
        <v>#REF!</v>
      </c>
      <c r="AH647" s="172" t="str">
        <f>IF(ISBLANK(Table123[[#This Row],[Odds Spread]]), "",IF(AG647="W", Z647, IF(AG647="L",-O647, "")))</f>
      </c>
      <c r="AI647" s="184"/>
      <c r="AJ647" s="183" t="str">
        <f t="shared" si="72"/>
      </c>
      <c r="AK6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8">
      <c r="A648" s="65" t="e">
        <f>Games!#REF!</f>
        <v>#REF!</v>
      </c>
      <c r="B648" s="65" t="e">
        <f>IF('Prediction Log'!#REF!=0, "",'Prediction Log'!#REF!)</f>
        <v>#REF!</v>
      </c>
      <c r="C648" s="65" t="e">
        <f>IF('Prediction Log'!#REF!=0, "",'Prediction Log'!#REF!)</f>
        <v>#REF!</v>
      </c>
      <c r="D648" s="65" t="e">
        <f>IF('Prediction Log'!#REF!=0, "",'Prediction Log'!#REF!)</f>
        <v>#REF!</v>
      </c>
      <c r="E648" s="65" t="e">
        <f>IF('Prediction Log'!#REF!=0, "",'Prediction Log'!#REF!)</f>
        <v>#REF!</v>
      </c>
      <c r="F648" s="65" t="e">
        <f>IF('Prediction Log'!#REF!=0, "",'Prediction Log'!#REF!)</f>
        <v>#REF!</v>
      </c>
      <c r="G648" s="64" t="e">
        <f>IF(ISBLANK(Games!#REF!), "",'Prediction Log'!#REF!)</f>
        <v>#REF!</v>
      </c>
      <c r="H648" s="66" t="e">
        <f>'Prediction Log'!#REF!</f>
        <v>#REF!</v>
      </c>
      <c r="I648" s="65" t="e">
        <f>IF(ISBLANK(Games!#REF!), "",IF(AND(Games!#REF!="",Games!#REF!=""),"",IF(ISTEXT(Games!#REF!), "Side",Games!#REF!)))</f>
        <v>#REF!</v>
      </c>
      <c r="J648" s="65" t="e">
        <f>IF(ISBLANK(Games!#REF!), "",IF(Games!#REF!="Y", Games!#REF!, Games!#REF!))</f>
        <v>#REF!</v>
      </c>
      <c r="K648" s="65" t="e">
        <f>Games!#REF!</f>
        <v>#REF!</v>
      </c>
      <c r="L648" s="65" t="e">
        <f>IF(ISBLANK(Games!#REF!), "",Games!#REF!)</f>
        <v>#REF!</v>
      </c>
      <c r="M648" s="65"/>
      <c r="N648" s="167" t="str">
        <f>IF(ISBLANK(Table123[[#This Row],[Odds Side - Difference Model]]), "", 1)</f>
      </c>
      <c r="O648" s="167" t="str">
        <f>IF(ISBLANK(Table123[[#This Row],[Odds Spread]]), "", 1)</f>
      </c>
      <c r="P648" s="67"/>
      <c r="Q648" s="67"/>
      <c r="R6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8" s="67"/>
      <c r="T648" s="67"/>
      <c r="U648" s="168" t="str">
        <f>IF(ISBLANK(Table123[[#This Row],[Odds Side - Difference Model]]), "",N648+IF(Q648&lt;0, (N648/(Q648/-100)), N648*(Q648/100)))</f>
      </c>
      <c r="V648" s="169" t="str">
        <f>IFERROR(IF(ISBLANK(Table123[[#This Row],[Odds Side - Win Probability Model]]), "",N648+IF(R648&lt;0, (N648/(R648/-100)), N648*(R648/100))),"")</f>
      </c>
      <c r="W648" s="168" t="str">
        <f t="shared" si="67"/>
      </c>
      <c r="X648" s="169" t="str">
        <f t="shared" si="68"/>
      </c>
      <c r="Y648" s="168" t="str">
        <f>IF(ISBLANK(Table123[[#This Row],[Odds Spread]]), "",O648+IF(S648&lt;0, (O648/(S648/-100)), O648*(S648/100)))</f>
      </c>
      <c r="Z648" s="168" t="str">
        <f t="shared" si="69"/>
      </c>
      <c r="AA648" s="68" t="n">
        <f t="shared" si="70"/>
        <v>0</v>
      </c>
      <c r="AB648" s="68" t="n">
        <f t="shared" si="71"/>
        <v>0</v>
      </c>
      <c r="AC648" s="170" t="e">
        <f>IF('Prediction Log'!#REF!="Y", "W", IF('Prediction Log'!#REF!="N","L",""))</f>
        <v>#REF!</v>
      </c>
      <c r="AD648" s="171" t="e">
        <f>IF('Prediction Log'!#REF!="Y", "W", IF('Prediction Log'!#REF!="N","L",""))</f>
        <v>#REF!</v>
      </c>
      <c r="AE648" s="172" t="str">
        <f>IF(ISBLANK(Table123[[#This Row],[Odds Side - Difference Model]]), "",IF(AC648="W", W648, IF(AC648="L",-N648, "")))</f>
      </c>
      <c r="AF648" s="173" t="str">
        <f>IFERROR((IF(ISERR(Table123[[#This Row],[Potential Payout Side - Win Probability Model]]), "",IF(AD648="W", X648, IF(AD648="L",-N648, "")))), "")</f>
      </c>
      <c r="AG648" s="170" t="e">
        <f>IF('Prediction Log'!#REF!="Y", "W", IF('Prediction Log'!#REF!="N", "L", ""))</f>
        <v>#REF!</v>
      </c>
      <c r="AH648" s="172" t="str">
        <f>IF(ISBLANK(Table123[[#This Row],[Odds Spread]]), "",IF(AG648="W", Z648, IF(AG648="L",-O648, "")))</f>
      </c>
      <c r="AI648" s="184"/>
      <c r="AJ648" s="183" t="str">
        <f t="shared" si="72"/>
      </c>
      <c r="AK6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9">
      <c r="A649" s="65" t="e">
        <f>Games!#REF!</f>
        <v>#REF!</v>
      </c>
      <c r="B649" s="65" t="e">
        <f>IF('Prediction Log'!#REF!=0, "",'Prediction Log'!#REF!)</f>
        <v>#REF!</v>
      </c>
      <c r="C649" s="65" t="e">
        <f>IF('Prediction Log'!#REF!=0, "",'Prediction Log'!#REF!)</f>
        <v>#REF!</v>
      </c>
      <c r="D649" s="65" t="e">
        <f>IF('Prediction Log'!#REF!=0, "",'Prediction Log'!#REF!)</f>
        <v>#REF!</v>
      </c>
      <c r="E649" s="65" t="e">
        <f>IF('Prediction Log'!#REF!=0, "",'Prediction Log'!#REF!)</f>
        <v>#REF!</v>
      </c>
      <c r="F649" s="65" t="e">
        <f>IF('Prediction Log'!#REF!=0, "",'Prediction Log'!#REF!)</f>
        <v>#REF!</v>
      </c>
      <c r="G649" s="64" t="e">
        <f>IF(ISBLANK(Games!#REF!), "",'Prediction Log'!#REF!)</f>
        <v>#REF!</v>
      </c>
      <c r="H649" s="66" t="e">
        <f>'Prediction Log'!#REF!</f>
        <v>#REF!</v>
      </c>
      <c r="I649" s="65" t="e">
        <f>IF(ISBLANK(Games!#REF!), "",IF(AND(Games!#REF!="",Games!#REF!=""),"",IF(ISTEXT(Games!#REF!), "Side",Games!#REF!)))</f>
        <v>#REF!</v>
      </c>
      <c r="J649" s="65" t="e">
        <f>IF(ISBLANK(Games!#REF!), "",IF(Games!#REF!="Y", Games!#REF!, Games!#REF!))</f>
        <v>#REF!</v>
      </c>
      <c r="K649" s="65" t="e">
        <f>Games!#REF!</f>
        <v>#REF!</v>
      </c>
      <c r="L649" s="65" t="e">
        <f>IF(ISBLANK(Games!#REF!), "",Games!#REF!)</f>
        <v>#REF!</v>
      </c>
      <c r="M649" s="65"/>
      <c r="N649" s="167" t="str">
        <f>IF(ISBLANK(Table123[[#This Row],[Odds Side - Difference Model]]), "", 1)</f>
      </c>
      <c r="O649" s="167" t="str">
        <f>IF(ISBLANK(Table123[[#This Row],[Odds Spread]]), "", 1)</f>
      </c>
      <c r="P649" s="67"/>
      <c r="Q649" s="67"/>
      <c r="R6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9" s="67"/>
      <c r="T649" s="67"/>
      <c r="U649" s="168" t="str">
        <f>IF(ISBLANK(Table123[[#This Row],[Odds Side - Difference Model]]), "",N649+IF(Q649&lt;0, (N649/(Q649/-100)), N649*(Q649/100)))</f>
      </c>
      <c r="V649" s="169" t="str">
        <f>IFERROR(IF(ISBLANK(Table123[[#This Row],[Odds Side - Win Probability Model]]), "",N649+IF(R649&lt;0, (N649/(R649/-100)), N649*(R649/100))),"")</f>
      </c>
      <c r="W649" s="168" t="str">
        <f t="shared" si="67"/>
      </c>
      <c r="X649" s="169" t="str">
        <f t="shared" si="68"/>
      </c>
      <c r="Y649" s="168" t="str">
        <f>IF(ISBLANK(Table123[[#This Row],[Odds Spread]]), "",O649+IF(S649&lt;0, (O649/(S649/-100)), O649*(S649/100)))</f>
      </c>
      <c r="Z649" s="168" t="str">
        <f t="shared" si="69"/>
      </c>
      <c r="AA649" s="68" t="n">
        <f t="shared" si="70"/>
        <v>0</v>
      </c>
      <c r="AB649" s="68" t="n">
        <f t="shared" si="71"/>
        <v>0</v>
      </c>
      <c r="AC649" s="170" t="e">
        <f>IF('Prediction Log'!#REF!="Y", "W", IF('Prediction Log'!#REF!="N","L",""))</f>
        <v>#REF!</v>
      </c>
      <c r="AD649" s="171" t="e">
        <f>IF('Prediction Log'!#REF!="Y", "W", IF('Prediction Log'!#REF!="N","L",""))</f>
        <v>#REF!</v>
      </c>
      <c r="AE649" s="172" t="str">
        <f>IF(ISBLANK(Table123[[#This Row],[Odds Side - Difference Model]]), "",IF(AC649="W", W649, IF(AC649="L",-N649, "")))</f>
      </c>
      <c r="AF649" s="173" t="str">
        <f>IFERROR((IF(ISERR(Table123[[#This Row],[Potential Payout Side - Win Probability Model]]), "",IF(AD649="W", X649, IF(AD649="L",-N649, "")))), "")</f>
      </c>
      <c r="AG649" s="170" t="e">
        <f>IF('Prediction Log'!#REF!="Y", "W", IF('Prediction Log'!#REF!="N", "L", ""))</f>
        <v>#REF!</v>
      </c>
      <c r="AH649" s="172" t="str">
        <f>IF(ISBLANK(Table123[[#This Row],[Odds Spread]]), "",IF(AG649="W", Z649, IF(AG649="L",-O649, "")))</f>
      </c>
      <c r="AI649" s="184"/>
      <c r="AJ649" s="183" t="str">
        <f t="shared" si="72"/>
      </c>
      <c r="AK6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0">
      <c r="A650" s="65" t="e">
        <f>Games!#REF!</f>
        <v>#REF!</v>
      </c>
      <c r="B650" s="65" t="e">
        <f>IF('Prediction Log'!#REF!=0, "",'Prediction Log'!#REF!)</f>
        <v>#REF!</v>
      </c>
      <c r="C650" s="65" t="e">
        <f>IF('Prediction Log'!#REF!=0, "",'Prediction Log'!#REF!)</f>
        <v>#REF!</v>
      </c>
      <c r="D650" s="65" t="e">
        <f>IF('Prediction Log'!#REF!=0, "",'Prediction Log'!#REF!)</f>
        <v>#REF!</v>
      </c>
      <c r="E650" s="65" t="e">
        <f>IF('Prediction Log'!#REF!=0, "",'Prediction Log'!#REF!)</f>
        <v>#REF!</v>
      </c>
      <c r="F650" s="65" t="e">
        <f>IF('Prediction Log'!#REF!=0, "",'Prediction Log'!#REF!)</f>
        <v>#REF!</v>
      </c>
      <c r="G650" s="64" t="e">
        <f>IF(ISBLANK(Games!#REF!), "",'Prediction Log'!#REF!)</f>
        <v>#REF!</v>
      </c>
      <c r="H650" s="66" t="e">
        <f>'Prediction Log'!#REF!</f>
        <v>#REF!</v>
      </c>
      <c r="I650" s="65" t="e">
        <f>IF(ISBLANK(Games!#REF!), "",IF(AND(Games!#REF!="",Games!#REF!=""),"",IF(ISTEXT(Games!#REF!), "Side",Games!#REF!)))</f>
        <v>#REF!</v>
      </c>
      <c r="J650" s="65" t="e">
        <f>IF(ISBLANK(Games!#REF!), "",IF(Games!#REF!="Y", Games!#REF!, Games!#REF!))</f>
        <v>#REF!</v>
      </c>
      <c r="K650" s="65" t="e">
        <f>Games!#REF!</f>
        <v>#REF!</v>
      </c>
      <c r="L650" s="65" t="e">
        <f>IF(ISBLANK(Games!#REF!), "",Games!#REF!)</f>
        <v>#REF!</v>
      </c>
      <c r="M650" s="65"/>
      <c r="N650" s="167" t="str">
        <f>IF(ISBLANK(Table123[[#This Row],[Odds Side - Difference Model]]), "", 1)</f>
      </c>
      <c r="O650" s="167" t="str">
        <f>IF(ISBLANK(Table123[[#This Row],[Odds Spread]]), "", 1)</f>
      </c>
      <c r="P650" s="67"/>
      <c r="Q650" s="67"/>
      <c r="R6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0" s="67"/>
      <c r="T650" s="67"/>
      <c r="U650" s="168" t="str">
        <f>IF(ISBLANK(Table123[[#This Row],[Odds Side - Difference Model]]), "",N650+IF(Q650&lt;0, (N650/(Q650/-100)), N650*(Q650/100)))</f>
      </c>
      <c r="V650" s="169" t="str">
        <f>IFERROR(IF(ISBLANK(Table123[[#This Row],[Odds Side - Win Probability Model]]), "",N650+IF(R650&lt;0, (N650/(R650/-100)), N650*(R650/100))),"")</f>
      </c>
      <c r="W650" s="168" t="str">
        <f t="shared" si="67"/>
      </c>
      <c r="X650" s="169" t="str">
        <f t="shared" si="68"/>
      </c>
      <c r="Y650" s="168" t="str">
        <f>IF(ISBLANK(Table123[[#This Row],[Odds Spread]]), "",O650+IF(S650&lt;0, (O650/(S650/-100)), O650*(S650/100)))</f>
      </c>
      <c r="Z650" s="168" t="str">
        <f t="shared" si="69"/>
      </c>
      <c r="AA650" s="68" t="n">
        <f t="shared" si="70"/>
        <v>0</v>
      </c>
      <c r="AB650" s="68" t="n">
        <f t="shared" si="71"/>
        <v>0</v>
      </c>
      <c r="AC650" s="170" t="e">
        <f>IF('Prediction Log'!#REF!="Y", "W", IF('Prediction Log'!#REF!="N","L",""))</f>
        <v>#REF!</v>
      </c>
      <c r="AD650" s="171" t="e">
        <f>IF('Prediction Log'!#REF!="Y", "W", IF('Prediction Log'!#REF!="N","L",""))</f>
        <v>#REF!</v>
      </c>
      <c r="AE650" s="172" t="str">
        <f>IF(ISBLANK(Table123[[#This Row],[Odds Side - Difference Model]]), "",IF(AC650="W", W650, IF(AC650="L",-N650, "")))</f>
      </c>
      <c r="AF650" s="173" t="str">
        <f>IFERROR((IF(ISERR(Table123[[#This Row],[Potential Payout Side - Win Probability Model]]), "",IF(AD650="W", X650, IF(AD650="L",-N650, "")))), "")</f>
      </c>
      <c r="AG650" s="170" t="e">
        <f>IF('Prediction Log'!#REF!="Y", "W", IF('Prediction Log'!#REF!="N", "L", ""))</f>
        <v>#REF!</v>
      </c>
      <c r="AH650" s="172" t="str">
        <f>IF(ISBLANK(Table123[[#This Row],[Odds Spread]]), "",IF(AG650="W", Z650, IF(AG650="L",-O650, "")))</f>
      </c>
      <c r="AI650" s="184"/>
      <c r="AJ650" s="183" t="str">
        <f t="shared" si="72"/>
      </c>
      <c r="AK6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1">
      <c r="A651" s="65" t="e">
        <f>Games!#REF!</f>
        <v>#REF!</v>
      </c>
      <c r="B651" s="65" t="e">
        <f>IF('Prediction Log'!#REF!=0, "",'Prediction Log'!#REF!)</f>
        <v>#REF!</v>
      </c>
      <c r="C651" s="65" t="e">
        <f>IF('Prediction Log'!#REF!=0, "",'Prediction Log'!#REF!)</f>
        <v>#REF!</v>
      </c>
      <c r="D651" s="65" t="e">
        <f>IF('Prediction Log'!#REF!=0, "",'Prediction Log'!#REF!)</f>
        <v>#REF!</v>
      </c>
      <c r="E651" s="65" t="e">
        <f>IF('Prediction Log'!#REF!=0, "",'Prediction Log'!#REF!)</f>
        <v>#REF!</v>
      </c>
      <c r="F651" s="65" t="e">
        <f>IF('Prediction Log'!#REF!=0, "",'Prediction Log'!#REF!)</f>
        <v>#REF!</v>
      </c>
      <c r="G651" s="64" t="e">
        <f>IF(ISBLANK(Games!#REF!), "",'Prediction Log'!#REF!)</f>
        <v>#REF!</v>
      </c>
      <c r="H651" s="66" t="e">
        <f>'Prediction Log'!#REF!</f>
        <v>#REF!</v>
      </c>
      <c r="I651" s="65" t="e">
        <f>IF(ISBLANK(Games!#REF!), "",IF(AND(Games!#REF!="",Games!#REF!=""),"",IF(ISTEXT(Games!#REF!), "Side",Games!#REF!)))</f>
        <v>#REF!</v>
      </c>
      <c r="J651" s="65" t="e">
        <f>IF(ISBLANK(Games!#REF!), "",IF(Games!#REF!="Y", Games!#REF!, Games!#REF!))</f>
        <v>#REF!</v>
      </c>
      <c r="K651" s="65" t="e">
        <f>Games!#REF!</f>
        <v>#REF!</v>
      </c>
      <c r="L651" s="65" t="e">
        <f>IF(ISBLANK(Games!#REF!), "",Games!#REF!)</f>
        <v>#REF!</v>
      </c>
      <c r="M651" s="65"/>
      <c r="N651" s="167" t="str">
        <f>IF(ISBLANK(Table123[[#This Row],[Odds Side - Difference Model]]), "", 1)</f>
      </c>
      <c r="O651" s="167" t="str">
        <f>IF(ISBLANK(Table123[[#This Row],[Odds Spread]]), "", 1)</f>
      </c>
      <c r="P651" s="67"/>
      <c r="Q651" s="67"/>
      <c r="R6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1" s="67"/>
      <c r="T651" s="67"/>
      <c r="U651" s="168" t="str">
        <f>IF(ISBLANK(Table123[[#This Row],[Odds Side - Difference Model]]), "",N651+IF(Q651&lt;0, (N651/(Q651/-100)), N651*(Q651/100)))</f>
      </c>
      <c r="V651" s="169" t="str">
        <f>IFERROR(IF(ISBLANK(Table123[[#This Row],[Odds Side - Win Probability Model]]), "",N651+IF(R651&lt;0, (N651/(R651/-100)), N651*(R651/100))),"")</f>
      </c>
      <c r="W651" s="168" t="str">
        <f t="shared" si="67"/>
      </c>
      <c r="X651" s="169" t="str">
        <f t="shared" si="68"/>
      </c>
      <c r="Y651" s="168" t="str">
        <f>IF(ISBLANK(Table123[[#This Row],[Odds Spread]]), "",O651+IF(S651&lt;0, (O651/(S651/-100)), O651*(S651/100)))</f>
      </c>
      <c r="Z651" s="168" t="str">
        <f t="shared" si="69"/>
      </c>
      <c r="AA651" s="68" t="n">
        <f t="shared" si="70"/>
        <v>0</v>
      </c>
      <c r="AB651" s="68" t="n">
        <f t="shared" si="71"/>
        <v>0</v>
      </c>
      <c r="AC651" s="170" t="e">
        <f>IF('Prediction Log'!#REF!="Y", "W", IF('Prediction Log'!#REF!="N","L",""))</f>
        <v>#REF!</v>
      </c>
      <c r="AD651" s="171" t="e">
        <f>IF('Prediction Log'!#REF!="Y", "W", IF('Prediction Log'!#REF!="N","L",""))</f>
        <v>#REF!</v>
      </c>
      <c r="AE651" s="172" t="str">
        <f>IF(ISBLANK(Table123[[#This Row],[Odds Side - Difference Model]]), "",IF(AC651="W", W651, IF(AC651="L",-N651, "")))</f>
      </c>
      <c r="AF651" s="173" t="str">
        <f>IFERROR((IF(ISERR(Table123[[#This Row],[Potential Payout Side - Win Probability Model]]), "",IF(AD651="W", X651, IF(AD651="L",-N651, "")))), "")</f>
      </c>
      <c r="AG651" s="170" t="e">
        <f>IF('Prediction Log'!#REF!="Y", "W", IF('Prediction Log'!#REF!="N", "L", ""))</f>
        <v>#REF!</v>
      </c>
      <c r="AH651" s="172" t="str">
        <f>IF(ISBLANK(Table123[[#This Row],[Odds Spread]]), "",IF(AG651="W", Z651, IF(AG651="L",-O651, "")))</f>
      </c>
      <c r="AI651" s="184"/>
      <c r="AJ651" s="183" t="str">
        <f t="shared" si="72"/>
      </c>
      <c r="AK6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2">
      <c r="A652" s="65" t="e">
        <f>Games!#REF!</f>
        <v>#REF!</v>
      </c>
      <c r="B652" s="65" t="e">
        <f>IF('Prediction Log'!#REF!=0, "",'Prediction Log'!#REF!)</f>
        <v>#REF!</v>
      </c>
      <c r="C652" s="65" t="e">
        <f>IF('Prediction Log'!#REF!=0, "",'Prediction Log'!#REF!)</f>
        <v>#REF!</v>
      </c>
      <c r="D652" s="65" t="e">
        <f>IF('Prediction Log'!#REF!=0, "",'Prediction Log'!#REF!)</f>
        <v>#REF!</v>
      </c>
      <c r="E652" s="65" t="e">
        <f>IF('Prediction Log'!#REF!=0, "",'Prediction Log'!#REF!)</f>
        <v>#REF!</v>
      </c>
      <c r="F652" s="65" t="e">
        <f>IF('Prediction Log'!#REF!=0, "",'Prediction Log'!#REF!)</f>
        <v>#REF!</v>
      </c>
      <c r="G652" s="64" t="e">
        <f>IF(ISBLANK(Games!#REF!), "",'Prediction Log'!#REF!)</f>
        <v>#REF!</v>
      </c>
      <c r="H652" s="66" t="e">
        <f>'Prediction Log'!#REF!</f>
        <v>#REF!</v>
      </c>
      <c r="I652" s="65" t="e">
        <f>IF(ISBLANK(Games!#REF!), "",IF(AND(Games!#REF!="",Games!#REF!=""),"",IF(ISTEXT(Games!#REF!), "Side",Games!#REF!)))</f>
        <v>#REF!</v>
      </c>
      <c r="J652" s="65" t="e">
        <f>IF(ISBLANK(Games!#REF!), "",IF(Games!#REF!="Y", Games!#REF!, Games!#REF!))</f>
        <v>#REF!</v>
      </c>
      <c r="K652" s="65" t="e">
        <f>Games!#REF!</f>
        <v>#REF!</v>
      </c>
      <c r="L652" s="65" t="e">
        <f>IF(ISBLANK(Games!#REF!), "",Games!#REF!)</f>
        <v>#REF!</v>
      </c>
      <c r="M652" s="65"/>
      <c r="N652" s="167" t="str">
        <f>IF(ISBLANK(Table123[[#This Row],[Odds Side - Difference Model]]), "", 1)</f>
      </c>
      <c r="O652" s="167" t="str">
        <f>IF(ISBLANK(Table123[[#This Row],[Odds Spread]]), "", 1)</f>
      </c>
      <c r="P652" s="67"/>
      <c r="Q652" s="67"/>
      <c r="R6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2" s="67"/>
      <c r="T652" s="67"/>
      <c r="U652" s="168" t="str">
        <f>IF(ISBLANK(Table123[[#This Row],[Odds Side - Difference Model]]), "",N652+IF(Q652&lt;0, (N652/(Q652/-100)), N652*(Q652/100)))</f>
      </c>
      <c r="V652" s="169" t="str">
        <f>IFERROR(IF(ISBLANK(Table123[[#This Row],[Odds Side - Win Probability Model]]), "",N652+IF(R652&lt;0, (N652/(R652/-100)), N652*(R652/100))),"")</f>
      </c>
      <c r="W652" s="168" t="str">
        <f t="shared" si="67"/>
      </c>
      <c r="X652" s="169" t="str">
        <f t="shared" si="68"/>
      </c>
      <c r="Y652" s="168" t="str">
        <f>IF(ISBLANK(Table123[[#This Row],[Odds Spread]]), "",O652+IF(S652&lt;0, (O652/(S652/-100)), O652*(S652/100)))</f>
      </c>
      <c r="Z652" s="168" t="str">
        <f t="shared" si="69"/>
      </c>
      <c r="AA652" s="68" t="n">
        <f t="shared" si="70"/>
        <v>0</v>
      </c>
      <c r="AB652" s="68" t="n">
        <f t="shared" si="71"/>
        <v>0</v>
      </c>
      <c r="AC652" s="170" t="e">
        <f>IF('Prediction Log'!#REF!="Y", "W", IF('Prediction Log'!#REF!="N","L",""))</f>
        <v>#REF!</v>
      </c>
      <c r="AD652" s="171" t="e">
        <f>IF('Prediction Log'!#REF!="Y", "W", IF('Prediction Log'!#REF!="N","L",""))</f>
        <v>#REF!</v>
      </c>
      <c r="AE652" s="172" t="str">
        <f>IF(ISBLANK(Table123[[#This Row],[Odds Side - Difference Model]]), "",IF(AC652="W", W652, IF(AC652="L",-N652, "")))</f>
      </c>
      <c r="AF652" s="173" t="str">
        <f>IFERROR((IF(ISERR(Table123[[#This Row],[Potential Payout Side - Win Probability Model]]), "",IF(AD652="W", X652, IF(AD652="L",-N652, "")))), "")</f>
      </c>
      <c r="AG652" s="170" t="e">
        <f>IF('Prediction Log'!#REF!="Y", "W", IF('Prediction Log'!#REF!="N", "L", ""))</f>
        <v>#REF!</v>
      </c>
      <c r="AH652" s="172" t="str">
        <f>IF(ISBLANK(Table123[[#This Row],[Odds Spread]]), "",IF(AG652="W", Z652, IF(AG652="L",-O652, "")))</f>
      </c>
      <c r="AI652" s="184"/>
      <c r="AJ652" s="183" t="str">
        <f t="shared" si="72"/>
      </c>
      <c r="AK6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3">
      <c r="A653" s="65" t="e">
        <f>Games!#REF!</f>
        <v>#REF!</v>
      </c>
      <c r="B653" s="65" t="e">
        <f>IF('Prediction Log'!#REF!=0, "",'Prediction Log'!#REF!)</f>
        <v>#REF!</v>
      </c>
      <c r="C653" s="65" t="e">
        <f>IF('Prediction Log'!#REF!=0, "",'Prediction Log'!#REF!)</f>
        <v>#REF!</v>
      </c>
      <c r="D653" s="65" t="e">
        <f>IF('Prediction Log'!#REF!=0, "",'Prediction Log'!#REF!)</f>
        <v>#REF!</v>
      </c>
      <c r="E653" s="65" t="e">
        <f>IF('Prediction Log'!#REF!=0, "",'Prediction Log'!#REF!)</f>
        <v>#REF!</v>
      </c>
      <c r="F653" s="65" t="e">
        <f>IF('Prediction Log'!#REF!=0, "",'Prediction Log'!#REF!)</f>
        <v>#REF!</v>
      </c>
      <c r="G653" s="64" t="e">
        <f>IF(ISBLANK(Games!#REF!), "",'Prediction Log'!#REF!)</f>
        <v>#REF!</v>
      </c>
      <c r="H653" s="66" t="e">
        <f>'Prediction Log'!#REF!</f>
        <v>#REF!</v>
      </c>
      <c r="I653" s="65" t="e">
        <f>IF(ISBLANK(Games!#REF!), "",IF(AND(Games!#REF!="",Games!#REF!=""),"",IF(ISTEXT(Games!#REF!), "Side",Games!#REF!)))</f>
        <v>#REF!</v>
      </c>
      <c r="J653" s="65" t="e">
        <f>IF(ISBLANK(Games!#REF!), "",IF(Games!#REF!="Y", Games!#REF!, Games!#REF!))</f>
        <v>#REF!</v>
      </c>
      <c r="K653" s="65" t="e">
        <f>Games!#REF!</f>
        <v>#REF!</v>
      </c>
      <c r="L653" s="65" t="e">
        <f>IF(ISBLANK(Games!#REF!), "",Games!#REF!)</f>
        <v>#REF!</v>
      </c>
      <c r="M653" s="65"/>
      <c r="N653" s="167" t="str">
        <f>IF(ISBLANK(Table123[[#This Row],[Odds Side - Difference Model]]), "", 1)</f>
      </c>
      <c r="O653" s="167" t="str">
        <f>IF(ISBLANK(Table123[[#This Row],[Odds Spread]]), "", 1)</f>
      </c>
      <c r="P653" s="67"/>
      <c r="Q653" s="67"/>
      <c r="R6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3" s="67"/>
      <c r="T653" s="67"/>
      <c r="U653" s="168" t="str">
        <f>IF(ISBLANK(Table123[[#This Row],[Odds Side - Difference Model]]), "",N653+IF(Q653&lt;0, (N653/(Q653/-100)), N653*(Q653/100)))</f>
      </c>
      <c r="V653" s="169" t="str">
        <f>IFERROR(IF(ISBLANK(Table123[[#This Row],[Odds Side - Win Probability Model]]), "",N653+IF(R653&lt;0, (N653/(R653/-100)), N653*(R653/100))),"")</f>
      </c>
      <c r="W653" s="168" t="str">
        <f t="shared" si="67"/>
      </c>
      <c r="X653" s="169" t="str">
        <f t="shared" si="68"/>
      </c>
      <c r="Y653" s="168" t="str">
        <f>IF(ISBLANK(Table123[[#This Row],[Odds Spread]]), "",O653+IF(S653&lt;0, (O653/(S653/-100)), O653*(S653/100)))</f>
      </c>
      <c r="Z653" s="168" t="str">
        <f t="shared" si="69"/>
      </c>
      <c r="AA653" s="68" t="n">
        <f t="shared" si="70"/>
        <v>0</v>
      </c>
      <c r="AB653" s="68" t="n">
        <f t="shared" si="71"/>
        <v>0</v>
      </c>
      <c r="AC653" s="170" t="e">
        <f>IF('Prediction Log'!#REF!="Y", "W", IF('Prediction Log'!#REF!="N","L",""))</f>
        <v>#REF!</v>
      </c>
      <c r="AD653" s="171" t="e">
        <f>IF('Prediction Log'!#REF!="Y", "W", IF('Prediction Log'!#REF!="N","L",""))</f>
        <v>#REF!</v>
      </c>
      <c r="AE653" s="172" t="str">
        <f>IF(ISBLANK(Table123[[#This Row],[Odds Side - Difference Model]]), "",IF(AC653="W", W653, IF(AC653="L",-N653, "")))</f>
      </c>
      <c r="AF653" s="173" t="str">
        <f>IFERROR((IF(ISERR(Table123[[#This Row],[Potential Payout Side - Win Probability Model]]), "",IF(AD653="W", X653, IF(AD653="L",-N653, "")))), "")</f>
      </c>
      <c r="AG653" s="170" t="e">
        <f>IF('Prediction Log'!#REF!="Y", "W", IF('Prediction Log'!#REF!="N", "L", ""))</f>
        <v>#REF!</v>
      </c>
      <c r="AH653" s="172" t="str">
        <f>IF(ISBLANK(Table123[[#This Row],[Odds Spread]]), "",IF(AG653="W", Z653, IF(AG653="L",-O653, "")))</f>
      </c>
      <c r="AI653" s="184"/>
      <c r="AJ653" s="183" t="str">
        <f t="shared" si="72"/>
      </c>
      <c r="AK6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4">
      <c r="A654" s="65" t="e">
        <f>Games!#REF!</f>
        <v>#REF!</v>
      </c>
      <c r="B654" s="65" t="e">
        <f>IF('Prediction Log'!#REF!=0, "",'Prediction Log'!#REF!)</f>
        <v>#REF!</v>
      </c>
      <c r="C654" s="65" t="e">
        <f>IF('Prediction Log'!#REF!=0, "",'Prediction Log'!#REF!)</f>
        <v>#REF!</v>
      </c>
      <c r="D654" s="65" t="e">
        <f>IF('Prediction Log'!#REF!=0, "",'Prediction Log'!#REF!)</f>
        <v>#REF!</v>
      </c>
      <c r="E654" s="65" t="e">
        <f>IF('Prediction Log'!#REF!=0, "",'Prediction Log'!#REF!)</f>
        <v>#REF!</v>
      </c>
      <c r="F654" s="65" t="e">
        <f>IF('Prediction Log'!#REF!=0, "",'Prediction Log'!#REF!)</f>
        <v>#REF!</v>
      </c>
      <c r="G654" s="64" t="e">
        <f>IF(ISBLANK(Games!#REF!), "",'Prediction Log'!#REF!)</f>
        <v>#REF!</v>
      </c>
      <c r="H654" s="66" t="e">
        <f>'Prediction Log'!#REF!</f>
        <v>#REF!</v>
      </c>
      <c r="I654" s="65" t="e">
        <f>IF(ISBLANK(Games!#REF!), "",IF(AND(Games!#REF!="",Games!#REF!=""),"",IF(ISTEXT(Games!#REF!), "Side",Games!#REF!)))</f>
        <v>#REF!</v>
      </c>
      <c r="J654" s="65" t="e">
        <f>IF(ISBLANK(Games!#REF!), "",IF(Games!#REF!="Y", Games!#REF!, Games!#REF!))</f>
        <v>#REF!</v>
      </c>
      <c r="K654" s="65" t="e">
        <f>Games!#REF!</f>
        <v>#REF!</v>
      </c>
      <c r="L654" s="65" t="e">
        <f>IF(ISBLANK(Games!#REF!), "",Games!#REF!)</f>
        <v>#REF!</v>
      </c>
      <c r="M654" s="65"/>
      <c r="N654" s="167" t="str">
        <f>IF(ISBLANK(Table123[[#This Row],[Odds Side - Difference Model]]), "", 1)</f>
      </c>
      <c r="O654" s="167" t="str">
        <f>IF(ISBLANK(Table123[[#This Row],[Odds Spread]]), "", 1)</f>
      </c>
      <c r="P654" s="67"/>
      <c r="Q654" s="67"/>
      <c r="R6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4" s="67"/>
      <c r="T654" s="67"/>
      <c r="U654" s="168" t="str">
        <f>IF(ISBLANK(Table123[[#This Row],[Odds Side - Difference Model]]), "",N654+IF(Q654&lt;0, (N654/(Q654/-100)), N654*(Q654/100)))</f>
      </c>
      <c r="V654" s="169" t="str">
        <f>IFERROR(IF(ISBLANK(Table123[[#This Row],[Odds Side - Win Probability Model]]), "",N654+IF(R654&lt;0, (N654/(R654/-100)), N654*(R654/100))),"")</f>
      </c>
      <c r="W654" s="168" t="str">
        <f t="shared" si="67"/>
      </c>
      <c r="X654" s="169" t="str">
        <f t="shared" si="68"/>
      </c>
      <c r="Y654" s="168" t="str">
        <f>IF(ISBLANK(Table123[[#This Row],[Odds Spread]]), "",O654+IF(S654&lt;0, (O654/(S654/-100)), O654*(S654/100)))</f>
      </c>
      <c r="Z654" s="168" t="str">
        <f t="shared" si="69"/>
      </c>
      <c r="AA654" s="68" t="n">
        <f t="shared" si="70"/>
        <v>0</v>
      </c>
      <c r="AB654" s="68" t="n">
        <f t="shared" si="71"/>
        <v>0</v>
      </c>
      <c r="AC654" s="170" t="e">
        <f>IF('Prediction Log'!#REF!="Y", "W", IF('Prediction Log'!#REF!="N","L",""))</f>
        <v>#REF!</v>
      </c>
      <c r="AD654" s="171" t="e">
        <f>IF('Prediction Log'!#REF!="Y", "W", IF('Prediction Log'!#REF!="N","L",""))</f>
        <v>#REF!</v>
      </c>
      <c r="AE654" s="172" t="str">
        <f>IF(ISBLANK(Table123[[#This Row],[Odds Side - Difference Model]]), "",IF(AC654="W", W654, IF(AC654="L",-N654, "")))</f>
      </c>
      <c r="AF654" s="173" t="str">
        <f>IFERROR((IF(ISERR(Table123[[#This Row],[Potential Payout Side - Win Probability Model]]), "",IF(AD654="W", X654, IF(AD654="L",-N654, "")))), "")</f>
      </c>
      <c r="AG654" s="170" t="e">
        <f>IF('Prediction Log'!#REF!="Y", "W", IF('Prediction Log'!#REF!="N", "L", ""))</f>
        <v>#REF!</v>
      </c>
      <c r="AH654" s="172" t="str">
        <f>IF(ISBLANK(Table123[[#This Row],[Odds Spread]]), "",IF(AG654="W", Z654, IF(AG654="L",-O654, "")))</f>
      </c>
      <c r="AI654" s="184"/>
      <c r="AJ654" s="183" t="str">
        <f t="shared" si="72"/>
      </c>
      <c r="AK6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5">
      <c r="A655" s="65" t="e">
        <f>Games!#REF!</f>
        <v>#REF!</v>
      </c>
      <c r="B655" s="65" t="e">
        <f>IF('Prediction Log'!#REF!=0, "",'Prediction Log'!#REF!)</f>
        <v>#REF!</v>
      </c>
      <c r="C655" s="65" t="e">
        <f>IF('Prediction Log'!#REF!=0, "",'Prediction Log'!#REF!)</f>
        <v>#REF!</v>
      </c>
      <c r="D655" s="65" t="e">
        <f>IF('Prediction Log'!#REF!=0, "",'Prediction Log'!#REF!)</f>
        <v>#REF!</v>
      </c>
      <c r="E655" s="65" t="e">
        <f>IF('Prediction Log'!#REF!=0, "",'Prediction Log'!#REF!)</f>
        <v>#REF!</v>
      </c>
      <c r="F655" s="65" t="e">
        <f>IF('Prediction Log'!#REF!=0, "",'Prediction Log'!#REF!)</f>
        <v>#REF!</v>
      </c>
      <c r="G655" s="64" t="e">
        <f>IF(ISBLANK(Games!#REF!), "",'Prediction Log'!#REF!)</f>
        <v>#REF!</v>
      </c>
      <c r="H655" s="66" t="e">
        <f>'Prediction Log'!#REF!</f>
        <v>#REF!</v>
      </c>
      <c r="I655" s="65" t="e">
        <f>IF(ISBLANK(Games!#REF!), "",IF(AND(Games!#REF!="",Games!#REF!=""),"",IF(ISTEXT(Games!#REF!), "Side",Games!#REF!)))</f>
        <v>#REF!</v>
      </c>
      <c r="J655" s="65" t="e">
        <f>IF(ISBLANK(Games!#REF!), "",IF(Games!#REF!="Y", Games!#REF!, Games!#REF!))</f>
        <v>#REF!</v>
      </c>
      <c r="K655" s="65" t="e">
        <f>Games!#REF!</f>
        <v>#REF!</v>
      </c>
      <c r="L655" s="65" t="e">
        <f>IF(ISBLANK(Games!#REF!), "",Games!#REF!)</f>
        <v>#REF!</v>
      </c>
      <c r="M655" s="65"/>
      <c r="N655" s="167" t="str">
        <f>IF(ISBLANK(Table123[[#This Row],[Odds Side - Difference Model]]), "", 1)</f>
      </c>
      <c r="O655" s="167" t="str">
        <f>IF(ISBLANK(Table123[[#This Row],[Odds Spread]]), "", 1)</f>
      </c>
      <c r="P655" s="67"/>
      <c r="Q655" s="67"/>
      <c r="R6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5" s="67"/>
      <c r="T655" s="67"/>
      <c r="U655" s="168" t="str">
        <f>IF(ISBLANK(Table123[[#This Row],[Odds Side - Difference Model]]), "",N655+IF(Q655&lt;0, (N655/(Q655/-100)), N655*(Q655/100)))</f>
      </c>
      <c r="V655" s="169" t="str">
        <f>IFERROR(IF(ISBLANK(Table123[[#This Row],[Odds Side - Win Probability Model]]), "",N655+IF(R655&lt;0, (N655/(R655/-100)), N655*(R655/100))),"")</f>
      </c>
      <c r="W655" s="168" t="str">
        <f t="shared" si="67"/>
      </c>
      <c r="X655" s="169" t="str">
        <f t="shared" si="68"/>
      </c>
      <c r="Y655" s="168" t="str">
        <f>IF(ISBLANK(Table123[[#This Row],[Odds Spread]]), "",O655+IF(S655&lt;0, (O655/(S655/-100)), O655*(S655/100)))</f>
      </c>
      <c r="Z655" s="168" t="str">
        <f t="shared" si="69"/>
      </c>
      <c r="AA655" s="68" t="n">
        <f t="shared" si="70"/>
        <v>0</v>
      </c>
      <c r="AB655" s="68" t="n">
        <f t="shared" si="71"/>
        <v>0</v>
      </c>
      <c r="AC655" s="170" t="e">
        <f>IF('Prediction Log'!#REF!="Y", "W", IF('Prediction Log'!#REF!="N","L",""))</f>
        <v>#REF!</v>
      </c>
      <c r="AD655" s="171" t="e">
        <f>IF('Prediction Log'!#REF!="Y", "W", IF('Prediction Log'!#REF!="N","L",""))</f>
        <v>#REF!</v>
      </c>
      <c r="AE655" s="172" t="str">
        <f>IF(ISBLANK(Table123[[#This Row],[Odds Side - Difference Model]]), "",IF(AC655="W", W655, IF(AC655="L",-N655, "")))</f>
      </c>
      <c r="AF655" s="173" t="str">
        <f>IFERROR((IF(ISERR(Table123[[#This Row],[Potential Payout Side - Win Probability Model]]), "",IF(AD655="W", X655, IF(AD655="L",-N655, "")))), "")</f>
      </c>
      <c r="AG655" s="170" t="e">
        <f>IF('Prediction Log'!#REF!="Y", "W", IF('Prediction Log'!#REF!="N", "L", ""))</f>
        <v>#REF!</v>
      </c>
      <c r="AH655" s="172" t="str">
        <f>IF(ISBLANK(Table123[[#This Row],[Odds Spread]]), "",IF(AG655="W", Z655, IF(AG655="L",-O655, "")))</f>
      </c>
      <c r="AI655" s="184"/>
      <c r="AJ655" s="183" t="str">
        <f t="shared" si="72"/>
      </c>
      <c r="AK6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6">
      <c r="A656" s="65" t="e">
        <f>Games!#REF!</f>
        <v>#REF!</v>
      </c>
      <c r="B656" s="65" t="e">
        <f>IF('Prediction Log'!#REF!=0, "",'Prediction Log'!#REF!)</f>
        <v>#REF!</v>
      </c>
      <c r="C656" s="65" t="e">
        <f>IF('Prediction Log'!#REF!=0, "",'Prediction Log'!#REF!)</f>
        <v>#REF!</v>
      </c>
      <c r="D656" s="65" t="e">
        <f>IF('Prediction Log'!#REF!=0, "",'Prediction Log'!#REF!)</f>
        <v>#REF!</v>
      </c>
      <c r="E656" s="65" t="e">
        <f>IF('Prediction Log'!#REF!=0, "",'Prediction Log'!#REF!)</f>
        <v>#REF!</v>
      </c>
      <c r="F656" s="65" t="e">
        <f>IF('Prediction Log'!#REF!=0, "",'Prediction Log'!#REF!)</f>
        <v>#REF!</v>
      </c>
      <c r="G656" s="64" t="e">
        <f>IF(ISBLANK(Games!#REF!), "",'Prediction Log'!#REF!)</f>
        <v>#REF!</v>
      </c>
      <c r="H656" s="66" t="e">
        <f>'Prediction Log'!#REF!</f>
        <v>#REF!</v>
      </c>
      <c r="I656" s="65" t="e">
        <f>IF(ISBLANK(Games!#REF!), "",IF(AND(Games!#REF!="",Games!#REF!=""),"",IF(ISTEXT(Games!#REF!), "Side",Games!#REF!)))</f>
        <v>#REF!</v>
      </c>
      <c r="J656" s="65" t="e">
        <f>IF(ISBLANK(Games!#REF!), "",IF(Games!#REF!="Y", Games!#REF!, Games!#REF!))</f>
        <v>#REF!</v>
      </c>
      <c r="K656" s="65" t="e">
        <f>Games!#REF!</f>
        <v>#REF!</v>
      </c>
      <c r="L656" s="65" t="e">
        <f>IF(ISBLANK(Games!#REF!), "",Games!#REF!)</f>
        <v>#REF!</v>
      </c>
      <c r="M656" s="65"/>
      <c r="N656" s="167" t="str">
        <f>IF(ISBLANK(Table123[[#This Row],[Odds Side - Difference Model]]), "", 1)</f>
      </c>
      <c r="O656" s="167" t="str">
        <f>IF(ISBLANK(Table123[[#This Row],[Odds Spread]]), "", 1)</f>
      </c>
      <c r="P656" s="67"/>
      <c r="Q656" s="67"/>
      <c r="R65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6" s="67"/>
      <c r="T656" s="67"/>
      <c r="U656" s="168" t="str">
        <f>IF(ISBLANK(Table123[[#This Row],[Odds Side - Difference Model]]), "",N656+IF(Q656&lt;0, (N656/(Q656/-100)), N656*(Q656/100)))</f>
      </c>
      <c r="V656" s="169" t="str">
        <f>IFERROR(IF(ISBLANK(Table123[[#This Row],[Odds Side - Win Probability Model]]), "",N656+IF(R656&lt;0, (N656/(R656/-100)), N656*(R656/100))),"")</f>
      </c>
      <c r="W656" s="168" t="str">
        <f t="shared" si="67"/>
      </c>
      <c r="X656" s="169" t="str">
        <f t="shared" si="68"/>
      </c>
      <c r="Y656" s="168" t="str">
        <f>IF(ISBLANK(Table123[[#This Row],[Odds Spread]]), "",O656+IF(S656&lt;0, (O656/(S656/-100)), O656*(S656/100)))</f>
      </c>
      <c r="Z656" s="168" t="str">
        <f t="shared" si="69"/>
      </c>
      <c r="AA656" s="68" t="n">
        <f t="shared" si="70"/>
        <v>0</v>
      </c>
      <c r="AB656" s="68" t="n">
        <f t="shared" si="71"/>
        <v>0</v>
      </c>
      <c r="AC656" s="170" t="e">
        <f>IF('Prediction Log'!#REF!="Y", "W", IF('Prediction Log'!#REF!="N","L",""))</f>
        <v>#REF!</v>
      </c>
      <c r="AD656" s="171" t="e">
        <f>IF('Prediction Log'!#REF!="Y", "W", IF('Prediction Log'!#REF!="N","L",""))</f>
        <v>#REF!</v>
      </c>
      <c r="AE656" s="172" t="str">
        <f>IF(ISBLANK(Table123[[#This Row],[Odds Side - Difference Model]]), "",IF(AC656="W", W656, IF(AC656="L",-N656, "")))</f>
      </c>
      <c r="AF656" s="173" t="str">
        <f>IFERROR((IF(ISERR(Table123[[#This Row],[Potential Payout Side - Win Probability Model]]), "",IF(AD656="W", X656, IF(AD656="L",-N656, "")))), "")</f>
      </c>
      <c r="AG656" s="170" t="e">
        <f>IF('Prediction Log'!#REF!="Y", "W", IF('Prediction Log'!#REF!="N", "L", ""))</f>
        <v>#REF!</v>
      </c>
      <c r="AH656" s="172" t="str">
        <f>IF(ISBLANK(Table123[[#This Row],[Odds Spread]]), "",IF(AG656="W", Z656, IF(AG656="L",-O656, "")))</f>
      </c>
      <c r="AI656" s="184"/>
      <c r="AJ656" s="183" t="str">
        <f t="shared" si="72"/>
      </c>
      <c r="AK65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7">
      <c r="A657" s="65" t="e">
        <f>Games!#REF!</f>
        <v>#REF!</v>
      </c>
      <c r="B657" s="65" t="e">
        <f>IF('Prediction Log'!#REF!=0, "",'Prediction Log'!#REF!)</f>
        <v>#REF!</v>
      </c>
      <c r="C657" s="65" t="e">
        <f>IF('Prediction Log'!#REF!=0, "",'Prediction Log'!#REF!)</f>
        <v>#REF!</v>
      </c>
      <c r="D657" s="65" t="e">
        <f>IF('Prediction Log'!#REF!=0, "",'Prediction Log'!#REF!)</f>
        <v>#REF!</v>
      </c>
      <c r="E657" s="65" t="e">
        <f>IF('Prediction Log'!#REF!=0, "",'Prediction Log'!#REF!)</f>
        <v>#REF!</v>
      </c>
      <c r="F657" s="65" t="e">
        <f>IF('Prediction Log'!#REF!=0, "",'Prediction Log'!#REF!)</f>
        <v>#REF!</v>
      </c>
      <c r="G657" s="64" t="e">
        <f>IF(ISBLANK(Games!#REF!), "",'Prediction Log'!#REF!)</f>
        <v>#REF!</v>
      </c>
      <c r="H657" s="66" t="e">
        <f>'Prediction Log'!#REF!</f>
        <v>#REF!</v>
      </c>
      <c r="I657" s="65" t="e">
        <f>IF(ISBLANK(Games!#REF!), "",IF(AND(Games!#REF!="",Games!#REF!=""),"",IF(ISTEXT(Games!#REF!), "Side",Games!#REF!)))</f>
        <v>#REF!</v>
      </c>
      <c r="J657" s="65" t="e">
        <f>IF(ISBLANK(Games!#REF!), "",IF(Games!#REF!="Y", Games!#REF!, Games!#REF!))</f>
        <v>#REF!</v>
      </c>
      <c r="K657" s="65" t="e">
        <f>Games!#REF!</f>
        <v>#REF!</v>
      </c>
      <c r="L657" s="65" t="e">
        <f>IF(ISBLANK(Games!#REF!), "",Games!#REF!)</f>
        <v>#REF!</v>
      </c>
      <c r="M657" s="65"/>
      <c r="N657" s="167" t="str">
        <f>IF(ISBLANK(Table123[[#This Row],[Odds Side - Difference Model]]), "", 1)</f>
      </c>
      <c r="O657" s="167" t="str">
        <f>IF(ISBLANK(Table123[[#This Row],[Odds Spread]]), "", 1)</f>
      </c>
      <c r="P657" s="67"/>
      <c r="Q657" s="67"/>
      <c r="R65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7" s="67"/>
      <c r="T657" s="67"/>
      <c r="U657" s="168" t="str">
        <f>IF(ISBLANK(Table123[[#This Row],[Odds Side - Difference Model]]), "",N657+IF(Q657&lt;0, (N657/(Q657/-100)), N657*(Q657/100)))</f>
      </c>
      <c r="V657" s="169" t="str">
        <f>IFERROR(IF(ISBLANK(Table123[[#This Row],[Odds Side - Win Probability Model]]), "",N657+IF(R657&lt;0, (N657/(R657/-100)), N657*(R657/100))),"")</f>
      </c>
      <c r="W657" s="168" t="str">
        <f t="shared" si="67"/>
      </c>
      <c r="X657" s="169" t="str">
        <f t="shared" si="68"/>
      </c>
      <c r="Y657" s="168" t="str">
        <f>IF(ISBLANK(Table123[[#This Row],[Odds Spread]]), "",O657+IF(S657&lt;0, (O657/(S657/-100)), O657*(S657/100)))</f>
      </c>
      <c r="Z657" s="168" t="str">
        <f t="shared" si="69"/>
      </c>
      <c r="AA657" s="68" t="n">
        <f t="shared" si="70"/>
        <v>0</v>
      </c>
      <c r="AB657" s="68" t="n">
        <f t="shared" si="71"/>
        <v>0</v>
      </c>
      <c r="AC657" s="170" t="e">
        <f>IF('Prediction Log'!#REF!="Y", "W", IF('Prediction Log'!#REF!="N","L",""))</f>
        <v>#REF!</v>
      </c>
      <c r="AD657" s="171" t="e">
        <f>IF('Prediction Log'!#REF!="Y", "W", IF('Prediction Log'!#REF!="N","L",""))</f>
        <v>#REF!</v>
      </c>
      <c r="AE657" s="172" t="str">
        <f>IF(ISBLANK(Table123[[#This Row],[Odds Side - Difference Model]]), "",IF(AC657="W", W657, IF(AC657="L",-N657, "")))</f>
      </c>
      <c r="AF657" s="173" t="str">
        <f>IFERROR((IF(ISERR(Table123[[#This Row],[Potential Payout Side - Win Probability Model]]), "",IF(AD657="W", X657, IF(AD657="L",-N657, "")))), "")</f>
      </c>
      <c r="AG657" s="170" t="e">
        <f>IF('Prediction Log'!#REF!="Y", "W", IF('Prediction Log'!#REF!="N", "L", ""))</f>
        <v>#REF!</v>
      </c>
      <c r="AH657" s="172" t="str">
        <f>IF(ISBLANK(Table123[[#This Row],[Odds Spread]]), "",IF(AG657="W", Z657, IF(AG657="L",-O657, "")))</f>
      </c>
      <c r="AI657" s="184"/>
      <c r="AJ657" s="183" t="str">
        <f t="shared" si="72"/>
      </c>
      <c r="AK65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8">
      <c r="A658" s="65" t="e">
        <f>Games!#REF!</f>
        <v>#REF!</v>
      </c>
      <c r="B658" s="65" t="e">
        <f>IF('Prediction Log'!#REF!=0, "",'Prediction Log'!#REF!)</f>
        <v>#REF!</v>
      </c>
      <c r="C658" s="65" t="e">
        <f>IF('Prediction Log'!#REF!=0, "",'Prediction Log'!#REF!)</f>
        <v>#REF!</v>
      </c>
      <c r="D658" s="65" t="e">
        <f>IF('Prediction Log'!#REF!=0, "",'Prediction Log'!#REF!)</f>
        <v>#REF!</v>
      </c>
      <c r="E658" s="65" t="e">
        <f>IF('Prediction Log'!#REF!=0, "",'Prediction Log'!#REF!)</f>
        <v>#REF!</v>
      </c>
      <c r="F658" s="65" t="e">
        <f>IF('Prediction Log'!#REF!=0, "",'Prediction Log'!#REF!)</f>
        <v>#REF!</v>
      </c>
      <c r="G658" s="64" t="e">
        <f>IF(ISBLANK(Games!#REF!), "",'Prediction Log'!#REF!)</f>
        <v>#REF!</v>
      </c>
      <c r="H658" s="66" t="e">
        <f>'Prediction Log'!#REF!</f>
        <v>#REF!</v>
      </c>
      <c r="I658" s="65" t="e">
        <f>IF(ISBLANK(Games!#REF!), "",IF(AND(Games!#REF!="",Games!#REF!=""),"",IF(ISTEXT(Games!#REF!), "Side",Games!#REF!)))</f>
        <v>#REF!</v>
      </c>
      <c r="J658" s="65" t="e">
        <f>IF(ISBLANK(Games!#REF!), "",IF(Games!#REF!="Y", Games!#REF!, Games!#REF!))</f>
        <v>#REF!</v>
      </c>
      <c r="K658" s="65" t="e">
        <f>Games!#REF!</f>
        <v>#REF!</v>
      </c>
      <c r="L658" s="65" t="e">
        <f>IF(ISBLANK(Games!#REF!), "",Games!#REF!)</f>
        <v>#REF!</v>
      </c>
      <c r="M658" s="65"/>
      <c r="N658" s="167" t="str">
        <f>IF(ISBLANK(Table123[[#This Row],[Odds Side - Difference Model]]), "", 1)</f>
      </c>
      <c r="O658" s="167" t="str">
        <f>IF(ISBLANK(Table123[[#This Row],[Odds Spread]]), "", 1)</f>
      </c>
      <c r="P658" s="67"/>
      <c r="Q658" s="67"/>
      <c r="R65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8" s="67"/>
      <c r="T658" s="67"/>
      <c r="U658" s="168" t="str">
        <f>IF(ISBLANK(Table123[[#This Row],[Odds Side - Difference Model]]), "",N658+IF(Q658&lt;0, (N658/(Q658/-100)), N658*(Q658/100)))</f>
      </c>
      <c r="V658" s="169" t="str">
        <f>IFERROR(IF(ISBLANK(Table123[[#This Row],[Odds Side - Win Probability Model]]), "",N658+IF(R658&lt;0, (N658/(R658/-100)), N658*(R658/100))),"")</f>
      </c>
      <c r="W658" s="168" t="str">
        <f t="shared" si="67"/>
      </c>
      <c r="X658" s="169" t="str">
        <f t="shared" si="68"/>
      </c>
      <c r="Y658" s="168" t="str">
        <f>IF(ISBLANK(Table123[[#This Row],[Odds Spread]]), "",O658+IF(S658&lt;0, (O658/(S658/-100)), O658*(S658/100)))</f>
      </c>
      <c r="Z658" s="168" t="str">
        <f t="shared" si="69"/>
      </c>
      <c r="AA658" s="68" t="n">
        <f t="shared" si="70"/>
        <v>0</v>
      </c>
      <c r="AB658" s="68" t="n">
        <f t="shared" si="71"/>
        <v>0</v>
      </c>
      <c r="AC658" s="170" t="e">
        <f>IF('Prediction Log'!#REF!="Y", "W", IF('Prediction Log'!#REF!="N","L",""))</f>
        <v>#REF!</v>
      </c>
      <c r="AD658" s="171" t="e">
        <f>IF('Prediction Log'!#REF!="Y", "W", IF('Prediction Log'!#REF!="N","L",""))</f>
        <v>#REF!</v>
      </c>
      <c r="AE658" s="172" t="str">
        <f>IF(ISBLANK(Table123[[#This Row],[Odds Side - Difference Model]]), "",IF(AC658="W", W658, IF(AC658="L",-N658, "")))</f>
      </c>
      <c r="AF658" s="173" t="str">
        <f>IFERROR((IF(ISERR(Table123[[#This Row],[Potential Payout Side - Win Probability Model]]), "",IF(AD658="W", X658, IF(AD658="L",-N658, "")))), "")</f>
      </c>
      <c r="AG658" s="170" t="e">
        <f>IF('Prediction Log'!#REF!="Y", "W", IF('Prediction Log'!#REF!="N", "L", ""))</f>
        <v>#REF!</v>
      </c>
      <c r="AH658" s="172" t="str">
        <f>IF(ISBLANK(Table123[[#This Row],[Odds Spread]]), "",IF(AG658="W", Z658, IF(AG658="L",-O658, "")))</f>
      </c>
      <c r="AI658" s="184"/>
      <c r="AJ658" s="183" t="str">
        <f t="shared" si="72"/>
      </c>
      <c r="AK65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9">
      <c r="A659" s="65" t="e">
        <f>Games!#REF!</f>
        <v>#REF!</v>
      </c>
      <c r="B659" s="65" t="e">
        <f>IF('Prediction Log'!#REF!=0, "",'Prediction Log'!#REF!)</f>
        <v>#REF!</v>
      </c>
      <c r="C659" s="65" t="e">
        <f>IF('Prediction Log'!#REF!=0, "",'Prediction Log'!#REF!)</f>
        <v>#REF!</v>
      </c>
      <c r="D659" s="65" t="e">
        <f>IF('Prediction Log'!#REF!=0, "",'Prediction Log'!#REF!)</f>
        <v>#REF!</v>
      </c>
      <c r="E659" s="65" t="e">
        <f>IF('Prediction Log'!#REF!=0, "",'Prediction Log'!#REF!)</f>
        <v>#REF!</v>
      </c>
      <c r="F659" s="65" t="e">
        <f>IF('Prediction Log'!#REF!=0, "",'Prediction Log'!#REF!)</f>
        <v>#REF!</v>
      </c>
      <c r="G659" s="64" t="e">
        <f>IF(ISBLANK(Games!#REF!), "",'Prediction Log'!#REF!)</f>
        <v>#REF!</v>
      </c>
      <c r="H659" s="66" t="e">
        <f>'Prediction Log'!#REF!</f>
        <v>#REF!</v>
      </c>
      <c r="I659" s="65" t="e">
        <f>IF(ISBLANK(Games!#REF!), "",IF(AND(Games!#REF!="",Games!#REF!=""),"",IF(ISTEXT(Games!#REF!), "Side",Games!#REF!)))</f>
        <v>#REF!</v>
      </c>
      <c r="J659" s="65" t="e">
        <f>IF(ISBLANK(Games!#REF!), "",IF(Games!#REF!="Y", Games!#REF!, Games!#REF!))</f>
        <v>#REF!</v>
      </c>
      <c r="K659" s="65" t="e">
        <f>Games!#REF!</f>
        <v>#REF!</v>
      </c>
      <c r="L659" s="65" t="e">
        <f>IF(ISBLANK(Games!#REF!), "",Games!#REF!)</f>
        <v>#REF!</v>
      </c>
      <c r="M659" s="65"/>
      <c r="N659" s="167" t="str">
        <f>IF(ISBLANK(Table123[[#This Row],[Odds Side - Difference Model]]), "", 1)</f>
      </c>
      <c r="O659" s="167" t="str">
        <f>IF(ISBLANK(Table123[[#This Row],[Odds Spread]]), "", 1)</f>
      </c>
      <c r="P659" s="67"/>
      <c r="Q659" s="67"/>
      <c r="R65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9" s="67"/>
      <c r="T659" s="67"/>
      <c r="U659" s="168" t="str">
        <f>IF(ISBLANK(Table123[[#This Row],[Odds Side - Difference Model]]), "",N659+IF(Q659&lt;0, (N659/(Q659/-100)), N659*(Q659/100)))</f>
      </c>
      <c r="V659" s="169" t="str">
        <f>IFERROR(IF(ISBLANK(Table123[[#This Row],[Odds Side - Win Probability Model]]), "",N659+IF(R659&lt;0, (N659/(R659/-100)), N659*(R659/100))),"")</f>
      </c>
      <c r="W659" s="168" t="str">
        <f t="shared" si="67"/>
      </c>
      <c r="X659" s="169" t="str">
        <f t="shared" si="68"/>
      </c>
      <c r="Y659" s="168" t="str">
        <f>IF(ISBLANK(Table123[[#This Row],[Odds Spread]]), "",O659+IF(S659&lt;0, (O659/(S659/-100)), O659*(S659/100)))</f>
      </c>
      <c r="Z659" s="168" t="str">
        <f t="shared" si="69"/>
      </c>
      <c r="AA659" s="68" t="n">
        <f t="shared" si="70"/>
        <v>0</v>
      </c>
      <c r="AB659" s="68" t="n">
        <f t="shared" si="71"/>
        <v>0</v>
      </c>
      <c r="AC659" s="170" t="e">
        <f>IF('Prediction Log'!#REF!="Y", "W", IF('Prediction Log'!#REF!="N","L",""))</f>
        <v>#REF!</v>
      </c>
      <c r="AD659" s="171" t="e">
        <f>IF('Prediction Log'!#REF!="Y", "W", IF('Prediction Log'!#REF!="N","L",""))</f>
        <v>#REF!</v>
      </c>
      <c r="AE659" s="172" t="str">
        <f>IF(ISBLANK(Table123[[#This Row],[Odds Side - Difference Model]]), "",IF(AC659="W", W659, IF(AC659="L",-N659, "")))</f>
      </c>
      <c r="AF659" s="173" t="str">
        <f>IFERROR((IF(ISERR(Table123[[#This Row],[Potential Payout Side - Win Probability Model]]), "",IF(AD659="W", X659, IF(AD659="L",-N659, "")))), "")</f>
      </c>
      <c r="AG659" s="170" t="e">
        <f>IF('Prediction Log'!#REF!="Y", "W", IF('Prediction Log'!#REF!="N", "L", ""))</f>
        <v>#REF!</v>
      </c>
      <c r="AH659" s="172" t="str">
        <f>IF(ISBLANK(Table123[[#This Row],[Odds Spread]]), "",IF(AG659="W", Z659, IF(AG659="L",-O659, "")))</f>
      </c>
      <c r="AI659" s="184"/>
      <c r="AJ659" s="183" t="str">
        <f t="shared" si="72"/>
      </c>
      <c r="AK65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0">
      <c r="A660" s="65" t="e">
        <f>Games!#REF!</f>
        <v>#REF!</v>
      </c>
      <c r="B660" s="65" t="e">
        <f>IF('Prediction Log'!#REF!=0, "",'Prediction Log'!#REF!)</f>
        <v>#REF!</v>
      </c>
      <c r="C660" s="65" t="e">
        <f>IF('Prediction Log'!#REF!=0, "",'Prediction Log'!#REF!)</f>
        <v>#REF!</v>
      </c>
      <c r="D660" s="65" t="e">
        <f>IF('Prediction Log'!#REF!=0, "",'Prediction Log'!#REF!)</f>
        <v>#REF!</v>
      </c>
      <c r="E660" s="65" t="e">
        <f>IF('Prediction Log'!#REF!=0, "",'Prediction Log'!#REF!)</f>
        <v>#REF!</v>
      </c>
      <c r="F660" s="65" t="e">
        <f>IF('Prediction Log'!#REF!=0, "",'Prediction Log'!#REF!)</f>
        <v>#REF!</v>
      </c>
      <c r="G660" s="64" t="e">
        <f>IF(ISBLANK(Games!#REF!), "",'Prediction Log'!#REF!)</f>
        <v>#REF!</v>
      </c>
      <c r="H660" s="66" t="e">
        <f>'Prediction Log'!#REF!</f>
        <v>#REF!</v>
      </c>
      <c r="I660" s="65" t="e">
        <f>IF(ISBLANK(Games!#REF!), "",IF(AND(Games!#REF!="",Games!#REF!=""),"",IF(ISTEXT(Games!#REF!), "Side",Games!#REF!)))</f>
        <v>#REF!</v>
      </c>
      <c r="J660" s="65" t="e">
        <f>IF(ISBLANK(Games!#REF!), "",IF(Games!#REF!="Y", Games!#REF!, Games!#REF!))</f>
        <v>#REF!</v>
      </c>
      <c r="K660" s="65" t="e">
        <f>Games!#REF!</f>
        <v>#REF!</v>
      </c>
      <c r="L660" s="65" t="e">
        <f>IF(ISBLANK(Games!#REF!), "",Games!#REF!)</f>
        <v>#REF!</v>
      </c>
      <c r="M660" s="65"/>
      <c r="N660" s="167" t="str">
        <f>IF(ISBLANK(Table123[[#This Row],[Odds Side - Difference Model]]), "", 1)</f>
      </c>
      <c r="O660" s="167" t="str">
        <f>IF(ISBLANK(Table123[[#This Row],[Odds Spread]]), "", 1)</f>
      </c>
      <c r="P660" s="67"/>
      <c r="Q660" s="67"/>
      <c r="R66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0" s="67"/>
      <c r="T660" s="67"/>
      <c r="U660" s="168" t="str">
        <f>IF(ISBLANK(Table123[[#This Row],[Odds Side - Difference Model]]), "",N660+IF(Q660&lt;0, (N660/(Q660/-100)), N660*(Q660/100)))</f>
      </c>
      <c r="V660" s="169" t="str">
        <f>IFERROR(IF(ISBLANK(Table123[[#This Row],[Odds Side - Win Probability Model]]), "",N660+IF(R660&lt;0, (N660/(R660/-100)), N660*(R660/100))),"")</f>
      </c>
      <c r="W660" s="168" t="str">
        <f t="shared" si="67"/>
      </c>
      <c r="X660" s="169" t="str">
        <f t="shared" si="68"/>
      </c>
      <c r="Y660" s="168" t="str">
        <f>IF(ISBLANK(Table123[[#This Row],[Odds Spread]]), "",O660+IF(S660&lt;0, (O660/(S660/-100)), O660*(S660/100)))</f>
      </c>
      <c r="Z660" s="168" t="str">
        <f t="shared" si="69"/>
      </c>
      <c r="AA660" s="68" t="n">
        <f t="shared" si="70"/>
        <v>0</v>
      </c>
      <c r="AB660" s="68" t="n">
        <f t="shared" si="71"/>
        <v>0</v>
      </c>
      <c r="AC660" s="170" t="e">
        <f>IF('Prediction Log'!#REF!="Y", "W", IF('Prediction Log'!#REF!="N","L",""))</f>
        <v>#REF!</v>
      </c>
      <c r="AD660" s="171" t="e">
        <f>IF('Prediction Log'!#REF!="Y", "W", IF('Prediction Log'!#REF!="N","L",""))</f>
        <v>#REF!</v>
      </c>
      <c r="AE660" s="172" t="str">
        <f>IF(ISBLANK(Table123[[#This Row],[Odds Side - Difference Model]]), "",IF(AC660="W", W660, IF(AC660="L",-N660, "")))</f>
      </c>
      <c r="AF660" s="173" t="str">
        <f>IFERROR((IF(ISERR(Table123[[#This Row],[Potential Payout Side - Win Probability Model]]), "",IF(AD660="W", X660, IF(AD660="L",-N660, "")))), "")</f>
      </c>
      <c r="AG660" s="170" t="e">
        <f>IF('Prediction Log'!#REF!="Y", "W", IF('Prediction Log'!#REF!="N", "L", ""))</f>
        <v>#REF!</v>
      </c>
      <c r="AH660" s="172" t="str">
        <f>IF(ISBLANK(Table123[[#This Row],[Odds Spread]]), "",IF(AG660="W", Z660, IF(AG660="L",-O660, "")))</f>
      </c>
      <c r="AI660" s="184"/>
      <c r="AJ660" s="183" t="str">
        <f t="shared" si="72"/>
      </c>
      <c r="AK66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1">
      <c r="A661" s="65" t="e">
        <f>Games!#REF!</f>
        <v>#REF!</v>
      </c>
      <c r="B661" s="65" t="e">
        <f>IF('Prediction Log'!#REF!=0, "",'Prediction Log'!#REF!)</f>
        <v>#REF!</v>
      </c>
      <c r="C661" s="65" t="e">
        <f>IF('Prediction Log'!#REF!=0, "",'Prediction Log'!#REF!)</f>
        <v>#REF!</v>
      </c>
      <c r="D661" s="65" t="e">
        <f>IF('Prediction Log'!#REF!=0, "",'Prediction Log'!#REF!)</f>
        <v>#REF!</v>
      </c>
      <c r="E661" s="65" t="e">
        <f>IF('Prediction Log'!#REF!=0, "",'Prediction Log'!#REF!)</f>
        <v>#REF!</v>
      </c>
      <c r="F661" s="65" t="e">
        <f>IF('Prediction Log'!#REF!=0, "",'Prediction Log'!#REF!)</f>
        <v>#REF!</v>
      </c>
      <c r="G661" s="64" t="e">
        <f>IF(ISBLANK(Games!#REF!), "",'Prediction Log'!#REF!)</f>
        <v>#REF!</v>
      </c>
      <c r="H661" s="66" t="e">
        <f>'Prediction Log'!#REF!</f>
        <v>#REF!</v>
      </c>
      <c r="I661" s="65" t="e">
        <f>IF(ISBLANK(Games!#REF!), "",IF(AND(Games!#REF!="",Games!#REF!=""),"",IF(ISTEXT(Games!#REF!), "Side",Games!#REF!)))</f>
        <v>#REF!</v>
      </c>
      <c r="J661" s="65" t="e">
        <f>IF(ISBLANK(Games!#REF!), "",IF(Games!#REF!="Y", Games!#REF!, Games!#REF!))</f>
        <v>#REF!</v>
      </c>
      <c r="K661" s="65" t="e">
        <f>Games!#REF!</f>
        <v>#REF!</v>
      </c>
      <c r="L661" s="65" t="e">
        <f>IF(ISBLANK(Games!#REF!), "",Games!#REF!)</f>
        <v>#REF!</v>
      </c>
      <c r="M661" s="65"/>
      <c r="N661" s="167" t="str">
        <f>IF(ISBLANK(Table123[[#This Row],[Odds Side - Difference Model]]), "", 1)</f>
      </c>
      <c r="O661" s="167" t="str">
        <f>IF(ISBLANK(Table123[[#This Row],[Odds Spread]]), "", 1)</f>
      </c>
      <c r="P661" s="67"/>
      <c r="Q661" s="67"/>
      <c r="R66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1" s="67"/>
      <c r="T661" s="67"/>
      <c r="U661" s="168" t="str">
        <f>IF(ISBLANK(Table123[[#This Row],[Odds Side - Difference Model]]), "",N661+IF(Q661&lt;0, (N661/(Q661/-100)), N661*(Q661/100)))</f>
      </c>
      <c r="V661" s="169" t="str">
        <f>IFERROR(IF(ISBLANK(Table123[[#This Row],[Odds Side - Win Probability Model]]), "",N661+IF(R661&lt;0, (N661/(R661/-100)), N661*(R661/100))),"")</f>
      </c>
      <c r="W661" s="168" t="str">
        <f t="shared" si="67"/>
      </c>
      <c r="X661" s="169" t="str">
        <f t="shared" si="68"/>
      </c>
      <c r="Y661" s="168" t="str">
        <f>IF(ISBLANK(Table123[[#This Row],[Odds Spread]]), "",O661+IF(S661&lt;0, (O661/(S661/-100)), O661*(S661/100)))</f>
      </c>
      <c r="Z661" s="168" t="str">
        <f t="shared" si="69"/>
      </c>
      <c r="AA661" s="68" t="n">
        <f t="shared" si="70"/>
        <v>0</v>
      </c>
      <c r="AB661" s="68" t="n">
        <f t="shared" si="71"/>
        <v>0</v>
      </c>
      <c r="AC661" s="170" t="e">
        <f>IF('Prediction Log'!#REF!="Y", "W", IF('Prediction Log'!#REF!="N","L",""))</f>
        <v>#REF!</v>
      </c>
      <c r="AD661" s="171" t="e">
        <f>IF('Prediction Log'!#REF!="Y", "W", IF('Prediction Log'!#REF!="N","L",""))</f>
        <v>#REF!</v>
      </c>
      <c r="AE661" s="172" t="str">
        <f>IF(ISBLANK(Table123[[#This Row],[Odds Side - Difference Model]]), "",IF(AC661="W", W661, IF(AC661="L",-N661, "")))</f>
      </c>
      <c r="AF661" s="173" t="str">
        <f>IFERROR((IF(ISERR(Table123[[#This Row],[Potential Payout Side - Win Probability Model]]), "",IF(AD661="W", X661, IF(AD661="L",-N661, "")))), "")</f>
      </c>
      <c r="AG661" s="170" t="e">
        <f>IF('Prediction Log'!#REF!="Y", "W", IF('Prediction Log'!#REF!="N", "L", ""))</f>
        <v>#REF!</v>
      </c>
      <c r="AH661" s="172" t="str">
        <f>IF(ISBLANK(Table123[[#This Row],[Odds Spread]]), "",IF(AG661="W", Z661, IF(AG661="L",-O661, "")))</f>
      </c>
      <c r="AI661" s="184"/>
      <c r="AJ661" s="183" t="str">
        <f t="shared" si="72"/>
      </c>
      <c r="AK66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2">
      <c r="A662" s="65" t="e">
        <f>Games!#REF!</f>
        <v>#REF!</v>
      </c>
      <c r="B662" s="65" t="e">
        <f>IF('Prediction Log'!#REF!=0, "",'Prediction Log'!#REF!)</f>
        <v>#REF!</v>
      </c>
      <c r="C662" s="65" t="e">
        <f>IF('Prediction Log'!#REF!=0, "",'Prediction Log'!#REF!)</f>
        <v>#REF!</v>
      </c>
      <c r="D662" s="65" t="e">
        <f>IF('Prediction Log'!#REF!=0, "",'Prediction Log'!#REF!)</f>
        <v>#REF!</v>
      </c>
      <c r="E662" s="65" t="e">
        <f>IF('Prediction Log'!#REF!=0, "",'Prediction Log'!#REF!)</f>
        <v>#REF!</v>
      </c>
      <c r="F662" s="65" t="e">
        <f>IF('Prediction Log'!#REF!=0, "",'Prediction Log'!#REF!)</f>
        <v>#REF!</v>
      </c>
      <c r="G662" s="64" t="e">
        <f>IF(ISBLANK(Games!#REF!), "",'Prediction Log'!#REF!)</f>
        <v>#REF!</v>
      </c>
      <c r="H662" s="66" t="e">
        <f>'Prediction Log'!#REF!</f>
        <v>#REF!</v>
      </c>
      <c r="I662" s="65" t="e">
        <f>IF(ISBLANK(Games!#REF!), "",IF(AND(Games!#REF!="",Games!#REF!=""),"",IF(ISTEXT(Games!#REF!), "Side",Games!#REF!)))</f>
        <v>#REF!</v>
      </c>
      <c r="J662" s="65" t="e">
        <f>IF(ISBLANK(Games!#REF!), "",IF(Games!#REF!="Y", Games!#REF!, Games!#REF!))</f>
        <v>#REF!</v>
      </c>
      <c r="K662" s="65" t="e">
        <f>Games!#REF!</f>
        <v>#REF!</v>
      </c>
      <c r="L662" s="65" t="e">
        <f>IF(ISBLANK(Games!#REF!), "",Games!#REF!)</f>
        <v>#REF!</v>
      </c>
      <c r="M662" s="65"/>
      <c r="N662" s="167" t="str">
        <f>IF(ISBLANK(Table123[[#This Row],[Odds Side - Difference Model]]), "", 1)</f>
      </c>
      <c r="O662" s="167" t="str">
        <f>IF(ISBLANK(Table123[[#This Row],[Odds Spread]]), "", 1)</f>
      </c>
      <c r="P662" s="67"/>
      <c r="Q662" s="67"/>
      <c r="R66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2" s="67"/>
      <c r="T662" s="67"/>
      <c r="U662" s="168" t="str">
        <f>IF(ISBLANK(Table123[[#This Row],[Odds Side - Difference Model]]), "",N662+IF(Q662&lt;0, (N662/(Q662/-100)), N662*(Q662/100)))</f>
      </c>
      <c r="V662" s="169" t="str">
        <f>IFERROR(IF(ISBLANK(Table123[[#This Row],[Odds Side - Win Probability Model]]), "",N662+IF(R662&lt;0, (N662/(R662/-100)), N662*(R662/100))),"")</f>
      </c>
      <c r="W662" s="168" t="str">
        <f t="shared" si="67"/>
      </c>
      <c r="X662" s="169" t="str">
        <f t="shared" si="68"/>
      </c>
      <c r="Y662" s="168" t="str">
        <f>IF(ISBLANK(Table123[[#This Row],[Odds Spread]]), "",O662+IF(S662&lt;0, (O662/(S662/-100)), O662*(S662/100)))</f>
      </c>
      <c r="Z662" s="168" t="str">
        <f t="shared" si="69"/>
      </c>
      <c r="AA662" s="68" t="n">
        <f t="shared" si="70"/>
        <v>0</v>
      </c>
      <c r="AB662" s="68" t="n">
        <f t="shared" si="71"/>
        <v>0</v>
      </c>
      <c r="AC662" s="170" t="e">
        <f>IF('Prediction Log'!#REF!="Y", "W", IF('Prediction Log'!#REF!="N","L",""))</f>
        <v>#REF!</v>
      </c>
      <c r="AD662" s="171" t="e">
        <f>IF('Prediction Log'!#REF!="Y", "W", IF('Prediction Log'!#REF!="N","L",""))</f>
        <v>#REF!</v>
      </c>
      <c r="AE662" s="172" t="str">
        <f>IF(ISBLANK(Table123[[#This Row],[Odds Side - Difference Model]]), "",IF(AC662="W", W662, IF(AC662="L",-N662, "")))</f>
      </c>
      <c r="AF662" s="173" t="str">
        <f>IFERROR((IF(ISERR(Table123[[#This Row],[Potential Payout Side - Win Probability Model]]), "",IF(AD662="W", X662, IF(AD662="L",-N662, "")))), "")</f>
      </c>
      <c r="AG662" s="170" t="e">
        <f>IF('Prediction Log'!#REF!="Y", "W", IF('Prediction Log'!#REF!="N", "L", ""))</f>
        <v>#REF!</v>
      </c>
      <c r="AH662" s="172" t="str">
        <f>IF(ISBLANK(Table123[[#This Row],[Odds Spread]]), "",IF(AG662="W", Z662, IF(AG662="L",-O662, "")))</f>
      </c>
      <c r="AI662" s="184"/>
      <c r="AJ662" s="183" t="str">
        <f t="shared" si="72"/>
      </c>
      <c r="AK66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3">
      <c r="A663" s="65" t="e">
        <f>Games!#REF!</f>
        <v>#REF!</v>
      </c>
      <c r="B663" s="65" t="e">
        <f>IF('Prediction Log'!#REF!=0, "",'Prediction Log'!#REF!)</f>
        <v>#REF!</v>
      </c>
      <c r="C663" s="65" t="e">
        <f>IF('Prediction Log'!#REF!=0, "",'Prediction Log'!#REF!)</f>
        <v>#REF!</v>
      </c>
      <c r="D663" s="65" t="e">
        <f>IF('Prediction Log'!#REF!=0, "",'Prediction Log'!#REF!)</f>
        <v>#REF!</v>
      </c>
      <c r="E663" s="65" t="e">
        <f>IF('Prediction Log'!#REF!=0, "",'Prediction Log'!#REF!)</f>
        <v>#REF!</v>
      </c>
      <c r="F663" s="65" t="e">
        <f>IF('Prediction Log'!#REF!=0, "",'Prediction Log'!#REF!)</f>
        <v>#REF!</v>
      </c>
      <c r="G663" s="64" t="e">
        <f>IF(ISBLANK(Games!#REF!), "",'Prediction Log'!#REF!)</f>
        <v>#REF!</v>
      </c>
      <c r="H663" s="66" t="e">
        <f>'Prediction Log'!#REF!</f>
        <v>#REF!</v>
      </c>
      <c r="I663" s="65" t="e">
        <f>IF(ISBLANK(Games!#REF!), "",IF(AND(Games!#REF!="",Games!#REF!=""),"",IF(ISTEXT(Games!#REF!), "Side",Games!#REF!)))</f>
        <v>#REF!</v>
      </c>
      <c r="J663" s="65" t="e">
        <f>IF(ISBLANK(Games!#REF!), "",IF(Games!#REF!="Y", Games!#REF!, Games!#REF!))</f>
        <v>#REF!</v>
      </c>
      <c r="K663" s="65" t="e">
        <f>Games!#REF!</f>
        <v>#REF!</v>
      </c>
      <c r="L663" s="65" t="e">
        <f>IF(ISBLANK(Games!#REF!), "",Games!#REF!)</f>
        <v>#REF!</v>
      </c>
      <c r="M663" s="65"/>
      <c r="N663" s="167" t="str">
        <f>IF(ISBLANK(Table123[[#This Row],[Odds Side - Difference Model]]), "", 1)</f>
      </c>
      <c r="O663" s="167" t="str">
        <f>IF(ISBLANK(Table123[[#This Row],[Odds Spread]]), "", 1)</f>
      </c>
      <c r="P663" s="67"/>
      <c r="Q663" s="67"/>
      <c r="R66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3" s="67"/>
      <c r="T663" s="67"/>
      <c r="U663" s="168" t="str">
        <f>IF(ISBLANK(Table123[[#This Row],[Odds Side - Difference Model]]), "",N663+IF(Q663&lt;0, (N663/(Q663/-100)), N663*(Q663/100)))</f>
      </c>
      <c r="V663" s="169" t="str">
        <f>IFERROR(IF(ISBLANK(Table123[[#This Row],[Odds Side - Win Probability Model]]), "",N663+IF(R663&lt;0, (N663/(R663/-100)), N663*(R663/100))),"")</f>
      </c>
      <c r="W663" s="168" t="str">
        <f t="shared" si="67"/>
      </c>
      <c r="X663" s="169" t="str">
        <f t="shared" si="68"/>
      </c>
      <c r="Y663" s="168" t="str">
        <f>IF(ISBLANK(Table123[[#This Row],[Odds Spread]]), "",O663+IF(S663&lt;0, (O663/(S663/-100)), O663*(S663/100)))</f>
      </c>
      <c r="Z663" s="168" t="str">
        <f t="shared" si="69"/>
      </c>
      <c r="AA663" s="68" t="n">
        <f t="shared" si="70"/>
        <v>0</v>
      </c>
      <c r="AB663" s="68" t="n">
        <f t="shared" si="71"/>
        <v>0</v>
      </c>
      <c r="AC663" s="170" t="e">
        <f>IF('Prediction Log'!#REF!="Y", "W", IF('Prediction Log'!#REF!="N","L",""))</f>
        <v>#REF!</v>
      </c>
      <c r="AD663" s="171" t="e">
        <f>IF('Prediction Log'!#REF!="Y", "W", IF('Prediction Log'!#REF!="N","L",""))</f>
        <v>#REF!</v>
      </c>
      <c r="AE663" s="172" t="str">
        <f>IF(ISBLANK(Table123[[#This Row],[Odds Side - Difference Model]]), "",IF(AC663="W", W663, IF(AC663="L",-N663, "")))</f>
      </c>
      <c r="AF663" s="173" t="str">
        <f>IFERROR((IF(ISERR(Table123[[#This Row],[Potential Payout Side - Win Probability Model]]), "",IF(AD663="W", X663, IF(AD663="L",-N663, "")))), "")</f>
      </c>
      <c r="AG663" s="170" t="e">
        <f>IF('Prediction Log'!#REF!="Y", "W", IF('Prediction Log'!#REF!="N", "L", ""))</f>
        <v>#REF!</v>
      </c>
      <c r="AH663" s="172" t="str">
        <f>IF(ISBLANK(Table123[[#This Row],[Odds Spread]]), "",IF(AG663="W", Z663, IF(AG663="L",-O663, "")))</f>
      </c>
      <c r="AI663" s="184"/>
      <c r="AJ663" s="183" t="str">
        <f t="shared" si="72"/>
      </c>
      <c r="AK66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4">
      <c r="A664" s="65" t="e">
        <f>Games!#REF!</f>
        <v>#REF!</v>
      </c>
      <c r="B664" s="65" t="e">
        <f>IF('Prediction Log'!#REF!=0, "",'Prediction Log'!#REF!)</f>
        <v>#REF!</v>
      </c>
      <c r="C664" s="65" t="e">
        <f>IF('Prediction Log'!#REF!=0, "",'Prediction Log'!#REF!)</f>
        <v>#REF!</v>
      </c>
      <c r="D664" s="65" t="e">
        <f>IF('Prediction Log'!#REF!=0, "",'Prediction Log'!#REF!)</f>
        <v>#REF!</v>
      </c>
      <c r="E664" s="65" t="e">
        <f>IF('Prediction Log'!#REF!=0, "",'Prediction Log'!#REF!)</f>
        <v>#REF!</v>
      </c>
      <c r="F664" s="65" t="e">
        <f>IF('Prediction Log'!#REF!=0, "",'Prediction Log'!#REF!)</f>
        <v>#REF!</v>
      </c>
      <c r="G664" s="64" t="e">
        <f>IF(ISBLANK(Games!#REF!), "",'Prediction Log'!#REF!)</f>
        <v>#REF!</v>
      </c>
      <c r="H664" s="66" t="e">
        <f>'Prediction Log'!#REF!</f>
        <v>#REF!</v>
      </c>
      <c r="I664" s="65" t="e">
        <f>IF(ISBLANK(Games!#REF!), "",IF(AND(Games!#REF!="",Games!#REF!=""),"",IF(ISTEXT(Games!#REF!), "Side",Games!#REF!)))</f>
        <v>#REF!</v>
      </c>
      <c r="J664" s="65" t="e">
        <f>IF(ISBLANK(Games!#REF!), "",IF(Games!#REF!="Y", Games!#REF!, Games!#REF!))</f>
        <v>#REF!</v>
      </c>
      <c r="K664" s="65" t="e">
        <f>Games!#REF!</f>
        <v>#REF!</v>
      </c>
      <c r="L664" s="65" t="e">
        <f>IF(ISBLANK(Games!#REF!), "",Games!#REF!)</f>
        <v>#REF!</v>
      </c>
      <c r="M664" s="65"/>
      <c r="N664" s="167" t="str">
        <f>IF(ISBLANK(Table123[[#This Row],[Odds Side - Difference Model]]), "", 1)</f>
      </c>
      <c r="O664" s="167" t="str">
        <f>IF(ISBLANK(Table123[[#This Row],[Odds Spread]]), "", 1)</f>
      </c>
      <c r="P664" s="67"/>
      <c r="Q664" s="67"/>
      <c r="R66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4" s="67"/>
      <c r="T664" s="67"/>
      <c r="U664" s="168" t="str">
        <f>IF(ISBLANK(Table123[[#This Row],[Odds Side - Difference Model]]), "",N664+IF(Q664&lt;0, (N664/(Q664/-100)), N664*(Q664/100)))</f>
      </c>
      <c r="V664" s="169" t="str">
        <f>IFERROR(IF(ISBLANK(Table123[[#This Row],[Odds Side - Win Probability Model]]), "",N664+IF(R664&lt;0, (N664/(R664/-100)), N664*(R664/100))),"")</f>
      </c>
      <c r="W664" s="168" t="str">
        <f t="shared" si="67"/>
      </c>
      <c r="X664" s="169" t="str">
        <f t="shared" si="68"/>
      </c>
      <c r="Y664" s="168" t="str">
        <f>IF(ISBLANK(Table123[[#This Row],[Odds Spread]]), "",O664+IF(S664&lt;0, (O664/(S664/-100)), O664*(S664/100)))</f>
      </c>
      <c r="Z664" s="168" t="str">
        <f t="shared" si="69"/>
      </c>
      <c r="AA664" s="68" t="n">
        <f t="shared" si="70"/>
        <v>0</v>
      </c>
      <c r="AB664" s="68" t="n">
        <f t="shared" si="71"/>
        <v>0</v>
      </c>
      <c r="AC664" s="170" t="e">
        <f>IF('Prediction Log'!#REF!="Y", "W", IF('Prediction Log'!#REF!="N","L",""))</f>
        <v>#REF!</v>
      </c>
      <c r="AD664" s="171" t="e">
        <f>IF('Prediction Log'!#REF!="Y", "W", IF('Prediction Log'!#REF!="N","L",""))</f>
        <v>#REF!</v>
      </c>
      <c r="AE664" s="172" t="str">
        <f>IF(ISBLANK(Table123[[#This Row],[Odds Side - Difference Model]]), "",IF(AC664="W", W664, IF(AC664="L",-N664, "")))</f>
      </c>
      <c r="AF664" s="173" t="str">
        <f>IFERROR((IF(ISERR(Table123[[#This Row],[Potential Payout Side - Win Probability Model]]), "",IF(AD664="W", X664, IF(AD664="L",-N664, "")))), "")</f>
      </c>
      <c r="AG664" s="170" t="e">
        <f>IF('Prediction Log'!#REF!="Y", "W", IF('Prediction Log'!#REF!="N", "L", ""))</f>
        <v>#REF!</v>
      </c>
      <c r="AH664" s="172" t="str">
        <f>IF(ISBLANK(Table123[[#This Row],[Odds Spread]]), "",IF(AG664="W", Z664, IF(AG664="L",-O664, "")))</f>
      </c>
      <c r="AI664" s="184"/>
      <c r="AJ664" s="183" t="str">
        <f t="shared" si="72"/>
      </c>
      <c r="AK66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5">
      <c r="A665" s="65" t="e">
        <f>Games!#REF!</f>
        <v>#REF!</v>
      </c>
      <c r="B665" s="65" t="e">
        <f>IF('Prediction Log'!#REF!=0, "",'Prediction Log'!#REF!)</f>
        <v>#REF!</v>
      </c>
      <c r="C665" s="65" t="e">
        <f>IF('Prediction Log'!#REF!=0, "",'Prediction Log'!#REF!)</f>
        <v>#REF!</v>
      </c>
      <c r="D665" s="65" t="e">
        <f>IF('Prediction Log'!#REF!=0, "",'Prediction Log'!#REF!)</f>
        <v>#REF!</v>
      </c>
      <c r="E665" s="65" t="e">
        <f>IF('Prediction Log'!#REF!=0, "",'Prediction Log'!#REF!)</f>
        <v>#REF!</v>
      </c>
      <c r="F665" s="65" t="e">
        <f>IF('Prediction Log'!#REF!=0, "",'Prediction Log'!#REF!)</f>
        <v>#REF!</v>
      </c>
      <c r="G665" s="64" t="e">
        <f>IF(ISBLANK(Games!#REF!), "",'Prediction Log'!#REF!)</f>
        <v>#REF!</v>
      </c>
      <c r="H665" s="66" t="e">
        <f>'Prediction Log'!#REF!</f>
        <v>#REF!</v>
      </c>
      <c r="I665" s="65" t="e">
        <f>IF(ISBLANK(Games!#REF!), "",IF(AND(Games!#REF!="",Games!#REF!=""),"",IF(ISTEXT(Games!#REF!), "Side",Games!#REF!)))</f>
        <v>#REF!</v>
      </c>
      <c r="J665" s="65" t="e">
        <f>IF(ISBLANK(Games!#REF!), "",IF(Games!#REF!="Y", Games!#REF!, Games!#REF!))</f>
        <v>#REF!</v>
      </c>
      <c r="K665" s="65" t="e">
        <f>Games!#REF!</f>
        <v>#REF!</v>
      </c>
      <c r="L665" s="65" t="e">
        <f>IF(ISBLANK(Games!#REF!), "",Games!#REF!)</f>
        <v>#REF!</v>
      </c>
      <c r="M665" s="65"/>
      <c r="N665" s="167" t="str">
        <f>IF(ISBLANK(Table123[[#This Row],[Odds Side - Difference Model]]), "", 1)</f>
      </c>
      <c r="O665" s="167" t="str">
        <f>IF(ISBLANK(Table123[[#This Row],[Odds Spread]]), "", 1)</f>
      </c>
      <c r="P665" s="67"/>
      <c r="Q665" s="67"/>
      <c r="R66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5" s="67"/>
      <c r="T665" s="67"/>
      <c r="U665" s="168" t="str">
        <f>IF(ISBLANK(Table123[[#This Row],[Odds Side - Difference Model]]), "",N665+IF(Q665&lt;0, (N665/(Q665/-100)), N665*(Q665/100)))</f>
      </c>
      <c r="V665" s="169" t="str">
        <f>IFERROR(IF(ISBLANK(Table123[[#This Row],[Odds Side - Win Probability Model]]), "",N665+IF(R665&lt;0, (N665/(R665/-100)), N665*(R665/100))),"")</f>
      </c>
      <c r="W665" s="168" t="str">
        <f t="shared" si="67"/>
      </c>
      <c r="X665" s="169" t="str">
        <f t="shared" si="68"/>
      </c>
      <c r="Y665" s="168" t="str">
        <f>IF(ISBLANK(Table123[[#This Row],[Odds Spread]]), "",O665+IF(S665&lt;0, (O665/(S665/-100)), O665*(S665/100)))</f>
      </c>
      <c r="Z665" s="168" t="str">
        <f t="shared" si="69"/>
      </c>
      <c r="AA665" s="68" t="n">
        <f t="shared" si="70"/>
        <v>0</v>
      </c>
      <c r="AB665" s="68" t="n">
        <f t="shared" si="71"/>
        <v>0</v>
      </c>
      <c r="AC665" s="170" t="e">
        <f>IF('Prediction Log'!#REF!="Y", "W", IF('Prediction Log'!#REF!="N","L",""))</f>
        <v>#REF!</v>
      </c>
      <c r="AD665" s="171" t="e">
        <f>IF('Prediction Log'!#REF!="Y", "W", IF('Prediction Log'!#REF!="N","L",""))</f>
        <v>#REF!</v>
      </c>
      <c r="AE665" s="172" t="str">
        <f>IF(ISBLANK(Table123[[#This Row],[Odds Side - Difference Model]]), "",IF(AC665="W", W665, IF(AC665="L",-N665, "")))</f>
      </c>
      <c r="AF665" s="173" t="str">
        <f>IFERROR((IF(ISERR(Table123[[#This Row],[Potential Payout Side - Win Probability Model]]), "",IF(AD665="W", X665, IF(AD665="L",-N665, "")))), "")</f>
      </c>
      <c r="AG665" s="170" t="e">
        <f>IF('Prediction Log'!#REF!="Y", "W", IF('Prediction Log'!#REF!="N", "L", ""))</f>
        <v>#REF!</v>
      </c>
      <c r="AH665" s="172" t="str">
        <f>IF(ISBLANK(Table123[[#This Row],[Odds Spread]]), "",IF(AG665="W", Z665, IF(AG665="L",-O665, "")))</f>
      </c>
      <c r="AI665" s="184"/>
      <c r="AJ665" s="183" t="str">
        <f t="shared" si="72"/>
      </c>
      <c r="AK66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6">
      <c r="A666" s="65" t="e">
        <f>Games!#REF!</f>
        <v>#REF!</v>
      </c>
      <c r="B666" s="65" t="e">
        <f>IF('Prediction Log'!#REF!=0, "",'Prediction Log'!#REF!)</f>
        <v>#REF!</v>
      </c>
      <c r="C666" s="65" t="e">
        <f>IF('Prediction Log'!#REF!=0, "",'Prediction Log'!#REF!)</f>
        <v>#REF!</v>
      </c>
      <c r="D666" s="65" t="e">
        <f>IF('Prediction Log'!#REF!=0, "",'Prediction Log'!#REF!)</f>
        <v>#REF!</v>
      </c>
      <c r="E666" s="65" t="e">
        <f>IF('Prediction Log'!#REF!=0, "",'Prediction Log'!#REF!)</f>
        <v>#REF!</v>
      </c>
      <c r="F666" s="65" t="e">
        <f>IF('Prediction Log'!#REF!=0, "",'Prediction Log'!#REF!)</f>
        <v>#REF!</v>
      </c>
      <c r="G666" s="64" t="e">
        <f>IF(ISBLANK(Games!#REF!), "",'Prediction Log'!#REF!)</f>
        <v>#REF!</v>
      </c>
      <c r="H666" s="66" t="e">
        <f>'Prediction Log'!#REF!</f>
        <v>#REF!</v>
      </c>
      <c r="I666" s="65" t="e">
        <f>IF(ISBLANK(Games!#REF!), "",IF(AND(Games!#REF!="",Games!#REF!=""),"",IF(ISTEXT(Games!#REF!), "Side",Games!#REF!)))</f>
        <v>#REF!</v>
      </c>
      <c r="J666" s="65" t="e">
        <f>IF(ISBLANK(Games!#REF!), "",IF(Games!#REF!="Y", Games!#REF!, Games!#REF!))</f>
        <v>#REF!</v>
      </c>
      <c r="K666" s="65" t="e">
        <f>Games!#REF!</f>
        <v>#REF!</v>
      </c>
      <c r="L666" s="65" t="e">
        <f>IF(ISBLANK(Games!#REF!), "",Games!#REF!)</f>
        <v>#REF!</v>
      </c>
      <c r="M666" s="65"/>
      <c r="N666" s="167" t="str">
        <f>IF(ISBLANK(Table123[[#This Row],[Odds Side - Difference Model]]), "", 1)</f>
      </c>
      <c r="O666" s="167" t="str">
        <f>IF(ISBLANK(Table123[[#This Row],[Odds Spread]]), "", 1)</f>
      </c>
      <c r="P666" s="67"/>
      <c r="Q666" s="67"/>
      <c r="R66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6" s="67"/>
      <c r="T666" s="67"/>
      <c r="U666" s="168" t="str">
        <f>IF(ISBLANK(Table123[[#This Row],[Odds Side - Difference Model]]), "",N666+IF(Q666&lt;0, (N666/(Q666/-100)), N666*(Q666/100)))</f>
      </c>
      <c r="V666" s="169" t="str">
        <f>IFERROR(IF(ISBLANK(Table123[[#This Row],[Odds Side - Win Probability Model]]), "",N666+IF(R666&lt;0, (N666/(R666/-100)), N666*(R666/100))),"")</f>
      </c>
      <c r="W666" s="168" t="str">
        <f t="shared" si="67"/>
      </c>
      <c r="X666" s="169" t="str">
        <f t="shared" si="68"/>
      </c>
      <c r="Y666" s="168" t="str">
        <f>IF(ISBLANK(Table123[[#This Row],[Odds Spread]]), "",O666+IF(S666&lt;0, (O666/(S666/-100)), O666*(S666/100)))</f>
      </c>
      <c r="Z666" s="168" t="str">
        <f t="shared" si="69"/>
      </c>
      <c r="AA666" s="68" t="n">
        <f t="shared" si="70"/>
        <v>0</v>
      </c>
      <c r="AB666" s="68" t="n">
        <f t="shared" si="71"/>
        <v>0</v>
      </c>
      <c r="AC666" s="170" t="e">
        <f>IF('Prediction Log'!#REF!="Y", "W", IF('Prediction Log'!#REF!="N","L",""))</f>
        <v>#REF!</v>
      </c>
      <c r="AD666" s="171" t="e">
        <f>IF('Prediction Log'!#REF!="Y", "W", IF('Prediction Log'!#REF!="N","L",""))</f>
        <v>#REF!</v>
      </c>
      <c r="AE666" s="172" t="str">
        <f>IF(ISBLANK(Table123[[#This Row],[Odds Side - Difference Model]]), "",IF(AC666="W", W666, IF(AC666="L",-N666, "")))</f>
      </c>
      <c r="AF666" s="173" t="str">
        <f>IFERROR((IF(ISERR(Table123[[#This Row],[Potential Payout Side - Win Probability Model]]), "",IF(AD666="W", X666, IF(AD666="L",-N666, "")))), "")</f>
      </c>
      <c r="AG666" s="170" t="e">
        <f>IF('Prediction Log'!#REF!="Y", "W", IF('Prediction Log'!#REF!="N", "L", ""))</f>
        <v>#REF!</v>
      </c>
      <c r="AH666" s="172" t="str">
        <f>IF(ISBLANK(Table123[[#This Row],[Odds Spread]]), "",IF(AG666="W", Z666, IF(AG666="L",-O666, "")))</f>
      </c>
      <c r="AI666" s="184"/>
      <c r="AJ666" s="183" t="str">
        <f t="shared" si="72"/>
      </c>
      <c r="AK66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7">
      <c r="A667" s="65" t="e">
        <f>Games!#REF!</f>
        <v>#REF!</v>
      </c>
      <c r="B667" s="65" t="e">
        <f>IF('Prediction Log'!#REF!=0, "",'Prediction Log'!#REF!)</f>
        <v>#REF!</v>
      </c>
      <c r="C667" s="65" t="e">
        <f>IF('Prediction Log'!#REF!=0, "",'Prediction Log'!#REF!)</f>
        <v>#REF!</v>
      </c>
      <c r="D667" s="65" t="e">
        <f>IF('Prediction Log'!#REF!=0, "",'Prediction Log'!#REF!)</f>
        <v>#REF!</v>
      </c>
      <c r="E667" s="65" t="e">
        <f>IF('Prediction Log'!#REF!=0, "",'Prediction Log'!#REF!)</f>
        <v>#REF!</v>
      </c>
      <c r="F667" s="65" t="e">
        <f>IF('Prediction Log'!#REF!=0, "",'Prediction Log'!#REF!)</f>
        <v>#REF!</v>
      </c>
      <c r="G667" s="64" t="e">
        <f>IF(ISBLANK(Games!#REF!), "",'Prediction Log'!#REF!)</f>
        <v>#REF!</v>
      </c>
      <c r="H667" s="66" t="e">
        <f>'Prediction Log'!#REF!</f>
        <v>#REF!</v>
      </c>
      <c r="I667" s="65" t="e">
        <f>IF(ISBLANK(Games!#REF!), "",IF(AND(Games!#REF!="",Games!#REF!=""),"",IF(ISTEXT(Games!#REF!), "Side",Games!#REF!)))</f>
        <v>#REF!</v>
      </c>
      <c r="J667" s="65" t="e">
        <f>IF(ISBLANK(Games!#REF!), "",IF(Games!#REF!="Y", Games!#REF!, Games!#REF!))</f>
        <v>#REF!</v>
      </c>
      <c r="K667" s="65" t="e">
        <f>Games!#REF!</f>
        <v>#REF!</v>
      </c>
      <c r="L667" s="65" t="e">
        <f>IF(ISBLANK(Games!#REF!), "",Games!#REF!)</f>
        <v>#REF!</v>
      </c>
      <c r="M667" s="65"/>
      <c r="N667" s="167" t="str">
        <f>IF(ISBLANK(Table123[[#This Row],[Odds Side - Difference Model]]), "", 1)</f>
      </c>
      <c r="O667" s="167" t="str">
        <f>IF(ISBLANK(Table123[[#This Row],[Odds Spread]]), "", 1)</f>
      </c>
      <c r="P667" s="67"/>
      <c r="Q667" s="67"/>
      <c r="R66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7" s="67"/>
      <c r="T667" s="67"/>
      <c r="U667" s="168" t="str">
        <f>IF(ISBLANK(Table123[[#This Row],[Odds Side - Difference Model]]), "",N667+IF(Q667&lt;0, (N667/(Q667/-100)), N667*(Q667/100)))</f>
      </c>
      <c r="V667" s="169" t="str">
        <f>IFERROR(IF(ISBLANK(Table123[[#This Row],[Odds Side - Win Probability Model]]), "",N667+IF(R667&lt;0, (N667/(R667/-100)), N667*(R667/100))),"")</f>
      </c>
      <c r="W667" s="168" t="str">
        <f t="shared" si="67"/>
      </c>
      <c r="X667" s="169" t="str">
        <f t="shared" si="68"/>
      </c>
      <c r="Y667" s="168" t="str">
        <f>IF(ISBLANK(Table123[[#This Row],[Odds Spread]]), "",O667+IF(S667&lt;0, (O667/(S667/-100)), O667*(S667/100)))</f>
      </c>
      <c r="Z667" s="168" t="str">
        <f t="shared" si="69"/>
      </c>
      <c r="AA667" s="68" t="n">
        <f t="shared" si="70"/>
        <v>0</v>
      </c>
      <c r="AB667" s="68" t="n">
        <f t="shared" si="71"/>
        <v>0</v>
      </c>
      <c r="AC667" s="170" t="e">
        <f>IF('Prediction Log'!#REF!="Y", "W", IF('Prediction Log'!#REF!="N","L",""))</f>
        <v>#REF!</v>
      </c>
      <c r="AD667" s="171" t="e">
        <f>IF('Prediction Log'!#REF!="Y", "W", IF('Prediction Log'!#REF!="N","L",""))</f>
        <v>#REF!</v>
      </c>
      <c r="AE667" s="172" t="str">
        <f>IF(ISBLANK(Table123[[#This Row],[Odds Side - Difference Model]]), "",IF(AC667="W", W667, IF(AC667="L",-N667, "")))</f>
      </c>
      <c r="AF667" s="173" t="str">
        <f>IFERROR((IF(ISERR(Table123[[#This Row],[Potential Payout Side - Win Probability Model]]), "",IF(AD667="W", X667, IF(AD667="L",-N667, "")))), "")</f>
      </c>
      <c r="AG667" s="170" t="e">
        <f>IF('Prediction Log'!#REF!="Y", "W", IF('Prediction Log'!#REF!="N", "L", ""))</f>
        <v>#REF!</v>
      </c>
      <c r="AH667" s="172" t="str">
        <f>IF(ISBLANK(Table123[[#This Row],[Odds Spread]]), "",IF(AG667="W", Z667, IF(AG667="L",-O667, "")))</f>
      </c>
      <c r="AI667" s="184"/>
      <c r="AJ667" s="183" t="str">
        <f t="shared" si="72"/>
      </c>
      <c r="AK66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8">
      <c r="A668" s="65" t="e">
        <f>Games!#REF!</f>
        <v>#REF!</v>
      </c>
      <c r="B668" s="65" t="e">
        <f>IF('Prediction Log'!#REF!=0, "",'Prediction Log'!#REF!)</f>
        <v>#REF!</v>
      </c>
      <c r="C668" s="65" t="e">
        <f>IF('Prediction Log'!#REF!=0, "",'Prediction Log'!#REF!)</f>
        <v>#REF!</v>
      </c>
      <c r="D668" s="65" t="e">
        <f>IF('Prediction Log'!#REF!=0, "",'Prediction Log'!#REF!)</f>
        <v>#REF!</v>
      </c>
      <c r="E668" s="65" t="e">
        <f>IF('Prediction Log'!#REF!=0, "",'Prediction Log'!#REF!)</f>
        <v>#REF!</v>
      </c>
      <c r="F668" s="65" t="e">
        <f>IF('Prediction Log'!#REF!=0, "",'Prediction Log'!#REF!)</f>
        <v>#REF!</v>
      </c>
      <c r="G668" s="64" t="e">
        <f>IF(ISBLANK(Games!#REF!), "",'Prediction Log'!#REF!)</f>
        <v>#REF!</v>
      </c>
      <c r="H668" s="66" t="e">
        <f>'Prediction Log'!#REF!</f>
        <v>#REF!</v>
      </c>
      <c r="I668" s="65" t="e">
        <f>IF(ISBLANK(Games!#REF!), "",IF(AND(Games!#REF!="",Games!#REF!=""),"",IF(ISTEXT(Games!#REF!), "Side",Games!#REF!)))</f>
        <v>#REF!</v>
      </c>
      <c r="J668" s="65" t="e">
        <f>IF(ISBLANK(Games!#REF!), "",IF(Games!#REF!="Y", Games!#REF!, Games!#REF!))</f>
        <v>#REF!</v>
      </c>
      <c r="K668" s="65" t="e">
        <f>Games!#REF!</f>
        <v>#REF!</v>
      </c>
      <c r="L668" s="65" t="e">
        <f>IF(ISBLANK(Games!#REF!), "",Games!#REF!)</f>
        <v>#REF!</v>
      </c>
      <c r="M668" s="65"/>
      <c r="N668" s="167" t="str">
        <f>IF(ISBLANK(Table123[[#This Row],[Odds Side - Difference Model]]), "", 1)</f>
      </c>
      <c r="O668" s="167" t="str">
        <f>IF(ISBLANK(Table123[[#This Row],[Odds Spread]]), "", 1)</f>
      </c>
      <c r="P668" s="67"/>
      <c r="Q668" s="67"/>
      <c r="R66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8" s="67"/>
      <c r="T668" s="67"/>
      <c r="U668" s="168" t="str">
        <f>IF(ISBLANK(Table123[[#This Row],[Odds Side - Difference Model]]), "",N668+IF(Q668&lt;0, (N668/(Q668/-100)), N668*(Q668/100)))</f>
      </c>
      <c r="V668" s="169" t="str">
        <f>IFERROR(IF(ISBLANK(Table123[[#This Row],[Odds Side - Win Probability Model]]), "",N668+IF(R668&lt;0, (N668/(R668/-100)), N668*(R668/100))),"")</f>
      </c>
      <c r="W668" s="168" t="str">
        <f t="shared" si="67"/>
      </c>
      <c r="X668" s="169" t="str">
        <f t="shared" si="68"/>
      </c>
      <c r="Y668" s="168" t="str">
        <f>IF(ISBLANK(Table123[[#This Row],[Odds Spread]]), "",O668+IF(S668&lt;0, (O668/(S668/-100)), O668*(S668/100)))</f>
      </c>
      <c r="Z668" s="168" t="str">
        <f t="shared" si="69"/>
      </c>
      <c r="AA668" s="68" t="n">
        <f t="shared" si="70"/>
        <v>0</v>
      </c>
      <c r="AB668" s="68" t="n">
        <f t="shared" si="71"/>
        <v>0</v>
      </c>
      <c r="AC668" s="170" t="e">
        <f>IF('Prediction Log'!#REF!="Y", "W", IF('Prediction Log'!#REF!="N","L",""))</f>
        <v>#REF!</v>
      </c>
      <c r="AD668" s="171" t="e">
        <f>IF('Prediction Log'!#REF!="Y", "W", IF('Prediction Log'!#REF!="N","L",""))</f>
        <v>#REF!</v>
      </c>
      <c r="AE668" s="172" t="str">
        <f>IF(ISBLANK(Table123[[#This Row],[Odds Side - Difference Model]]), "",IF(AC668="W", W668, IF(AC668="L",-N668, "")))</f>
      </c>
      <c r="AF668" s="173" t="str">
        <f>IFERROR((IF(ISERR(Table123[[#This Row],[Potential Payout Side - Win Probability Model]]), "",IF(AD668="W", X668, IF(AD668="L",-N668, "")))), "")</f>
      </c>
      <c r="AG668" s="170" t="e">
        <f>IF('Prediction Log'!#REF!="Y", "W", IF('Prediction Log'!#REF!="N", "L", ""))</f>
        <v>#REF!</v>
      </c>
      <c r="AH668" s="172" t="str">
        <f>IF(ISBLANK(Table123[[#This Row],[Odds Spread]]), "",IF(AG668="W", Z668, IF(AG668="L",-O668, "")))</f>
      </c>
      <c r="AI668" s="184"/>
      <c r="AJ668" s="183" t="str">
        <f t="shared" si="72"/>
      </c>
      <c r="AK66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9">
      <c r="A669" s="65" t="e">
        <f>Games!#REF!</f>
        <v>#REF!</v>
      </c>
      <c r="B669" s="65" t="e">
        <f>IF('Prediction Log'!#REF!=0, "",'Prediction Log'!#REF!)</f>
        <v>#REF!</v>
      </c>
      <c r="C669" s="65" t="e">
        <f>IF('Prediction Log'!#REF!=0, "",'Prediction Log'!#REF!)</f>
        <v>#REF!</v>
      </c>
      <c r="D669" s="65" t="e">
        <f>IF('Prediction Log'!#REF!=0, "",'Prediction Log'!#REF!)</f>
        <v>#REF!</v>
      </c>
      <c r="E669" s="65" t="e">
        <f>IF('Prediction Log'!#REF!=0, "",'Prediction Log'!#REF!)</f>
        <v>#REF!</v>
      </c>
      <c r="F669" s="65" t="e">
        <f>IF('Prediction Log'!#REF!=0, "",'Prediction Log'!#REF!)</f>
        <v>#REF!</v>
      </c>
      <c r="G669" s="64" t="e">
        <f>IF(ISBLANK(Games!#REF!), "",'Prediction Log'!#REF!)</f>
        <v>#REF!</v>
      </c>
      <c r="H669" s="66" t="e">
        <f>'Prediction Log'!#REF!</f>
        <v>#REF!</v>
      </c>
      <c r="I669" s="65" t="e">
        <f>IF(ISBLANK(Games!#REF!), "",IF(AND(Games!#REF!="",Games!#REF!=""),"",IF(ISTEXT(Games!#REF!), "Side",Games!#REF!)))</f>
        <v>#REF!</v>
      </c>
      <c r="J669" s="65" t="e">
        <f>IF(ISBLANK(Games!#REF!), "",IF(Games!#REF!="Y", Games!#REF!, Games!#REF!))</f>
        <v>#REF!</v>
      </c>
      <c r="K669" s="65" t="e">
        <f>Games!#REF!</f>
        <v>#REF!</v>
      </c>
      <c r="L669" s="65" t="e">
        <f>IF(ISBLANK(Games!#REF!), "",Games!#REF!)</f>
        <v>#REF!</v>
      </c>
      <c r="M669" s="65"/>
      <c r="N669" s="167" t="str">
        <f>IF(ISBLANK(Table123[[#This Row],[Odds Side - Difference Model]]), "", 1)</f>
      </c>
      <c r="O669" s="167" t="str">
        <f>IF(ISBLANK(Table123[[#This Row],[Odds Spread]]), "", 1)</f>
      </c>
      <c r="P669" s="67"/>
      <c r="Q669" s="67"/>
      <c r="R66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9" s="67"/>
      <c r="T669" s="67"/>
      <c r="U669" s="168" t="str">
        <f>IF(ISBLANK(Table123[[#This Row],[Odds Side - Difference Model]]), "",N669+IF(Q669&lt;0, (N669/(Q669/-100)), N669*(Q669/100)))</f>
      </c>
      <c r="V669" s="169" t="str">
        <f>IFERROR(IF(ISBLANK(Table123[[#This Row],[Odds Side - Win Probability Model]]), "",N669+IF(R669&lt;0, (N669/(R669/-100)), N669*(R669/100))),"")</f>
      </c>
      <c r="W669" s="168" t="str">
        <f t="shared" si="67"/>
      </c>
      <c r="X669" s="169" t="str">
        <f t="shared" si="68"/>
      </c>
      <c r="Y669" s="168" t="str">
        <f>IF(ISBLANK(Table123[[#This Row],[Odds Spread]]), "",O669+IF(S669&lt;0, (O669/(S669/-100)), O669*(S669/100)))</f>
      </c>
      <c r="Z669" s="168" t="str">
        <f t="shared" si="69"/>
      </c>
      <c r="AA669" s="68" t="n">
        <f t="shared" si="70"/>
        <v>0</v>
      </c>
      <c r="AB669" s="68" t="n">
        <f t="shared" si="71"/>
        <v>0</v>
      </c>
      <c r="AC669" s="170" t="e">
        <f>IF('Prediction Log'!#REF!="Y", "W", IF('Prediction Log'!#REF!="N","L",""))</f>
        <v>#REF!</v>
      </c>
      <c r="AD669" s="171" t="e">
        <f>IF('Prediction Log'!#REF!="Y", "W", IF('Prediction Log'!#REF!="N","L",""))</f>
        <v>#REF!</v>
      </c>
      <c r="AE669" s="172" t="str">
        <f>IF(ISBLANK(Table123[[#This Row],[Odds Side - Difference Model]]), "",IF(AC669="W", W669, IF(AC669="L",-N669, "")))</f>
      </c>
      <c r="AF669" s="173" t="str">
        <f>IFERROR((IF(ISERR(Table123[[#This Row],[Potential Payout Side - Win Probability Model]]), "",IF(AD669="W", X669, IF(AD669="L",-N669, "")))), "")</f>
      </c>
      <c r="AG669" s="170" t="e">
        <f>IF('Prediction Log'!#REF!="Y", "W", IF('Prediction Log'!#REF!="N", "L", ""))</f>
        <v>#REF!</v>
      </c>
      <c r="AH669" s="172" t="str">
        <f>IF(ISBLANK(Table123[[#This Row],[Odds Spread]]), "",IF(AG669="W", Z669, IF(AG669="L",-O669, "")))</f>
      </c>
      <c r="AI669" s="184"/>
      <c r="AJ669" s="183" t="str">
        <f t="shared" si="72"/>
      </c>
      <c r="AK66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0">
      <c r="A670" s="65" t="e">
        <f>Games!#REF!</f>
        <v>#REF!</v>
      </c>
      <c r="B670" s="65" t="e">
        <f>IF('Prediction Log'!#REF!=0, "",'Prediction Log'!#REF!)</f>
        <v>#REF!</v>
      </c>
      <c r="C670" s="65" t="e">
        <f>IF('Prediction Log'!#REF!=0, "",'Prediction Log'!#REF!)</f>
        <v>#REF!</v>
      </c>
      <c r="D670" s="65" t="e">
        <f>IF('Prediction Log'!#REF!=0, "",'Prediction Log'!#REF!)</f>
        <v>#REF!</v>
      </c>
      <c r="E670" s="65" t="e">
        <f>IF('Prediction Log'!#REF!=0, "",'Prediction Log'!#REF!)</f>
        <v>#REF!</v>
      </c>
      <c r="F670" s="65" t="e">
        <f>IF('Prediction Log'!#REF!=0, "",'Prediction Log'!#REF!)</f>
        <v>#REF!</v>
      </c>
      <c r="G670" s="64" t="e">
        <f>IF(ISBLANK(Games!#REF!), "",'Prediction Log'!#REF!)</f>
        <v>#REF!</v>
      </c>
      <c r="H670" s="66" t="e">
        <f>'Prediction Log'!#REF!</f>
        <v>#REF!</v>
      </c>
      <c r="I670" s="65" t="e">
        <f>IF(ISBLANK(Games!#REF!), "",IF(AND(Games!#REF!="",Games!#REF!=""),"",IF(ISTEXT(Games!#REF!), "Side",Games!#REF!)))</f>
        <v>#REF!</v>
      </c>
      <c r="J670" s="65" t="e">
        <f>IF(ISBLANK(Games!#REF!), "",IF(Games!#REF!="Y", Games!#REF!, Games!#REF!))</f>
        <v>#REF!</v>
      </c>
      <c r="K670" s="65" t="e">
        <f>Games!#REF!</f>
        <v>#REF!</v>
      </c>
      <c r="L670" s="65" t="e">
        <f>IF(ISBLANK(Games!#REF!), "",Games!#REF!)</f>
        <v>#REF!</v>
      </c>
      <c r="M670" s="65"/>
      <c r="N670" s="167" t="str">
        <f>IF(ISBLANK(Table123[[#This Row],[Odds Side - Difference Model]]), "", 1)</f>
      </c>
      <c r="O670" s="167" t="str">
        <f>IF(ISBLANK(Table123[[#This Row],[Odds Spread]]), "", 1)</f>
      </c>
      <c r="P670" s="67"/>
      <c r="Q670" s="67"/>
      <c r="R67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0" s="67"/>
      <c r="T670" s="67"/>
      <c r="U670" s="168" t="str">
        <f>IF(ISBLANK(Table123[[#This Row],[Odds Side - Difference Model]]), "",N670+IF(Q670&lt;0, (N670/(Q670/-100)), N670*(Q670/100)))</f>
      </c>
      <c r="V670" s="169" t="str">
        <f>IFERROR(IF(ISBLANK(Table123[[#This Row],[Odds Side - Win Probability Model]]), "",N670+IF(R670&lt;0, (N670/(R670/-100)), N670*(R670/100))),"")</f>
      </c>
      <c r="W670" s="168" t="str">
        <f t="shared" si="67"/>
      </c>
      <c r="X670" s="169" t="str">
        <f t="shared" si="68"/>
      </c>
      <c r="Y670" s="168" t="str">
        <f>IF(ISBLANK(Table123[[#This Row],[Odds Spread]]), "",O670+IF(S670&lt;0, (O670/(S670/-100)), O670*(S670/100)))</f>
      </c>
      <c r="Z670" s="168" t="str">
        <f t="shared" si="69"/>
      </c>
      <c r="AA670" s="68" t="n">
        <f t="shared" si="70"/>
        <v>0</v>
      </c>
      <c r="AB670" s="68" t="n">
        <f t="shared" si="71"/>
        <v>0</v>
      </c>
      <c r="AC670" s="170" t="e">
        <f>IF('Prediction Log'!#REF!="Y", "W", IF('Prediction Log'!#REF!="N","L",""))</f>
        <v>#REF!</v>
      </c>
      <c r="AD670" s="171" t="e">
        <f>IF('Prediction Log'!#REF!="Y", "W", IF('Prediction Log'!#REF!="N","L",""))</f>
        <v>#REF!</v>
      </c>
      <c r="AE670" s="172" t="str">
        <f>IF(ISBLANK(Table123[[#This Row],[Odds Side - Difference Model]]), "",IF(AC670="W", W670, IF(AC670="L",-N670, "")))</f>
      </c>
      <c r="AF670" s="173" t="str">
        <f>IFERROR((IF(ISERR(Table123[[#This Row],[Potential Payout Side - Win Probability Model]]), "",IF(AD670="W", X670, IF(AD670="L",-N670, "")))), "")</f>
      </c>
      <c r="AG670" s="170" t="e">
        <f>IF('Prediction Log'!#REF!="Y", "W", IF('Prediction Log'!#REF!="N", "L", ""))</f>
        <v>#REF!</v>
      </c>
      <c r="AH670" s="172" t="str">
        <f>IF(ISBLANK(Table123[[#This Row],[Odds Spread]]), "",IF(AG670="W", Z670, IF(AG670="L",-O670, "")))</f>
      </c>
      <c r="AI670" s="184"/>
      <c r="AJ670" s="183" t="str">
        <f t="shared" si="72"/>
      </c>
      <c r="AK67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1">
      <c r="A671" s="65" t="e">
        <f>Games!#REF!</f>
        <v>#REF!</v>
      </c>
      <c r="B671" s="65" t="e">
        <f>IF('Prediction Log'!#REF!=0, "",'Prediction Log'!#REF!)</f>
        <v>#REF!</v>
      </c>
      <c r="C671" s="65" t="e">
        <f>IF('Prediction Log'!#REF!=0, "",'Prediction Log'!#REF!)</f>
        <v>#REF!</v>
      </c>
      <c r="D671" s="65" t="e">
        <f>IF('Prediction Log'!#REF!=0, "",'Prediction Log'!#REF!)</f>
        <v>#REF!</v>
      </c>
      <c r="E671" s="65" t="e">
        <f>IF('Prediction Log'!#REF!=0, "",'Prediction Log'!#REF!)</f>
        <v>#REF!</v>
      </c>
      <c r="F671" s="65" t="e">
        <f>IF('Prediction Log'!#REF!=0, "",'Prediction Log'!#REF!)</f>
        <v>#REF!</v>
      </c>
      <c r="G671" s="64" t="e">
        <f>IF(ISBLANK(Games!#REF!), "",'Prediction Log'!#REF!)</f>
        <v>#REF!</v>
      </c>
      <c r="H671" s="66" t="e">
        <f>'Prediction Log'!#REF!</f>
        <v>#REF!</v>
      </c>
      <c r="I671" s="65" t="e">
        <f>IF(ISBLANK(Games!#REF!), "",IF(AND(Games!#REF!="",Games!#REF!=""),"",IF(ISTEXT(Games!#REF!), "Side",Games!#REF!)))</f>
        <v>#REF!</v>
      </c>
      <c r="J671" s="65" t="e">
        <f>IF(ISBLANK(Games!#REF!), "",IF(Games!#REF!="Y", Games!#REF!, Games!#REF!))</f>
        <v>#REF!</v>
      </c>
      <c r="K671" s="65" t="e">
        <f>Games!#REF!</f>
        <v>#REF!</v>
      </c>
      <c r="L671" s="65" t="e">
        <f>IF(ISBLANK(Games!#REF!), "",Games!#REF!)</f>
        <v>#REF!</v>
      </c>
      <c r="M671" s="65"/>
      <c r="N671" s="167" t="str">
        <f>IF(ISBLANK(Table123[[#This Row],[Odds Side - Difference Model]]), "", 1)</f>
      </c>
      <c r="O671" s="167" t="str">
        <f>IF(ISBLANK(Table123[[#This Row],[Odds Spread]]), "", 1)</f>
      </c>
      <c r="P671" s="67"/>
      <c r="Q671" s="67"/>
      <c r="R67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1" s="67"/>
      <c r="T671" s="67"/>
      <c r="U671" s="168" t="str">
        <f>IF(ISBLANK(Table123[[#This Row],[Odds Side - Difference Model]]), "",N671+IF(Q671&lt;0, (N671/(Q671/-100)), N671*(Q671/100)))</f>
      </c>
      <c r="V671" s="169" t="str">
        <f>IFERROR(IF(ISBLANK(Table123[[#This Row],[Odds Side - Win Probability Model]]), "",N671+IF(R671&lt;0, (N671/(R671/-100)), N671*(R671/100))),"")</f>
      </c>
      <c r="W671" s="168" t="str">
        <f t="shared" si="67"/>
      </c>
      <c r="X671" s="169" t="str">
        <f t="shared" si="68"/>
      </c>
      <c r="Y671" s="168" t="str">
        <f>IF(ISBLANK(Table123[[#This Row],[Odds Spread]]), "",O671+IF(S671&lt;0, (O671/(S671/-100)), O671*(S671/100)))</f>
      </c>
      <c r="Z671" s="168" t="str">
        <f t="shared" si="69"/>
      </c>
      <c r="AA671" s="68" t="n">
        <f t="shared" si="70"/>
        <v>0</v>
      </c>
      <c r="AB671" s="68" t="n">
        <f t="shared" si="71"/>
        <v>0</v>
      </c>
      <c r="AC671" s="170" t="e">
        <f>IF('Prediction Log'!#REF!="Y", "W", IF('Prediction Log'!#REF!="N","L",""))</f>
        <v>#REF!</v>
      </c>
      <c r="AD671" s="171" t="e">
        <f>IF('Prediction Log'!#REF!="Y", "W", IF('Prediction Log'!#REF!="N","L",""))</f>
        <v>#REF!</v>
      </c>
      <c r="AE671" s="172" t="str">
        <f>IF(ISBLANK(Table123[[#This Row],[Odds Side - Difference Model]]), "",IF(AC671="W", W671, IF(AC671="L",-N671, "")))</f>
      </c>
      <c r="AF671" s="173" t="str">
        <f>IFERROR((IF(ISERR(Table123[[#This Row],[Potential Payout Side - Win Probability Model]]), "",IF(AD671="W", X671, IF(AD671="L",-N671, "")))), "")</f>
      </c>
      <c r="AG671" s="170" t="e">
        <f>IF('Prediction Log'!#REF!="Y", "W", IF('Prediction Log'!#REF!="N", "L", ""))</f>
        <v>#REF!</v>
      </c>
      <c r="AH671" s="172" t="str">
        <f>IF(ISBLANK(Table123[[#This Row],[Odds Spread]]), "",IF(AG671="W", Z671, IF(AG671="L",-O671, "")))</f>
      </c>
      <c r="AI671" s="184"/>
      <c r="AJ671" s="183" t="str">
        <f t="shared" si="72"/>
      </c>
      <c r="AK67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2">
      <c r="A672" s="65" t="e">
        <f>Games!#REF!</f>
        <v>#REF!</v>
      </c>
      <c r="B672" s="65" t="e">
        <f>IF('Prediction Log'!#REF!=0, "",'Prediction Log'!#REF!)</f>
        <v>#REF!</v>
      </c>
      <c r="C672" s="65" t="e">
        <f>IF('Prediction Log'!#REF!=0, "",'Prediction Log'!#REF!)</f>
        <v>#REF!</v>
      </c>
      <c r="D672" s="65" t="e">
        <f>IF('Prediction Log'!#REF!=0, "",'Prediction Log'!#REF!)</f>
        <v>#REF!</v>
      </c>
      <c r="E672" s="65" t="e">
        <f>IF('Prediction Log'!#REF!=0, "",'Prediction Log'!#REF!)</f>
        <v>#REF!</v>
      </c>
      <c r="F672" s="65" t="e">
        <f>IF('Prediction Log'!#REF!=0, "",'Prediction Log'!#REF!)</f>
        <v>#REF!</v>
      </c>
      <c r="G672" s="64" t="e">
        <f>IF(ISBLANK(Games!#REF!), "",'Prediction Log'!#REF!)</f>
        <v>#REF!</v>
      </c>
      <c r="H672" s="66" t="e">
        <f>'Prediction Log'!#REF!</f>
        <v>#REF!</v>
      </c>
      <c r="I672" s="65" t="e">
        <f>IF(ISBLANK(Games!#REF!), "",IF(AND(Games!#REF!="",Games!#REF!=""),"",IF(ISTEXT(Games!#REF!), "Side",Games!#REF!)))</f>
        <v>#REF!</v>
      </c>
      <c r="J672" s="65" t="e">
        <f>IF(ISBLANK(Games!#REF!), "",IF(Games!#REF!="Y", Games!#REF!, Games!#REF!))</f>
        <v>#REF!</v>
      </c>
      <c r="K672" s="65" t="e">
        <f>Games!#REF!</f>
        <v>#REF!</v>
      </c>
      <c r="L672" s="65" t="e">
        <f>IF(ISBLANK(Games!#REF!), "",Games!#REF!)</f>
        <v>#REF!</v>
      </c>
      <c r="M672" s="65"/>
      <c r="N672" s="167" t="str">
        <f>IF(ISBLANK(Table123[[#This Row],[Odds Side - Difference Model]]), "", 1)</f>
      </c>
      <c r="O672" s="167" t="str">
        <f>IF(ISBLANK(Table123[[#This Row],[Odds Spread]]), "", 1)</f>
      </c>
      <c r="P672" s="67"/>
      <c r="Q672" s="67"/>
      <c r="R67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2" s="67"/>
      <c r="T672" s="67"/>
      <c r="U672" s="168" t="str">
        <f>IF(ISBLANK(Table123[[#This Row],[Odds Side - Difference Model]]), "",N672+IF(Q672&lt;0, (N672/(Q672/-100)), N672*(Q672/100)))</f>
      </c>
      <c r="V672" s="169" t="str">
        <f>IFERROR(IF(ISBLANK(Table123[[#This Row],[Odds Side - Win Probability Model]]), "",N672+IF(R672&lt;0, (N672/(R672/-100)), N672*(R672/100))),"")</f>
      </c>
      <c r="W672" s="168" t="str">
        <f t="shared" si="67"/>
      </c>
      <c r="X672" s="169" t="str">
        <f t="shared" si="68"/>
      </c>
      <c r="Y672" s="168" t="str">
        <f>IF(ISBLANK(Table123[[#This Row],[Odds Spread]]), "",O672+IF(S672&lt;0, (O672/(S672/-100)), O672*(S672/100)))</f>
      </c>
      <c r="Z672" s="168" t="str">
        <f t="shared" si="69"/>
      </c>
      <c r="AA672" s="68" t="n">
        <f t="shared" si="70"/>
        <v>0</v>
      </c>
      <c r="AB672" s="68" t="n">
        <f t="shared" si="71"/>
        <v>0</v>
      </c>
      <c r="AC672" s="170" t="e">
        <f>IF('Prediction Log'!#REF!="Y", "W", IF('Prediction Log'!#REF!="N","L",""))</f>
        <v>#REF!</v>
      </c>
      <c r="AD672" s="171" t="e">
        <f>IF('Prediction Log'!#REF!="Y", "W", IF('Prediction Log'!#REF!="N","L",""))</f>
        <v>#REF!</v>
      </c>
      <c r="AE672" s="172" t="str">
        <f>IF(ISBLANK(Table123[[#This Row],[Odds Side - Difference Model]]), "",IF(AC672="W", W672, IF(AC672="L",-N672, "")))</f>
      </c>
      <c r="AF672" s="173" t="str">
        <f>IFERROR((IF(ISERR(Table123[[#This Row],[Potential Payout Side - Win Probability Model]]), "",IF(AD672="W", X672, IF(AD672="L",-N672, "")))), "")</f>
      </c>
      <c r="AG672" s="170" t="e">
        <f>IF('Prediction Log'!#REF!="Y", "W", IF('Prediction Log'!#REF!="N", "L", ""))</f>
        <v>#REF!</v>
      </c>
      <c r="AH672" s="172" t="str">
        <f>IF(ISBLANK(Table123[[#This Row],[Odds Spread]]), "",IF(AG672="W", Z672, IF(AG672="L",-O672, "")))</f>
      </c>
      <c r="AI672" s="184"/>
      <c r="AJ672" s="183" t="str">
        <f t="shared" si="72"/>
      </c>
      <c r="AK67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3">
      <c r="A673" s="65" t="e">
        <f>Games!#REF!</f>
        <v>#REF!</v>
      </c>
      <c r="B673" s="65" t="e">
        <f>IF('Prediction Log'!#REF!=0, "",'Prediction Log'!#REF!)</f>
        <v>#REF!</v>
      </c>
      <c r="C673" s="65" t="e">
        <f>IF('Prediction Log'!#REF!=0, "",'Prediction Log'!#REF!)</f>
        <v>#REF!</v>
      </c>
      <c r="D673" s="65" t="e">
        <f>IF('Prediction Log'!#REF!=0, "",'Prediction Log'!#REF!)</f>
        <v>#REF!</v>
      </c>
      <c r="E673" s="65" t="e">
        <f>IF('Prediction Log'!#REF!=0, "",'Prediction Log'!#REF!)</f>
        <v>#REF!</v>
      </c>
      <c r="F673" s="65" t="e">
        <f>IF('Prediction Log'!#REF!=0, "",'Prediction Log'!#REF!)</f>
        <v>#REF!</v>
      </c>
      <c r="G673" s="64" t="e">
        <f>IF(ISBLANK(Games!#REF!), "",'Prediction Log'!#REF!)</f>
        <v>#REF!</v>
      </c>
      <c r="H673" s="66" t="e">
        <f>'Prediction Log'!#REF!</f>
        <v>#REF!</v>
      </c>
      <c r="I673" s="65" t="e">
        <f>IF(ISBLANK(Games!#REF!), "",IF(AND(Games!#REF!="",Games!#REF!=""),"",IF(ISTEXT(Games!#REF!), "Side",Games!#REF!)))</f>
        <v>#REF!</v>
      </c>
      <c r="J673" s="65" t="e">
        <f>IF(ISBLANK(Games!#REF!), "",IF(Games!#REF!="Y", Games!#REF!, Games!#REF!))</f>
        <v>#REF!</v>
      </c>
      <c r="K673" s="65" t="e">
        <f>Games!#REF!</f>
        <v>#REF!</v>
      </c>
      <c r="L673" s="65" t="e">
        <f>IF(ISBLANK(Games!#REF!), "",Games!#REF!)</f>
        <v>#REF!</v>
      </c>
      <c r="M673" s="65"/>
      <c r="N673" s="167" t="str">
        <f>IF(ISBLANK(Table123[[#This Row],[Odds Side - Difference Model]]), "", 1)</f>
      </c>
      <c r="O673" s="167" t="str">
        <f>IF(ISBLANK(Table123[[#This Row],[Odds Spread]]), "", 1)</f>
      </c>
      <c r="P673" s="67"/>
      <c r="Q673" s="67"/>
      <c r="R67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3" s="67"/>
      <c r="T673" s="67"/>
      <c r="U673" s="168" t="str">
        <f>IF(ISBLANK(Table123[[#This Row],[Odds Side - Difference Model]]), "",N673+IF(Q673&lt;0, (N673/(Q673/-100)), N673*(Q673/100)))</f>
      </c>
      <c r="V673" s="169" t="str">
        <f>IFERROR(IF(ISBLANK(Table123[[#This Row],[Odds Side - Win Probability Model]]), "",N673+IF(R673&lt;0, (N673/(R673/-100)), N673*(R673/100))),"")</f>
      </c>
      <c r="W673" s="168" t="str">
        <f t="shared" si="67"/>
      </c>
      <c r="X673" s="169" t="str">
        <f t="shared" si="68"/>
      </c>
      <c r="Y673" s="168" t="str">
        <f>IF(ISBLANK(Table123[[#This Row],[Odds Spread]]), "",O673+IF(S673&lt;0, (O673/(S673/-100)), O673*(S673/100)))</f>
      </c>
      <c r="Z673" s="168" t="str">
        <f t="shared" si="69"/>
      </c>
      <c r="AA673" s="68" t="n">
        <f t="shared" si="70"/>
        <v>0</v>
      </c>
      <c r="AB673" s="68" t="n">
        <f t="shared" si="71"/>
        <v>0</v>
      </c>
      <c r="AC673" s="170" t="e">
        <f>IF('Prediction Log'!#REF!="Y", "W", IF('Prediction Log'!#REF!="N","L",""))</f>
        <v>#REF!</v>
      </c>
      <c r="AD673" s="171" t="e">
        <f>IF('Prediction Log'!#REF!="Y", "W", IF('Prediction Log'!#REF!="N","L",""))</f>
        <v>#REF!</v>
      </c>
      <c r="AE673" s="172" t="str">
        <f>IF(ISBLANK(Table123[[#This Row],[Odds Side - Difference Model]]), "",IF(AC673="W", W673, IF(AC673="L",-N673, "")))</f>
      </c>
      <c r="AF673" s="173" t="str">
        <f>IFERROR((IF(ISERR(Table123[[#This Row],[Potential Payout Side - Win Probability Model]]), "",IF(AD673="W", X673, IF(AD673="L",-N673, "")))), "")</f>
      </c>
      <c r="AG673" s="170" t="e">
        <f>IF('Prediction Log'!#REF!="Y", "W", IF('Prediction Log'!#REF!="N", "L", ""))</f>
        <v>#REF!</v>
      </c>
      <c r="AH673" s="172" t="str">
        <f>IF(ISBLANK(Table123[[#This Row],[Odds Spread]]), "",IF(AG673="W", Z673, IF(AG673="L",-O673, "")))</f>
      </c>
      <c r="AI673" s="184"/>
      <c r="AJ673" s="183" t="str">
        <f t="shared" si="72"/>
      </c>
      <c r="AK67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4">
      <c r="A674" s="65" t="e">
        <f>Games!#REF!</f>
        <v>#REF!</v>
      </c>
      <c r="B674" s="65" t="e">
        <f>IF('Prediction Log'!#REF!=0, "",'Prediction Log'!#REF!)</f>
        <v>#REF!</v>
      </c>
      <c r="C674" s="65" t="e">
        <f>IF('Prediction Log'!#REF!=0, "",'Prediction Log'!#REF!)</f>
        <v>#REF!</v>
      </c>
      <c r="D674" s="65" t="e">
        <f>IF('Prediction Log'!#REF!=0, "",'Prediction Log'!#REF!)</f>
        <v>#REF!</v>
      </c>
      <c r="E674" s="65" t="e">
        <f>IF('Prediction Log'!#REF!=0, "",'Prediction Log'!#REF!)</f>
        <v>#REF!</v>
      </c>
      <c r="F674" s="65" t="e">
        <f>IF('Prediction Log'!#REF!=0, "",'Prediction Log'!#REF!)</f>
        <v>#REF!</v>
      </c>
      <c r="G674" s="64" t="e">
        <f>IF(ISBLANK(Games!#REF!), "",'Prediction Log'!#REF!)</f>
        <v>#REF!</v>
      </c>
      <c r="H674" s="66" t="e">
        <f>'Prediction Log'!#REF!</f>
        <v>#REF!</v>
      </c>
      <c r="I674" s="65" t="e">
        <f>IF(ISBLANK(Games!#REF!), "",IF(AND(Games!#REF!="",Games!#REF!=""),"",IF(ISTEXT(Games!#REF!), "Side",Games!#REF!)))</f>
        <v>#REF!</v>
      </c>
      <c r="J674" s="65" t="e">
        <f>IF(ISBLANK(Games!#REF!), "",IF(Games!#REF!="Y", Games!#REF!, Games!#REF!))</f>
        <v>#REF!</v>
      </c>
      <c r="K674" s="65" t="e">
        <f>Games!#REF!</f>
        <v>#REF!</v>
      </c>
      <c r="L674" s="65" t="e">
        <f>IF(ISBLANK(Games!#REF!), "",Games!#REF!)</f>
        <v>#REF!</v>
      </c>
      <c r="M674" s="65"/>
      <c r="N674" s="167" t="str">
        <f>IF(ISBLANK(Table123[[#This Row],[Odds Side - Difference Model]]), "", 1)</f>
      </c>
      <c r="O674" s="167" t="str">
        <f>IF(ISBLANK(Table123[[#This Row],[Odds Spread]]), "", 1)</f>
      </c>
      <c r="P674" s="67"/>
      <c r="Q674" s="67"/>
      <c r="R67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4" s="67"/>
      <c r="T674" s="67"/>
      <c r="U674" s="168" t="str">
        <f>IF(ISBLANK(Table123[[#This Row],[Odds Side - Difference Model]]), "",N674+IF(Q674&lt;0, (N674/(Q674/-100)), N674*(Q674/100)))</f>
      </c>
      <c r="V674" s="169" t="str">
        <f>IFERROR(IF(ISBLANK(Table123[[#This Row],[Odds Side - Win Probability Model]]), "",N674+IF(R674&lt;0, (N674/(R674/-100)), N674*(R674/100))),"")</f>
      </c>
      <c r="W674" s="168" t="str">
        <f t="shared" si="67"/>
      </c>
      <c r="X674" s="169" t="str">
        <f t="shared" si="68"/>
      </c>
      <c r="Y674" s="168" t="str">
        <f>IF(ISBLANK(Table123[[#This Row],[Odds Spread]]), "",O674+IF(S674&lt;0, (O674/(S674/-100)), O674*(S674/100)))</f>
      </c>
      <c r="Z674" s="168" t="str">
        <f t="shared" si="69"/>
      </c>
      <c r="AA674" s="68" t="n">
        <f t="shared" si="70"/>
        <v>0</v>
      </c>
      <c r="AB674" s="68" t="n">
        <f t="shared" si="71"/>
        <v>0</v>
      </c>
      <c r="AC674" s="170" t="e">
        <f>IF('Prediction Log'!#REF!="Y", "W", IF('Prediction Log'!#REF!="N","L",""))</f>
        <v>#REF!</v>
      </c>
      <c r="AD674" s="171" t="e">
        <f>IF('Prediction Log'!#REF!="Y", "W", IF('Prediction Log'!#REF!="N","L",""))</f>
        <v>#REF!</v>
      </c>
      <c r="AE674" s="172" t="str">
        <f>IF(ISBLANK(Table123[[#This Row],[Odds Side - Difference Model]]), "",IF(AC674="W", W674, IF(AC674="L",-N674, "")))</f>
      </c>
      <c r="AF674" s="173" t="str">
        <f>IFERROR((IF(ISERR(Table123[[#This Row],[Potential Payout Side - Win Probability Model]]), "",IF(AD674="W", X674, IF(AD674="L",-N674, "")))), "")</f>
      </c>
      <c r="AG674" s="170" t="e">
        <f>IF('Prediction Log'!#REF!="Y", "W", IF('Prediction Log'!#REF!="N", "L", ""))</f>
        <v>#REF!</v>
      </c>
      <c r="AH674" s="172" t="str">
        <f>IF(ISBLANK(Table123[[#This Row],[Odds Spread]]), "",IF(AG674="W", Z674, IF(AG674="L",-O674, "")))</f>
      </c>
      <c r="AI674" s="184"/>
      <c r="AJ674" s="183" t="str">
        <f t="shared" si="72"/>
      </c>
      <c r="AK67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5">
      <c r="A675" s="65" t="e">
        <f>Games!#REF!</f>
        <v>#REF!</v>
      </c>
      <c r="B675" s="65" t="e">
        <f>IF('Prediction Log'!#REF!=0, "",'Prediction Log'!#REF!)</f>
        <v>#REF!</v>
      </c>
      <c r="C675" s="65" t="e">
        <f>IF('Prediction Log'!#REF!=0, "",'Prediction Log'!#REF!)</f>
        <v>#REF!</v>
      </c>
      <c r="D675" s="65" t="e">
        <f>IF('Prediction Log'!#REF!=0, "",'Prediction Log'!#REF!)</f>
        <v>#REF!</v>
      </c>
      <c r="E675" s="65" t="e">
        <f>IF('Prediction Log'!#REF!=0, "",'Prediction Log'!#REF!)</f>
        <v>#REF!</v>
      </c>
      <c r="F675" s="65" t="e">
        <f>IF('Prediction Log'!#REF!=0, "",'Prediction Log'!#REF!)</f>
        <v>#REF!</v>
      </c>
      <c r="G675" s="64" t="e">
        <f>IF(ISBLANK(Games!#REF!), "",'Prediction Log'!#REF!)</f>
        <v>#REF!</v>
      </c>
      <c r="H675" s="66" t="e">
        <f>'Prediction Log'!#REF!</f>
        <v>#REF!</v>
      </c>
      <c r="I675" s="65" t="e">
        <f>IF(ISBLANK(Games!#REF!), "",IF(AND(Games!#REF!="",Games!#REF!=""),"",IF(ISTEXT(Games!#REF!), "Side",Games!#REF!)))</f>
        <v>#REF!</v>
      </c>
      <c r="J675" s="65" t="e">
        <f>IF(ISBLANK(Games!#REF!), "",IF(Games!#REF!="Y", Games!#REF!, Games!#REF!))</f>
        <v>#REF!</v>
      </c>
      <c r="K675" s="65" t="e">
        <f>Games!#REF!</f>
        <v>#REF!</v>
      </c>
      <c r="L675" s="65" t="e">
        <f>IF(ISBLANK(Games!#REF!), "",Games!#REF!)</f>
        <v>#REF!</v>
      </c>
      <c r="M675" s="65"/>
      <c r="N675" s="167" t="str">
        <f>IF(ISBLANK(Table123[[#This Row],[Odds Side - Difference Model]]), "", 1)</f>
      </c>
      <c r="O675" s="167" t="str">
        <f>IF(ISBLANK(Table123[[#This Row],[Odds Spread]]), "", 1)</f>
      </c>
      <c r="P675" s="67"/>
      <c r="Q675" s="67"/>
      <c r="R67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5" s="67"/>
      <c r="T675" s="67"/>
      <c r="U675" s="168" t="str">
        <f>IF(ISBLANK(Table123[[#This Row],[Odds Side - Difference Model]]), "",N675+IF(Q675&lt;0, (N675/(Q675/-100)), N675*(Q675/100)))</f>
      </c>
      <c r="V675" s="169" t="str">
        <f>IFERROR(IF(ISBLANK(Table123[[#This Row],[Odds Side - Win Probability Model]]), "",N675+IF(R675&lt;0, (N675/(R675/-100)), N675*(R675/100))),"")</f>
      </c>
      <c r="W675" s="168" t="str">
        <f t="shared" si="67"/>
      </c>
      <c r="X675" s="169" t="str">
        <f t="shared" si="68"/>
      </c>
      <c r="Y675" s="168" t="str">
        <f>IF(ISBLANK(Table123[[#This Row],[Odds Spread]]), "",O675+IF(S675&lt;0, (O675/(S675/-100)), O675*(S675/100)))</f>
      </c>
      <c r="Z675" s="168" t="str">
        <f t="shared" si="69"/>
      </c>
      <c r="AA675" s="68" t="n">
        <f t="shared" si="70"/>
        <v>0</v>
      </c>
      <c r="AB675" s="68" t="n">
        <f t="shared" si="71"/>
        <v>0</v>
      </c>
      <c r="AC675" s="170" t="e">
        <f>IF('Prediction Log'!#REF!="Y", "W", IF('Prediction Log'!#REF!="N","L",""))</f>
        <v>#REF!</v>
      </c>
      <c r="AD675" s="171" t="e">
        <f>IF('Prediction Log'!#REF!="Y", "W", IF('Prediction Log'!#REF!="N","L",""))</f>
        <v>#REF!</v>
      </c>
      <c r="AE675" s="172" t="str">
        <f>IF(ISBLANK(Table123[[#This Row],[Odds Side - Difference Model]]), "",IF(AC675="W", W675, IF(AC675="L",-N675, "")))</f>
      </c>
      <c r="AF675" s="173" t="str">
        <f>IFERROR((IF(ISERR(Table123[[#This Row],[Potential Payout Side - Win Probability Model]]), "",IF(AD675="W", X675, IF(AD675="L",-N675, "")))), "")</f>
      </c>
      <c r="AG675" s="170" t="e">
        <f>IF('Prediction Log'!#REF!="Y", "W", IF('Prediction Log'!#REF!="N", "L", ""))</f>
        <v>#REF!</v>
      </c>
      <c r="AH675" s="172" t="str">
        <f>IF(ISBLANK(Table123[[#This Row],[Odds Spread]]), "",IF(AG675="W", Z675, IF(AG675="L",-O675, "")))</f>
      </c>
      <c r="AI675" s="184"/>
      <c r="AJ675" s="183" t="str">
        <f t="shared" si="72"/>
      </c>
      <c r="AK67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6">
      <c r="A676" s="65" t="e">
        <f>Games!#REF!</f>
        <v>#REF!</v>
      </c>
      <c r="B676" s="65" t="e">
        <f>IF('Prediction Log'!#REF!=0, "",'Prediction Log'!#REF!)</f>
        <v>#REF!</v>
      </c>
      <c r="C676" s="65" t="e">
        <f>IF('Prediction Log'!#REF!=0, "",'Prediction Log'!#REF!)</f>
        <v>#REF!</v>
      </c>
      <c r="D676" s="65" t="e">
        <f>IF('Prediction Log'!#REF!=0, "",'Prediction Log'!#REF!)</f>
        <v>#REF!</v>
      </c>
      <c r="E676" s="65" t="e">
        <f>IF('Prediction Log'!#REF!=0, "",'Prediction Log'!#REF!)</f>
        <v>#REF!</v>
      </c>
      <c r="F676" s="65" t="e">
        <f>IF('Prediction Log'!#REF!=0, "",'Prediction Log'!#REF!)</f>
        <v>#REF!</v>
      </c>
      <c r="G676" s="64" t="e">
        <f>IF(ISBLANK(Games!#REF!), "",'Prediction Log'!#REF!)</f>
        <v>#REF!</v>
      </c>
      <c r="H676" s="66" t="e">
        <f>'Prediction Log'!#REF!</f>
        <v>#REF!</v>
      </c>
      <c r="I676" s="65" t="e">
        <f>IF(ISBLANK(Games!#REF!), "",IF(AND(Games!#REF!="",Games!#REF!=""),"",IF(ISTEXT(Games!#REF!), "Side",Games!#REF!)))</f>
        <v>#REF!</v>
      </c>
      <c r="J676" s="65" t="e">
        <f>IF(ISBLANK(Games!#REF!), "",IF(Games!#REF!="Y", Games!#REF!, Games!#REF!))</f>
        <v>#REF!</v>
      </c>
      <c r="K676" s="65" t="e">
        <f>Games!#REF!</f>
        <v>#REF!</v>
      </c>
      <c r="L676" s="65" t="e">
        <f>IF(ISBLANK(Games!#REF!), "",Games!#REF!)</f>
        <v>#REF!</v>
      </c>
      <c r="M676" s="65"/>
      <c r="N676" s="167" t="str">
        <f>IF(ISBLANK(Table123[[#This Row],[Odds Side - Difference Model]]), "", 1)</f>
      </c>
      <c r="O676" s="167" t="str">
        <f>IF(ISBLANK(Table123[[#This Row],[Odds Spread]]), "", 1)</f>
      </c>
      <c r="P676" s="67"/>
      <c r="Q676" s="67"/>
      <c r="R67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6" s="67"/>
      <c r="T676" s="67"/>
      <c r="U676" s="168" t="str">
        <f>IF(ISBLANK(Table123[[#This Row],[Odds Side - Difference Model]]), "",N676+IF(Q676&lt;0, (N676/(Q676/-100)), N676*(Q676/100)))</f>
      </c>
      <c r="V676" s="169" t="str">
        <f>IFERROR(IF(ISBLANK(Table123[[#This Row],[Odds Side - Win Probability Model]]), "",N676+IF(R676&lt;0, (N676/(R676/-100)), N676*(R676/100))),"")</f>
      </c>
      <c r="W676" s="168" t="str">
        <f t="shared" si="67"/>
      </c>
      <c r="X676" s="169" t="str">
        <f t="shared" si="68"/>
      </c>
      <c r="Y676" s="168" t="str">
        <f>IF(ISBLANK(Table123[[#This Row],[Odds Spread]]), "",O676+IF(S676&lt;0, (O676/(S676/-100)), O676*(S676/100)))</f>
      </c>
      <c r="Z676" s="168" t="str">
        <f t="shared" si="69"/>
      </c>
      <c r="AA676" s="68" t="n">
        <f t="shared" si="70"/>
        <v>0</v>
      </c>
      <c r="AB676" s="68" t="n">
        <f t="shared" si="71"/>
        <v>0</v>
      </c>
      <c r="AC676" s="170" t="e">
        <f>IF('Prediction Log'!#REF!="Y", "W", IF('Prediction Log'!#REF!="N","L",""))</f>
        <v>#REF!</v>
      </c>
      <c r="AD676" s="171" t="e">
        <f>IF('Prediction Log'!#REF!="Y", "W", IF('Prediction Log'!#REF!="N","L",""))</f>
        <v>#REF!</v>
      </c>
      <c r="AE676" s="172" t="str">
        <f>IF(ISBLANK(Table123[[#This Row],[Odds Side - Difference Model]]), "",IF(AC676="W", W676, IF(AC676="L",-N676, "")))</f>
      </c>
      <c r="AF676" s="173" t="str">
        <f>IFERROR((IF(ISERR(Table123[[#This Row],[Potential Payout Side - Win Probability Model]]), "",IF(AD676="W", X676, IF(AD676="L",-N676, "")))), "")</f>
      </c>
      <c r="AG676" s="170" t="e">
        <f>IF('Prediction Log'!#REF!="Y", "W", IF('Prediction Log'!#REF!="N", "L", ""))</f>
        <v>#REF!</v>
      </c>
      <c r="AH676" s="172" t="str">
        <f>IF(ISBLANK(Table123[[#This Row],[Odds Spread]]), "",IF(AG676="W", Z676, IF(AG676="L",-O676, "")))</f>
      </c>
      <c r="AI676" s="184"/>
      <c r="AJ676" s="183" t="str">
        <f t="shared" si="72"/>
      </c>
      <c r="AK67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7">
      <c r="A677" s="65" t="e">
        <f>Games!#REF!</f>
        <v>#REF!</v>
      </c>
      <c r="B677" s="65" t="e">
        <f>IF('Prediction Log'!#REF!=0, "",'Prediction Log'!#REF!)</f>
        <v>#REF!</v>
      </c>
      <c r="C677" s="65" t="e">
        <f>IF('Prediction Log'!#REF!=0, "",'Prediction Log'!#REF!)</f>
        <v>#REF!</v>
      </c>
      <c r="D677" s="65" t="e">
        <f>IF('Prediction Log'!#REF!=0, "",'Prediction Log'!#REF!)</f>
        <v>#REF!</v>
      </c>
      <c r="E677" s="65" t="e">
        <f>IF('Prediction Log'!#REF!=0, "",'Prediction Log'!#REF!)</f>
        <v>#REF!</v>
      </c>
      <c r="F677" s="65" t="e">
        <f>IF('Prediction Log'!#REF!=0, "",'Prediction Log'!#REF!)</f>
        <v>#REF!</v>
      </c>
      <c r="G677" s="64" t="e">
        <f>IF(ISBLANK(Games!#REF!), "",'Prediction Log'!#REF!)</f>
        <v>#REF!</v>
      </c>
      <c r="H677" s="66" t="e">
        <f>'Prediction Log'!#REF!</f>
        <v>#REF!</v>
      </c>
      <c r="I677" s="65" t="e">
        <f>IF(ISBLANK(Games!#REF!), "",IF(AND(Games!#REF!="",Games!#REF!=""),"",IF(ISTEXT(Games!#REF!), "Side",Games!#REF!)))</f>
        <v>#REF!</v>
      </c>
      <c r="J677" s="65" t="e">
        <f>IF(ISBLANK(Games!#REF!), "",IF(Games!#REF!="Y", Games!#REF!, Games!#REF!))</f>
        <v>#REF!</v>
      </c>
      <c r="K677" s="65" t="e">
        <f>Games!#REF!</f>
        <v>#REF!</v>
      </c>
      <c r="L677" s="65" t="e">
        <f>IF(ISBLANK(Games!#REF!), "",Games!#REF!)</f>
        <v>#REF!</v>
      </c>
      <c r="M677" s="65"/>
      <c r="N677" s="167" t="str">
        <f>IF(ISBLANK(Table123[[#This Row],[Odds Side - Difference Model]]), "", 1)</f>
      </c>
      <c r="O677" s="167" t="str">
        <f>IF(ISBLANK(Table123[[#This Row],[Odds Spread]]), "", 1)</f>
      </c>
      <c r="P677" s="67"/>
      <c r="Q677" s="67"/>
      <c r="R67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7" s="67"/>
      <c r="T677" s="67"/>
      <c r="U677" s="168" t="str">
        <f>IF(ISBLANK(Table123[[#This Row],[Odds Side - Difference Model]]), "",N677+IF(Q677&lt;0, (N677/(Q677/-100)), N677*(Q677/100)))</f>
      </c>
      <c r="V677" s="169" t="str">
        <f>IFERROR(IF(ISBLANK(Table123[[#This Row],[Odds Side - Win Probability Model]]), "",N677+IF(R677&lt;0, (N677/(R677/-100)), N677*(R677/100))),"")</f>
      </c>
      <c r="W677" s="168" t="str">
        <f t="shared" si="67"/>
      </c>
      <c r="X677" s="169" t="str">
        <f t="shared" si="68"/>
      </c>
      <c r="Y677" s="168" t="str">
        <f>IF(ISBLANK(Table123[[#This Row],[Odds Spread]]), "",O677+IF(S677&lt;0, (O677/(S677/-100)), O677*(S677/100)))</f>
      </c>
      <c r="Z677" s="168" t="str">
        <f t="shared" si="69"/>
      </c>
      <c r="AA677" s="68" t="n">
        <f t="shared" si="70"/>
        <v>0</v>
      </c>
      <c r="AB677" s="68" t="n">
        <f t="shared" si="71"/>
        <v>0</v>
      </c>
      <c r="AC677" s="170" t="e">
        <f>IF('Prediction Log'!#REF!="Y", "W", IF('Prediction Log'!#REF!="N","L",""))</f>
        <v>#REF!</v>
      </c>
      <c r="AD677" s="171" t="e">
        <f>IF('Prediction Log'!#REF!="Y", "W", IF('Prediction Log'!#REF!="N","L",""))</f>
        <v>#REF!</v>
      </c>
      <c r="AE677" s="172" t="str">
        <f>IF(ISBLANK(Table123[[#This Row],[Odds Side - Difference Model]]), "",IF(AC677="W", W677, IF(AC677="L",-N677, "")))</f>
      </c>
      <c r="AF677" s="173" t="str">
        <f>IFERROR((IF(ISERR(Table123[[#This Row],[Potential Payout Side - Win Probability Model]]), "",IF(AD677="W", X677, IF(AD677="L",-N677, "")))), "")</f>
      </c>
      <c r="AG677" s="170" t="e">
        <f>IF('Prediction Log'!#REF!="Y", "W", IF('Prediction Log'!#REF!="N", "L", ""))</f>
        <v>#REF!</v>
      </c>
      <c r="AH677" s="172" t="str">
        <f>IF(ISBLANK(Table123[[#This Row],[Odds Spread]]), "",IF(AG677="W", Z677, IF(AG677="L",-O677, "")))</f>
      </c>
      <c r="AI677" s="184"/>
      <c r="AJ677" s="183" t="str">
        <f t="shared" si="72"/>
      </c>
      <c r="AK67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8">
      <c r="A678" s="65" t="e">
        <f>Games!#REF!</f>
        <v>#REF!</v>
      </c>
      <c r="B678" s="65" t="e">
        <f>IF('Prediction Log'!#REF!=0, "",'Prediction Log'!#REF!)</f>
        <v>#REF!</v>
      </c>
      <c r="C678" s="65" t="e">
        <f>IF('Prediction Log'!#REF!=0, "",'Prediction Log'!#REF!)</f>
        <v>#REF!</v>
      </c>
      <c r="D678" s="65" t="e">
        <f>IF('Prediction Log'!#REF!=0, "",'Prediction Log'!#REF!)</f>
        <v>#REF!</v>
      </c>
      <c r="E678" s="65" t="e">
        <f>IF('Prediction Log'!#REF!=0, "",'Prediction Log'!#REF!)</f>
        <v>#REF!</v>
      </c>
      <c r="F678" s="65" t="e">
        <f>IF('Prediction Log'!#REF!=0, "",'Prediction Log'!#REF!)</f>
        <v>#REF!</v>
      </c>
      <c r="G678" s="64" t="e">
        <f>IF(ISBLANK(Games!#REF!), "",'Prediction Log'!#REF!)</f>
        <v>#REF!</v>
      </c>
      <c r="H678" s="66" t="e">
        <f>'Prediction Log'!#REF!</f>
        <v>#REF!</v>
      </c>
      <c r="I678" s="65" t="e">
        <f>IF(ISBLANK(Games!#REF!), "",IF(AND(Games!#REF!="",Games!#REF!=""),"",IF(ISTEXT(Games!#REF!), "Side",Games!#REF!)))</f>
        <v>#REF!</v>
      </c>
      <c r="J678" s="65" t="e">
        <f>IF(ISBLANK(Games!#REF!), "",IF(Games!#REF!="Y", Games!#REF!, Games!#REF!))</f>
        <v>#REF!</v>
      </c>
      <c r="K678" s="65" t="e">
        <f>Games!#REF!</f>
        <v>#REF!</v>
      </c>
      <c r="L678" s="65" t="e">
        <f>IF(ISBLANK(Games!#REF!), "",Games!#REF!)</f>
        <v>#REF!</v>
      </c>
      <c r="M678" s="65"/>
      <c r="N678" s="167" t="str">
        <f>IF(ISBLANK(Table123[[#This Row],[Odds Side - Difference Model]]), "", 1)</f>
      </c>
      <c r="O678" s="167" t="str">
        <f>IF(ISBLANK(Table123[[#This Row],[Odds Spread]]), "", 1)</f>
      </c>
      <c r="P678" s="67"/>
      <c r="Q678" s="67"/>
      <c r="R67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8" s="67"/>
      <c r="T678" s="67"/>
      <c r="U678" s="168" t="str">
        <f>IF(ISBLANK(Table123[[#This Row],[Odds Side - Difference Model]]), "",N678+IF(Q678&lt;0, (N678/(Q678/-100)), N678*(Q678/100)))</f>
      </c>
      <c r="V678" s="169" t="str">
        <f>IFERROR(IF(ISBLANK(Table123[[#This Row],[Odds Side - Win Probability Model]]), "",N678+IF(R678&lt;0, (N678/(R678/-100)), N678*(R678/100))),"")</f>
      </c>
      <c r="W678" s="168" t="str">
        <f t="shared" si="67"/>
      </c>
      <c r="X678" s="169" t="str">
        <f t="shared" si="68"/>
      </c>
      <c r="Y678" s="168" t="str">
        <f>IF(ISBLANK(Table123[[#This Row],[Odds Spread]]), "",O678+IF(S678&lt;0, (O678/(S678/-100)), O678*(S678/100)))</f>
      </c>
      <c r="Z678" s="168" t="str">
        <f t="shared" si="69"/>
      </c>
      <c r="AA678" s="68" t="n">
        <f t="shared" si="70"/>
        <v>0</v>
      </c>
      <c r="AB678" s="68" t="n">
        <f t="shared" si="71"/>
        <v>0</v>
      </c>
      <c r="AC678" s="170" t="e">
        <f>IF('Prediction Log'!#REF!="Y", "W", IF('Prediction Log'!#REF!="N","L",""))</f>
        <v>#REF!</v>
      </c>
      <c r="AD678" s="171" t="e">
        <f>IF('Prediction Log'!#REF!="Y", "W", IF('Prediction Log'!#REF!="N","L",""))</f>
        <v>#REF!</v>
      </c>
      <c r="AE678" s="172" t="str">
        <f>IF(ISBLANK(Table123[[#This Row],[Odds Side - Difference Model]]), "",IF(AC678="W", W678, IF(AC678="L",-N678, "")))</f>
      </c>
      <c r="AF678" s="173" t="str">
        <f>IFERROR((IF(ISERR(Table123[[#This Row],[Potential Payout Side - Win Probability Model]]), "",IF(AD678="W", X678, IF(AD678="L",-N678, "")))), "")</f>
      </c>
      <c r="AG678" s="170" t="e">
        <f>IF('Prediction Log'!#REF!="Y", "W", IF('Prediction Log'!#REF!="N", "L", ""))</f>
        <v>#REF!</v>
      </c>
      <c r="AH678" s="172" t="str">
        <f>IF(ISBLANK(Table123[[#This Row],[Odds Spread]]), "",IF(AG678="W", Z678, IF(AG678="L",-O678, "")))</f>
      </c>
      <c r="AI678" s="184"/>
      <c r="AJ678" s="183" t="str">
        <f t="shared" si="72"/>
      </c>
      <c r="AK67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9">
      <c r="A679" s="65" t="e">
        <f>Games!#REF!</f>
        <v>#REF!</v>
      </c>
      <c r="B679" s="65" t="e">
        <f>IF('Prediction Log'!#REF!=0, "",'Prediction Log'!#REF!)</f>
        <v>#REF!</v>
      </c>
      <c r="C679" s="65" t="e">
        <f>IF('Prediction Log'!#REF!=0, "",'Prediction Log'!#REF!)</f>
        <v>#REF!</v>
      </c>
      <c r="D679" s="65" t="e">
        <f>IF('Prediction Log'!#REF!=0, "",'Prediction Log'!#REF!)</f>
        <v>#REF!</v>
      </c>
      <c r="E679" s="65" t="e">
        <f>IF('Prediction Log'!#REF!=0, "",'Prediction Log'!#REF!)</f>
        <v>#REF!</v>
      </c>
      <c r="F679" s="65" t="e">
        <f>IF('Prediction Log'!#REF!=0, "",'Prediction Log'!#REF!)</f>
        <v>#REF!</v>
      </c>
      <c r="G679" s="64" t="e">
        <f>IF(ISBLANK(Games!#REF!), "",'Prediction Log'!#REF!)</f>
        <v>#REF!</v>
      </c>
      <c r="H679" s="66" t="e">
        <f>'Prediction Log'!#REF!</f>
        <v>#REF!</v>
      </c>
      <c r="I679" s="65" t="e">
        <f>IF(ISBLANK(Games!#REF!), "",IF(AND(Games!#REF!="",Games!#REF!=""),"",IF(ISTEXT(Games!#REF!), "Side",Games!#REF!)))</f>
        <v>#REF!</v>
      </c>
      <c r="J679" s="65" t="e">
        <f>IF(ISBLANK(Games!#REF!), "",IF(Games!#REF!="Y", Games!#REF!, Games!#REF!))</f>
        <v>#REF!</v>
      </c>
      <c r="K679" s="65" t="e">
        <f>Games!#REF!</f>
        <v>#REF!</v>
      </c>
      <c r="L679" s="65" t="e">
        <f>IF(ISBLANK(Games!#REF!), "",Games!#REF!)</f>
        <v>#REF!</v>
      </c>
      <c r="M679" s="65"/>
      <c r="N679" s="167" t="str">
        <f>IF(ISBLANK(Table123[[#This Row],[Odds Side - Difference Model]]), "", 1)</f>
      </c>
      <c r="O679" s="167" t="str">
        <f>IF(ISBLANK(Table123[[#This Row],[Odds Spread]]), "", 1)</f>
      </c>
      <c r="P679" s="67"/>
      <c r="Q679" s="67"/>
      <c r="R67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9" s="67"/>
      <c r="T679" s="67"/>
      <c r="U679" s="168" t="str">
        <f>IF(ISBLANK(Table123[[#This Row],[Odds Side - Difference Model]]), "",N679+IF(Q679&lt;0, (N679/(Q679/-100)), N679*(Q679/100)))</f>
      </c>
      <c r="V679" s="169" t="str">
        <f>IFERROR(IF(ISBLANK(Table123[[#This Row],[Odds Side - Win Probability Model]]), "",N679+IF(R679&lt;0, (N679/(R679/-100)), N679*(R679/100))),"")</f>
      </c>
      <c r="W679" s="168" t="str">
        <f t="shared" si="67"/>
      </c>
      <c r="X679" s="169" t="str">
        <f t="shared" si="68"/>
      </c>
      <c r="Y679" s="168" t="str">
        <f>IF(ISBLANK(Table123[[#This Row],[Odds Spread]]), "",O679+IF(S679&lt;0, (O679/(S679/-100)), O679*(S679/100)))</f>
      </c>
      <c r="Z679" s="168" t="str">
        <f t="shared" si="69"/>
      </c>
      <c r="AA679" s="68" t="n">
        <f t="shared" si="70"/>
        <v>0</v>
      </c>
      <c r="AB679" s="68" t="n">
        <f t="shared" si="71"/>
        <v>0</v>
      </c>
      <c r="AC679" s="170" t="e">
        <f>IF('Prediction Log'!#REF!="Y", "W", IF('Prediction Log'!#REF!="N","L",""))</f>
        <v>#REF!</v>
      </c>
      <c r="AD679" s="171" t="e">
        <f>IF('Prediction Log'!#REF!="Y", "W", IF('Prediction Log'!#REF!="N","L",""))</f>
        <v>#REF!</v>
      </c>
      <c r="AE679" s="172" t="str">
        <f>IF(ISBLANK(Table123[[#This Row],[Odds Side - Difference Model]]), "",IF(AC679="W", W679, IF(AC679="L",-N679, "")))</f>
      </c>
      <c r="AF679" s="173" t="str">
        <f>IFERROR((IF(ISERR(Table123[[#This Row],[Potential Payout Side - Win Probability Model]]), "",IF(AD679="W", X679, IF(AD679="L",-N679, "")))), "")</f>
      </c>
      <c r="AG679" s="170" t="e">
        <f>IF('Prediction Log'!#REF!="Y", "W", IF('Prediction Log'!#REF!="N", "L", ""))</f>
        <v>#REF!</v>
      </c>
      <c r="AH679" s="172" t="str">
        <f>IF(ISBLANK(Table123[[#This Row],[Odds Spread]]), "",IF(AG679="W", Z679, IF(AG679="L",-O679, "")))</f>
      </c>
      <c r="AI679" s="184"/>
      <c r="AJ679" s="183" t="str">
        <f t="shared" si="72"/>
      </c>
      <c r="AK67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0">
      <c r="A680" s="65" t="e">
        <f>Games!#REF!</f>
        <v>#REF!</v>
      </c>
      <c r="B680" s="65" t="e">
        <f>IF('Prediction Log'!#REF!=0, "",'Prediction Log'!#REF!)</f>
        <v>#REF!</v>
      </c>
      <c r="C680" s="65" t="e">
        <f>IF('Prediction Log'!#REF!=0, "",'Prediction Log'!#REF!)</f>
        <v>#REF!</v>
      </c>
      <c r="D680" s="65" t="e">
        <f>IF('Prediction Log'!#REF!=0, "",'Prediction Log'!#REF!)</f>
        <v>#REF!</v>
      </c>
      <c r="E680" s="65" t="e">
        <f>IF('Prediction Log'!#REF!=0, "",'Prediction Log'!#REF!)</f>
        <v>#REF!</v>
      </c>
      <c r="F680" s="65" t="e">
        <f>IF('Prediction Log'!#REF!=0, "",'Prediction Log'!#REF!)</f>
        <v>#REF!</v>
      </c>
      <c r="G680" s="64" t="e">
        <f>IF(ISBLANK(Games!#REF!), "",'Prediction Log'!#REF!)</f>
        <v>#REF!</v>
      </c>
      <c r="H680" s="66" t="e">
        <f>'Prediction Log'!#REF!</f>
        <v>#REF!</v>
      </c>
      <c r="I680" s="65" t="e">
        <f>IF(ISBLANK(Games!#REF!), "",IF(AND(Games!#REF!="",Games!#REF!=""),"",IF(ISTEXT(Games!#REF!), "Side",Games!#REF!)))</f>
        <v>#REF!</v>
      </c>
      <c r="J680" s="65" t="e">
        <f>IF(ISBLANK(Games!#REF!), "",IF(Games!#REF!="Y", Games!#REF!, Games!#REF!))</f>
        <v>#REF!</v>
      </c>
      <c r="K680" s="65" t="e">
        <f>Games!#REF!</f>
        <v>#REF!</v>
      </c>
      <c r="L680" s="65" t="e">
        <f>IF(ISBLANK(Games!#REF!), "",Games!#REF!)</f>
        <v>#REF!</v>
      </c>
      <c r="M680" s="65"/>
      <c r="N680" s="167" t="str">
        <f>IF(ISBLANK(Table123[[#This Row],[Odds Side - Difference Model]]), "", 1)</f>
      </c>
      <c r="O680" s="167" t="str">
        <f>IF(ISBLANK(Table123[[#This Row],[Odds Spread]]), "", 1)</f>
      </c>
      <c r="P680" s="67"/>
      <c r="Q680" s="67"/>
      <c r="R68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0" s="67"/>
      <c r="T680" s="67"/>
      <c r="U680" s="168" t="str">
        <f>IF(ISBLANK(Table123[[#This Row],[Odds Side - Difference Model]]), "",N680+IF(Q680&lt;0, (N680/(Q680/-100)), N680*(Q680/100)))</f>
      </c>
      <c r="V680" s="169" t="str">
        <f>IFERROR(IF(ISBLANK(Table123[[#This Row],[Odds Side - Win Probability Model]]), "",N680+IF(R680&lt;0, (N680/(R680/-100)), N680*(R680/100))),"")</f>
      </c>
      <c r="W680" s="168" t="str">
        <f t="shared" si="67"/>
      </c>
      <c r="X680" s="169" t="str">
        <f t="shared" si="68"/>
      </c>
      <c r="Y680" s="168" t="str">
        <f>IF(ISBLANK(Table123[[#This Row],[Odds Spread]]), "",O680+IF(S680&lt;0, (O680/(S680/-100)), O680*(S680/100)))</f>
      </c>
      <c r="Z680" s="168" t="str">
        <f t="shared" si="69"/>
      </c>
      <c r="AA680" s="68" t="n">
        <f t="shared" si="70"/>
        <v>0</v>
      </c>
      <c r="AB680" s="68" t="n">
        <f t="shared" si="71"/>
        <v>0</v>
      </c>
      <c r="AC680" s="170" t="e">
        <f>IF('Prediction Log'!#REF!="Y", "W", IF('Prediction Log'!#REF!="N","L",""))</f>
        <v>#REF!</v>
      </c>
      <c r="AD680" s="171" t="e">
        <f>IF('Prediction Log'!#REF!="Y", "W", IF('Prediction Log'!#REF!="N","L",""))</f>
        <v>#REF!</v>
      </c>
      <c r="AE680" s="172" t="str">
        <f>IF(ISBLANK(Table123[[#This Row],[Odds Side - Difference Model]]), "",IF(AC680="W", W680, IF(AC680="L",-N680, "")))</f>
      </c>
      <c r="AF680" s="173" t="str">
        <f>IFERROR((IF(ISERR(Table123[[#This Row],[Potential Payout Side - Win Probability Model]]), "",IF(AD680="W", X680, IF(AD680="L",-N680, "")))), "")</f>
      </c>
      <c r="AG680" s="170" t="e">
        <f>IF('Prediction Log'!#REF!="Y", "W", IF('Prediction Log'!#REF!="N", "L", ""))</f>
        <v>#REF!</v>
      </c>
      <c r="AH680" s="172" t="str">
        <f>IF(ISBLANK(Table123[[#This Row],[Odds Spread]]), "",IF(AG680="W", Z680, IF(AG680="L",-O680, "")))</f>
      </c>
      <c r="AI680" s="184"/>
      <c r="AJ680" s="183" t="str">
        <f t="shared" si="72"/>
      </c>
      <c r="AK68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1">
      <c r="A681" s="65" t="e">
        <f>Games!#REF!</f>
        <v>#REF!</v>
      </c>
      <c r="B681" s="65" t="e">
        <f>IF('Prediction Log'!#REF!=0, "",'Prediction Log'!#REF!)</f>
        <v>#REF!</v>
      </c>
      <c r="C681" s="65" t="e">
        <f>IF('Prediction Log'!#REF!=0, "",'Prediction Log'!#REF!)</f>
        <v>#REF!</v>
      </c>
      <c r="D681" s="65" t="e">
        <f>IF('Prediction Log'!#REF!=0, "",'Prediction Log'!#REF!)</f>
        <v>#REF!</v>
      </c>
      <c r="E681" s="65" t="e">
        <f>IF('Prediction Log'!#REF!=0, "",'Prediction Log'!#REF!)</f>
        <v>#REF!</v>
      </c>
      <c r="F681" s="65" t="e">
        <f>IF('Prediction Log'!#REF!=0, "",'Prediction Log'!#REF!)</f>
        <v>#REF!</v>
      </c>
      <c r="G681" s="64" t="e">
        <f>IF(ISBLANK(Games!#REF!), "",'Prediction Log'!#REF!)</f>
        <v>#REF!</v>
      </c>
      <c r="H681" s="66" t="e">
        <f>'Prediction Log'!#REF!</f>
        <v>#REF!</v>
      </c>
      <c r="I681" s="65" t="e">
        <f>IF(ISBLANK(Games!#REF!), "",IF(AND(Games!#REF!="",Games!#REF!=""),"",IF(ISTEXT(Games!#REF!), "Side",Games!#REF!)))</f>
        <v>#REF!</v>
      </c>
      <c r="J681" s="65" t="e">
        <f>IF(ISBLANK(Games!#REF!), "",IF(Games!#REF!="Y", Games!#REF!, Games!#REF!))</f>
        <v>#REF!</v>
      </c>
      <c r="K681" s="65" t="e">
        <f>Games!#REF!</f>
        <v>#REF!</v>
      </c>
      <c r="L681" s="65" t="e">
        <f>IF(ISBLANK(Games!#REF!), "",Games!#REF!)</f>
        <v>#REF!</v>
      </c>
      <c r="M681" s="65"/>
      <c r="N681" s="167" t="str">
        <f>IF(ISBLANK(Table123[[#This Row],[Odds Side - Difference Model]]), "", 1)</f>
      </c>
      <c r="O681" s="167" t="str">
        <f>IF(ISBLANK(Table123[[#This Row],[Odds Spread]]), "", 1)</f>
      </c>
      <c r="P681" s="67"/>
      <c r="Q681" s="67"/>
      <c r="R68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1" s="67"/>
      <c r="T681" s="67"/>
      <c r="U681" s="168" t="str">
        <f>IF(ISBLANK(Table123[[#This Row],[Odds Side - Difference Model]]), "",N681+IF(Q681&lt;0, (N681/(Q681/-100)), N681*(Q681/100)))</f>
      </c>
      <c r="V681" s="169" t="str">
        <f>IFERROR(IF(ISBLANK(Table123[[#This Row],[Odds Side - Win Probability Model]]), "",N681+IF(R681&lt;0, (N681/(R681/-100)), N681*(R681/100))),"")</f>
      </c>
      <c r="W681" s="168" t="str">
        <f t="shared" si="67"/>
      </c>
      <c r="X681" s="169" t="str">
        <f t="shared" si="68"/>
      </c>
      <c r="Y681" s="168" t="str">
        <f>IF(ISBLANK(Table123[[#This Row],[Odds Spread]]), "",O681+IF(S681&lt;0, (O681/(S681/-100)), O681*(S681/100)))</f>
      </c>
      <c r="Z681" s="168" t="str">
        <f t="shared" si="69"/>
      </c>
      <c r="AA681" s="68" t="n">
        <f t="shared" si="70"/>
        <v>0</v>
      </c>
      <c r="AB681" s="68" t="n">
        <f t="shared" si="71"/>
        <v>0</v>
      </c>
      <c r="AC681" s="170" t="e">
        <f>IF('Prediction Log'!#REF!="Y", "W", IF('Prediction Log'!#REF!="N","L",""))</f>
        <v>#REF!</v>
      </c>
      <c r="AD681" s="171" t="e">
        <f>IF('Prediction Log'!#REF!="Y", "W", IF('Prediction Log'!#REF!="N","L",""))</f>
        <v>#REF!</v>
      </c>
      <c r="AE681" s="172" t="str">
        <f>IF(ISBLANK(Table123[[#This Row],[Odds Side - Difference Model]]), "",IF(AC681="W", W681, IF(AC681="L",-N681, "")))</f>
      </c>
      <c r="AF681" s="173" t="str">
        <f>IFERROR((IF(ISERR(Table123[[#This Row],[Potential Payout Side - Win Probability Model]]), "",IF(AD681="W", X681, IF(AD681="L",-N681, "")))), "")</f>
      </c>
      <c r="AG681" s="170" t="e">
        <f>IF('Prediction Log'!#REF!="Y", "W", IF('Prediction Log'!#REF!="N", "L", ""))</f>
        <v>#REF!</v>
      </c>
      <c r="AH681" s="172" t="str">
        <f>IF(ISBLANK(Table123[[#This Row],[Odds Spread]]), "",IF(AG681="W", Z681, IF(AG681="L",-O681, "")))</f>
      </c>
      <c r="AI681" s="184"/>
      <c r="AJ681" s="183" t="str">
        <f t="shared" si="72"/>
      </c>
      <c r="AK68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2">
      <c r="A682" s="65" t="e">
        <f>Games!#REF!</f>
        <v>#REF!</v>
      </c>
      <c r="B682" s="65" t="e">
        <f>IF('Prediction Log'!#REF!=0, "",'Prediction Log'!#REF!)</f>
        <v>#REF!</v>
      </c>
      <c r="C682" s="65" t="e">
        <f>IF('Prediction Log'!#REF!=0, "",'Prediction Log'!#REF!)</f>
        <v>#REF!</v>
      </c>
      <c r="D682" s="65" t="e">
        <f>IF('Prediction Log'!#REF!=0, "",'Prediction Log'!#REF!)</f>
        <v>#REF!</v>
      </c>
      <c r="E682" s="65" t="e">
        <f>IF('Prediction Log'!#REF!=0, "",'Prediction Log'!#REF!)</f>
        <v>#REF!</v>
      </c>
      <c r="F682" s="65" t="e">
        <f>IF('Prediction Log'!#REF!=0, "",'Prediction Log'!#REF!)</f>
        <v>#REF!</v>
      </c>
      <c r="G682" s="64" t="e">
        <f>IF(ISBLANK(Games!#REF!), "",'Prediction Log'!#REF!)</f>
        <v>#REF!</v>
      </c>
      <c r="H682" s="66" t="e">
        <f>'Prediction Log'!#REF!</f>
        <v>#REF!</v>
      </c>
      <c r="I682" s="65" t="e">
        <f>IF(ISBLANK(Games!#REF!), "",IF(AND(Games!#REF!="",Games!#REF!=""),"",IF(ISTEXT(Games!#REF!), "Side",Games!#REF!)))</f>
        <v>#REF!</v>
      </c>
      <c r="J682" s="65" t="e">
        <f>IF(ISBLANK(Games!#REF!), "",IF(Games!#REF!="Y", Games!#REF!, Games!#REF!))</f>
        <v>#REF!</v>
      </c>
      <c r="K682" s="65" t="e">
        <f>Games!#REF!</f>
        <v>#REF!</v>
      </c>
      <c r="L682" s="65" t="e">
        <f>IF(ISBLANK(Games!#REF!), "",Games!#REF!)</f>
        <v>#REF!</v>
      </c>
      <c r="M682" s="65"/>
      <c r="N682" s="167" t="str">
        <f>IF(ISBLANK(Table123[[#This Row],[Odds Side - Difference Model]]), "", 1)</f>
      </c>
      <c r="O682" s="167" t="str">
        <f>IF(ISBLANK(Table123[[#This Row],[Odds Spread]]), "", 1)</f>
      </c>
      <c r="P682" s="67"/>
      <c r="Q682" s="67"/>
      <c r="R68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2" s="67"/>
      <c r="T682" s="67"/>
      <c r="U682" s="168" t="str">
        <f>IF(ISBLANK(Table123[[#This Row],[Odds Side - Difference Model]]), "",N682+IF(Q682&lt;0, (N682/(Q682/-100)), N682*(Q682/100)))</f>
      </c>
      <c r="V682" s="169" t="str">
        <f>IFERROR(IF(ISBLANK(Table123[[#This Row],[Odds Side - Win Probability Model]]), "",N682+IF(R682&lt;0, (N682/(R682/-100)), N682*(R682/100))),"")</f>
      </c>
      <c r="W682" s="168" t="str">
        <f t="shared" si="67"/>
      </c>
      <c r="X682" s="169" t="str">
        <f t="shared" si="68"/>
      </c>
      <c r="Y682" s="168" t="str">
        <f>IF(ISBLANK(Table123[[#This Row],[Odds Spread]]), "",O682+IF(S682&lt;0, (O682/(S682/-100)), O682*(S682/100)))</f>
      </c>
      <c r="Z682" s="168" t="str">
        <f t="shared" si="69"/>
      </c>
      <c r="AA682" s="68" t="n">
        <f t="shared" si="70"/>
        <v>0</v>
      </c>
      <c r="AB682" s="68" t="n">
        <f t="shared" si="71"/>
        <v>0</v>
      </c>
      <c r="AC682" s="170" t="e">
        <f>IF('Prediction Log'!#REF!="Y", "W", IF('Prediction Log'!#REF!="N","L",""))</f>
        <v>#REF!</v>
      </c>
      <c r="AD682" s="171" t="e">
        <f>IF('Prediction Log'!#REF!="Y", "W", IF('Prediction Log'!#REF!="N","L",""))</f>
        <v>#REF!</v>
      </c>
      <c r="AE682" s="172" t="str">
        <f>IF(ISBLANK(Table123[[#This Row],[Odds Side - Difference Model]]), "",IF(AC682="W", W682, IF(AC682="L",-N682, "")))</f>
      </c>
      <c r="AF682" s="173" t="str">
        <f>IFERROR((IF(ISERR(Table123[[#This Row],[Potential Payout Side - Win Probability Model]]), "",IF(AD682="W", X682, IF(AD682="L",-N682, "")))), "")</f>
      </c>
      <c r="AG682" s="170" t="e">
        <f>IF('Prediction Log'!#REF!="Y", "W", IF('Prediction Log'!#REF!="N", "L", ""))</f>
        <v>#REF!</v>
      </c>
      <c r="AH682" s="172" t="str">
        <f>IF(ISBLANK(Table123[[#This Row],[Odds Spread]]), "",IF(AG682="W", Z682, IF(AG682="L",-O682, "")))</f>
      </c>
      <c r="AI682" s="184"/>
      <c r="AJ682" s="183" t="str">
        <f t="shared" si="72"/>
      </c>
      <c r="AK68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3">
      <c r="A683" s="65" t="e">
        <f>Games!#REF!</f>
        <v>#REF!</v>
      </c>
      <c r="B683" s="65" t="e">
        <f>IF('Prediction Log'!#REF!=0, "",'Prediction Log'!#REF!)</f>
        <v>#REF!</v>
      </c>
      <c r="C683" s="65" t="e">
        <f>IF('Prediction Log'!#REF!=0, "",'Prediction Log'!#REF!)</f>
        <v>#REF!</v>
      </c>
      <c r="D683" s="65" t="e">
        <f>IF('Prediction Log'!#REF!=0, "",'Prediction Log'!#REF!)</f>
        <v>#REF!</v>
      </c>
      <c r="E683" s="65" t="e">
        <f>IF('Prediction Log'!#REF!=0, "",'Prediction Log'!#REF!)</f>
        <v>#REF!</v>
      </c>
      <c r="F683" s="65" t="e">
        <f>IF('Prediction Log'!#REF!=0, "",'Prediction Log'!#REF!)</f>
        <v>#REF!</v>
      </c>
      <c r="G683" s="64" t="e">
        <f>IF(ISBLANK(Games!#REF!), "",'Prediction Log'!#REF!)</f>
        <v>#REF!</v>
      </c>
      <c r="H683" s="66" t="e">
        <f>'Prediction Log'!#REF!</f>
        <v>#REF!</v>
      </c>
      <c r="I683" s="65" t="e">
        <f>IF(ISBLANK(Games!#REF!), "",IF(AND(Games!#REF!="",Games!#REF!=""),"",IF(ISTEXT(Games!#REF!), "Side",Games!#REF!)))</f>
        <v>#REF!</v>
      </c>
      <c r="J683" s="65" t="e">
        <f>IF(ISBLANK(Games!#REF!), "",IF(Games!#REF!="Y", Games!#REF!, Games!#REF!))</f>
        <v>#REF!</v>
      </c>
      <c r="K683" s="65" t="e">
        <f>Games!#REF!</f>
        <v>#REF!</v>
      </c>
      <c r="L683" s="65" t="e">
        <f>IF(ISBLANK(Games!#REF!), "",Games!#REF!)</f>
        <v>#REF!</v>
      </c>
      <c r="M683" s="65"/>
      <c r="N683" s="167" t="str">
        <f>IF(ISBLANK(Table123[[#This Row],[Odds Side - Difference Model]]), "", 1)</f>
      </c>
      <c r="O683" s="167" t="str">
        <f>IF(ISBLANK(Table123[[#This Row],[Odds Spread]]), "", 1)</f>
      </c>
      <c r="P683" s="67"/>
      <c r="Q683" s="67"/>
      <c r="R68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3" s="67"/>
      <c r="T683" s="67"/>
      <c r="U683" s="168" t="str">
        <f>IF(ISBLANK(Table123[[#This Row],[Odds Side - Difference Model]]), "",N683+IF(Q683&lt;0, (N683/(Q683/-100)), N683*(Q683/100)))</f>
      </c>
      <c r="V683" s="169" t="str">
        <f>IFERROR(IF(ISBLANK(Table123[[#This Row],[Odds Side - Win Probability Model]]), "",N683+IF(R683&lt;0, (N683/(R683/-100)), N683*(R683/100))),"")</f>
      </c>
      <c r="W683" s="168" t="str">
        <f t="shared" si="67"/>
      </c>
      <c r="X683" s="169" t="str">
        <f t="shared" si="68"/>
      </c>
      <c r="Y683" s="168" t="str">
        <f>IF(ISBLANK(Table123[[#This Row],[Odds Spread]]), "",O683+IF(S683&lt;0, (O683/(S683/-100)), O683*(S683/100)))</f>
      </c>
      <c r="Z683" s="168" t="str">
        <f t="shared" si="69"/>
      </c>
      <c r="AA683" s="68" t="n">
        <f t="shared" si="70"/>
        <v>0</v>
      </c>
      <c r="AB683" s="68" t="n">
        <f t="shared" si="71"/>
        <v>0</v>
      </c>
      <c r="AC683" s="170" t="e">
        <f>IF('Prediction Log'!#REF!="Y", "W", IF('Prediction Log'!#REF!="N","L",""))</f>
        <v>#REF!</v>
      </c>
      <c r="AD683" s="171" t="e">
        <f>IF('Prediction Log'!#REF!="Y", "W", IF('Prediction Log'!#REF!="N","L",""))</f>
        <v>#REF!</v>
      </c>
      <c r="AE683" s="172" t="str">
        <f>IF(ISBLANK(Table123[[#This Row],[Odds Side - Difference Model]]), "",IF(AC683="W", W683, IF(AC683="L",-N683, "")))</f>
      </c>
      <c r="AF683" s="173" t="str">
        <f>IFERROR((IF(ISERR(Table123[[#This Row],[Potential Payout Side - Win Probability Model]]), "",IF(AD683="W", X683, IF(AD683="L",-N683, "")))), "")</f>
      </c>
      <c r="AG683" s="170" t="e">
        <f>IF('Prediction Log'!#REF!="Y", "W", IF('Prediction Log'!#REF!="N", "L", ""))</f>
        <v>#REF!</v>
      </c>
      <c r="AH683" s="172" t="str">
        <f>IF(ISBLANK(Table123[[#This Row],[Odds Spread]]), "",IF(AG683="W", Z683, IF(AG683="L",-O683, "")))</f>
      </c>
      <c r="AI683" s="184"/>
      <c r="AJ683" s="183" t="str">
        <f t="shared" si="72"/>
      </c>
      <c r="AK68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4">
      <c r="A684" s="65" t="e">
        <f>Games!#REF!</f>
        <v>#REF!</v>
      </c>
      <c r="B684" s="65" t="e">
        <f>IF('Prediction Log'!#REF!=0, "",'Prediction Log'!#REF!)</f>
        <v>#REF!</v>
      </c>
      <c r="C684" s="65" t="e">
        <f>IF('Prediction Log'!#REF!=0, "",'Prediction Log'!#REF!)</f>
        <v>#REF!</v>
      </c>
      <c r="D684" s="65" t="e">
        <f>IF('Prediction Log'!#REF!=0, "",'Prediction Log'!#REF!)</f>
        <v>#REF!</v>
      </c>
      <c r="E684" s="65" t="e">
        <f>IF('Prediction Log'!#REF!=0, "",'Prediction Log'!#REF!)</f>
        <v>#REF!</v>
      </c>
      <c r="F684" s="65" t="e">
        <f>IF('Prediction Log'!#REF!=0, "",'Prediction Log'!#REF!)</f>
        <v>#REF!</v>
      </c>
      <c r="G684" s="64" t="e">
        <f>IF(ISBLANK(Games!#REF!), "",'Prediction Log'!#REF!)</f>
        <v>#REF!</v>
      </c>
      <c r="H684" s="66" t="e">
        <f>'Prediction Log'!#REF!</f>
        <v>#REF!</v>
      </c>
      <c r="I684" s="65" t="e">
        <f>IF(ISBLANK(Games!#REF!), "",IF(AND(Games!#REF!="",Games!#REF!=""),"",IF(ISTEXT(Games!#REF!), "Side",Games!#REF!)))</f>
        <v>#REF!</v>
      </c>
      <c r="J684" s="65" t="e">
        <f>IF(ISBLANK(Games!#REF!), "",IF(Games!#REF!="Y", Games!#REF!, Games!#REF!))</f>
        <v>#REF!</v>
      </c>
      <c r="K684" s="65" t="e">
        <f>Games!#REF!</f>
        <v>#REF!</v>
      </c>
      <c r="L684" s="65" t="e">
        <f>IF(ISBLANK(Games!#REF!), "",Games!#REF!)</f>
        <v>#REF!</v>
      </c>
      <c r="M684" s="65"/>
      <c r="N684" s="167" t="str">
        <f>IF(ISBLANK(Table123[[#This Row],[Odds Side - Difference Model]]), "", 1)</f>
      </c>
      <c r="O684" s="167" t="str">
        <f>IF(ISBLANK(Table123[[#This Row],[Odds Spread]]), "", 1)</f>
      </c>
      <c r="P684" s="67"/>
      <c r="Q684" s="67"/>
      <c r="R68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4" s="67"/>
      <c r="T684" s="67"/>
      <c r="U684" s="168" t="str">
        <f>IF(ISBLANK(Table123[[#This Row],[Odds Side - Difference Model]]), "",N684+IF(Q684&lt;0, (N684/(Q684/-100)), N684*(Q684/100)))</f>
      </c>
      <c r="V684" s="169" t="str">
        <f>IFERROR(IF(ISBLANK(Table123[[#This Row],[Odds Side - Win Probability Model]]), "",N684+IF(R684&lt;0, (N684/(R684/-100)), N684*(R684/100))),"")</f>
      </c>
      <c r="W684" s="168" t="str">
        <f t="shared" si="67"/>
      </c>
      <c r="X684" s="169" t="str">
        <f t="shared" si="68"/>
      </c>
      <c r="Y684" s="168" t="str">
        <f>IF(ISBLANK(Table123[[#This Row],[Odds Spread]]), "",O684+IF(S684&lt;0, (O684/(S684/-100)), O684*(S684/100)))</f>
      </c>
      <c r="Z684" s="168" t="str">
        <f t="shared" si="69"/>
      </c>
      <c r="AA684" s="68" t="n">
        <f t="shared" si="70"/>
        <v>0</v>
      </c>
      <c r="AB684" s="68" t="n">
        <f t="shared" si="71"/>
        <v>0</v>
      </c>
      <c r="AC684" s="170" t="e">
        <f>IF('Prediction Log'!#REF!="Y", "W", IF('Prediction Log'!#REF!="N","L",""))</f>
        <v>#REF!</v>
      </c>
      <c r="AD684" s="171" t="e">
        <f>IF('Prediction Log'!#REF!="Y", "W", IF('Prediction Log'!#REF!="N","L",""))</f>
        <v>#REF!</v>
      </c>
      <c r="AE684" s="172" t="str">
        <f>IF(ISBLANK(Table123[[#This Row],[Odds Side - Difference Model]]), "",IF(AC684="W", W684, IF(AC684="L",-N684, "")))</f>
      </c>
      <c r="AF684" s="173" t="str">
        <f>IFERROR((IF(ISERR(Table123[[#This Row],[Potential Payout Side - Win Probability Model]]), "",IF(AD684="W", X684, IF(AD684="L",-N684, "")))), "")</f>
      </c>
      <c r="AG684" s="170" t="e">
        <f>IF('Prediction Log'!#REF!="Y", "W", IF('Prediction Log'!#REF!="N", "L", ""))</f>
        <v>#REF!</v>
      </c>
      <c r="AH684" s="172" t="str">
        <f>IF(ISBLANK(Table123[[#This Row],[Odds Spread]]), "",IF(AG684="W", Z684, IF(AG684="L",-O684, "")))</f>
      </c>
      <c r="AI684" s="184"/>
      <c r="AJ684" s="183" t="str">
        <f t="shared" si="72"/>
      </c>
      <c r="AK68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5">
      <c r="A685" s="65" t="e">
        <f>Games!#REF!</f>
        <v>#REF!</v>
      </c>
      <c r="B685" s="65" t="e">
        <f>IF('Prediction Log'!#REF!=0, "",'Prediction Log'!#REF!)</f>
        <v>#REF!</v>
      </c>
      <c r="C685" s="65" t="e">
        <f>IF('Prediction Log'!#REF!=0, "",'Prediction Log'!#REF!)</f>
        <v>#REF!</v>
      </c>
      <c r="D685" s="65" t="e">
        <f>IF('Prediction Log'!#REF!=0, "",'Prediction Log'!#REF!)</f>
        <v>#REF!</v>
      </c>
      <c r="E685" s="65" t="e">
        <f>IF('Prediction Log'!#REF!=0, "",'Prediction Log'!#REF!)</f>
        <v>#REF!</v>
      </c>
      <c r="F685" s="65" t="e">
        <f>IF('Prediction Log'!#REF!=0, "",'Prediction Log'!#REF!)</f>
        <v>#REF!</v>
      </c>
      <c r="G685" s="64" t="e">
        <f>IF(ISBLANK(Games!#REF!), "",'Prediction Log'!#REF!)</f>
        <v>#REF!</v>
      </c>
      <c r="H685" s="66" t="e">
        <f>'Prediction Log'!#REF!</f>
        <v>#REF!</v>
      </c>
      <c r="I685" s="65" t="e">
        <f>IF(ISBLANK(Games!#REF!), "",IF(AND(Games!#REF!="",Games!#REF!=""),"",IF(ISTEXT(Games!#REF!), "Side",Games!#REF!)))</f>
        <v>#REF!</v>
      </c>
      <c r="J685" s="65" t="e">
        <f>IF(ISBLANK(Games!#REF!), "",IF(Games!#REF!="Y", Games!#REF!, Games!#REF!))</f>
        <v>#REF!</v>
      </c>
      <c r="K685" s="65" t="e">
        <f>Games!#REF!</f>
        <v>#REF!</v>
      </c>
      <c r="L685" s="65" t="e">
        <f>IF(ISBLANK(Games!#REF!), "",Games!#REF!)</f>
        <v>#REF!</v>
      </c>
      <c r="M685" s="65"/>
      <c r="N685" s="167" t="str">
        <f>IF(ISBLANK(Table123[[#This Row],[Odds Side - Difference Model]]), "", 1)</f>
      </c>
      <c r="O685" s="167" t="str">
        <f>IF(ISBLANK(Table123[[#This Row],[Odds Spread]]), "", 1)</f>
      </c>
      <c r="P685" s="67"/>
      <c r="Q685" s="67"/>
      <c r="R68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5" s="67"/>
      <c r="T685" s="67"/>
      <c r="U685" s="168" t="str">
        <f>IF(ISBLANK(Table123[[#This Row],[Odds Side - Difference Model]]), "",N685+IF(Q685&lt;0, (N685/(Q685/-100)), N685*(Q685/100)))</f>
      </c>
      <c r="V685" s="169" t="str">
        <f>IFERROR(IF(ISBLANK(Table123[[#This Row],[Odds Side - Win Probability Model]]), "",N685+IF(R685&lt;0, (N685/(R685/-100)), N685*(R685/100))),"")</f>
      </c>
      <c r="W685" s="168" t="str">
        <f t="shared" si="67"/>
      </c>
      <c r="X685" s="169" t="str">
        <f t="shared" si="68"/>
      </c>
      <c r="Y685" s="168" t="str">
        <f>IF(ISBLANK(Table123[[#This Row],[Odds Spread]]), "",O685+IF(S685&lt;0, (O685/(S685/-100)), O685*(S685/100)))</f>
      </c>
      <c r="Z685" s="168" t="str">
        <f t="shared" si="69"/>
      </c>
      <c r="AA685" s="68" t="n">
        <f t="shared" si="70"/>
        <v>0</v>
      </c>
      <c r="AB685" s="68" t="n">
        <f t="shared" si="71"/>
        <v>0</v>
      </c>
      <c r="AC685" s="170" t="e">
        <f>IF('Prediction Log'!#REF!="Y", "W", IF('Prediction Log'!#REF!="N","L",""))</f>
        <v>#REF!</v>
      </c>
      <c r="AD685" s="171" t="e">
        <f>IF('Prediction Log'!#REF!="Y", "W", IF('Prediction Log'!#REF!="N","L",""))</f>
        <v>#REF!</v>
      </c>
      <c r="AE685" s="172" t="str">
        <f>IF(ISBLANK(Table123[[#This Row],[Odds Side - Difference Model]]), "",IF(AC685="W", W685, IF(AC685="L",-N685, "")))</f>
      </c>
      <c r="AF685" s="173" t="str">
        <f>IFERROR((IF(ISERR(Table123[[#This Row],[Potential Payout Side - Win Probability Model]]), "",IF(AD685="W", X685, IF(AD685="L",-N685, "")))), "")</f>
      </c>
      <c r="AG685" s="170" t="e">
        <f>IF('Prediction Log'!#REF!="Y", "W", IF('Prediction Log'!#REF!="N", "L", ""))</f>
        <v>#REF!</v>
      </c>
      <c r="AH685" s="172" t="str">
        <f>IF(ISBLANK(Table123[[#This Row],[Odds Spread]]), "",IF(AG685="W", Z685, IF(AG685="L",-O685, "")))</f>
      </c>
      <c r="AI685" s="184"/>
      <c r="AJ685" s="183" t="str">
        <f t="shared" si="72"/>
      </c>
      <c r="AK68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6">
      <c r="A686" s="65" t="e">
        <f>Games!#REF!</f>
        <v>#REF!</v>
      </c>
      <c r="B686" s="65" t="e">
        <f>IF('Prediction Log'!#REF!=0, "",'Prediction Log'!#REF!)</f>
        <v>#REF!</v>
      </c>
      <c r="C686" s="65" t="e">
        <f>IF('Prediction Log'!#REF!=0, "",'Prediction Log'!#REF!)</f>
        <v>#REF!</v>
      </c>
      <c r="D686" s="65" t="e">
        <f>IF('Prediction Log'!#REF!=0, "",'Prediction Log'!#REF!)</f>
        <v>#REF!</v>
      </c>
      <c r="E686" s="65" t="e">
        <f>IF('Prediction Log'!#REF!=0, "",'Prediction Log'!#REF!)</f>
        <v>#REF!</v>
      </c>
      <c r="F686" s="65" t="e">
        <f>IF('Prediction Log'!#REF!=0, "",'Prediction Log'!#REF!)</f>
        <v>#REF!</v>
      </c>
      <c r="G686" s="64" t="e">
        <f>IF(ISBLANK(Games!#REF!), "",'Prediction Log'!#REF!)</f>
        <v>#REF!</v>
      </c>
      <c r="H686" s="66" t="e">
        <f>'Prediction Log'!#REF!</f>
        <v>#REF!</v>
      </c>
      <c r="I686" s="65" t="e">
        <f>IF(ISBLANK(Games!#REF!), "",IF(AND(Games!#REF!="",Games!#REF!=""),"",IF(ISTEXT(Games!#REF!), "Side",Games!#REF!)))</f>
        <v>#REF!</v>
      </c>
      <c r="J686" s="65" t="e">
        <f>IF(ISBLANK(Games!#REF!), "",IF(Games!#REF!="Y", Games!#REF!, Games!#REF!))</f>
        <v>#REF!</v>
      </c>
      <c r="K686" s="65" t="e">
        <f>Games!#REF!</f>
        <v>#REF!</v>
      </c>
      <c r="L686" s="65" t="e">
        <f>IF(ISBLANK(Games!#REF!), "",Games!#REF!)</f>
        <v>#REF!</v>
      </c>
      <c r="M686" s="65"/>
      <c r="N686" s="167" t="str">
        <f>IF(ISBLANK(Table123[[#This Row],[Odds Side - Difference Model]]), "", 1)</f>
      </c>
      <c r="O686" s="167" t="str">
        <f>IF(ISBLANK(Table123[[#This Row],[Odds Spread]]), "", 1)</f>
      </c>
      <c r="P686" s="67"/>
      <c r="Q686" s="67"/>
      <c r="R68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6" s="67"/>
      <c r="T686" s="67"/>
      <c r="U686" s="168" t="str">
        <f>IF(ISBLANK(Table123[[#This Row],[Odds Side - Difference Model]]), "",N686+IF(Q686&lt;0, (N686/(Q686/-100)), N686*(Q686/100)))</f>
      </c>
      <c r="V686" s="169" t="str">
        <f>IFERROR(IF(ISBLANK(Table123[[#This Row],[Odds Side - Win Probability Model]]), "",N686+IF(R686&lt;0, (N686/(R686/-100)), N686*(R686/100))),"")</f>
      </c>
      <c r="W686" s="168" t="str">
        <f t="shared" si="67"/>
      </c>
      <c r="X686" s="169" t="str">
        <f t="shared" si="68"/>
      </c>
      <c r="Y686" s="168" t="str">
        <f>IF(ISBLANK(Table123[[#This Row],[Odds Spread]]), "",O686+IF(S686&lt;0, (O686/(S686/-100)), O686*(S686/100)))</f>
      </c>
      <c r="Z686" s="168" t="str">
        <f t="shared" si="69"/>
      </c>
      <c r="AA686" s="68" t="n">
        <f t="shared" si="70"/>
        <v>0</v>
      </c>
      <c r="AB686" s="68" t="n">
        <f t="shared" si="71"/>
        <v>0</v>
      </c>
      <c r="AC686" s="170" t="e">
        <f>IF('Prediction Log'!#REF!="Y", "W", IF('Prediction Log'!#REF!="N","L",""))</f>
        <v>#REF!</v>
      </c>
      <c r="AD686" s="171" t="e">
        <f>IF('Prediction Log'!#REF!="Y", "W", IF('Prediction Log'!#REF!="N","L",""))</f>
        <v>#REF!</v>
      </c>
      <c r="AE686" s="172" t="str">
        <f>IF(ISBLANK(Table123[[#This Row],[Odds Side - Difference Model]]), "",IF(AC686="W", W686, IF(AC686="L",-N686, "")))</f>
      </c>
      <c r="AF686" s="173" t="str">
        <f>IFERROR((IF(ISERR(Table123[[#This Row],[Potential Payout Side - Win Probability Model]]), "",IF(AD686="W", X686, IF(AD686="L",-N686, "")))), "")</f>
      </c>
      <c r="AG686" s="170" t="e">
        <f>IF('Prediction Log'!#REF!="Y", "W", IF('Prediction Log'!#REF!="N", "L", ""))</f>
        <v>#REF!</v>
      </c>
      <c r="AH686" s="172" t="str">
        <f>IF(ISBLANK(Table123[[#This Row],[Odds Spread]]), "",IF(AG686="W", Z686, IF(AG686="L",-O686, "")))</f>
      </c>
      <c r="AI686" s="184"/>
      <c r="AJ686" s="183" t="str">
        <f t="shared" si="72"/>
      </c>
      <c r="AK68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7">
      <c r="A687" s="65" t="e">
        <f>Games!#REF!</f>
        <v>#REF!</v>
      </c>
      <c r="B687" s="65" t="e">
        <f>IF('Prediction Log'!#REF!=0, "",'Prediction Log'!#REF!)</f>
        <v>#REF!</v>
      </c>
      <c r="C687" s="65" t="e">
        <f>IF('Prediction Log'!#REF!=0, "",'Prediction Log'!#REF!)</f>
        <v>#REF!</v>
      </c>
      <c r="D687" s="65" t="e">
        <f>IF('Prediction Log'!#REF!=0, "",'Prediction Log'!#REF!)</f>
        <v>#REF!</v>
      </c>
      <c r="E687" s="65" t="e">
        <f>IF('Prediction Log'!#REF!=0, "",'Prediction Log'!#REF!)</f>
        <v>#REF!</v>
      </c>
      <c r="F687" s="65" t="e">
        <f>IF('Prediction Log'!#REF!=0, "",'Prediction Log'!#REF!)</f>
        <v>#REF!</v>
      </c>
      <c r="G687" s="64" t="e">
        <f>IF(ISBLANK(Games!#REF!), "",'Prediction Log'!#REF!)</f>
        <v>#REF!</v>
      </c>
      <c r="H687" s="66" t="e">
        <f>'Prediction Log'!#REF!</f>
        <v>#REF!</v>
      </c>
      <c r="I687" s="65" t="e">
        <f>IF(ISBLANK(Games!#REF!), "",IF(AND(Games!#REF!="",Games!#REF!=""),"",IF(ISTEXT(Games!#REF!), "Side",Games!#REF!)))</f>
        <v>#REF!</v>
      </c>
      <c r="J687" s="65" t="e">
        <f>IF(ISBLANK(Games!#REF!), "",IF(Games!#REF!="Y", Games!#REF!, Games!#REF!))</f>
        <v>#REF!</v>
      </c>
      <c r="K687" s="65" t="e">
        <f>Games!#REF!</f>
        <v>#REF!</v>
      </c>
      <c r="L687" s="65" t="e">
        <f>IF(ISBLANK(Games!#REF!), "",Games!#REF!)</f>
        <v>#REF!</v>
      </c>
      <c r="M687" s="65"/>
      <c r="N687" s="167" t="str">
        <f>IF(ISBLANK(Table123[[#This Row],[Odds Side - Difference Model]]), "", 1)</f>
      </c>
      <c r="O687" s="167" t="str">
        <f>IF(ISBLANK(Table123[[#This Row],[Odds Spread]]), "", 1)</f>
      </c>
      <c r="P687" s="67"/>
      <c r="Q687" s="67"/>
      <c r="R68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7" s="67"/>
      <c r="T687" s="67"/>
      <c r="U687" s="168" t="str">
        <f>IF(ISBLANK(Table123[[#This Row],[Odds Side - Difference Model]]), "",N687+IF(Q687&lt;0, (N687/(Q687/-100)), N687*(Q687/100)))</f>
      </c>
      <c r="V687" s="169" t="str">
        <f>IFERROR(IF(ISBLANK(Table123[[#This Row],[Odds Side - Win Probability Model]]), "",N687+IF(R687&lt;0, (N687/(R687/-100)), N687*(R687/100))),"")</f>
      </c>
      <c r="W687" s="168" t="str">
        <f t="shared" si="67"/>
      </c>
      <c r="X687" s="169" t="str">
        <f t="shared" si="68"/>
      </c>
      <c r="Y687" s="168" t="str">
        <f>IF(ISBLANK(Table123[[#This Row],[Odds Spread]]), "",O687+IF(S687&lt;0, (O687/(S687/-100)), O687*(S687/100)))</f>
      </c>
      <c r="Z687" s="168" t="str">
        <f t="shared" si="69"/>
      </c>
      <c r="AA687" s="68" t="n">
        <f t="shared" si="70"/>
        <v>0</v>
      </c>
      <c r="AB687" s="68" t="n">
        <f t="shared" si="71"/>
        <v>0</v>
      </c>
      <c r="AC687" s="170" t="e">
        <f>IF('Prediction Log'!#REF!="Y", "W", IF('Prediction Log'!#REF!="N","L",""))</f>
        <v>#REF!</v>
      </c>
      <c r="AD687" s="171" t="e">
        <f>IF('Prediction Log'!#REF!="Y", "W", IF('Prediction Log'!#REF!="N","L",""))</f>
        <v>#REF!</v>
      </c>
      <c r="AE687" s="172" t="str">
        <f>IF(ISBLANK(Table123[[#This Row],[Odds Side - Difference Model]]), "",IF(AC687="W", W687, IF(AC687="L",-N687, "")))</f>
      </c>
      <c r="AF687" s="173" t="str">
        <f>IFERROR((IF(ISERR(Table123[[#This Row],[Potential Payout Side - Win Probability Model]]), "",IF(AD687="W", X687, IF(AD687="L",-N687, "")))), "")</f>
      </c>
      <c r="AG687" s="170" t="e">
        <f>IF('Prediction Log'!#REF!="Y", "W", IF('Prediction Log'!#REF!="N", "L", ""))</f>
        <v>#REF!</v>
      </c>
      <c r="AH687" s="172" t="str">
        <f>IF(ISBLANK(Table123[[#This Row],[Odds Spread]]), "",IF(AG687="W", Z687, IF(AG687="L",-O687, "")))</f>
      </c>
      <c r="AI687" s="184"/>
      <c r="AJ687" s="183" t="str">
        <f t="shared" si="72"/>
      </c>
      <c r="AK68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8">
      <c r="A688" s="65" t="e">
        <f>Games!#REF!</f>
        <v>#REF!</v>
      </c>
      <c r="B688" s="65" t="e">
        <f>IF('Prediction Log'!#REF!=0, "",'Prediction Log'!#REF!)</f>
        <v>#REF!</v>
      </c>
      <c r="C688" s="65" t="e">
        <f>IF('Prediction Log'!#REF!=0, "",'Prediction Log'!#REF!)</f>
        <v>#REF!</v>
      </c>
      <c r="D688" s="65" t="e">
        <f>IF('Prediction Log'!#REF!=0, "",'Prediction Log'!#REF!)</f>
        <v>#REF!</v>
      </c>
      <c r="E688" s="65" t="e">
        <f>IF('Prediction Log'!#REF!=0, "",'Prediction Log'!#REF!)</f>
        <v>#REF!</v>
      </c>
      <c r="F688" s="65" t="e">
        <f>IF('Prediction Log'!#REF!=0, "",'Prediction Log'!#REF!)</f>
        <v>#REF!</v>
      </c>
      <c r="G688" s="64" t="e">
        <f>IF(ISBLANK(Games!#REF!), "",'Prediction Log'!#REF!)</f>
        <v>#REF!</v>
      </c>
      <c r="H688" s="66" t="e">
        <f>'Prediction Log'!#REF!</f>
        <v>#REF!</v>
      </c>
      <c r="I688" s="65" t="e">
        <f>IF(ISBLANK(Games!#REF!), "",IF(AND(Games!#REF!="",Games!#REF!=""),"",IF(ISTEXT(Games!#REF!), "Side",Games!#REF!)))</f>
        <v>#REF!</v>
      </c>
      <c r="J688" s="65" t="e">
        <f>IF(ISBLANK(Games!#REF!), "",IF(Games!#REF!="Y", Games!#REF!, Games!#REF!))</f>
        <v>#REF!</v>
      </c>
      <c r="K688" s="65" t="e">
        <f>Games!#REF!</f>
        <v>#REF!</v>
      </c>
      <c r="L688" s="65" t="e">
        <f>IF(ISBLANK(Games!#REF!), "",Games!#REF!)</f>
        <v>#REF!</v>
      </c>
      <c r="M688" s="65"/>
      <c r="N688" s="167" t="str">
        <f>IF(ISBLANK(Table123[[#This Row],[Odds Side - Difference Model]]), "", 1)</f>
      </c>
      <c r="O688" s="167" t="str">
        <f>IF(ISBLANK(Table123[[#This Row],[Odds Spread]]), "", 1)</f>
      </c>
      <c r="P688" s="67"/>
      <c r="Q688" s="67"/>
      <c r="R68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8" s="67"/>
      <c r="T688" s="67"/>
      <c r="U688" s="168" t="str">
        <f>IF(ISBLANK(Table123[[#This Row],[Odds Side - Difference Model]]), "",N688+IF(Q688&lt;0, (N688/(Q688/-100)), N688*(Q688/100)))</f>
      </c>
      <c r="V688" s="169" t="str">
        <f>IFERROR(IF(ISBLANK(Table123[[#This Row],[Odds Side - Win Probability Model]]), "",N688+IF(R688&lt;0, (N688/(R688/-100)), N688*(R688/100))),"")</f>
      </c>
      <c r="W688" s="168" t="str">
        <f t="shared" si="67"/>
      </c>
      <c r="X688" s="169" t="str">
        <f t="shared" si="68"/>
      </c>
      <c r="Y688" s="168" t="str">
        <f>IF(ISBLANK(Table123[[#This Row],[Odds Spread]]), "",O688+IF(S688&lt;0, (O688/(S688/-100)), O688*(S688/100)))</f>
      </c>
      <c r="Z688" s="168" t="str">
        <f t="shared" si="69"/>
      </c>
      <c r="AA688" s="68" t="n">
        <f t="shared" si="70"/>
        <v>0</v>
      </c>
      <c r="AB688" s="68" t="n">
        <f t="shared" si="71"/>
        <v>0</v>
      </c>
      <c r="AC688" s="170" t="e">
        <f>IF('Prediction Log'!#REF!="Y", "W", IF('Prediction Log'!#REF!="N","L",""))</f>
        <v>#REF!</v>
      </c>
      <c r="AD688" s="171" t="e">
        <f>IF('Prediction Log'!#REF!="Y", "W", IF('Prediction Log'!#REF!="N","L",""))</f>
        <v>#REF!</v>
      </c>
      <c r="AE688" s="172" t="str">
        <f>IF(ISBLANK(Table123[[#This Row],[Odds Side - Difference Model]]), "",IF(AC688="W", W688, IF(AC688="L",-N688, "")))</f>
      </c>
      <c r="AF688" s="173" t="str">
        <f>IFERROR((IF(ISERR(Table123[[#This Row],[Potential Payout Side - Win Probability Model]]), "",IF(AD688="W", X688, IF(AD688="L",-N688, "")))), "")</f>
      </c>
      <c r="AG688" s="170" t="e">
        <f>IF('Prediction Log'!#REF!="Y", "W", IF('Prediction Log'!#REF!="N", "L", ""))</f>
        <v>#REF!</v>
      </c>
      <c r="AH688" s="172" t="str">
        <f>IF(ISBLANK(Table123[[#This Row],[Odds Spread]]), "",IF(AG688="W", Z688, IF(AG688="L",-O688, "")))</f>
      </c>
      <c r="AI688" s="184"/>
      <c r="AJ688" s="183" t="str">
        <f t="shared" si="72"/>
      </c>
      <c r="AK68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9">
      <c r="A689" s="65" t="e">
        <f>Games!#REF!</f>
        <v>#REF!</v>
      </c>
      <c r="B689" s="65" t="e">
        <f>IF('Prediction Log'!#REF!=0, "",'Prediction Log'!#REF!)</f>
        <v>#REF!</v>
      </c>
      <c r="C689" s="65" t="e">
        <f>IF('Prediction Log'!#REF!=0, "",'Prediction Log'!#REF!)</f>
        <v>#REF!</v>
      </c>
      <c r="D689" s="65" t="e">
        <f>IF('Prediction Log'!#REF!=0, "",'Prediction Log'!#REF!)</f>
        <v>#REF!</v>
      </c>
      <c r="E689" s="65" t="e">
        <f>IF('Prediction Log'!#REF!=0, "",'Prediction Log'!#REF!)</f>
        <v>#REF!</v>
      </c>
      <c r="F689" s="65" t="e">
        <f>IF('Prediction Log'!#REF!=0, "",'Prediction Log'!#REF!)</f>
        <v>#REF!</v>
      </c>
      <c r="G689" s="64" t="e">
        <f>IF(ISBLANK(Games!#REF!), "",'Prediction Log'!#REF!)</f>
        <v>#REF!</v>
      </c>
      <c r="H689" s="66" t="e">
        <f>'Prediction Log'!#REF!</f>
        <v>#REF!</v>
      </c>
      <c r="I689" s="65" t="e">
        <f>IF(ISBLANK(Games!#REF!), "",IF(AND(Games!#REF!="",Games!#REF!=""),"",IF(ISTEXT(Games!#REF!), "Side",Games!#REF!)))</f>
        <v>#REF!</v>
      </c>
      <c r="J689" s="65" t="e">
        <f>IF(ISBLANK(Games!#REF!), "",IF(Games!#REF!="Y", Games!#REF!, Games!#REF!))</f>
        <v>#REF!</v>
      </c>
      <c r="K689" s="65" t="e">
        <f>Games!#REF!</f>
        <v>#REF!</v>
      </c>
      <c r="L689" s="65" t="e">
        <f>IF(ISBLANK(Games!#REF!), "",Games!#REF!)</f>
        <v>#REF!</v>
      </c>
      <c r="M689" s="65"/>
      <c r="N689" s="167" t="str">
        <f>IF(ISBLANK(Table123[[#This Row],[Odds Side - Difference Model]]), "", 1)</f>
      </c>
      <c r="O689" s="167" t="str">
        <f>IF(ISBLANK(Table123[[#This Row],[Odds Spread]]), "", 1)</f>
      </c>
      <c r="P689" s="67"/>
      <c r="Q689" s="67"/>
      <c r="R68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9" s="67"/>
      <c r="T689" s="67"/>
      <c r="U689" s="168" t="str">
        <f>IF(ISBLANK(Table123[[#This Row],[Odds Side - Difference Model]]), "",N689+IF(Q689&lt;0, (N689/(Q689/-100)), N689*(Q689/100)))</f>
      </c>
      <c r="V689" s="169" t="str">
        <f>IFERROR(IF(ISBLANK(Table123[[#This Row],[Odds Side - Win Probability Model]]), "",N689+IF(R689&lt;0, (N689/(R689/-100)), N689*(R689/100))),"")</f>
      </c>
      <c r="W689" s="168" t="str">
        <f t="shared" si="67"/>
      </c>
      <c r="X689" s="169" t="str">
        <f t="shared" si="68"/>
      </c>
      <c r="Y689" s="168" t="str">
        <f>IF(ISBLANK(Table123[[#This Row],[Odds Spread]]), "",O689+IF(S689&lt;0, (O689/(S689/-100)), O689*(S689/100)))</f>
      </c>
      <c r="Z689" s="168" t="str">
        <f t="shared" si="69"/>
      </c>
      <c r="AA689" s="68" t="n">
        <f t="shared" si="70"/>
        <v>0</v>
      </c>
      <c r="AB689" s="68" t="n">
        <f t="shared" si="71"/>
        <v>0</v>
      </c>
      <c r="AC689" s="170" t="e">
        <f>IF('Prediction Log'!#REF!="Y", "W", IF('Prediction Log'!#REF!="N","L",""))</f>
        <v>#REF!</v>
      </c>
      <c r="AD689" s="171" t="e">
        <f>IF('Prediction Log'!#REF!="Y", "W", IF('Prediction Log'!#REF!="N","L",""))</f>
        <v>#REF!</v>
      </c>
      <c r="AE689" s="172" t="str">
        <f>IF(ISBLANK(Table123[[#This Row],[Odds Side - Difference Model]]), "",IF(AC689="W", W689, IF(AC689="L",-N689, "")))</f>
      </c>
      <c r="AF689" s="173" t="str">
        <f>IFERROR((IF(ISERR(Table123[[#This Row],[Potential Payout Side - Win Probability Model]]), "",IF(AD689="W", X689, IF(AD689="L",-N689, "")))), "")</f>
      </c>
      <c r="AG689" s="170" t="e">
        <f>IF('Prediction Log'!#REF!="Y", "W", IF('Prediction Log'!#REF!="N", "L", ""))</f>
        <v>#REF!</v>
      </c>
      <c r="AH689" s="172" t="str">
        <f>IF(ISBLANK(Table123[[#This Row],[Odds Spread]]), "",IF(AG689="W", Z689, IF(AG689="L",-O689, "")))</f>
      </c>
      <c r="AI689" s="184"/>
      <c r="AJ689" s="183" t="str">
        <f t="shared" si="72"/>
      </c>
      <c r="AK68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0">
      <c r="A690" s="65" t="e">
        <f>Games!#REF!</f>
        <v>#REF!</v>
      </c>
      <c r="B690" s="65" t="e">
        <f>IF('Prediction Log'!#REF!=0, "",'Prediction Log'!#REF!)</f>
        <v>#REF!</v>
      </c>
      <c r="C690" s="65" t="e">
        <f>IF('Prediction Log'!#REF!=0, "",'Prediction Log'!#REF!)</f>
        <v>#REF!</v>
      </c>
      <c r="D690" s="65" t="e">
        <f>IF('Prediction Log'!#REF!=0, "",'Prediction Log'!#REF!)</f>
        <v>#REF!</v>
      </c>
      <c r="E690" s="65" t="e">
        <f>IF('Prediction Log'!#REF!=0, "",'Prediction Log'!#REF!)</f>
        <v>#REF!</v>
      </c>
      <c r="F690" s="65" t="e">
        <f>IF('Prediction Log'!#REF!=0, "",'Prediction Log'!#REF!)</f>
        <v>#REF!</v>
      </c>
      <c r="G690" s="64" t="e">
        <f>IF(ISBLANK(Games!#REF!), "",'Prediction Log'!#REF!)</f>
        <v>#REF!</v>
      </c>
      <c r="H690" s="66" t="e">
        <f>'Prediction Log'!#REF!</f>
        <v>#REF!</v>
      </c>
      <c r="I690" s="65" t="e">
        <f>IF(ISBLANK(Games!#REF!), "",IF(AND(Games!#REF!="",Games!#REF!=""),"",IF(ISTEXT(Games!#REF!), "Side",Games!#REF!)))</f>
        <v>#REF!</v>
      </c>
      <c r="J690" s="65" t="e">
        <f>IF(ISBLANK(Games!#REF!), "",IF(Games!#REF!="Y", Games!#REF!, Games!#REF!))</f>
        <v>#REF!</v>
      </c>
      <c r="K690" s="65" t="e">
        <f>Games!#REF!</f>
        <v>#REF!</v>
      </c>
      <c r="L690" s="65" t="e">
        <f>IF(ISBLANK(Games!#REF!), "",Games!#REF!)</f>
        <v>#REF!</v>
      </c>
      <c r="M690" s="65"/>
      <c r="N690" s="167" t="str">
        <f>IF(ISBLANK(Table123[[#This Row],[Odds Side - Difference Model]]), "", 1)</f>
      </c>
      <c r="O690" s="167" t="str">
        <f>IF(ISBLANK(Table123[[#This Row],[Odds Spread]]), "", 1)</f>
      </c>
      <c r="P690" s="67"/>
      <c r="Q690" s="67"/>
      <c r="R69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0" s="67"/>
      <c r="T690" s="67"/>
      <c r="U690" s="168" t="str">
        <f>IF(ISBLANK(Table123[[#This Row],[Odds Side - Difference Model]]), "",N690+IF(Q690&lt;0, (N690/(Q690/-100)), N690*(Q690/100)))</f>
      </c>
      <c r="V690" s="169" t="str">
        <f>IFERROR(IF(ISBLANK(Table123[[#This Row],[Odds Side - Win Probability Model]]), "",N690+IF(R690&lt;0, (N690/(R690/-100)), N690*(R690/100))),"")</f>
      </c>
      <c r="W690" s="168" t="str">
        <f t="shared" si="67"/>
      </c>
      <c r="X690" s="169" t="str">
        <f t="shared" si="68"/>
      </c>
      <c r="Y690" s="168" t="str">
        <f>IF(ISBLANK(Table123[[#This Row],[Odds Spread]]), "",O690+IF(S690&lt;0, (O690/(S690/-100)), O690*(S690/100)))</f>
      </c>
      <c r="Z690" s="168" t="str">
        <f t="shared" si="69"/>
      </c>
      <c r="AA690" s="68" t="n">
        <f t="shared" si="70"/>
        <v>0</v>
      </c>
      <c r="AB690" s="68" t="n">
        <f t="shared" si="71"/>
        <v>0</v>
      </c>
      <c r="AC690" s="170" t="e">
        <f>IF('Prediction Log'!#REF!="Y", "W", IF('Prediction Log'!#REF!="N","L",""))</f>
        <v>#REF!</v>
      </c>
      <c r="AD690" s="171" t="e">
        <f>IF('Prediction Log'!#REF!="Y", "W", IF('Prediction Log'!#REF!="N","L",""))</f>
        <v>#REF!</v>
      </c>
      <c r="AE690" s="172" t="str">
        <f>IF(ISBLANK(Table123[[#This Row],[Odds Side - Difference Model]]), "",IF(AC690="W", W690, IF(AC690="L",-N690, "")))</f>
      </c>
      <c r="AF690" s="173" t="str">
        <f>IFERROR((IF(ISERR(Table123[[#This Row],[Potential Payout Side - Win Probability Model]]), "",IF(AD690="W", X690, IF(AD690="L",-N690, "")))), "")</f>
      </c>
      <c r="AG690" s="170" t="e">
        <f>IF('Prediction Log'!#REF!="Y", "W", IF('Prediction Log'!#REF!="N", "L", ""))</f>
        <v>#REF!</v>
      </c>
      <c r="AH690" s="172" t="str">
        <f>IF(ISBLANK(Table123[[#This Row],[Odds Spread]]), "",IF(AG690="W", Z690, IF(AG690="L",-O690, "")))</f>
      </c>
      <c r="AI690" s="184"/>
      <c r="AJ690" s="183" t="str">
        <f t="shared" si="72"/>
      </c>
      <c r="AK69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1">
      <c r="A691" s="65" t="e">
        <f>Games!#REF!</f>
        <v>#REF!</v>
      </c>
      <c r="B691" s="65" t="e">
        <f>IF('Prediction Log'!#REF!=0, "",'Prediction Log'!#REF!)</f>
        <v>#REF!</v>
      </c>
      <c r="C691" s="65" t="e">
        <f>IF('Prediction Log'!#REF!=0, "",'Prediction Log'!#REF!)</f>
        <v>#REF!</v>
      </c>
      <c r="D691" s="65" t="e">
        <f>IF('Prediction Log'!#REF!=0, "",'Prediction Log'!#REF!)</f>
        <v>#REF!</v>
      </c>
      <c r="E691" s="65" t="e">
        <f>IF('Prediction Log'!#REF!=0, "",'Prediction Log'!#REF!)</f>
        <v>#REF!</v>
      </c>
      <c r="F691" s="65" t="e">
        <f>IF('Prediction Log'!#REF!=0, "",'Prediction Log'!#REF!)</f>
        <v>#REF!</v>
      </c>
      <c r="G691" s="64" t="e">
        <f>IF(ISBLANK(Games!#REF!), "",'Prediction Log'!#REF!)</f>
        <v>#REF!</v>
      </c>
      <c r="H691" s="66" t="e">
        <f>'Prediction Log'!#REF!</f>
        <v>#REF!</v>
      </c>
      <c r="I691" s="65" t="e">
        <f>IF(ISBLANK(Games!#REF!), "",IF(AND(Games!#REF!="",Games!#REF!=""),"",IF(ISTEXT(Games!#REF!), "Side",Games!#REF!)))</f>
        <v>#REF!</v>
      </c>
      <c r="J691" s="65" t="e">
        <f>IF(ISBLANK(Games!#REF!), "",IF(Games!#REF!="Y", Games!#REF!, Games!#REF!))</f>
        <v>#REF!</v>
      </c>
      <c r="K691" s="65" t="e">
        <f>Games!#REF!</f>
        <v>#REF!</v>
      </c>
      <c r="L691" s="65" t="e">
        <f>IF(ISBLANK(Games!#REF!), "",Games!#REF!)</f>
        <v>#REF!</v>
      </c>
      <c r="M691" s="65"/>
      <c r="N691" s="167" t="str">
        <f>IF(ISBLANK(Table123[[#This Row],[Odds Side - Difference Model]]), "", 1)</f>
      </c>
      <c r="O691" s="167" t="str">
        <f>IF(ISBLANK(Table123[[#This Row],[Odds Spread]]), "", 1)</f>
      </c>
      <c r="P691" s="67"/>
      <c r="Q691" s="67"/>
      <c r="R69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1" s="67"/>
      <c r="T691" s="67"/>
      <c r="U691" s="168" t="str">
        <f>IF(ISBLANK(Table123[[#This Row],[Odds Side - Difference Model]]), "",N691+IF(Q691&lt;0, (N691/(Q691/-100)), N691*(Q691/100)))</f>
      </c>
      <c r="V691" s="169" t="str">
        <f>IFERROR(IF(ISBLANK(Table123[[#This Row],[Odds Side - Win Probability Model]]), "",N691+IF(R691&lt;0, (N691/(R691/-100)), N691*(R691/100))),"")</f>
      </c>
      <c r="W691" s="168" t="str">
        <f t="shared" si="67"/>
      </c>
      <c r="X691" s="169" t="str">
        <f t="shared" si="68"/>
      </c>
      <c r="Y691" s="168" t="str">
        <f>IF(ISBLANK(Table123[[#This Row],[Odds Spread]]), "",O691+IF(S691&lt;0, (O691/(S691/-100)), O691*(S691/100)))</f>
      </c>
      <c r="Z691" s="168" t="str">
        <f t="shared" si="69"/>
      </c>
      <c r="AA691" s="68" t="n">
        <f t="shared" si="70"/>
        <v>0</v>
      </c>
      <c r="AB691" s="68" t="n">
        <f t="shared" si="71"/>
        <v>0</v>
      </c>
      <c r="AC691" s="170" t="e">
        <f>IF('Prediction Log'!#REF!="Y", "W", IF('Prediction Log'!#REF!="N","L",""))</f>
        <v>#REF!</v>
      </c>
      <c r="AD691" s="171" t="e">
        <f>IF('Prediction Log'!#REF!="Y", "W", IF('Prediction Log'!#REF!="N","L",""))</f>
        <v>#REF!</v>
      </c>
      <c r="AE691" s="172" t="str">
        <f>IF(ISBLANK(Table123[[#This Row],[Odds Side - Difference Model]]), "",IF(AC691="W", W691, IF(AC691="L",-N691, "")))</f>
      </c>
      <c r="AF691" s="173" t="str">
        <f>IFERROR((IF(ISERR(Table123[[#This Row],[Potential Payout Side - Win Probability Model]]), "",IF(AD691="W", X691, IF(AD691="L",-N691, "")))), "")</f>
      </c>
      <c r="AG691" s="170" t="e">
        <f>IF('Prediction Log'!#REF!="Y", "W", IF('Prediction Log'!#REF!="N", "L", ""))</f>
        <v>#REF!</v>
      </c>
      <c r="AH691" s="172" t="str">
        <f>IF(ISBLANK(Table123[[#This Row],[Odds Spread]]), "",IF(AG691="W", Z691, IF(AG691="L",-O691, "")))</f>
      </c>
      <c r="AI691" s="184"/>
      <c r="AJ691" s="183" t="str">
        <f t="shared" si="72"/>
      </c>
      <c r="AK69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2">
      <c r="A692" s="65" t="e">
        <f>Games!#REF!</f>
        <v>#REF!</v>
      </c>
      <c r="B692" s="65" t="e">
        <f>IF('Prediction Log'!#REF!=0, "",'Prediction Log'!#REF!)</f>
        <v>#REF!</v>
      </c>
      <c r="C692" s="65" t="e">
        <f>IF('Prediction Log'!#REF!=0, "",'Prediction Log'!#REF!)</f>
        <v>#REF!</v>
      </c>
      <c r="D692" s="65" t="e">
        <f>IF('Prediction Log'!#REF!=0, "",'Prediction Log'!#REF!)</f>
        <v>#REF!</v>
      </c>
      <c r="E692" s="65" t="e">
        <f>IF('Prediction Log'!#REF!=0, "",'Prediction Log'!#REF!)</f>
        <v>#REF!</v>
      </c>
      <c r="F692" s="65" t="e">
        <f>IF('Prediction Log'!#REF!=0, "",'Prediction Log'!#REF!)</f>
        <v>#REF!</v>
      </c>
      <c r="G692" s="64" t="e">
        <f>IF(ISBLANK(Games!#REF!), "",'Prediction Log'!#REF!)</f>
        <v>#REF!</v>
      </c>
      <c r="H692" s="66" t="e">
        <f>'Prediction Log'!#REF!</f>
        <v>#REF!</v>
      </c>
      <c r="I692" s="65" t="e">
        <f>IF(ISBLANK(Games!#REF!), "",IF(AND(Games!#REF!="",Games!#REF!=""),"",IF(ISTEXT(Games!#REF!), "Side",Games!#REF!)))</f>
        <v>#REF!</v>
      </c>
      <c r="J692" s="65" t="e">
        <f>IF(ISBLANK(Games!#REF!), "",IF(Games!#REF!="Y", Games!#REF!, Games!#REF!))</f>
        <v>#REF!</v>
      </c>
      <c r="K692" s="65" t="e">
        <f>Games!#REF!</f>
        <v>#REF!</v>
      </c>
      <c r="L692" s="65" t="e">
        <f>IF(ISBLANK(Games!#REF!), "",Games!#REF!)</f>
        <v>#REF!</v>
      </c>
      <c r="M692" s="65"/>
      <c r="N692" s="167" t="str">
        <f>IF(ISBLANK(Table123[[#This Row],[Odds Side - Difference Model]]), "", 1)</f>
      </c>
      <c r="O692" s="167" t="str">
        <f>IF(ISBLANK(Table123[[#This Row],[Odds Spread]]), "", 1)</f>
      </c>
      <c r="P692" s="67"/>
      <c r="Q692" s="67"/>
      <c r="R69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2" s="67"/>
      <c r="T692" s="67"/>
      <c r="U692" s="168" t="str">
        <f>IF(ISBLANK(Table123[[#This Row],[Odds Side - Difference Model]]), "",N692+IF(Q692&lt;0, (N692/(Q692/-100)), N692*(Q692/100)))</f>
      </c>
      <c r="V692" s="169" t="str">
        <f>IFERROR(IF(ISBLANK(Table123[[#This Row],[Odds Side - Win Probability Model]]), "",N692+IF(R692&lt;0, (N692/(R692/-100)), N692*(R692/100))),"")</f>
      </c>
      <c r="W692" s="168" t="str">
        <f t="shared" si="67"/>
      </c>
      <c r="X692" s="169" t="str">
        <f t="shared" si="68"/>
      </c>
      <c r="Y692" s="168" t="str">
        <f>IF(ISBLANK(Table123[[#This Row],[Odds Spread]]), "",O692+IF(S692&lt;0, (O692/(S692/-100)), O692*(S692/100)))</f>
      </c>
      <c r="Z692" s="168" t="str">
        <f t="shared" si="69"/>
      </c>
      <c r="AA692" s="68" t="n">
        <f t="shared" si="70"/>
        <v>0</v>
      </c>
      <c r="AB692" s="68" t="n">
        <f t="shared" si="71"/>
        <v>0</v>
      </c>
      <c r="AC692" s="170" t="e">
        <f>IF('Prediction Log'!#REF!="Y", "W", IF('Prediction Log'!#REF!="N","L",""))</f>
        <v>#REF!</v>
      </c>
      <c r="AD692" s="171" t="e">
        <f>IF('Prediction Log'!#REF!="Y", "W", IF('Prediction Log'!#REF!="N","L",""))</f>
        <v>#REF!</v>
      </c>
      <c r="AE692" s="172" t="str">
        <f>IF(ISBLANK(Table123[[#This Row],[Odds Side - Difference Model]]), "",IF(AC692="W", W692, IF(AC692="L",-N692, "")))</f>
      </c>
      <c r="AF692" s="173" t="str">
        <f>IFERROR((IF(ISERR(Table123[[#This Row],[Potential Payout Side - Win Probability Model]]), "",IF(AD692="W", X692, IF(AD692="L",-N692, "")))), "")</f>
      </c>
      <c r="AG692" s="170" t="e">
        <f>IF('Prediction Log'!#REF!="Y", "W", IF('Prediction Log'!#REF!="N", "L", ""))</f>
        <v>#REF!</v>
      </c>
      <c r="AH692" s="172" t="str">
        <f>IF(ISBLANK(Table123[[#This Row],[Odds Spread]]), "",IF(AG692="W", Z692, IF(AG692="L",-O692, "")))</f>
      </c>
      <c r="AI692" s="184"/>
      <c r="AJ692" s="183" t="str">
        <f t="shared" si="72"/>
      </c>
      <c r="AK69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3">
      <c r="A693" s="65" t="e">
        <f>Games!#REF!</f>
        <v>#REF!</v>
      </c>
      <c r="B693" s="65" t="e">
        <f>IF('Prediction Log'!#REF!=0, "",'Prediction Log'!#REF!)</f>
        <v>#REF!</v>
      </c>
      <c r="C693" s="65" t="e">
        <f>IF('Prediction Log'!#REF!=0, "",'Prediction Log'!#REF!)</f>
        <v>#REF!</v>
      </c>
      <c r="D693" s="65" t="e">
        <f>IF('Prediction Log'!#REF!=0, "",'Prediction Log'!#REF!)</f>
        <v>#REF!</v>
      </c>
      <c r="E693" s="65" t="e">
        <f>IF('Prediction Log'!#REF!=0, "",'Prediction Log'!#REF!)</f>
        <v>#REF!</v>
      </c>
      <c r="F693" s="65" t="e">
        <f>IF('Prediction Log'!#REF!=0, "",'Prediction Log'!#REF!)</f>
        <v>#REF!</v>
      </c>
      <c r="G693" s="64" t="e">
        <f>IF(ISBLANK(Games!#REF!), "",'Prediction Log'!#REF!)</f>
        <v>#REF!</v>
      </c>
      <c r="H693" s="66" t="e">
        <f>'Prediction Log'!#REF!</f>
        <v>#REF!</v>
      </c>
      <c r="I693" s="65" t="e">
        <f>IF(ISBLANK(Games!#REF!), "",IF(AND(Games!#REF!="",Games!#REF!=""),"",IF(ISTEXT(Games!#REF!), "Side",Games!#REF!)))</f>
        <v>#REF!</v>
      </c>
      <c r="J693" s="65" t="e">
        <f>IF(ISBLANK(Games!#REF!), "",IF(Games!#REF!="Y", Games!#REF!, Games!#REF!))</f>
        <v>#REF!</v>
      </c>
      <c r="K693" s="65" t="e">
        <f>Games!#REF!</f>
        <v>#REF!</v>
      </c>
      <c r="L693" s="65" t="e">
        <f>IF(ISBLANK(Games!#REF!), "",Games!#REF!)</f>
        <v>#REF!</v>
      </c>
      <c r="M693" s="65"/>
      <c r="N693" s="167" t="str">
        <f>IF(ISBLANK(Table123[[#This Row],[Odds Side - Difference Model]]), "", 1)</f>
      </c>
      <c r="O693" s="167" t="str">
        <f>IF(ISBLANK(Table123[[#This Row],[Odds Spread]]), "", 1)</f>
      </c>
      <c r="P693" s="67"/>
      <c r="Q693" s="67"/>
      <c r="R69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3" s="67"/>
      <c r="T693" s="67"/>
      <c r="U693" s="168" t="str">
        <f>IF(ISBLANK(Table123[[#This Row],[Odds Side - Difference Model]]), "",N693+IF(Q693&lt;0, (N693/(Q693/-100)), N693*(Q693/100)))</f>
      </c>
      <c r="V693" s="169" t="str">
        <f>IFERROR(IF(ISBLANK(Table123[[#This Row],[Odds Side - Win Probability Model]]), "",N693+IF(R693&lt;0, (N693/(R693/-100)), N693*(R693/100))),"")</f>
      </c>
      <c r="W693" s="168" t="str">
        <f t="shared" si="67"/>
      </c>
      <c r="X693" s="169" t="str">
        <f t="shared" si="68"/>
      </c>
      <c r="Y693" s="168" t="str">
        <f>IF(ISBLANK(Table123[[#This Row],[Odds Spread]]), "",O693+IF(S693&lt;0, (O693/(S693/-100)), O693*(S693/100)))</f>
      </c>
      <c r="Z693" s="168" t="str">
        <f t="shared" si="69"/>
      </c>
      <c r="AA693" s="68" t="n">
        <f t="shared" si="70"/>
        <v>0</v>
      </c>
      <c r="AB693" s="68" t="n">
        <f t="shared" si="71"/>
        <v>0</v>
      </c>
      <c r="AC693" s="170" t="e">
        <f>IF('Prediction Log'!#REF!="Y", "W", IF('Prediction Log'!#REF!="N","L",""))</f>
        <v>#REF!</v>
      </c>
      <c r="AD693" s="171" t="e">
        <f>IF('Prediction Log'!#REF!="Y", "W", IF('Prediction Log'!#REF!="N","L",""))</f>
        <v>#REF!</v>
      </c>
      <c r="AE693" s="172" t="str">
        <f>IF(ISBLANK(Table123[[#This Row],[Odds Side - Difference Model]]), "",IF(AC693="W", W693, IF(AC693="L",-N693, "")))</f>
      </c>
      <c r="AF693" s="173" t="str">
        <f>IFERROR((IF(ISERR(Table123[[#This Row],[Potential Payout Side - Win Probability Model]]), "",IF(AD693="W", X693, IF(AD693="L",-N693, "")))), "")</f>
      </c>
      <c r="AG693" s="170" t="e">
        <f>IF('Prediction Log'!#REF!="Y", "W", IF('Prediction Log'!#REF!="N", "L", ""))</f>
        <v>#REF!</v>
      </c>
      <c r="AH693" s="172" t="str">
        <f>IF(ISBLANK(Table123[[#This Row],[Odds Spread]]), "",IF(AG693="W", Z693, IF(AG693="L",-O693, "")))</f>
      </c>
      <c r="AI693" s="184"/>
      <c r="AJ693" s="183" t="str">
        <f t="shared" si="72"/>
      </c>
      <c r="AK69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4">
      <c r="A694" s="65" t="e">
        <f>Games!#REF!</f>
        <v>#REF!</v>
      </c>
      <c r="B694" s="65" t="e">
        <f>IF('Prediction Log'!#REF!=0, "",'Prediction Log'!#REF!)</f>
        <v>#REF!</v>
      </c>
      <c r="C694" s="65" t="e">
        <f>IF('Prediction Log'!#REF!=0, "",'Prediction Log'!#REF!)</f>
        <v>#REF!</v>
      </c>
      <c r="D694" s="65" t="e">
        <f>IF('Prediction Log'!#REF!=0, "",'Prediction Log'!#REF!)</f>
        <v>#REF!</v>
      </c>
      <c r="E694" s="65" t="e">
        <f>IF('Prediction Log'!#REF!=0, "",'Prediction Log'!#REF!)</f>
        <v>#REF!</v>
      </c>
      <c r="F694" s="65" t="e">
        <f>IF('Prediction Log'!#REF!=0, "",'Prediction Log'!#REF!)</f>
        <v>#REF!</v>
      </c>
      <c r="G694" s="64" t="e">
        <f>IF(ISBLANK(Games!#REF!), "",'Prediction Log'!#REF!)</f>
        <v>#REF!</v>
      </c>
      <c r="H694" s="66" t="e">
        <f>'Prediction Log'!#REF!</f>
        <v>#REF!</v>
      </c>
      <c r="I694" s="65" t="e">
        <f>IF(ISBLANK(Games!#REF!), "",IF(AND(Games!#REF!="",Games!#REF!=""),"",IF(ISTEXT(Games!#REF!), "Side",Games!#REF!)))</f>
        <v>#REF!</v>
      </c>
      <c r="J694" s="65" t="e">
        <f>IF(ISBLANK(Games!#REF!), "",IF(Games!#REF!="Y", Games!#REF!, Games!#REF!))</f>
        <v>#REF!</v>
      </c>
      <c r="K694" s="65" t="e">
        <f>Games!#REF!</f>
        <v>#REF!</v>
      </c>
      <c r="L694" s="65" t="e">
        <f>IF(ISBLANK(Games!#REF!), "",Games!#REF!)</f>
        <v>#REF!</v>
      </c>
      <c r="M694" s="65"/>
      <c r="N694" s="167" t="str">
        <f>IF(ISBLANK(Table123[[#This Row],[Odds Side - Difference Model]]), "", 1)</f>
      </c>
      <c r="O694" s="167" t="str">
        <f>IF(ISBLANK(Table123[[#This Row],[Odds Spread]]), "", 1)</f>
      </c>
      <c r="P694" s="67"/>
      <c r="Q694" s="67"/>
      <c r="R69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4" s="67"/>
      <c r="T694" s="67"/>
      <c r="U694" s="168" t="str">
        <f>IF(ISBLANK(Table123[[#This Row],[Odds Side - Difference Model]]), "",N694+IF(Q694&lt;0, (N694/(Q694/-100)), N694*(Q694/100)))</f>
      </c>
      <c r="V694" s="169" t="str">
        <f>IFERROR(IF(ISBLANK(Table123[[#This Row],[Odds Side - Win Probability Model]]), "",N694+IF(R694&lt;0, (N694/(R694/-100)), N694*(R694/100))),"")</f>
      </c>
      <c r="W694" s="168" t="str">
        <f t="shared" si="67"/>
      </c>
      <c r="X694" s="169" t="str">
        <f t="shared" si="68"/>
      </c>
      <c r="Y694" s="168" t="str">
        <f>IF(ISBLANK(Table123[[#This Row],[Odds Spread]]), "",O694+IF(S694&lt;0, (O694/(S694/-100)), O694*(S694/100)))</f>
      </c>
      <c r="Z694" s="168" t="str">
        <f t="shared" si="69"/>
      </c>
      <c r="AA694" s="68" t="n">
        <f t="shared" si="70"/>
        <v>0</v>
      </c>
      <c r="AB694" s="68" t="n">
        <f t="shared" si="71"/>
        <v>0</v>
      </c>
      <c r="AC694" s="170" t="e">
        <f>IF('Prediction Log'!#REF!="Y", "W", IF('Prediction Log'!#REF!="N","L",""))</f>
        <v>#REF!</v>
      </c>
      <c r="AD694" s="171" t="e">
        <f>IF('Prediction Log'!#REF!="Y", "W", IF('Prediction Log'!#REF!="N","L",""))</f>
        <v>#REF!</v>
      </c>
      <c r="AE694" s="172" t="str">
        <f>IF(ISBLANK(Table123[[#This Row],[Odds Side - Difference Model]]), "",IF(AC694="W", W694, IF(AC694="L",-N694, "")))</f>
      </c>
      <c r="AF694" s="173" t="str">
        <f>IFERROR((IF(ISERR(Table123[[#This Row],[Potential Payout Side - Win Probability Model]]), "",IF(AD694="W", X694, IF(AD694="L",-N694, "")))), "")</f>
      </c>
      <c r="AG694" s="170" t="e">
        <f>IF('Prediction Log'!#REF!="Y", "W", IF('Prediction Log'!#REF!="N", "L", ""))</f>
        <v>#REF!</v>
      </c>
      <c r="AH694" s="172" t="str">
        <f>IF(ISBLANK(Table123[[#This Row],[Odds Spread]]), "",IF(AG694="W", Z694, IF(AG694="L",-O694, "")))</f>
      </c>
      <c r="AI694" s="184"/>
      <c r="AJ694" s="183" t="str">
        <f t="shared" si="72"/>
      </c>
      <c r="AK69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5">
      <c r="A695" s="65" t="e">
        <f>Games!#REF!</f>
        <v>#REF!</v>
      </c>
      <c r="B695" s="65" t="e">
        <f>IF('Prediction Log'!#REF!=0, "",'Prediction Log'!#REF!)</f>
        <v>#REF!</v>
      </c>
      <c r="C695" s="65" t="e">
        <f>IF('Prediction Log'!#REF!=0, "",'Prediction Log'!#REF!)</f>
        <v>#REF!</v>
      </c>
      <c r="D695" s="65" t="e">
        <f>IF('Prediction Log'!#REF!=0, "",'Prediction Log'!#REF!)</f>
        <v>#REF!</v>
      </c>
      <c r="E695" s="65" t="e">
        <f>IF('Prediction Log'!#REF!=0, "",'Prediction Log'!#REF!)</f>
        <v>#REF!</v>
      </c>
      <c r="F695" s="65" t="e">
        <f>IF('Prediction Log'!#REF!=0, "",'Prediction Log'!#REF!)</f>
        <v>#REF!</v>
      </c>
      <c r="G695" s="64" t="e">
        <f>IF(ISBLANK(Games!#REF!), "",'Prediction Log'!#REF!)</f>
        <v>#REF!</v>
      </c>
      <c r="H695" s="66" t="e">
        <f>'Prediction Log'!#REF!</f>
        <v>#REF!</v>
      </c>
      <c r="I695" s="65" t="e">
        <f>IF(ISBLANK(Games!#REF!), "",IF(AND(Games!#REF!="",Games!#REF!=""),"",IF(ISTEXT(Games!#REF!), "Side",Games!#REF!)))</f>
        <v>#REF!</v>
      </c>
      <c r="J695" s="65" t="e">
        <f>IF(ISBLANK(Games!#REF!), "",IF(Games!#REF!="Y", Games!#REF!, Games!#REF!))</f>
        <v>#REF!</v>
      </c>
      <c r="K695" s="65" t="e">
        <f>Games!#REF!</f>
        <v>#REF!</v>
      </c>
      <c r="L695" s="65" t="e">
        <f>IF(ISBLANK(Games!#REF!), "",Games!#REF!)</f>
        <v>#REF!</v>
      </c>
      <c r="M695" s="65"/>
      <c r="N695" s="167" t="str">
        <f>IF(ISBLANK(Table123[[#This Row],[Odds Side - Difference Model]]), "", 1)</f>
      </c>
      <c r="O695" s="167" t="str">
        <f>IF(ISBLANK(Table123[[#This Row],[Odds Spread]]), "", 1)</f>
      </c>
      <c r="P695" s="67"/>
      <c r="Q695" s="67"/>
      <c r="R69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5" s="67"/>
      <c r="T695" s="67"/>
      <c r="U695" s="168" t="str">
        <f>IF(ISBLANK(Table123[[#This Row],[Odds Side - Difference Model]]), "",N695+IF(Q695&lt;0, (N695/(Q695/-100)), N695*(Q695/100)))</f>
      </c>
      <c r="V695" s="169" t="str">
        <f>IFERROR(IF(ISBLANK(Table123[[#This Row],[Odds Side - Win Probability Model]]), "",N695+IF(R695&lt;0, (N695/(R695/-100)), N695*(R695/100))),"")</f>
      </c>
      <c r="W695" s="168" t="str">
        <f t="shared" si="67"/>
      </c>
      <c r="X695" s="169" t="str">
        <f t="shared" si="68"/>
      </c>
      <c r="Y695" s="168" t="str">
        <f>IF(ISBLANK(Table123[[#This Row],[Odds Spread]]), "",O695+IF(S695&lt;0, (O695/(S695/-100)), O695*(S695/100)))</f>
      </c>
      <c r="Z695" s="168" t="str">
        <f t="shared" si="69"/>
      </c>
      <c r="AA695" s="68" t="n">
        <f t="shared" si="70"/>
        <v>0</v>
      </c>
      <c r="AB695" s="68" t="n">
        <f t="shared" si="71"/>
        <v>0</v>
      </c>
      <c r="AC695" s="170" t="e">
        <f>IF('Prediction Log'!#REF!="Y", "W", IF('Prediction Log'!#REF!="N","L",""))</f>
        <v>#REF!</v>
      </c>
      <c r="AD695" s="171" t="e">
        <f>IF('Prediction Log'!#REF!="Y", "W", IF('Prediction Log'!#REF!="N","L",""))</f>
        <v>#REF!</v>
      </c>
      <c r="AE695" s="172" t="str">
        <f>IF(ISBLANK(Table123[[#This Row],[Odds Side - Difference Model]]), "",IF(AC695="W", W695, IF(AC695="L",-N695, "")))</f>
      </c>
      <c r="AF695" s="173" t="str">
        <f>IFERROR((IF(ISERR(Table123[[#This Row],[Potential Payout Side - Win Probability Model]]), "",IF(AD695="W", X695, IF(AD695="L",-N695, "")))), "")</f>
      </c>
      <c r="AG695" s="170" t="e">
        <f>IF('Prediction Log'!#REF!="Y", "W", IF('Prediction Log'!#REF!="N", "L", ""))</f>
        <v>#REF!</v>
      </c>
      <c r="AH695" s="172" t="str">
        <f>IF(ISBLANK(Table123[[#This Row],[Odds Spread]]), "",IF(AG695="W", Z695, IF(AG695="L",-O695, "")))</f>
      </c>
      <c r="AI695" s="184"/>
      <c r="AJ695" s="183" t="str">
        <f t="shared" si="72"/>
      </c>
      <c r="AK69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6">
      <c r="A696" s="65" t="e">
        <f>Games!#REF!</f>
        <v>#REF!</v>
      </c>
      <c r="B696" s="65" t="e">
        <f>IF('Prediction Log'!#REF!=0, "",'Prediction Log'!#REF!)</f>
        <v>#REF!</v>
      </c>
      <c r="C696" s="65" t="e">
        <f>IF('Prediction Log'!#REF!=0, "",'Prediction Log'!#REF!)</f>
        <v>#REF!</v>
      </c>
      <c r="D696" s="65" t="e">
        <f>IF('Prediction Log'!#REF!=0, "",'Prediction Log'!#REF!)</f>
        <v>#REF!</v>
      </c>
      <c r="E696" s="65" t="e">
        <f>IF('Prediction Log'!#REF!=0, "",'Prediction Log'!#REF!)</f>
        <v>#REF!</v>
      </c>
      <c r="F696" s="65" t="e">
        <f>IF('Prediction Log'!#REF!=0, "",'Prediction Log'!#REF!)</f>
        <v>#REF!</v>
      </c>
      <c r="G696" s="64" t="e">
        <f>IF(ISBLANK(Games!#REF!), "",'Prediction Log'!#REF!)</f>
        <v>#REF!</v>
      </c>
      <c r="H696" s="66" t="e">
        <f>'Prediction Log'!#REF!</f>
        <v>#REF!</v>
      </c>
      <c r="I696" s="65" t="e">
        <f>IF(ISBLANK(Games!#REF!), "",IF(AND(Games!#REF!="",Games!#REF!=""),"",IF(ISTEXT(Games!#REF!), "Side",Games!#REF!)))</f>
        <v>#REF!</v>
      </c>
      <c r="J696" s="65" t="e">
        <f>IF(ISBLANK(Games!#REF!), "",IF(Games!#REF!="Y", Games!#REF!, Games!#REF!))</f>
        <v>#REF!</v>
      </c>
      <c r="K696" s="65" t="e">
        <f>Games!#REF!</f>
        <v>#REF!</v>
      </c>
      <c r="L696" s="65" t="e">
        <f>IF(ISBLANK(Games!#REF!), "",Games!#REF!)</f>
        <v>#REF!</v>
      </c>
      <c r="M696" s="65"/>
      <c r="N696" s="167" t="str">
        <f>IF(ISBLANK(Table123[[#This Row],[Odds Side - Difference Model]]), "", 1)</f>
      </c>
      <c r="O696" s="167" t="str">
        <f>IF(ISBLANK(Table123[[#This Row],[Odds Spread]]), "", 1)</f>
      </c>
      <c r="P696" s="67"/>
      <c r="Q696" s="67"/>
      <c r="R69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6" s="67"/>
      <c r="T696" s="67"/>
      <c r="U696" s="168" t="str">
        <f>IF(ISBLANK(Table123[[#This Row],[Odds Side - Difference Model]]), "",N696+IF(Q696&lt;0, (N696/(Q696/-100)), N696*(Q696/100)))</f>
      </c>
      <c r="V696" s="169" t="str">
        <f>IFERROR(IF(ISBLANK(Table123[[#This Row],[Odds Side - Win Probability Model]]), "",N696+IF(R696&lt;0, (N696/(R696/-100)), N696*(R696/100))),"")</f>
      </c>
      <c r="W696" s="168" t="str">
        <f t="shared" si="67"/>
      </c>
      <c r="X696" s="169" t="str">
        <f t="shared" si="68"/>
      </c>
      <c r="Y696" s="168" t="str">
        <f>IF(ISBLANK(Table123[[#This Row],[Odds Spread]]), "",O696+IF(S696&lt;0, (O696/(S696/-100)), O696*(S696/100)))</f>
      </c>
      <c r="Z696" s="168" t="str">
        <f t="shared" si="69"/>
      </c>
      <c r="AA696" s="68" t="n">
        <f t="shared" si="70"/>
        <v>0</v>
      </c>
      <c r="AB696" s="68" t="n">
        <f t="shared" si="71"/>
        <v>0</v>
      </c>
      <c r="AC696" s="170" t="e">
        <f>IF('Prediction Log'!#REF!="Y", "W", IF('Prediction Log'!#REF!="N","L",""))</f>
        <v>#REF!</v>
      </c>
      <c r="AD696" s="171" t="e">
        <f>IF('Prediction Log'!#REF!="Y", "W", IF('Prediction Log'!#REF!="N","L",""))</f>
        <v>#REF!</v>
      </c>
      <c r="AE696" s="172" t="str">
        <f>IF(ISBLANK(Table123[[#This Row],[Odds Side - Difference Model]]), "",IF(AC696="W", W696, IF(AC696="L",-N696, "")))</f>
      </c>
      <c r="AF696" s="173" t="str">
        <f>IFERROR((IF(ISERR(Table123[[#This Row],[Potential Payout Side - Win Probability Model]]), "",IF(AD696="W", X696, IF(AD696="L",-N696, "")))), "")</f>
      </c>
      <c r="AG696" s="170" t="e">
        <f>IF('Prediction Log'!#REF!="Y", "W", IF('Prediction Log'!#REF!="N", "L", ""))</f>
        <v>#REF!</v>
      </c>
      <c r="AH696" s="172" t="str">
        <f>IF(ISBLANK(Table123[[#This Row],[Odds Spread]]), "",IF(AG696="W", Z696, IF(AG696="L",-O696, "")))</f>
      </c>
      <c r="AI696" s="184"/>
      <c r="AJ696" s="183" t="str">
        <f t="shared" si="72"/>
      </c>
      <c r="AK69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7">
      <c r="A697" s="65" t="e">
        <f>Games!#REF!</f>
        <v>#REF!</v>
      </c>
      <c r="B697" s="65" t="e">
        <f>IF('Prediction Log'!#REF!=0, "",'Prediction Log'!#REF!)</f>
        <v>#REF!</v>
      </c>
      <c r="C697" s="65" t="e">
        <f>IF('Prediction Log'!#REF!=0, "",'Prediction Log'!#REF!)</f>
        <v>#REF!</v>
      </c>
      <c r="D697" s="65" t="e">
        <f>IF('Prediction Log'!#REF!=0, "",'Prediction Log'!#REF!)</f>
        <v>#REF!</v>
      </c>
      <c r="E697" s="65" t="e">
        <f>IF('Prediction Log'!#REF!=0, "",'Prediction Log'!#REF!)</f>
        <v>#REF!</v>
      </c>
      <c r="F697" s="65" t="e">
        <f>IF('Prediction Log'!#REF!=0, "",'Prediction Log'!#REF!)</f>
        <v>#REF!</v>
      </c>
      <c r="G697" s="64" t="e">
        <f>IF(ISBLANK(Games!#REF!), "",'Prediction Log'!#REF!)</f>
        <v>#REF!</v>
      </c>
      <c r="H697" s="66" t="e">
        <f>'Prediction Log'!#REF!</f>
        <v>#REF!</v>
      </c>
      <c r="I697" s="65" t="e">
        <f>IF(ISBLANK(Games!#REF!), "",IF(AND(Games!#REF!="",Games!#REF!=""),"",IF(ISTEXT(Games!#REF!), "Side",Games!#REF!)))</f>
        <v>#REF!</v>
      </c>
      <c r="J697" s="65" t="e">
        <f>IF(ISBLANK(Games!#REF!), "",IF(Games!#REF!="Y", Games!#REF!, Games!#REF!))</f>
        <v>#REF!</v>
      </c>
      <c r="K697" s="65" t="e">
        <f>Games!#REF!</f>
        <v>#REF!</v>
      </c>
      <c r="L697" s="65" t="e">
        <f>IF(ISBLANK(Games!#REF!), "",Games!#REF!)</f>
        <v>#REF!</v>
      </c>
      <c r="M697" s="65"/>
      <c r="N697" s="167" t="str">
        <f>IF(ISBLANK(Table123[[#This Row],[Odds Side - Difference Model]]), "", 1)</f>
      </c>
      <c r="O697" s="167" t="str">
        <f>IF(ISBLANK(Table123[[#This Row],[Odds Spread]]), "", 1)</f>
      </c>
      <c r="P697" s="67"/>
      <c r="Q697" s="67"/>
      <c r="R69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7" s="67"/>
      <c r="T697" s="67"/>
      <c r="U697" s="168" t="str">
        <f>IF(ISBLANK(Table123[[#This Row],[Odds Side - Difference Model]]), "",N697+IF(Q697&lt;0, (N697/(Q697/-100)), N697*(Q697/100)))</f>
      </c>
      <c r="V697" s="169" t="str">
        <f>IFERROR(IF(ISBLANK(Table123[[#This Row],[Odds Side - Win Probability Model]]), "",N697+IF(R697&lt;0, (N697/(R697/-100)), N697*(R697/100))),"")</f>
      </c>
      <c r="W697" s="168" t="str">
        <f t="shared" si="67"/>
      </c>
      <c r="X697" s="169" t="str">
        <f t="shared" si="68"/>
      </c>
      <c r="Y697" s="168" t="str">
        <f>IF(ISBLANK(Table123[[#This Row],[Odds Spread]]), "",O697+IF(S697&lt;0, (O697/(S697/-100)), O697*(S697/100)))</f>
      </c>
      <c r="Z697" s="168" t="str">
        <f t="shared" si="69"/>
      </c>
      <c r="AA697" s="68" t="n">
        <f t="shared" si="70"/>
        <v>0</v>
      </c>
      <c r="AB697" s="68" t="n">
        <f t="shared" si="71"/>
        <v>0</v>
      </c>
      <c r="AC697" s="170" t="e">
        <f>IF('Prediction Log'!#REF!="Y", "W", IF('Prediction Log'!#REF!="N","L",""))</f>
        <v>#REF!</v>
      </c>
      <c r="AD697" s="171" t="e">
        <f>IF('Prediction Log'!#REF!="Y", "W", IF('Prediction Log'!#REF!="N","L",""))</f>
        <v>#REF!</v>
      </c>
      <c r="AE697" s="172" t="str">
        <f>IF(ISBLANK(Table123[[#This Row],[Odds Side - Difference Model]]), "",IF(AC697="W", W697, IF(AC697="L",-N697, "")))</f>
      </c>
      <c r="AF697" s="173" t="str">
        <f>IFERROR((IF(ISERR(Table123[[#This Row],[Potential Payout Side - Win Probability Model]]), "",IF(AD697="W", X697, IF(AD697="L",-N697, "")))), "")</f>
      </c>
      <c r="AG697" s="170" t="e">
        <f>IF('Prediction Log'!#REF!="Y", "W", IF('Prediction Log'!#REF!="N", "L", ""))</f>
        <v>#REF!</v>
      </c>
      <c r="AH697" s="172" t="str">
        <f>IF(ISBLANK(Table123[[#This Row],[Odds Spread]]), "",IF(AG697="W", Z697, IF(AG697="L",-O697, "")))</f>
      </c>
      <c r="AI697" s="184"/>
      <c r="AJ697" s="183" t="str">
        <f t="shared" si="72"/>
      </c>
      <c r="AK69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8">
      <c r="A698" s="65" t="e">
        <f>Games!#REF!</f>
        <v>#REF!</v>
      </c>
      <c r="B698" s="65" t="e">
        <f>IF('Prediction Log'!#REF!=0, "",'Prediction Log'!#REF!)</f>
        <v>#REF!</v>
      </c>
      <c r="C698" s="65" t="e">
        <f>IF('Prediction Log'!#REF!=0, "",'Prediction Log'!#REF!)</f>
        <v>#REF!</v>
      </c>
      <c r="D698" s="65" t="e">
        <f>IF('Prediction Log'!#REF!=0, "",'Prediction Log'!#REF!)</f>
        <v>#REF!</v>
      </c>
      <c r="E698" s="65" t="e">
        <f>IF('Prediction Log'!#REF!=0, "",'Prediction Log'!#REF!)</f>
        <v>#REF!</v>
      </c>
      <c r="F698" s="65" t="e">
        <f>IF('Prediction Log'!#REF!=0, "",'Prediction Log'!#REF!)</f>
        <v>#REF!</v>
      </c>
      <c r="G698" s="64" t="e">
        <f>IF(ISBLANK(Games!#REF!), "",'Prediction Log'!#REF!)</f>
        <v>#REF!</v>
      </c>
      <c r="H698" s="66" t="e">
        <f>'Prediction Log'!#REF!</f>
        <v>#REF!</v>
      </c>
      <c r="I698" s="65" t="e">
        <f>IF(ISBLANK(Games!#REF!), "",IF(AND(Games!#REF!="",Games!#REF!=""),"",IF(ISTEXT(Games!#REF!), "Side",Games!#REF!)))</f>
        <v>#REF!</v>
      </c>
      <c r="J698" s="65" t="e">
        <f>IF(ISBLANK(Games!#REF!), "",IF(Games!#REF!="Y", Games!#REF!, Games!#REF!))</f>
        <v>#REF!</v>
      </c>
      <c r="K698" s="65" t="e">
        <f>Games!#REF!</f>
        <v>#REF!</v>
      </c>
      <c r="L698" s="65" t="e">
        <f>IF(ISBLANK(Games!#REF!), "",Games!#REF!)</f>
        <v>#REF!</v>
      </c>
      <c r="M698" s="65"/>
      <c r="N698" s="167" t="str">
        <f>IF(ISBLANK(Table123[[#This Row],[Odds Side - Difference Model]]), "", 1)</f>
      </c>
      <c r="O698" s="167" t="str">
        <f>IF(ISBLANK(Table123[[#This Row],[Odds Spread]]), "", 1)</f>
      </c>
      <c r="P698" s="67"/>
      <c r="Q698" s="67"/>
      <c r="R69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8" s="67"/>
      <c r="T698" s="67"/>
      <c r="U698" s="168" t="str">
        <f>IF(ISBLANK(Table123[[#This Row],[Odds Side - Difference Model]]), "",N698+IF(Q698&lt;0, (N698/(Q698/-100)), N698*(Q698/100)))</f>
      </c>
      <c r="V698" s="169" t="str">
        <f>IFERROR(IF(ISBLANK(Table123[[#This Row],[Odds Side - Win Probability Model]]), "",N698+IF(R698&lt;0, (N698/(R698/-100)), N698*(R698/100))),"")</f>
      </c>
      <c r="W698" s="168" t="str">
        <f t="shared" si="67"/>
      </c>
      <c r="X698" s="169" t="str">
        <f t="shared" si="68"/>
      </c>
      <c r="Y698" s="168" t="str">
        <f>IF(ISBLANK(Table123[[#This Row],[Odds Spread]]), "",O698+IF(S698&lt;0, (O698/(S698/-100)), O698*(S698/100)))</f>
      </c>
      <c r="Z698" s="168" t="str">
        <f t="shared" si="69"/>
      </c>
      <c r="AA698" s="68" t="n">
        <f t="shared" si="70"/>
        <v>0</v>
      </c>
      <c r="AB698" s="68" t="n">
        <f t="shared" si="71"/>
        <v>0</v>
      </c>
      <c r="AC698" s="170" t="e">
        <f>IF('Prediction Log'!#REF!="Y", "W", IF('Prediction Log'!#REF!="N","L",""))</f>
        <v>#REF!</v>
      </c>
      <c r="AD698" s="171" t="e">
        <f>IF('Prediction Log'!#REF!="Y", "W", IF('Prediction Log'!#REF!="N","L",""))</f>
        <v>#REF!</v>
      </c>
      <c r="AE698" s="172" t="str">
        <f>IF(ISBLANK(Table123[[#This Row],[Odds Side - Difference Model]]), "",IF(AC698="W", W698, IF(AC698="L",-N698, "")))</f>
      </c>
      <c r="AF698" s="173" t="str">
        <f>IFERROR((IF(ISERR(Table123[[#This Row],[Potential Payout Side - Win Probability Model]]), "",IF(AD698="W", X698, IF(AD698="L",-N698, "")))), "")</f>
      </c>
      <c r="AG698" s="170" t="e">
        <f>IF('Prediction Log'!#REF!="Y", "W", IF('Prediction Log'!#REF!="N", "L", ""))</f>
        <v>#REF!</v>
      </c>
      <c r="AH698" s="172" t="str">
        <f>IF(ISBLANK(Table123[[#This Row],[Odds Spread]]), "",IF(AG698="W", Z698, IF(AG698="L",-O698, "")))</f>
      </c>
      <c r="AI698" s="184"/>
      <c r="AJ698" s="183" t="str">
        <f t="shared" si="72"/>
      </c>
      <c r="AK69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9">
      <c r="A699" s="65" t="e">
        <f>Games!#REF!</f>
        <v>#REF!</v>
      </c>
      <c r="B699" s="65" t="e">
        <f>IF('Prediction Log'!#REF!=0, "",'Prediction Log'!#REF!)</f>
        <v>#REF!</v>
      </c>
      <c r="C699" s="65" t="e">
        <f>IF('Prediction Log'!#REF!=0, "",'Prediction Log'!#REF!)</f>
        <v>#REF!</v>
      </c>
      <c r="D699" s="65" t="e">
        <f>IF('Prediction Log'!#REF!=0, "",'Prediction Log'!#REF!)</f>
        <v>#REF!</v>
      </c>
      <c r="E699" s="65" t="e">
        <f>IF('Prediction Log'!#REF!=0, "",'Prediction Log'!#REF!)</f>
        <v>#REF!</v>
      </c>
      <c r="F699" s="65" t="e">
        <f>IF('Prediction Log'!#REF!=0, "",'Prediction Log'!#REF!)</f>
        <v>#REF!</v>
      </c>
      <c r="G699" s="64" t="e">
        <f>IF(ISBLANK(Games!#REF!), "",'Prediction Log'!#REF!)</f>
        <v>#REF!</v>
      </c>
      <c r="H699" s="66" t="e">
        <f>'Prediction Log'!#REF!</f>
        <v>#REF!</v>
      </c>
      <c r="I699" s="65" t="e">
        <f>IF(ISBLANK(Games!#REF!), "",IF(AND(Games!#REF!="",Games!#REF!=""),"",IF(ISTEXT(Games!#REF!), "Side",Games!#REF!)))</f>
        <v>#REF!</v>
      </c>
      <c r="J699" s="65" t="e">
        <f>IF(ISBLANK(Games!#REF!), "",IF(Games!#REF!="Y", Games!#REF!, Games!#REF!))</f>
        <v>#REF!</v>
      </c>
      <c r="K699" s="65" t="e">
        <f>Games!#REF!</f>
        <v>#REF!</v>
      </c>
      <c r="L699" s="65" t="e">
        <f>IF(ISBLANK(Games!#REF!), "",Games!#REF!)</f>
        <v>#REF!</v>
      </c>
      <c r="M699" s="65"/>
      <c r="N699" s="167" t="str">
        <f>IF(ISBLANK(Table123[[#This Row],[Odds Side - Difference Model]]), "", 1)</f>
      </c>
      <c r="O699" s="167" t="str">
        <f>IF(ISBLANK(Table123[[#This Row],[Odds Spread]]), "", 1)</f>
      </c>
      <c r="P699" s="67"/>
      <c r="Q699" s="67"/>
      <c r="R69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9" s="67"/>
      <c r="T699" s="67"/>
      <c r="U699" s="168" t="str">
        <f>IF(ISBLANK(Table123[[#This Row],[Odds Side - Difference Model]]), "",N699+IF(Q699&lt;0, (N699/(Q699/-100)), N699*(Q699/100)))</f>
      </c>
      <c r="V699" s="169" t="str">
        <f>IFERROR(IF(ISBLANK(Table123[[#This Row],[Odds Side - Win Probability Model]]), "",N699+IF(R699&lt;0, (N699/(R699/-100)), N699*(R699/100))),"")</f>
      </c>
      <c r="W699" s="168" t="str">
        <f t="shared" si="67"/>
      </c>
      <c r="X699" s="169" t="str">
        <f t="shared" si="68"/>
      </c>
      <c r="Y699" s="168" t="str">
        <f>IF(ISBLANK(Table123[[#This Row],[Odds Spread]]), "",O699+IF(S699&lt;0, (O699/(S699/-100)), O699*(S699/100)))</f>
      </c>
      <c r="Z699" s="168" t="str">
        <f t="shared" si="69"/>
      </c>
      <c r="AA699" s="68" t="n">
        <f t="shared" si="70"/>
        <v>0</v>
      </c>
      <c r="AB699" s="68" t="n">
        <f t="shared" si="71"/>
        <v>0</v>
      </c>
      <c r="AC699" s="170" t="e">
        <f>IF('Prediction Log'!#REF!="Y", "W", IF('Prediction Log'!#REF!="N","L",""))</f>
        <v>#REF!</v>
      </c>
      <c r="AD699" s="171" t="e">
        <f>IF('Prediction Log'!#REF!="Y", "W", IF('Prediction Log'!#REF!="N","L",""))</f>
        <v>#REF!</v>
      </c>
      <c r="AE699" s="172" t="str">
        <f>IF(ISBLANK(Table123[[#This Row],[Odds Side - Difference Model]]), "",IF(AC699="W", W699, IF(AC699="L",-N699, "")))</f>
      </c>
      <c r="AF699" s="173" t="str">
        <f>IFERROR((IF(ISERR(Table123[[#This Row],[Potential Payout Side - Win Probability Model]]), "",IF(AD699="W", X699, IF(AD699="L",-N699, "")))), "")</f>
      </c>
      <c r="AG699" s="170" t="e">
        <f>IF('Prediction Log'!#REF!="Y", "W", IF('Prediction Log'!#REF!="N", "L", ""))</f>
        <v>#REF!</v>
      </c>
      <c r="AH699" s="172" t="str">
        <f>IF(ISBLANK(Table123[[#This Row],[Odds Spread]]), "",IF(AG699="W", Z699, IF(AG699="L",-O699, "")))</f>
      </c>
      <c r="AI699" s="184"/>
      <c r="AJ699" s="183" t="str">
        <f t="shared" si="72"/>
      </c>
      <c r="AK69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0">
      <c r="A700" s="65" t="e">
        <f>Games!#REF!</f>
        <v>#REF!</v>
      </c>
      <c r="B700" s="65" t="e">
        <f>IF('Prediction Log'!#REF!=0, "",'Prediction Log'!#REF!)</f>
        <v>#REF!</v>
      </c>
      <c r="C700" s="65" t="e">
        <f>IF('Prediction Log'!#REF!=0, "",'Prediction Log'!#REF!)</f>
        <v>#REF!</v>
      </c>
      <c r="D700" s="65" t="e">
        <f>IF('Prediction Log'!#REF!=0, "",'Prediction Log'!#REF!)</f>
        <v>#REF!</v>
      </c>
      <c r="E700" s="65" t="e">
        <f>IF('Prediction Log'!#REF!=0, "",'Prediction Log'!#REF!)</f>
        <v>#REF!</v>
      </c>
      <c r="F700" s="65" t="e">
        <f>IF('Prediction Log'!#REF!=0, "",'Prediction Log'!#REF!)</f>
        <v>#REF!</v>
      </c>
      <c r="G700" s="64" t="e">
        <f>IF(ISBLANK(Games!#REF!), "",'Prediction Log'!#REF!)</f>
        <v>#REF!</v>
      </c>
      <c r="H700" s="66" t="e">
        <f>'Prediction Log'!#REF!</f>
        <v>#REF!</v>
      </c>
      <c r="I700" s="65" t="e">
        <f>IF(ISBLANK(Games!#REF!), "",IF(AND(Games!#REF!="",Games!#REF!=""),"",IF(ISTEXT(Games!#REF!), "Side",Games!#REF!)))</f>
        <v>#REF!</v>
      </c>
      <c r="J700" s="65" t="e">
        <f>IF(ISBLANK(Games!#REF!), "",IF(Games!#REF!="Y", Games!#REF!, Games!#REF!))</f>
        <v>#REF!</v>
      </c>
      <c r="K700" s="65" t="e">
        <f>Games!#REF!</f>
        <v>#REF!</v>
      </c>
      <c r="L700" s="65" t="e">
        <f>IF(ISBLANK(Games!#REF!), "",Games!#REF!)</f>
        <v>#REF!</v>
      </c>
      <c r="M700" s="65"/>
      <c r="N700" s="167" t="str">
        <f>IF(ISBLANK(Table123[[#This Row],[Odds Side - Difference Model]]), "", 1)</f>
      </c>
      <c r="O700" s="167" t="str">
        <f>IF(ISBLANK(Table123[[#This Row],[Odds Spread]]), "", 1)</f>
      </c>
      <c r="P700" s="67"/>
      <c r="Q700" s="67"/>
      <c r="R70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0" s="67"/>
      <c r="T700" s="67"/>
      <c r="U700" s="168" t="str">
        <f>IF(ISBLANK(Table123[[#This Row],[Odds Side - Difference Model]]), "",N700+IF(Q700&lt;0, (N700/(Q700/-100)), N700*(Q700/100)))</f>
      </c>
      <c r="V700" s="169" t="str">
        <f>IFERROR(IF(ISBLANK(Table123[[#This Row],[Odds Side - Win Probability Model]]), "",N700+IF(R700&lt;0, (N700/(R700/-100)), N700*(R700/100))),"")</f>
      </c>
      <c r="W700" s="168" t="str">
        <f t="shared" si="67"/>
      </c>
      <c r="X700" s="169" t="str">
        <f t="shared" si="68"/>
      </c>
      <c r="Y700" s="168" t="str">
        <f>IF(ISBLANK(Table123[[#This Row],[Odds Spread]]), "",O700+IF(S700&lt;0, (O700/(S700/-100)), O700*(S700/100)))</f>
      </c>
      <c r="Z700" s="168" t="str">
        <f t="shared" si="69"/>
      </c>
      <c r="AA700" s="68" t="n">
        <f t="shared" si="70"/>
        <v>0</v>
      </c>
      <c r="AB700" s="68" t="n">
        <f t="shared" si="71"/>
        <v>0</v>
      </c>
      <c r="AC700" s="170" t="e">
        <f>IF('Prediction Log'!#REF!="Y", "W", IF('Prediction Log'!#REF!="N","L",""))</f>
        <v>#REF!</v>
      </c>
      <c r="AD700" s="171" t="e">
        <f>IF('Prediction Log'!#REF!="Y", "W", IF('Prediction Log'!#REF!="N","L",""))</f>
        <v>#REF!</v>
      </c>
      <c r="AE700" s="172" t="str">
        <f>IF(ISBLANK(Table123[[#This Row],[Odds Side - Difference Model]]), "",IF(AC700="W", W700, IF(AC700="L",-N700, "")))</f>
      </c>
      <c r="AF700" s="173" t="str">
        <f>IFERROR((IF(ISERR(Table123[[#This Row],[Potential Payout Side - Win Probability Model]]), "",IF(AD700="W", X700, IF(AD700="L",-N700, "")))), "")</f>
      </c>
      <c r="AG700" s="170" t="e">
        <f>IF('Prediction Log'!#REF!="Y", "W", IF('Prediction Log'!#REF!="N", "L", ""))</f>
        <v>#REF!</v>
      </c>
      <c r="AH700" s="172" t="str">
        <f>IF(ISBLANK(Table123[[#This Row],[Odds Spread]]), "",IF(AG700="W", Z700, IF(AG700="L",-O700, "")))</f>
      </c>
      <c r="AI700" s="184"/>
      <c r="AJ700" s="183" t="str">
        <f t="shared" si="72"/>
      </c>
      <c r="AK70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1">
      <c r="A701" s="65" t="e">
        <f>Games!#REF!</f>
        <v>#REF!</v>
      </c>
      <c r="B701" s="65" t="e">
        <f>IF('Prediction Log'!#REF!=0, "",'Prediction Log'!#REF!)</f>
        <v>#REF!</v>
      </c>
      <c r="C701" s="65" t="e">
        <f>IF('Prediction Log'!#REF!=0, "",'Prediction Log'!#REF!)</f>
        <v>#REF!</v>
      </c>
      <c r="D701" s="65" t="e">
        <f>IF('Prediction Log'!#REF!=0, "",'Prediction Log'!#REF!)</f>
        <v>#REF!</v>
      </c>
      <c r="E701" s="65" t="e">
        <f>IF('Prediction Log'!#REF!=0, "",'Prediction Log'!#REF!)</f>
        <v>#REF!</v>
      </c>
      <c r="F701" s="65" t="e">
        <f>IF('Prediction Log'!#REF!=0, "",'Prediction Log'!#REF!)</f>
        <v>#REF!</v>
      </c>
      <c r="G701" s="64" t="e">
        <f>IF(ISBLANK(Games!#REF!), "",'Prediction Log'!#REF!)</f>
        <v>#REF!</v>
      </c>
      <c r="H701" s="66" t="e">
        <f>'Prediction Log'!#REF!</f>
        <v>#REF!</v>
      </c>
      <c r="I701" s="65" t="e">
        <f>IF(ISBLANK(Games!#REF!), "",IF(AND(Games!#REF!="",Games!#REF!=""),"",IF(ISTEXT(Games!#REF!), "Side",Games!#REF!)))</f>
        <v>#REF!</v>
      </c>
      <c r="J701" s="65" t="e">
        <f>IF(ISBLANK(Games!#REF!), "",IF(Games!#REF!="Y", Games!#REF!, Games!#REF!))</f>
        <v>#REF!</v>
      </c>
      <c r="K701" s="65" t="e">
        <f>Games!#REF!</f>
        <v>#REF!</v>
      </c>
      <c r="L701" s="65" t="e">
        <f>IF(ISBLANK(Games!#REF!), "",Games!#REF!)</f>
        <v>#REF!</v>
      </c>
      <c r="M701" s="65"/>
      <c r="N701" s="167" t="str">
        <f>IF(ISBLANK(Table123[[#This Row],[Odds Side - Difference Model]]), "", 1)</f>
      </c>
      <c r="O701" s="167" t="str">
        <f>IF(ISBLANK(Table123[[#This Row],[Odds Spread]]), "", 1)</f>
      </c>
      <c r="P701" s="67"/>
      <c r="Q701" s="67"/>
      <c r="R70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1" s="67"/>
      <c r="T701" s="67"/>
      <c r="U701" s="168" t="str">
        <f>IF(ISBLANK(Table123[[#This Row],[Odds Side - Difference Model]]), "",N701+IF(Q701&lt;0, (N701/(Q701/-100)), N701*(Q701/100)))</f>
      </c>
      <c r="V701" s="169" t="str">
        <f>IFERROR(IF(ISBLANK(Table123[[#This Row],[Odds Side - Win Probability Model]]), "",N701+IF(R701&lt;0, (N701/(R701/-100)), N701*(R701/100))),"")</f>
      </c>
      <c r="W701" s="168" t="str">
        <f t="shared" si="67"/>
      </c>
      <c r="X701" s="169" t="str">
        <f t="shared" si="68"/>
      </c>
      <c r="Y701" s="168" t="str">
        <f>IF(ISBLANK(Table123[[#This Row],[Odds Spread]]), "",O701+IF(S701&lt;0, (O701/(S701/-100)), O701*(S701/100)))</f>
      </c>
      <c r="Z701" s="168" t="str">
        <f t="shared" si="69"/>
      </c>
      <c r="AA701" s="68" t="n">
        <f t="shared" si="70"/>
        <v>0</v>
      </c>
      <c r="AB701" s="68" t="n">
        <f t="shared" si="71"/>
        <v>0</v>
      </c>
      <c r="AC701" s="170" t="e">
        <f>IF('Prediction Log'!#REF!="Y", "W", IF('Prediction Log'!#REF!="N","L",""))</f>
        <v>#REF!</v>
      </c>
      <c r="AD701" s="171" t="e">
        <f>IF('Prediction Log'!#REF!="Y", "W", IF('Prediction Log'!#REF!="N","L",""))</f>
        <v>#REF!</v>
      </c>
      <c r="AE701" s="172" t="str">
        <f>IF(ISBLANK(Table123[[#This Row],[Odds Side - Difference Model]]), "",IF(AC701="W", W701, IF(AC701="L",-N701, "")))</f>
      </c>
      <c r="AF701" s="173" t="str">
        <f>IFERROR((IF(ISERR(Table123[[#This Row],[Potential Payout Side - Win Probability Model]]), "",IF(AD701="W", X701, IF(AD701="L",-N701, "")))), "")</f>
      </c>
      <c r="AG701" s="170" t="e">
        <f>IF('Prediction Log'!#REF!="Y", "W", IF('Prediction Log'!#REF!="N", "L", ""))</f>
        <v>#REF!</v>
      </c>
      <c r="AH701" s="172" t="str">
        <f>IF(ISBLANK(Table123[[#This Row],[Odds Spread]]), "",IF(AG701="W", Z701, IF(AG701="L",-O701, "")))</f>
      </c>
      <c r="AI701" s="184"/>
      <c r="AJ701" s="183" t="str">
        <f t="shared" si="72"/>
      </c>
      <c r="AK70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2">
      <c r="A702" s="65" t="e">
        <f>Games!#REF!</f>
        <v>#REF!</v>
      </c>
      <c r="B702" s="65" t="e">
        <f>IF('Prediction Log'!#REF!=0, "",'Prediction Log'!#REF!)</f>
        <v>#REF!</v>
      </c>
      <c r="C702" s="65" t="e">
        <f>IF('Prediction Log'!#REF!=0, "",'Prediction Log'!#REF!)</f>
        <v>#REF!</v>
      </c>
      <c r="D702" s="65" t="e">
        <f>IF('Prediction Log'!#REF!=0, "",'Prediction Log'!#REF!)</f>
        <v>#REF!</v>
      </c>
      <c r="E702" s="65" t="e">
        <f>IF('Prediction Log'!#REF!=0, "",'Prediction Log'!#REF!)</f>
        <v>#REF!</v>
      </c>
      <c r="F702" s="65" t="e">
        <f>IF('Prediction Log'!#REF!=0, "",'Prediction Log'!#REF!)</f>
        <v>#REF!</v>
      </c>
      <c r="G702" s="64" t="e">
        <f>IF(ISBLANK(Games!#REF!), "",'Prediction Log'!#REF!)</f>
        <v>#REF!</v>
      </c>
      <c r="H702" s="66" t="e">
        <f>'Prediction Log'!#REF!</f>
        <v>#REF!</v>
      </c>
      <c r="I702" s="65" t="e">
        <f>IF(ISBLANK(Games!#REF!), "",IF(AND(Games!#REF!="",Games!#REF!=""),"",IF(ISTEXT(Games!#REF!), "Side",Games!#REF!)))</f>
        <v>#REF!</v>
      </c>
      <c r="J702" s="65" t="e">
        <f>IF(ISBLANK(Games!#REF!), "",IF(Games!#REF!="Y", Games!#REF!, Games!#REF!))</f>
        <v>#REF!</v>
      </c>
      <c r="K702" s="65" t="e">
        <f>Games!#REF!</f>
        <v>#REF!</v>
      </c>
      <c r="L702" s="65" t="e">
        <f>IF(ISBLANK(Games!#REF!), "",Games!#REF!)</f>
        <v>#REF!</v>
      </c>
      <c r="M702" s="65"/>
      <c r="N702" s="167" t="str">
        <f>IF(ISBLANK(Table123[[#This Row],[Odds Side - Difference Model]]), "", 1)</f>
      </c>
      <c r="O702" s="167" t="str">
        <f>IF(ISBLANK(Table123[[#This Row],[Odds Spread]]), "", 1)</f>
      </c>
      <c r="P702" s="67"/>
      <c r="Q702" s="67"/>
      <c r="R70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2" s="67"/>
      <c r="T702" s="67"/>
      <c r="U702" s="168" t="str">
        <f>IF(ISBLANK(Table123[[#This Row],[Odds Side - Difference Model]]), "",N702+IF(Q702&lt;0, (N702/(Q702/-100)), N702*(Q702/100)))</f>
      </c>
      <c r="V702" s="169" t="str">
        <f>IFERROR(IF(ISBLANK(Table123[[#This Row],[Odds Side - Win Probability Model]]), "",N702+IF(R702&lt;0, (N702/(R702/-100)), N702*(R702/100))),"")</f>
      </c>
      <c r="W702" s="168" t="str">
        <f t="shared" si="67"/>
      </c>
      <c r="X702" s="169" t="str">
        <f t="shared" si="68"/>
      </c>
      <c r="Y702" s="168" t="str">
        <f>IF(ISBLANK(Table123[[#This Row],[Odds Spread]]), "",O702+IF(S702&lt;0, (O702/(S702/-100)), O702*(S702/100)))</f>
      </c>
      <c r="Z702" s="168" t="str">
        <f t="shared" si="69"/>
      </c>
      <c r="AA702" s="68" t="n">
        <f t="shared" si="70"/>
        <v>0</v>
      </c>
      <c r="AB702" s="68" t="n">
        <f t="shared" si="71"/>
        <v>0</v>
      </c>
      <c r="AC702" s="170" t="e">
        <f>IF('Prediction Log'!#REF!="Y", "W", IF('Prediction Log'!#REF!="N","L",""))</f>
        <v>#REF!</v>
      </c>
      <c r="AD702" s="171" t="e">
        <f>IF('Prediction Log'!#REF!="Y", "W", IF('Prediction Log'!#REF!="N","L",""))</f>
        <v>#REF!</v>
      </c>
      <c r="AE702" s="172" t="str">
        <f>IF(ISBLANK(Table123[[#This Row],[Odds Side - Difference Model]]), "",IF(AC702="W", W702, IF(AC702="L",-N702, "")))</f>
      </c>
      <c r="AF702" s="173" t="str">
        <f>IFERROR((IF(ISERR(Table123[[#This Row],[Potential Payout Side - Win Probability Model]]), "",IF(AD702="W", X702, IF(AD702="L",-N702, "")))), "")</f>
      </c>
      <c r="AG702" s="170" t="e">
        <f>IF('Prediction Log'!#REF!="Y", "W", IF('Prediction Log'!#REF!="N", "L", ""))</f>
        <v>#REF!</v>
      </c>
      <c r="AH702" s="172" t="str">
        <f>IF(ISBLANK(Table123[[#This Row],[Odds Spread]]), "",IF(AG702="W", Z702, IF(AG702="L",-O702, "")))</f>
      </c>
      <c r="AI702" s="184"/>
      <c r="AJ702" s="183" t="str">
        <f t="shared" si="72"/>
      </c>
      <c r="AK70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3">
      <c r="A703" s="65" t="e">
        <f>Games!#REF!</f>
        <v>#REF!</v>
      </c>
      <c r="B703" s="65" t="e">
        <f>IF('Prediction Log'!#REF!=0, "",'Prediction Log'!#REF!)</f>
        <v>#REF!</v>
      </c>
      <c r="C703" s="65" t="e">
        <f>IF('Prediction Log'!#REF!=0, "",'Prediction Log'!#REF!)</f>
        <v>#REF!</v>
      </c>
      <c r="D703" s="65" t="e">
        <f>IF('Prediction Log'!#REF!=0, "",'Prediction Log'!#REF!)</f>
        <v>#REF!</v>
      </c>
      <c r="E703" s="65" t="e">
        <f>IF('Prediction Log'!#REF!=0, "",'Prediction Log'!#REF!)</f>
        <v>#REF!</v>
      </c>
      <c r="F703" s="65" t="e">
        <f>IF('Prediction Log'!#REF!=0, "",'Prediction Log'!#REF!)</f>
        <v>#REF!</v>
      </c>
      <c r="G703" s="64" t="e">
        <f>IF(ISBLANK(Games!#REF!), "",'Prediction Log'!#REF!)</f>
        <v>#REF!</v>
      </c>
      <c r="H703" s="66" t="e">
        <f>'Prediction Log'!#REF!</f>
        <v>#REF!</v>
      </c>
      <c r="I703" s="65" t="e">
        <f>IF(ISBLANK(Games!#REF!), "",IF(AND(Games!#REF!="",Games!#REF!=""),"",IF(ISTEXT(Games!#REF!), "Side",Games!#REF!)))</f>
        <v>#REF!</v>
      </c>
      <c r="J703" s="65" t="e">
        <f>IF(ISBLANK(Games!#REF!), "",IF(Games!#REF!="Y", Games!#REF!, Games!#REF!))</f>
        <v>#REF!</v>
      </c>
      <c r="K703" s="65" t="e">
        <f>Games!#REF!</f>
        <v>#REF!</v>
      </c>
      <c r="L703" s="65" t="e">
        <f>IF(ISBLANK(Games!#REF!), "",Games!#REF!)</f>
        <v>#REF!</v>
      </c>
      <c r="M703" s="65"/>
      <c r="N703" s="167" t="str">
        <f>IF(ISBLANK(Table123[[#This Row],[Odds Side - Difference Model]]), "", 1)</f>
      </c>
      <c r="O703" s="167" t="str">
        <f>IF(ISBLANK(Table123[[#This Row],[Odds Spread]]), "", 1)</f>
      </c>
      <c r="P703" s="67"/>
      <c r="Q703" s="67"/>
      <c r="R70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3" s="67"/>
      <c r="T703" s="67"/>
      <c r="U703" s="168" t="str">
        <f>IF(ISBLANK(Table123[[#This Row],[Odds Side - Difference Model]]), "",N703+IF(Q703&lt;0, (N703/(Q703/-100)), N703*(Q703/100)))</f>
      </c>
      <c r="V703" s="169" t="str">
        <f>IFERROR(IF(ISBLANK(Table123[[#This Row],[Odds Side - Win Probability Model]]), "",N703+IF(R703&lt;0, (N703/(R703/-100)), N703*(R703/100))),"")</f>
      </c>
      <c r="W703" s="168" t="str">
        <f t="shared" si="67"/>
      </c>
      <c r="X703" s="169" t="str">
        <f t="shared" si="68"/>
      </c>
      <c r="Y703" s="168" t="str">
        <f>IF(ISBLANK(Table123[[#This Row],[Odds Spread]]), "",O703+IF(S703&lt;0, (O703/(S703/-100)), O703*(S703/100)))</f>
      </c>
      <c r="Z703" s="168" t="str">
        <f t="shared" si="69"/>
      </c>
      <c r="AA703" s="68" t="n">
        <f t="shared" si="70"/>
        <v>0</v>
      </c>
      <c r="AB703" s="68" t="n">
        <f t="shared" si="71"/>
        <v>0</v>
      </c>
      <c r="AC703" s="170" t="e">
        <f>IF('Prediction Log'!#REF!="Y", "W", IF('Prediction Log'!#REF!="N","L",""))</f>
        <v>#REF!</v>
      </c>
      <c r="AD703" s="171" t="e">
        <f>IF('Prediction Log'!#REF!="Y", "W", IF('Prediction Log'!#REF!="N","L",""))</f>
        <v>#REF!</v>
      </c>
      <c r="AE703" s="172" t="str">
        <f>IF(ISBLANK(Table123[[#This Row],[Odds Side - Difference Model]]), "",IF(AC703="W", W703, IF(AC703="L",-N703, "")))</f>
      </c>
      <c r="AF703" s="173" t="str">
        <f>IFERROR((IF(ISERR(Table123[[#This Row],[Potential Payout Side - Win Probability Model]]), "",IF(AD703="W", X703, IF(AD703="L",-N703, "")))), "")</f>
      </c>
      <c r="AG703" s="170" t="e">
        <f>IF('Prediction Log'!#REF!="Y", "W", IF('Prediction Log'!#REF!="N", "L", ""))</f>
        <v>#REF!</v>
      </c>
      <c r="AH703" s="172" t="str">
        <f>IF(ISBLANK(Table123[[#This Row],[Odds Spread]]), "",IF(AG703="W", Z703, IF(AG703="L",-O703, "")))</f>
      </c>
      <c r="AI703" s="184"/>
      <c r="AJ703" s="183" t="str">
        <f t="shared" si="72"/>
      </c>
      <c r="AK70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4">
      <c r="A704" s="65" t="e">
        <f>Games!#REF!</f>
        <v>#REF!</v>
      </c>
      <c r="B704" s="65" t="e">
        <f>IF('Prediction Log'!#REF!=0, "",'Prediction Log'!#REF!)</f>
        <v>#REF!</v>
      </c>
      <c r="C704" s="65" t="e">
        <f>IF('Prediction Log'!#REF!=0, "",'Prediction Log'!#REF!)</f>
        <v>#REF!</v>
      </c>
      <c r="D704" s="65" t="e">
        <f>IF('Prediction Log'!#REF!=0, "",'Prediction Log'!#REF!)</f>
        <v>#REF!</v>
      </c>
      <c r="E704" s="65" t="e">
        <f>IF('Prediction Log'!#REF!=0, "",'Prediction Log'!#REF!)</f>
        <v>#REF!</v>
      </c>
      <c r="F704" s="65" t="e">
        <f>IF('Prediction Log'!#REF!=0, "",'Prediction Log'!#REF!)</f>
        <v>#REF!</v>
      </c>
      <c r="G704" s="64" t="e">
        <f>IF(ISBLANK(Games!#REF!), "",'Prediction Log'!#REF!)</f>
        <v>#REF!</v>
      </c>
      <c r="H704" s="66" t="e">
        <f>'Prediction Log'!#REF!</f>
        <v>#REF!</v>
      </c>
      <c r="I704" s="65" t="e">
        <f>IF(ISBLANK(Games!#REF!), "",IF(AND(Games!#REF!="",Games!#REF!=""),"",IF(ISTEXT(Games!#REF!), "Side",Games!#REF!)))</f>
        <v>#REF!</v>
      </c>
      <c r="J704" s="65" t="e">
        <f>IF(ISBLANK(Games!#REF!), "",IF(Games!#REF!="Y", Games!#REF!, Games!#REF!))</f>
        <v>#REF!</v>
      </c>
      <c r="K704" s="65" t="e">
        <f>Games!#REF!</f>
        <v>#REF!</v>
      </c>
      <c r="L704" s="65" t="e">
        <f>IF(ISBLANK(Games!#REF!), "",Games!#REF!)</f>
        <v>#REF!</v>
      </c>
      <c r="M704" s="65"/>
      <c r="N704" s="167" t="str">
        <f>IF(ISBLANK(Table123[[#This Row],[Odds Side - Difference Model]]), "", 1)</f>
      </c>
      <c r="O704" s="167" t="str">
        <f>IF(ISBLANK(Table123[[#This Row],[Odds Spread]]), "", 1)</f>
      </c>
      <c r="P704" s="67"/>
      <c r="Q704" s="67"/>
      <c r="R70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4" s="67"/>
      <c r="T704" s="67"/>
      <c r="U704" s="168" t="str">
        <f>IF(ISBLANK(Table123[[#This Row],[Odds Side - Difference Model]]), "",N704+IF(Q704&lt;0, (N704/(Q704/-100)), N704*(Q704/100)))</f>
      </c>
      <c r="V704" s="169" t="str">
        <f>IFERROR(IF(ISBLANK(Table123[[#This Row],[Odds Side - Win Probability Model]]), "",N704+IF(R704&lt;0, (N704/(R704/-100)), N704*(R704/100))),"")</f>
      </c>
      <c r="W704" s="168" t="str">
        <f t="shared" si="67"/>
      </c>
      <c r="X704" s="169" t="str">
        <f t="shared" si="68"/>
      </c>
      <c r="Y704" s="168" t="str">
        <f>IF(ISBLANK(Table123[[#This Row],[Odds Spread]]), "",O704+IF(S704&lt;0, (O704/(S704/-100)), O704*(S704/100)))</f>
      </c>
      <c r="Z704" s="168" t="str">
        <f t="shared" si="69"/>
      </c>
      <c r="AA704" s="68" t="n">
        <f t="shared" si="70"/>
        <v>0</v>
      </c>
      <c r="AB704" s="68" t="n">
        <f t="shared" si="71"/>
        <v>0</v>
      </c>
      <c r="AC704" s="170" t="e">
        <f>IF('Prediction Log'!#REF!="Y", "W", IF('Prediction Log'!#REF!="N","L",""))</f>
        <v>#REF!</v>
      </c>
      <c r="AD704" s="171" t="e">
        <f>IF('Prediction Log'!#REF!="Y", "W", IF('Prediction Log'!#REF!="N","L",""))</f>
        <v>#REF!</v>
      </c>
      <c r="AE704" s="172" t="str">
        <f>IF(ISBLANK(Table123[[#This Row],[Odds Side - Difference Model]]), "",IF(AC704="W", W704, IF(AC704="L",-N704, "")))</f>
      </c>
      <c r="AF704" s="173" t="str">
        <f>IFERROR((IF(ISERR(Table123[[#This Row],[Potential Payout Side - Win Probability Model]]), "",IF(AD704="W", X704, IF(AD704="L",-N704, "")))), "")</f>
      </c>
      <c r="AG704" s="170" t="e">
        <f>IF('Prediction Log'!#REF!="Y", "W", IF('Prediction Log'!#REF!="N", "L", ""))</f>
        <v>#REF!</v>
      </c>
      <c r="AH704" s="172" t="str">
        <f>IF(ISBLANK(Table123[[#This Row],[Odds Spread]]), "",IF(AG704="W", Z704, IF(AG704="L",-O704, "")))</f>
      </c>
      <c r="AI704" s="184"/>
      <c r="AJ704" s="183" t="str">
        <f t="shared" si="72"/>
      </c>
      <c r="AK70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5">
      <c r="A705" s="65" t="e">
        <f>Games!#REF!</f>
        <v>#REF!</v>
      </c>
      <c r="B705" s="65" t="e">
        <f>IF('Prediction Log'!#REF!=0, "",'Prediction Log'!#REF!)</f>
        <v>#REF!</v>
      </c>
      <c r="C705" s="65" t="e">
        <f>IF('Prediction Log'!#REF!=0, "",'Prediction Log'!#REF!)</f>
        <v>#REF!</v>
      </c>
      <c r="D705" s="65" t="e">
        <f>IF('Prediction Log'!#REF!=0, "",'Prediction Log'!#REF!)</f>
        <v>#REF!</v>
      </c>
      <c r="E705" s="65" t="e">
        <f>IF('Prediction Log'!#REF!=0, "",'Prediction Log'!#REF!)</f>
        <v>#REF!</v>
      </c>
      <c r="F705" s="65" t="e">
        <f>IF('Prediction Log'!#REF!=0, "",'Prediction Log'!#REF!)</f>
        <v>#REF!</v>
      </c>
      <c r="G705" s="64" t="e">
        <f>IF(ISBLANK(Games!#REF!), "",'Prediction Log'!#REF!)</f>
        <v>#REF!</v>
      </c>
      <c r="H705" s="66" t="e">
        <f>'Prediction Log'!#REF!</f>
        <v>#REF!</v>
      </c>
      <c r="I705" s="65" t="e">
        <f>IF(ISBLANK(Games!#REF!), "",IF(AND(Games!#REF!="",Games!#REF!=""),"",IF(ISTEXT(Games!#REF!), "Side",Games!#REF!)))</f>
        <v>#REF!</v>
      </c>
      <c r="J705" s="65" t="e">
        <f>IF(ISBLANK(Games!#REF!), "",IF(Games!#REF!="Y", Games!#REF!, Games!#REF!))</f>
        <v>#REF!</v>
      </c>
      <c r="K705" s="65" t="e">
        <f>Games!#REF!</f>
        <v>#REF!</v>
      </c>
      <c r="L705" s="65" t="e">
        <f>IF(ISBLANK(Games!#REF!), "",Games!#REF!)</f>
        <v>#REF!</v>
      </c>
      <c r="M705" s="65"/>
      <c r="N705" s="167" t="str">
        <f>IF(ISBLANK(Table123[[#This Row],[Odds Side - Difference Model]]), "", 1)</f>
      </c>
      <c r="O705" s="167" t="str">
        <f>IF(ISBLANK(Table123[[#This Row],[Odds Spread]]), "", 1)</f>
      </c>
      <c r="P705" s="67"/>
      <c r="Q705" s="67"/>
      <c r="R70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5" s="67"/>
      <c r="T705" s="67"/>
      <c r="U705" s="168" t="str">
        <f>IF(ISBLANK(Table123[[#This Row],[Odds Side - Difference Model]]), "",N705+IF(Q705&lt;0, (N705/(Q705/-100)), N705*(Q705/100)))</f>
      </c>
      <c r="V705" s="169" t="str">
        <f>IFERROR(IF(ISBLANK(Table123[[#This Row],[Odds Side - Win Probability Model]]), "",N705+IF(R705&lt;0, (N705/(R705/-100)), N705*(R705/100))),"")</f>
      </c>
      <c r="W705" s="168" t="str">
        <f t="shared" si="67"/>
      </c>
      <c r="X705" s="169" t="str">
        <f t="shared" si="68"/>
      </c>
      <c r="Y705" s="168" t="str">
        <f>IF(ISBLANK(Table123[[#This Row],[Odds Spread]]), "",O705+IF(S705&lt;0, (O705/(S705/-100)), O705*(S705/100)))</f>
      </c>
      <c r="Z705" s="168" t="str">
        <f t="shared" si="69"/>
      </c>
      <c r="AA705" s="68" t="n">
        <f t="shared" si="70"/>
        <v>0</v>
      </c>
      <c r="AB705" s="68" t="n">
        <f t="shared" si="71"/>
        <v>0</v>
      </c>
      <c r="AC705" s="170" t="e">
        <f>IF('Prediction Log'!#REF!="Y", "W", IF('Prediction Log'!#REF!="N","L",""))</f>
        <v>#REF!</v>
      </c>
      <c r="AD705" s="171" t="e">
        <f>IF('Prediction Log'!#REF!="Y", "W", IF('Prediction Log'!#REF!="N","L",""))</f>
        <v>#REF!</v>
      </c>
      <c r="AE705" s="172" t="str">
        <f>IF(ISBLANK(Table123[[#This Row],[Odds Side - Difference Model]]), "",IF(AC705="W", W705, IF(AC705="L",-N705, "")))</f>
      </c>
      <c r="AF705" s="173" t="str">
        <f>IFERROR((IF(ISERR(Table123[[#This Row],[Potential Payout Side - Win Probability Model]]), "",IF(AD705="W", X705, IF(AD705="L",-N705, "")))), "")</f>
      </c>
      <c r="AG705" s="170" t="e">
        <f>IF('Prediction Log'!#REF!="Y", "W", IF('Prediction Log'!#REF!="N", "L", ""))</f>
        <v>#REF!</v>
      </c>
      <c r="AH705" s="172" t="str">
        <f>IF(ISBLANK(Table123[[#This Row],[Odds Spread]]), "",IF(AG705="W", Z705, IF(AG705="L",-O705, "")))</f>
      </c>
      <c r="AI705" s="184"/>
      <c r="AJ705" s="183" t="str">
        <f t="shared" si="72"/>
      </c>
      <c r="AK70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6">
      <c r="A706" s="65" t="e">
        <f>Games!#REF!</f>
        <v>#REF!</v>
      </c>
      <c r="B706" s="65" t="e">
        <f>IF('Prediction Log'!#REF!=0, "",'Prediction Log'!#REF!)</f>
        <v>#REF!</v>
      </c>
      <c r="C706" s="65" t="e">
        <f>IF('Prediction Log'!#REF!=0, "",'Prediction Log'!#REF!)</f>
        <v>#REF!</v>
      </c>
      <c r="D706" s="65" t="e">
        <f>IF('Prediction Log'!#REF!=0, "",'Prediction Log'!#REF!)</f>
        <v>#REF!</v>
      </c>
      <c r="E706" s="65" t="e">
        <f>IF('Prediction Log'!#REF!=0, "",'Prediction Log'!#REF!)</f>
        <v>#REF!</v>
      </c>
      <c r="F706" s="65" t="e">
        <f>IF('Prediction Log'!#REF!=0, "",'Prediction Log'!#REF!)</f>
        <v>#REF!</v>
      </c>
      <c r="G706" s="64" t="e">
        <f>IF(ISBLANK(Games!#REF!), "",'Prediction Log'!#REF!)</f>
        <v>#REF!</v>
      </c>
      <c r="H706" s="66" t="e">
        <f>'Prediction Log'!#REF!</f>
        <v>#REF!</v>
      </c>
      <c r="I706" s="65" t="e">
        <f>IF(ISBLANK(Games!#REF!), "",IF(AND(Games!#REF!="",Games!#REF!=""),"",IF(ISTEXT(Games!#REF!), "Side",Games!#REF!)))</f>
        <v>#REF!</v>
      </c>
      <c r="J706" s="65" t="e">
        <f>IF(ISBLANK(Games!#REF!), "",IF(Games!#REF!="Y", Games!#REF!, Games!#REF!))</f>
        <v>#REF!</v>
      </c>
      <c r="K706" s="65" t="e">
        <f>Games!#REF!</f>
        <v>#REF!</v>
      </c>
      <c r="L706" s="65" t="e">
        <f>IF(ISBLANK(Games!#REF!), "",Games!#REF!)</f>
        <v>#REF!</v>
      </c>
      <c r="M706" s="65"/>
      <c r="N706" s="167" t="str">
        <f>IF(ISBLANK(Table123[[#This Row],[Odds Side - Difference Model]]), "", 1)</f>
      </c>
      <c r="O706" s="167" t="str">
        <f>IF(ISBLANK(Table123[[#This Row],[Odds Spread]]), "", 1)</f>
      </c>
      <c r="P706" s="67"/>
      <c r="Q706" s="67"/>
      <c r="R70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6" s="67"/>
      <c r="T706" s="67"/>
      <c r="U706" s="168" t="str">
        <f>IF(ISBLANK(Table123[[#This Row],[Odds Side - Difference Model]]), "",N706+IF(Q706&lt;0, (N706/(Q706/-100)), N706*(Q706/100)))</f>
      </c>
      <c r="V706" s="169" t="str">
        <f>IFERROR(IF(ISBLANK(Table123[[#This Row],[Odds Side - Win Probability Model]]), "",N706+IF(R706&lt;0, (N706/(R706/-100)), N706*(R706/100))),"")</f>
      </c>
      <c r="W706" s="168" t="str">
        <f t="shared" si="67"/>
      </c>
      <c r="X706" s="169" t="str">
        <f t="shared" si="68"/>
      </c>
      <c r="Y706" s="168" t="str">
        <f>IF(ISBLANK(Table123[[#This Row],[Odds Spread]]), "",O706+IF(S706&lt;0, (O706/(S706/-100)), O706*(S706/100)))</f>
      </c>
      <c r="Z706" s="168" t="str">
        <f t="shared" si="69"/>
      </c>
      <c r="AA706" s="68" t="n">
        <f t="shared" si="70"/>
        <v>0</v>
      </c>
      <c r="AB706" s="68" t="n">
        <f t="shared" si="71"/>
        <v>0</v>
      </c>
      <c r="AC706" s="170" t="e">
        <f>IF('Prediction Log'!#REF!="Y", "W", IF('Prediction Log'!#REF!="N","L",""))</f>
        <v>#REF!</v>
      </c>
      <c r="AD706" s="171" t="e">
        <f>IF('Prediction Log'!#REF!="Y", "W", IF('Prediction Log'!#REF!="N","L",""))</f>
        <v>#REF!</v>
      </c>
      <c r="AE706" s="172" t="str">
        <f>IF(ISBLANK(Table123[[#This Row],[Odds Side - Difference Model]]), "",IF(AC706="W", W706, IF(AC706="L",-N706, "")))</f>
      </c>
      <c r="AF706" s="173" t="str">
        <f>IFERROR((IF(ISERR(Table123[[#This Row],[Potential Payout Side - Win Probability Model]]), "",IF(AD706="W", X706, IF(AD706="L",-N706, "")))), "")</f>
      </c>
      <c r="AG706" s="170" t="e">
        <f>IF('Prediction Log'!#REF!="Y", "W", IF('Prediction Log'!#REF!="N", "L", ""))</f>
        <v>#REF!</v>
      </c>
      <c r="AH706" s="172" t="str">
        <f>IF(ISBLANK(Table123[[#This Row],[Odds Spread]]), "",IF(AG706="W", Z706, IF(AG706="L",-O706, "")))</f>
      </c>
      <c r="AI706" s="184"/>
      <c r="AJ706" s="183" t="str">
        <f t="shared" si="72"/>
      </c>
      <c r="AK70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7">
      <c r="A707" s="65" t="e">
        <f>Games!#REF!</f>
        <v>#REF!</v>
      </c>
      <c r="B707" s="65" t="e">
        <f>IF('Prediction Log'!#REF!=0, "",'Prediction Log'!#REF!)</f>
        <v>#REF!</v>
      </c>
      <c r="C707" s="65" t="e">
        <f>IF('Prediction Log'!#REF!=0, "",'Prediction Log'!#REF!)</f>
        <v>#REF!</v>
      </c>
      <c r="D707" s="65" t="e">
        <f>IF('Prediction Log'!#REF!=0, "",'Prediction Log'!#REF!)</f>
        <v>#REF!</v>
      </c>
      <c r="E707" s="65" t="e">
        <f>IF('Prediction Log'!#REF!=0, "",'Prediction Log'!#REF!)</f>
        <v>#REF!</v>
      </c>
      <c r="F707" s="65" t="e">
        <f>IF('Prediction Log'!#REF!=0, "",'Prediction Log'!#REF!)</f>
        <v>#REF!</v>
      </c>
      <c r="G707" s="64" t="e">
        <f>IF(ISBLANK(Games!#REF!), "",'Prediction Log'!#REF!)</f>
        <v>#REF!</v>
      </c>
      <c r="H707" s="66" t="e">
        <f>'Prediction Log'!#REF!</f>
        <v>#REF!</v>
      </c>
      <c r="I707" s="65" t="e">
        <f>IF(ISBLANK(Games!#REF!), "",IF(AND(Games!#REF!="",Games!#REF!=""),"",IF(ISTEXT(Games!#REF!), "Side",Games!#REF!)))</f>
        <v>#REF!</v>
      </c>
      <c r="J707" s="65" t="e">
        <f>IF(ISBLANK(Games!#REF!), "",IF(Games!#REF!="Y", Games!#REF!, Games!#REF!))</f>
        <v>#REF!</v>
      </c>
      <c r="K707" s="65" t="e">
        <f>Games!#REF!</f>
        <v>#REF!</v>
      </c>
      <c r="L707" s="65" t="e">
        <f>IF(ISBLANK(Games!#REF!), "",Games!#REF!)</f>
        <v>#REF!</v>
      </c>
      <c r="M707" s="65"/>
      <c r="N707" s="167" t="str">
        <f>IF(ISBLANK(Table123[[#This Row],[Odds Side - Difference Model]]), "", 1)</f>
      </c>
      <c r="O707" s="167" t="str">
        <f>IF(ISBLANK(Table123[[#This Row],[Odds Spread]]), "", 1)</f>
      </c>
      <c r="P707" s="67"/>
      <c r="Q707" s="67"/>
      <c r="R70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7" s="67"/>
      <c r="T707" s="67"/>
      <c r="U707" s="168" t="str">
        <f>IF(ISBLANK(Table123[[#This Row],[Odds Side - Difference Model]]), "",N707+IF(Q707&lt;0, (N707/(Q707/-100)), N707*(Q707/100)))</f>
      </c>
      <c r="V707" s="169" t="str">
        <f>IFERROR(IF(ISBLANK(Table123[[#This Row],[Odds Side - Win Probability Model]]), "",N707+IF(R707&lt;0, (N707/(R707/-100)), N707*(R707/100))),"")</f>
      </c>
      <c r="W707" s="168" t="str">
        <f t="shared" ref="W707:W755" si="73">IFERROR(U707-N707, "")</f>
      </c>
      <c r="X707" s="169" t="str">
        <f t="shared" ref="X707:X755" si="74">IFERROR(V707-N707, "")</f>
      </c>
      <c r="Y707" s="168" t="str">
        <f>IF(ISBLANK(Table123[[#This Row],[Odds Spread]]), "",O707+IF(S707&lt;0, (O707/(S707/-100)), O707*(S707/100)))</f>
      </c>
      <c r="Z707" s="168" t="str">
        <f t="shared" ref="Z707:Z755" si="75">IFERROR(Y707-O707, "")</f>
      </c>
      <c r="AA707" s="68" t="n">
        <f t="shared" ref="AA707:AA755" si="76">P707+IF(T707&lt;0, (P707/(T707/-100)), P707*(T707/100))</f>
        <v>0</v>
      </c>
      <c r="AB707" s="68" t="n">
        <f t="shared" ref="AB707:AB755" si="77">T707-P707</f>
        <v>0</v>
      </c>
      <c r="AC707" s="170" t="e">
        <f>IF('Prediction Log'!#REF!="Y", "W", IF('Prediction Log'!#REF!="N","L",""))</f>
        <v>#REF!</v>
      </c>
      <c r="AD707" s="171" t="e">
        <f>IF('Prediction Log'!#REF!="Y", "W", IF('Prediction Log'!#REF!="N","L",""))</f>
        <v>#REF!</v>
      </c>
      <c r="AE707" s="172" t="str">
        <f>IF(ISBLANK(Table123[[#This Row],[Odds Side - Difference Model]]), "",IF(AC707="W", W707, IF(AC707="L",-N707, "")))</f>
      </c>
      <c r="AF707" s="173" t="str">
        <f>IFERROR((IF(ISERR(Table123[[#This Row],[Potential Payout Side - Win Probability Model]]), "",IF(AD707="W", X707, IF(AD707="L",-N707, "")))), "")</f>
      </c>
      <c r="AG707" s="170" t="e">
        <f>IF('Prediction Log'!#REF!="Y", "W", IF('Prediction Log'!#REF!="N", "L", ""))</f>
        <v>#REF!</v>
      </c>
      <c r="AH707" s="172" t="str">
        <f>IF(ISBLANK(Table123[[#This Row],[Odds Spread]]), "",IF(AG707="W", Z707, IF(AG707="L",-O707, "")))</f>
      </c>
      <c r="AI707" s="184"/>
      <c r="AJ707" s="183" t="str">
        <f t="shared" ref="AJ707:AJ755" si="78">IF(AI707="W", AB707, IF(AI707="L",-S707, ""))</f>
      </c>
      <c r="AK70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8">
      <c r="A708" s="65" t="e">
        <f>Games!#REF!</f>
        <v>#REF!</v>
      </c>
      <c r="B708" s="65" t="e">
        <f>IF('Prediction Log'!#REF!=0, "",'Prediction Log'!#REF!)</f>
        <v>#REF!</v>
      </c>
      <c r="C708" s="65" t="e">
        <f>IF('Prediction Log'!#REF!=0, "",'Prediction Log'!#REF!)</f>
        <v>#REF!</v>
      </c>
      <c r="D708" s="65" t="e">
        <f>IF('Prediction Log'!#REF!=0, "",'Prediction Log'!#REF!)</f>
        <v>#REF!</v>
      </c>
      <c r="E708" s="65" t="e">
        <f>IF('Prediction Log'!#REF!=0, "",'Prediction Log'!#REF!)</f>
        <v>#REF!</v>
      </c>
      <c r="F708" s="65" t="e">
        <f>IF('Prediction Log'!#REF!=0, "",'Prediction Log'!#REF!)</f>
        <v>#REF!</v>
      </c>
      <c r="G708" s="64" t="e">
        <f>IF(ISBLANK(Games!#REF!), "",'Prediction Log'!#REF!)</f>
        <v>#REF!</v>
      </c>
      <c r="H708" s="66" t="e">
        <f>'Prediction Log'!#REF!</f>
        <v>#REF!</v>
      </c>
      <c r="I708" s="65" t="e">
        <f>IF(ISBLANK(Games!#REF!), "",IF(AND(Games!#REF!="",Games!#REF!=""),"",IF(ISTEXT(Games!#REF!), "Side",Games!#REF!)))</f>
        <v>#REF!</v>
      </c>
      <c r="J708" s="65" t="e">
        <f>IF(ISBLANK(Games!#REF!), "",IF(Games!#REF!="Y", Games!#REF!, Games!#REF!))</f>
        <v>#REF!</v>
      </c>
      <c r="K708" s="65" t="e">
        <f>Games!#REF!</f>
        <v>#REF!</v>
      </c>
      <c r="L708" s="65" t="e">
        <f>IF(ISBLANK(Games!#REF!), "",Games!#REF!)</f>
        <v>#REF!</v>
      </c>
      <c r="M708" s="65"/>
      <c r="N708" s="167" t="str">
        <f>IF(ISBLANK(Table123[[#This Row],[Odds Side - Difference Model]]), "", 1)</f>
      </c>
      <c r="O708" s="167" t="str">
        <f>IF(ISBLANK(Table123[[#This Row],[Odds Spread]]), "", 1)</f>
      </c>
      <c r="P708" s="67"/>
      <c r="Q708" s="67"/>
      <c r="R70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8" s="67"/>
      <c r="T708" s="67"/>
      <c r="U708" s="168" t="str">
        <f>IF(ISBLANK(Table123[[#This Row],[Odds Side - Difference Model]]), "",N708+IF(Q708&lt;0, (N708/(Q708/-100)), N708*(Q708/100)))</f>
      </c>
      <c r="V708" s="169" t="str">
        <f>IFERROR(IF(ISBLANK(Table123[[#This Row],[Odds Side - Win Probability Model]]), "",N708+IF(R708&lt;0, (N708/(R708/-100)), N708*(R708/100))),"")</f>
      </c>
      <c r="W708" s="168" t="str">
        <f t="shared" si="73"/>
      </c>
      <c r="X708" s="169" t="str">
        <f t="shared" si="74"/>
      </c>
      <c r="Y708" s="168" t="str">
        <f>IF(ISBLANK(Table123[[#This Row],[Odds Spread]]), "",O708+IF(S708&lt;0, (O708/(S708/-100)), O708*(S708/100)))</f>
      </c>
      <c r="Z708" s="168" t="str">
        <f t="shared" si="75"/>
      </c>
      <c r="AA708" s="68" t="n">
        <f t="shared" si="76"/>
        <v>0</v>
      </c>
      <c r="AB708" s="68" t="n">
        <f t="shared" si="77"/>
        <v>0</v>
      </c>
      <c r="AC708" s="170" t="e">
        <f>IF('Prediction Log'!#REF!="Y", "W", IF('Prediction Log'!#REF!="N","L",""))</f>
        <v>#REF!</v>
      </c>
      <c r="AD708" s="171" t="e">
        <f>IF('Prediction Log'!#REF!="Y", "W", IF('Prediction Log'!#REF!="N","L",""))</f>
        <v>#REF!</v>
      </c>
      <c r="AE708" s="172" t="str">
        <f>IF(ISBLANK(Table123[[#This Row],[Odds Side - Difference Model]]), "",IF(AC708="W", W708, IF(AC708="L",-N708, "")))</f>
      </c>
      <c r="AF708" s="173" t="str">
        <f>IFERROR((IF(ISERR(Table123[[#This Row],[Potential Payout Side - Win Probability Model]]), "",IF(AD708="W", X708, IF(AD708="L",-N708, "")))), "")</f>
      </c>
      <c r="AG708" s="170" t="e">
        <f>IF('Prediction Log'!#REF!="Y", "W", IF('Prediction Log'!#REF!="N", "L", ""))</f>
        <v>#REF!</v>
      </c>
      <c r="AH708" s="172" t="str">
        <f>IF(ISBLANK(Table123[[#This Row],[Odds Spread]]), "",IF(AG708="W", Z708, IF(AG708="L",-O708, "")))</f>
      </c>
      <c r="AI708" s="184"/>
      <c r="AJ708" s="183" t="str">
        <f t="shared" si="78"/>
      </c>
      <c r="AK70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9">
      <c r="A709" s="65" t="e">
        <f>Games!#REF!</f>
        <v>#REF!</v>
      </c>
      <c r="B709" s="65" t="e">
        <f>IF('Prediction Log'!#REF!=0, "",'Prediction Log'!#REF!)</f>
        <v>#REF!</v>
      </c>
      <c r="C709" s="65" t="e">
        <f>IF('Prediction Log'!#REF!=0, "",'Prediction Log'!#REF!)</f>
        <v>#REF!</v>
      </c>
      <c r="D709" s="65" t="e">
        <f>IF('Prediction Log'!#REF!=0, "",'Prediction Log'!#REF!)</f>
        <v>#REF!</v>
      </c>
      <c r="E709" s="65" t="e">
        <f>IF('Prediction Log'!#REF!=0, "",'Prediction Log'!#REF!)</f>
        <v>#REF!</v>
      </c>
      <c r="F709" s="65" t="e">
        <f>IF('Prediction Log'!#REF!=0, "",'Prediction Log'!#REF!)</f>
        <v>#REF!</v>
      </c>
      <c r="G709" s="64" t="e">
        <f>IF(ISBLANK(Games!#REF!), "",'Prediction Log'!#REF!)</f>
        <v>#REF!</v>
      </c>
      <c r="H709" s="66" t="e">
        <f>'Prediction Log'!#REF!</f>
        <v>#REF!</v>
      </c>
      <c r="I709" s="65" t="e">
        <f>IF(ISBLANK(Games!#REF!), "",IF(AND(Games!#REF!="",Games!#REF!=""),"",IF(ISTEXT(Games!#REF!), "Side",Games!#REF!)))</f>
        <v>#REF!</v>
      </c>
      <c r="J709" s="65" t="e">
        <f>IF(ISBLANK(Games!#REF!), "",IF(Games!#REF!="Y", Games!#REF!, Games!#REF!))</f>
        <v>#REF!</v>
      </c>
      <c r="K709" s="65" t="e">
        <f>Games!#REF!</f>
        <v>#REF!</v>
      </c>
      <c r="L709" s="65" t="e">
        <f>IF(ISBLANK(Games!#REF!), "",Games!#REF!)</f>
        <v>#REF!</v>
      </c>
      <c r="M709" s="65"/>
      <c r="N709" s="167" t="str">
        <f>IF(ISBLANK(Table123[[#This Row],[Odds Side - Difference Model]]), "", 1)</f>
      </c>
      <c r="O709" s="167" t="str">
        <f>IF(ISBLANK(Table123[[#This Row],[Odds Spread]]), "", 1)</f>
      </c>
      <c r="P709" s="67"/>
      <c r="Q709" s="67"/>
      <c r="R70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9" s="67"/>
      <c r="T709" s="67"/>
      <c r="U709" s="168" t="str">
        <f>IF(ISBLANK(Table123[[#This Row],[Odds Side - Difference Model]]), "",N709+IF(Q709&lt;0, (N709/(Q709/-100)), N709*(Q709/100)))</f>
      </c>
      <c r="V709" s="169" t="str">
        <f>IFERROR(IF(ISBLANK(Table123[[#This Row],[Odds Side - Win Probability Model]]), "",N709+IF(R709&lt;0, (N709/(R709/-100)), N709*(R709/100))),"")</f>
      </c>
      <c r="W709" s="168" t="str">
        <f t="shared" si="73"/>
      </c>
      <c r="X709" s="169" t="str">
        <f t="shared" si="74"/>
      </c>
      <c r="Y709" s="168" t="str">
        <f>IF(ISBLANK(Table123[[#This Row],[Odds Spread]]), "",O709+IF(S709&lt;0, (O709/(S709/-100)), O709*(S709/100)))</f>
      </c>
      <c r="Z709" s="168" t="str">
        <f t="shared" si="75"/>
      </c>
      <c r="AA709" s="68" t="n">
        <f t="shared" si="76"/>
        <v>0</v>
      </c>
      <c r="AB709" s="68" t="n">
        <f t="shared" si="77"/>
        <v>0</v>
      </c>
      <c r="AC709" s="170" t="e">
        <f>IF('Prediction Log'!#REF!="Y", "W", IF('Prediction Log'!#REF!="N","L",""))</f>
        <v>#REF!</v>
      </c>
      <c r="AD709" s="171" t="e">
        <f>IF('Prediction Log'!#REF!="Y", "W", IF('Prediction Log'!#REF!="N","L",""))</f>
        <v>#REF!</v>
      </c>
      <c r="AE709" s="172" t="str">
        <f>IF(ISBLANK(Table123[[#This Row],[Odds Side - Difference Model]]), "",IF(AC709="W", W709, IF(AC709="L",-N709, "")))</f>
      </c>
      <c r="AF709" s="173" t="str">
        <f>IFERROR((IF(ISERR(Table123[[#This Row],[Potential Payout Side - Win Probability Model]]), "",IF(AD709="W", X709, IF(AD709="L",-N709, "")))), "")</f>
      </c>
      <c r="AG709" s="170" t="e">
        <f>IF('Prediction Log'!#REF!="Y", "W", IF('Prediction Log'!#REF!="N", "L", ""))</f>
        <v>#REF!</v>
      </c>
      <c r="AH709" s="172" t="str">
        <f>IF(ISBLANK(Table123[[#This Row],[Odds Spread]]), "",IF(AG709="W", Z709, IF(AG709="L",-O709, "")))</f>
      </c>
      <c r="AI709" s="184"/>
      <c r="AJ709" s="183" t="str">
        <f t="shared" si="78"/>
      </c>
      <c r="AK70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0">
      <c r="A710" s="65" t="e">
        <f>Games!#REF!</f>
        <v>#REF!</v>
      </c>
      <c r="B710" s="65" t="e">
        <f>IF('Prediction Log'!#REF!=0, "",'Prediction Log'!#REF!)</f>
        <v>#REF!</v>
      </c>
      <c r="C710" s="65" t="e">
        <f>IF('Prediction Log'!#REF!=0, "",'Prediction Log'!#REF!)</f>
        <v>#REF!</v>
      </c>
      <c r="D710" s="65" t="e">
        <f>IF('Prediction Log'!#REF!=0, "",'Prediction Log'!#REF!)</f>
        <v>#REF!</v>
      </c>
      <c r="E710" s="65" t="e">
        <f>IF('Prediction Log'!#REF!=0, "",'Prediction Log'!#REF!)</f>
        <v>#REF!</v>
      </c>
      <c r="F710" s="65" t="e">
        <f>IF('Prediction Log'!#REF!=0, "",'Prediction Log'!#REF!)</f>
        <v>#REF!</v>
      </c>
      <c r="G710" s="64" t="e">
        <f>IF(ISBLANK(Games!#REF!), "",'Prediction Log'!#REF!)</f>
        <v>#REF!</v>
      </c>
      <c r="H710" s="66" t="e">
        <f>'Prediction Log'!#REF!</f>
        <v>#REF!</v>
      </c>
      <c r="I710" s="65" t="e">
        <f>IF(ISBLANK(Games!#REF!), "",IF(AND(Games!#REF!="",Games!#REF!=""),"",IF(ISTEXT(Games!#REF!), "Side",Games!#REF!)))</f>
        <v>#REF!</v>
      </c>
      <c r="J710" s="65" t="e">
        <f>IF(ISBLANK(Games!#REF!), "",IF(Games!#REF!="Y", Games!#REF!, Games!#REF!))</f>
        <v>#REF!</v>
      </c>
      <c r="K710" s="65" t="e">
        <f>Games!#REF!</f>
        <v>#REF!</v>
      </c>
      <c r="L710" s="65" t="e">
        <f>IF(ISBLANK(Games!#REF!), "",Games!#REF!)</f>
        <v>#REF!</v>
      </c>
      <c r="M710" s="65"/>
      <c r="N710" s="167" t="str">
        <f>IF(ISBLANK(Table123[[#This Row],[Odds Side - Difference Model]]), "", 1)</f>
      </c>
      <c r="O710" s="167" t="str">
        <f>IF(ISBLANK(Table123[[#This Row],[Odds Spread]]), "", 1)</f>
      </c>
      <c r="P710" s="67"/>
      <c r="Q710" s="67"/>
      <c r="R71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0" s="67"/>
      <c r="T710" s="67"/>
      <c r="U710" s="168" t="str">
        <f>IF(ISBLANK(Table123[[#This Row],[Odds Side - Difference Model]]), "",N710+IF(Q710&lt;0, (N710/(Q710/-100)), N710*(Q710/100)))</f>
      </c>
      <c r="V710" s="169" t="str">
        <f>IFERROR(IF(ISBLANK(Table123[[#This Row],[Odds Side - Win Probability Model]]), "",N710+IF(R710&lt;0, (N710/(R710/-100)), N710*(R710/100))),"")</f>
      </c>
      <c r="W710" s="168" t="str">
        <f t="shared" si="73"/>
      </c>
      <c r="X710" s="169" t="str">
        <f t="shared" si="74"/>
      </c>
      <c r="Y710" s="168" t="str">
        <f>IF(ISBLANK(Table123[[#This Row],[Odds Spread]]), "",O710+IF(S710&lt;0, (O710/(S710/-100)), O710*(S710/100)))</f>
      </c>
      <c r="Z710" s="168" t="str">
        <f t="shared" si="75"/>
      </c>
      <c r="AA710" s="68" t="n">
        <f t="shared" si="76"/>
        <v>0</v>
      </c>
      <c r="AB710" s="68" t="n">
        <f t="shared" si="77"/>
        <v>0</v>
      </c>
      <c r="AC710" s="170" t="e">
        <f>IF('Prediction Log'!#REF!="Y", "W", IF('Prediction Log'!#REF!="N","L",""))</f>
        <v>#REF!</v>
      </c>
      <c r="AD710" s="171" t="e">
        <f>IF('Prediction Log'!#REF!="Y", "W", IF('Prediction Log'!#REF!="N","L",""))</f>
        <v>#REF!</v>
      </c>
      <c r="AE710" s="172" t="str">
        <f>IF(ISBLANK(Table123[[#This Row],[Odds Side - Difference Model]]), "",IF(AC710="W", W710, IF(AC710="L",-N710, "")))</f>
      </c>
      <c r="AF710" s="173" t="str">
        <f>IFERROR((IF(ISERR(Table123[[#This Row],[Potential Payout Side - Win Probability Model]]), "",IF(AD710="W", X710, IF(AD710="L",-N710, "")))), "")</f>
      </c>
      <c r="AG710" s="170" t="e">
        <f>IF('Prediction Log'!#REF!="Y", "W", IF('Prediction Log'!#REF!="N", "L", ""))</f>
        <v>#REF!</v>
      </c>
      <c r="AH710" s="172" t="str">
        <f>IF(ISBLANK(Table123[[#This Row],[Odds Spread]]), "",IF(AG710="W", Z710, IF(AG710="L",-O710, "")))</f>
      </c>
      <c r="AI710" s="184"/>
      <c r="AJ710" s="183" t="str">
        <f t="shared" si="78"/>
      </c>
      <c r="AK71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1">
      <c r="A711" s="65" t="e">
        <f>Games!#REF!</f>
        <v>#REF!</v>
      </c>
      <c r="B711" s="65" t="e">
        <f>IF('Prediction Log'!#REF!=0, "",'Prediction Log'!#REF!)</f>
        <v>#REF!</v>
      </c>
      <c r="C711" s="65" t="e">
        <f>IF('Prediction Log'!#REF!=0, "",'Prediction Log'!#REF!)</f>
        <v>#REF!</v>
      </c>
      <c r="D711" s="65" t="e">
        <f>IF('Prediction Log'!#REF!=0, "",'Prediction Log'!#REF!)</f>
        <v>#REF!</v>
      </c>
      <c r="E711" s="65" t="e">
        <f>IF('Prediction Log'!#REF!=0, "",'Prediction Log'!#REF!)</f>
        <v>#REF!</v>
      </c>
      <c r="F711" s="65" t="e">
        <f>IF('Prediction Log'!#REF!=0, "",'Prediction Log'!#REF!)</f>
        <v>#REF!</v>
      </c>
      <c r="G711" s="64" t="e">
        <f>IF(ISBLANK(Games!#REF!), "",'Prediction Log'!#REF!)</f>
        <v>#REF!</v>
      </c>
      <c r="H711" s="66" t="e">
        <f>'Prediction Log'!#REF!</f>
        <v>#REF!</v>
      </c>
      <c r="I711" s="65" t="e">
        <f>IF(ISBLANK(Games!#REF!), "",IF(AND(Games!#REF!="",Games!#REF!=""),"",IF(ISTEXT(Games!#REF!), "Side",Games!#REF!)))</f>
        <v>#REF!</v>
      </c>
      <c r="J711" s="65" t="e">
        <f>IF(ISBLANK(Games!#REF!), "",IF(Games!#REF!="Y", Games!#REF!, Games!#REF!))</f>
        <v>#REF!</v>
      </c>
      <c r="K711" s="65" t="e">
        <f>Games!#REF!</f>
        <v>#REF!</v>
      </c>
      <c r="L711" s="65" t="e">
        <f>IF(ISBLANK(Games!#REF!), "",Games!#REF!)</f>
        <v>#REF!</v>
      </c>
      <c r="M711" s="65"/>
      <c r="N711" s="167" t="str">
        <f>IF(ISBLANK(Table123[[#This Row],[Odds Side - Difference Model]]), "", 1)</f>
      </c>
      <c r="O711" s="167" t="str">
        <f>IF(ISBLANK(Table123[[#This Row],[Odds Spread]]), "", 1)</f>
      </c>
      <c r="P711" s="67"/>
      <c r="Q711" s="67"/>
      <c r="R71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1" s="67"/>
      <c r="T711" s="67"/>
      <c r="U711" s="168" t="str">
        <f>IF(ISBLANK(Table123[[#This Row],[Odds Side - Difference Model]]), "",N711+IF(Q711&lt;0, (N711/(Q711/-100)), N711*(Q711/100)))</f>
      </c>
      <c r="V711" s="169" t="str">
        <f>IFERROR(IF(ISBLANK(Table123[[#This Row],[Odds Side - Win Probability Model]]), "",N711+IF(R711&lt;0, (N711/(R711/-100)), N711*(R711/100))),"")</f>
      </c>
      <c r="W711" s="168" t="str">
        <f t="shared" si="73"/>
      </c>
      <c r="X711" s="169" t="str">
        <f t="shared" si="74"/>
      </c>
      <c r="Y711" s="168" t="str">
        <f>IF(ISBLANK(Table123[[#This Row],[Odds Spread]]), "",O711+IF(S711&lt;0, (O711/(S711/-100)), O711*(S711/100)))</f>
      </c>
      <c r="Z711" s="168" t="str">
        <f t="shared" si="75"/>
      </c>
      <c r="AA711" s="68" t="n">
        <f t="shared" si="76"/>
        <v>0</v>
      </c>
      <c r="AB711" s="68" t="n">
        <f t="shared" si="77"/>
        <v>0</v>
      </c>
      <c r="AC711" s="170" t="e">
        <f>IF('Prediction Log'!#REF!="Y", "W", IF('Prediction Log'!#REF!="N","L",""))</f>
        <v>#REF!</v>
      </c>
      <c r="AD711" s="171" t="e">
        <f>IF('Prediction Log'!#REF!="Y", "W", IF('Prediction Log'!#REF!="N","L",""))</f>
        <v>#REF!</v>
      </c>
      <c r="AE711" s="172" t="str">
        <f>IF(ISBLANK(Table123[[#This Row],[Odds Side - Difference Model]]), "",IF(AC711="W", W711, IF(AC711="L",-N711, "")))</f>
      </c>
      <c r="AF711" s="173" t="str">
        <f>IFERROR((IF(ISERR(Table123[[#This Row],[Potential Payout Side - Win Probability Model]]), "",IF(AD711="W", X711, IF(AD711="L",-N711, "")))), "")</f>
      </c>
      <c r="AG711" s="170" t="e">
        <f>IF('Prediction Log'!#REF!="Y", "W", IF('Prediction Log'!#REF!="N", "L", ""))</f>
        <v>#REF!</v>
      </c>
      <c r="AH711" s="172" t="str">
        <f>IF(ISBLANK(Table123[[#This Row],[Odds Spread]]), "",IF(AG711="W", Z711, IF(AG711="L",-O711, "")))</f>
      </c>
      <c r="AI711" s="184"/>
      <c r="AJ711" s="183" t="str">
        <f t="shared" si="78"/>
      </c>
      <c r="AK71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2">
      <c r="A712" s="65" t="e">
        <f>Games!#REF!</f>
        <v>#REF!</v>
      </c>
      <c r="B712" s="65" t="e">
        <f>IF('Prediction Log'!#REF!=0, "",'Prediction Log'!#REF!)</f>
        <v>#REF!</v>
      </c>
      <c r="C712" s="65" t="e">
        <f>IF('Prediction Log'!#REF!=0, "",'Prediction Log'!#REF!)</f>
        <v>#REF!</v>
      </c>
      <c r="D712" s="65" t="e">
        <f>IF('Prediction Log'!#REF!=0, "",'Prediction Log'!#REF!)</f>
        <v>#REF!</v>
      </c>
      <c r="E712" s="65" t="e">
        <f>IF('Prediction Log'!#REF!=0, "",'Prediction Log'!#REF!)</f>
        <v>#REF!</v>
      </c>
      <c r="F712" s="65" t="e">
        <f>IF('Prediction Log'!#REF!=0, "",'Prediction Log'!#REF!)</f>
        <v>#REF!</v>
      </c>
      <c r="G712" s="64" t="e">
        <f>IF(ISBLANK(Games!#REF!), "",'Prediction Log'!#REF!)</f>
        <v>#REF!</v>
      </c>
      <c r="H712" s="66" t="e">
        <f>'Prediction Log'!#REF!</f>
        <v>#REF!</v>
      </c>
      <c r="I712" s="65" t="e">
        <f>IF(ISBLANK(Games!#REF!), "",IF(AND(Games!#REF!="",Games!#REF!=""),"",IF(ISTEXT(Games!#REF!), "Side",Games!#REF!)))</f>
        <v>#REF!</v>
      </c>
      <c r="J712" s="65" t="e">
        <f>IF(ISBLANK(Games!#REF!), "",IF(Games!#REF!="Y", Games!#REF!, Games!#REF!))</f>
        <v>#REF!</v>
      </c>
      <c r="K712" s="65" t="e">
        <f>Games!#REF!</f>
        <v>#REF!</v>
      </c>
      <c r="L712" s="65" t="e">
        <f>IF(ISBLANK(Games!#REF!), "",Games!#REF!)</f>
        <v>#REF!</v>
      </c>
      <c r="M712" s="65"/>
      <c r="N712" s="167" t="str">
        <f>IF(ISBLANK(Table123[[#This Row],[Odds Side - Difference Model]]), "", 1)</f>
      </c>
      <c r="O712" s="167" t="str">
        <f>IF(ISBLANK(Table123[[#This Row],[Odds Spread]]), "", 1)</f>
      </c>
      <c r="P712" s="67"/>
      <c r="Q712" s="67"/>
      <c r="R71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2" s="67"/>
      <c r="T712" s="67"/>
      <c r="U712" s="168" t="str">
        <f>IF(ISBLANK(Table123[[#This Row],[Odds Side - Difference Model]]), "",N712+IF(Q712&lt;0, (N712/(Q712/-100)), N712*(Q712/100)))</f>
      </c>
      <c r="V712" s="169" t="str">
        <f>IFERROR(IF(ISBLANK(Table123[[#This Row],[Odds Side - Win Probability Model]]), "",N712+IF(R712&lt;0, (N712/(R712/-100)), N712*(R712/100))),"")</f>
      </c>
      <c r="W712" s="168" t="str">
        <f t="shared" si="73"/>
      </c>
      <c r="X712" s="169" t="str">
        <f t="shared" si="74"/>
      </c>
      <c r="Y712" s="168" t="str">
        <f>IF(ISBLANK(Table123[[#This Row],[Odds Spread]]), "",O712+IF(S712&lt;0, (O712/(S712/-100)), O712*(S712/100)))</f>
      </c>
      <c r="Z712" s="168" t="str">
        <f t="shared" si="75"/>
      </c>
      <c r="AA712" s="68" t="n">
        <f t="shared" si="76"/>
        <v>0</v>
      </c>
      <c r="AB712" s="68" t="n">
        <f t="shared" si="77"/>
        <v>0</v>
      </c>
      <c r="AC712" s="170" t="e">
        <f>IF('Prediction Log'!#REF!="Y", "W", IF('Prediction Log'!#REF!="N","L",""))</f>
        <v>#REF!</v>
      </c>
      <c r="AD712" s="171" t="e">
        <f>IF('Prediction Log'!#REF!="Y", "W", IF('Prediction Log'!#REF!="N","L",""))</f>
        <v>#REF!</v>
      </c>
      <c r="AE712" s="172" t="str">
        <f>IF(ISBLANK(Table123[[#This Row],[Odds Side - Difference Model]]), "",IF(AC712="W", W712, IF(AC712="L",-N712, "")))</f>
      </c>
      <c r="AF712" s="173" t="str">
        <f>IFERROR((IF(ISERR(Table123[[#This Row],[Potential Payout Side - Win Probability Model]]), "",IF(AD712="W", X712, IF(AD712="L",-N712, "")))), "")</f>
      </c>
      <c r="AG712" s="170" t="e">
        <f>IF('Prediction Log'!#REF!="Y", "W", IF('Prediction Log'!#REF!="N", "L", ""))</f>
        <v>#REF!</v>
      </c>
      <c r="AH712" s="172" t="str">
        <f>IF(ISBLANK(Table123[[#This Row],[Odds Spread]]), "",IF(AG712="W", Z712, IF(AG712="L",-O712, "")))</f>
      </c>
      <c r="AI712" s="184"/>
      <c r="AJ712" s="183" t="str">
        <f t="shared" si="78"/>
      </c>
      <c r="AK71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3">
      <c r="A713" s="65" t="e">
        <f>Games!#REF!</f>
        <v>#REF!</v>
      </c>
      <c r="B713" s="65" t="e">
        <f>IF('Prediction Log'!#REF!=0, "",'Prediction Log'!#REF!)</f>
        <v>#REF!</v>
      </c>
      <c r="C713" s="65" t="e">
        <f>IF('Prediction Log'!#REF!=0, "",'Prediction Log'!#REF!)</f>
        <v>#REF!</v>
      </c>
      <c r="D713" s="65" t="e">
        <f>IF('Prediction Log'!#REF!=0, "",'Prediction Log'!#REF!)</f>
        <v>#REF!</v>
      </c>
      <c r="E713" s="65" t="e">
        <f>IF('Prediction Log'!#REF!=0, "",'Prediction Log'!#REF!)</f>
        <v>#REF!</v>
      </c>
      <c r="F713" s="65" t="e">
        <f>IF('Prediction Log'!#REF!=0, "",'Prediction Log'!#REF!)</f>
        <v>#REF!</v>
      </c>
      <c r="G713" s="64" t="e">
        <f>IF(ISBLANK(Games!#REF!), "",'Prediction Log'!#REF!)</f>
        <v>#REF!</v>
      </c>
      <c r="H713" s="66" t="e">
        <f>'Prediction Log'!#REF!</f>
        <v>#REF!</v>
      </c>
      <c r="I713" s="65" t="e">
        <f>IF(ISBLANK(Games!#REF!), "",IF(AND(Games!#REF!="",Games!#REF!=""),"",IF(ISTEXT(Games!#REF!), "Side",Games!#REF!)))</f>
        <v>#REF!</v>
      </c>
      <c r="J713" s="65" t="e">
        <f>IF(ISBLANK(Games!#REF!), "",IF(Games!#REF!="Y", Games!#REF!, Games!#REF!))</f>
        <v>#REF!</v>
      </c>
      <c r="K713" s="65" t="e">
        <f>Games!#REF!</f>
        <v>#REF!</v>
      </c>
      <c r="L713" s="65" t="e">
        <f>IF(ISBLANK(Games!#REF!), "",Games!#REF!)</f>
        <v>#REF!</v>
      </c>
      <c r="M713" s="65"/>
      <c r="N713" s="167" t="str">
        <f>IF(ISBLANK(Table123[[#This Row],[Odds Side - Difference Model]]), "", 1)</f>
      </c>
      <c r="O713" s="167" t="str">
        <f>IF(ISBLANK(Table123[[#This Row],[Odds Spread]]), "", 1)</f>
      </c>
      <c r="P713" s="67"/>
      <c r="Q713" s="67"/>
      <c r="R71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3" s="67"/>
      <c r="T713" s="67"/>
      <c r="U713" s="168" t="str">
        <f>IF(ISBLANK(Table123[[#This Row],[Odds Side - Difference Model]]), "",N713+IF(Q713&lt;0, (N713/(Q713/-100)), N713*(Q713/100)))</f>
      </c>
      <c r="V713" s="169" t="str">
        <f>IFERROR(IF(ISBLANK(Table123[[#This Row],[Odds Side - Win Probability Model]]), "",N713+IF(R713&lt;0, (N713/(R713/-100)), N713*(R713/100))),"")</f>
      </c>
      <c r="W713" s="168" t="str">
        <f t="shared" si="73"/>
      </c>
      <c r="X713" s="169" t="str">
        <f t="shared" si="74"/>
      </c>
      <c r="Y713" s="168" t="str">
        <f>IF(ISBLANK(Table123[[#This Row],[Odds Spread]]), "",O713+IF(S713&lt;0, (O713/(S713/-100)), O713*(S713/100)))</f>
      </c>
      <c r="Z713" s="168" t="str">
        <f t="shared" si="75"/>
      </c>
      <c r="AA713" s="68" t="n">
        <f t="shared" si="76"/>
        <v>0</v>
      </c>
      <c r="AB713" s="68" t="n">
        <f t="shared" si="77"/>
        <v>0</v>
      </c>
      <c r="AC713" s="170" t="e">
        <f>IF('Prediction Log'!#REF!="Y", "W", IF('Prediction Log'!#REF!="N","L",""))</f>
        <v>#REF!</v>
      </c>
      <c r="AD713" s="171" t="e">
        <f>IF('Prediction Log'!#REF!="Y", "W", IF('Prediction Log'!#REF!="N","L",""))</f>
        <v>#REF!</v>
      </c>
      <c r="AE713" s="172" t="str">
        <f>IF(ISBLANK(Table123[[#This Row],[Odds Side - Difference Model]]), "",IF(AC713="W", W713, IF(AC713="L",-N713, "")))</f>
      </c>
      <c r="AF713" s="173" t="str">
        <f>IFERROR((IF(ISERR(Table123[[#This Row],[Potential Payout Side - Win Probability Model]]), "",IF(AD713="W", X713, IF(AD713="L",-N713, "")))), "")</f>
      </c>
      <c r="AG713" s="170" t="e">
        <f>IF('Prediction Log'!#REF!="Y", "W", IF('Prediction Log'!#REF!="N", "L", ""))</f>
        <v>#REF!</v>
      </c>
      <c r="AH713" s="172" t="str">
        <f>IF(ISBLANK(Table123[[#This Row],[Odds Spread]]), "",IF(AG713="W", Z713, IF(AG713="L",-O713, "")))</f>
      </c>
      <c r="AI713" s="184"/>
      <c r="AJ713" s="183" t="str">
        <f t="shared" si="78"/>
      </c>
      <c r="AK71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4">
      <c r="A714" s="65" t="e">
        <f>Games!#REF!</f>
        <v>#REF!</v>
      </c>
      <c r="B714" s="65" t="e">
        <f>IF('Prediction Log'!#REF!=0, "",'Prediction Log'!#REF!)</f>
        <v>#REF!</v>
      </c>
      <c r="C714" s="65" t="e">
        <f>IF('Prediction Log'!#REF!=0, "",'Prediction Log'!#REF!)</f>
        <v>#REF!</v>
      </c>
      <c r="D714" s="65" t="e">
        <f>IF('Prediction Log'!#REF!=0, "",'Prediction Log'!#REF!)</f>
        <v>#REF!</v>
      </c>
      <c r="E714" s="65" t="e">
        <f>IF('Prediction Log'!#REF!=0, "",'Prediction Log'!#REF!)</f>
        <v>#REF!</v>
      </c>
      <c r="F714" s="65" t="e">
        <f>IF('Prediction Log'!#REF!=0, "",'Prediction Log'!#REF!)</f>
        <v>#REF!</v>
      </c>
      <c r="G714" s="64" t="e">
        <f>IF(ISBLANK(Games!#REF!), "",'Prediction Log'!#REF!)</f>
        <v>#REF!</v>
      </c>
      <c r="H714" s="66" t="e">
        <f>'Prediction Log'!#REF!</f>
        <v>#REF!</v>
      </c>
      <c r="I714" s="65" t="e">
        <f>IF(ISBLANK(Games!#REF!), "",IF(AND(Games!#REF!="",Games!#REF!=""),"",IF(ISTEXT(Games!#REF!), "Side",Games!#REF!)))</f>
        <v>#REF!</v>
      </c>
      <c r="J714" s="65" t="e">
        <f>IF(ISBLANK(Games!#REF!), "",IF(Games!#REF!="Y", Games!#REF!, Games!#REF!))</f>
        <v>#REF!</v>
      </c>
      <c r="K714" s="65" t="e">
        <f>Games!#REF!</f>
        <v>#REF!</v>
      </c>
      <c r="L714" s="65" t="e">
        <f>IF(ISBLANK(Games!#REF!), "",Games!#REF!)</f>
        <v>#REF!</v>
      </c>
      <c r="M714" s="65"/>
      <c r="N714" s="167" t="str">
        <f>IF(ISBLANK(Table123[[#This Row],[Odds Side - Difference Model]]), "", 1)</f>
      </c>
      <c r="O714" s="167" t="str">
        <f>IF(ISBLANK(Table123[[#This Row],[Odds Spread]]), "", 1)</f>
      </c>
      <c r="P714" s="67"/>
      <c r="Q714" s="67"/>
      <c r="R71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4" s="67"/>
      <c r="T714" s="67"/>
      <c r="U714" s="168" t="str">
        <f>IF(ISBLANK(Table123[[#This Row],[Odds Side - Difference Model]]), "",N714+IF(Q714&lt;0, (N714/(Q714/-100)), N714*(Q714/100)))</f>
      </c>
      <c r="V714" s="169" t="str">
        <f>IFERROR(IF(ISBLANK(Table123[[#This Row],[Odds Side - Win Probability Model]]), "",N714+IF(R714&lt;0, (N714/(R714/-100)), N714*(R714/100))),"")</f>
      </c>
      <c r="W714" s="168" t="str">
        <f t="shared" si="73"/>
      </c>
      <c r="X714" s="169" t="str">
        <f t="shared" si="74"/>
      </c>
      <c r="Y714" s="168" t="str">
        <f>IF(ISBLANK(Table123[[#This Row],[Odds Spread]]), "",O714+IF(S714&lt;0, (O714/(S714/-100)), O714*(S714/100)))</f>
      </c>
      <c r="Z714" s="168" t="str">
        <f t="shared" si="75"/>
      </c>
      <c r="AA714" s="68" t="n">
        <f t="shared" si="76"/>
        <v>0</v>
      </c>
      <c r="AB714" s="68" t="n">
        <f t="shared" si="77"/>
        <v>0</v>
      </c>
      <c r="AC714" s="170" t="e">
        <f>IF('Prediction Log'!#REF!="Y", "W", IF('Prediction Log'!#REF!="N","L",""))</f>
        <v>#REF!</v>
      </c>
      <c r="AD714" s="171" t="e">
        <f>IF('Prediction Log'!#REF!="Y", "W", IF('Prediction Log'!#REF!="N","L",""))</f>
        <v>#REF!</v>
      </c>
      <c r="AE714" s="172" t="str">
        <f>IF(ISBLANK(Table123[[#This Row],[Odds Side - Difference Model]]), "",IF(AC714="W", W714, IF(AC714="L",-N714, "")))</f>
      </c>
      <c r="AF714" s="173" t="str">
        <f>IFERROR((IF(ISERR(Table123[[#This Row],[Potential Payout Side - Win Probability Model]]), "",IF(AD714="W", X714, IF(AD714="L",-N714, "")))), "")</f>
      </c>
      <c r="AG714" s="170" t="e">
        <f>IF('Prediction Log'!#REF!="Y", "W", IF('Prediction Log'!#REF!="N", "L", ""))</f>
        <v>#REF!</v>
      </c>
      <c r="AH714" s="172" t="str">
        <f>IF(ISBLANK(Table123[[#This Row],[Odds Spread]]), "",IF(AG714="W", Z714, IF(AG714="L",-O714, "")))</f>
      </c>
      <c r="AI714" s="184"/>
      <c r="AJ714" s="183" t="str">
        <f t="shared" si="78"/>
      </c>
      <c r="AK71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5">
      <c r="A715" s="65" t="e">
        <f>Games!#REF!</f>
        <v>#REF!</v>
      </c>
      <c r="B715" s="65" t="e">
        <f>IF('Prediction Log'!#REF!=0, "",'Prediction Log'!#REF!)</f>
        <v>#REF!</v>
      </c>
      <c r="C715" s="65" t="e">
        <f>IF('Prediction Log'!#REF!=0, "",'Prediction Log'!#REF!)</f>
        <v>#REF!</v>
      </c>
      <c r="D715" s="65" t="e">
        <f>IF('Prediction Log'!#REF!=0, "",'Prediction Log'!#REF!)</f>
        <v>#REF!</v>
      </c>
      <c r="E715" s="65" t="e">
        <f>IF('Prediction Log'!#REF!=0, "",'Prediction Log'!#REF!)</f>
        <v>#REF!</v>
      </c>
      <c r="F715" s="65" t="e">
        <f>IF('Prediction Log'!#REF!=0, "",'Prediction Log'!#REF!)</f>
        <v>#REF!</v>
      </c>
      <c r="G715" s="64" t="e">
        <f>IF(ISBLANK(Games!#REF!), "",'Prediction Log'!#REF!)</f>
        <v>#REF!</v>
      </c>
      <c r="H715" s="66" t="e">
        <f>'Prediction Log'!#REF!</f>
        <v>#REF!</v>
      </c>
      <c r="I715" s="65" t="e">
        <f>IF(ISBLANK(Games!#REF!), "",IF(AND(Games!#REF!="",Games!#REF!=""),"",IF(ISTEXT(Games!#REF!), "Side",Games!#REF!)))</f>
        <v>#REF!</v>
      </c>
      <c r="J715" s="65" t="e">
        <f>IF(ISBLANK(Games!#REF!), "",IF(Games!#REF!="Y", Games!#REF!, Games!#REF!))</f>
        <v>#REF!</v>
      </c>
      <c r="K715" s="65" t="e">
        <f>Games!#REF!</f>
        <v>#REF!</v>
      </c>
      <c r="L715" s="65" t="e">
        <f>IF(ISBLANK(Games!#REF!), "",Games!#REF!)</f>
        <v>#REF!</v>
      </c>
      <c r="M715" s="65"/>
      <c r="N715" s="167" t="str">
        <f>IF(ISBLANK(Table123[[#This Row],[Odds Side - Difference Model]]), "", 1)</f>
      </c>
      <c r="O715" s="167" t="str">
        <f>IF(ISBLANK(Table123[[#This Row],[Odds Spread]]), "", 1)</f>
      </c>
      <c r="P715" s="67"/>
      <c r="Q715" s="67"/>
      <c r="R71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5" s="67"/>
      <c r="T715" s="67"/>
      <c r="U715" s="168" t="str">
        <f>IF(ISBLANK(Table123[[#This Row],[Odds Side - Difference Model]]), "",N715+IF(Q715&lt;0, (N715/(Q715/-100)), N715*(Q715/100)))</f>
      </c>
      <c r="V715" s="169" t="str">
        <f>IFERROR(IF(ISBLANK(Table123[[#This Row],[Odds Side - Win Probability Model]]), "",N715+IF(R715&lt;0, (N715/(R715/-100)), N715*(R715/100))),"")</f>
      </c>
      <c r="W715" s="168" t="str">
        <f t="shared" si="73"/>
      </c>
      <c r="X715" s="169" t="str">
        <f t="shared" si="74"/>
      </c>
      <c r="Y715" s="168" t="str">
        <f>IF(ISBLANK(Table123[[#This Row],[Odds Spread]]), "",O715+IF(S715&lt;0, (O715/(S715/-100)), O715*(S715/100)))</f>
      </c>
      <c r="Z715" s="168" t="str">
        <f t="shared" si="75"/>
      </c>
      <c r="AA715" s="68" t="n">
        <f t="shared" si="76"/>
        <v>0</v>
      </c>
      <c r="AB715" s="68" t="n">
        <f t="shared" si="77"/>
        <v>0</v>
      </c>
      <c r="AC715" s="170" t="e">
        <f>IF('Prediction Log'!#REF!="Y", "W", IF('Prediction Log'!#REF!="N","L",""))</f>
        <v>#REF!</v>
      </c>
      <c r="AD715" s="171" t="e">
        <f>IF('Prediction Log'!#REF!="Y", "W", IF('Prediction Log'!#REF!="N","L",""))</f>
        <v>#REF!</v>
      </c>
      <c r="AE715" s="172" t="str">
        <f>IF(ISBLANK(Table123[[#This Row],[Odds Side - Difference Model]]), "",IF(AC715="W", W715, IF(AC715="L",-N715, "")))</f>
      </c>
      <c r="AF715" s="173" t="str">
        <f>IFERROR((IF(ISERR(Table123[[#This Row],[Potential Payout Side - Win Probability Model]]), "",IF(AD715="W", X715, IF(AD715="L",-N715, "")))), "")</f>
      </c>
      <c r="AG715" s="170" t="e">
        <f>IF('Prediction Log'!#REF!="Y", "W", IF('Prediction Log'!#REF!="N", "L", ""))</f>
        <v>#REF!</v>
      </c>
      <c r="AH715" s="172" t="str">
        <f>IF(ISBLANK(Table123[[#This Row],[Odds Spread]]), "",IF(AG715="W", Z715, IF(AG715="L",-O715, "")))</f>
      </c>
      <c r="AI715" s="184"/>
      <c r="AJ715" s="183" t="str">
        <f t="shared" si="78"/>
      </c>
      <c r="AK71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6">
      <c r="A716" s="65" t="e">
        <f>Games!#REF!</f>
        <v>#REF!</v>
      </c>
      <c r="B716" s="65" t="e">
        <f>IF('Prediction Log'!#REF!=0, "",'Prediction Log'!#REF!)</f>
        <v>#REF!</v>
      </c>
      <c r="C716" s="65" t="e">
        <f>IF('Prediction Log'!#REF!=0, "",'Prediction Log'!#REF!)</f>
        <v>#REF!</v>
      </c>
      <c r="D716" s="65" t="e">
        <f>IF('Prediction Log'!#REF!=0, "",'Prediction Log'!#REF!)</f>
        <v>#REF!</v>
      </c>
      <c r="E716" s="65" t="e">
        <f>IF('Prediction Log'!#REF!=0, "",'Prediction Log'!#REF!)</f>
        <v>#REF!</v>
      </c>
      <c r="F716" s="65" t="e">
        <f>IF('Prediction Log'!#REF!=0, "",'Prediction Log'!#REF!)</f>
        <v>#REF!</v>
      </c>
      <c r="G716" s="64" t="e">
        <f>IF(ISBLANK(Games!#REF!), "",'Prediction Log'!#REF!)</f>
        <v>#REF!</v>
      </c>
      <c r="H716" s="66" t="e">
        <f>'Prediction Log'!#REF!</f>
        <v>#REF!</v>
      </c>
      <c r="I716" s="65" t="e">
        <f>IF(ISBLANK(Games!#REF!), "",IF(AND(Games!#REF!="",Games!#REF!=""),"",IF(ISTEXT(Games!#REF!), "Side",Games!#REF!)))</f>
        <v>#REF!</v>
      </c>
      <c r="J716" s="65" t="e">
        <f>IF(ISBLANK(Games!#REF!), "",IF(Games!#REF!="Y", Games!#REF!, Games!#REF!))</f>
        <v>#REF!</v>
      </c>
      <c r="K716" s="65" t="e">
        <f>Games!#REF!</f>
        <v>#REF!</v>
      </c>
      <c r="L716" s="65" t="e">
        <f>IF(ISBLANK(Games!#REF!), "",Games!#REF!)</f>
        <v>#REF!</v>
      </c>
      <c r="M716" s="65"/>
      <c r="N716" s="167" t="str">
        <f>IF(ISBLANK(Table123[[#This Row],[Odds Side - Difference Model]]), "", 1)</f>
      </c>
      <c r="O716" s="167" t="str">
        <f>IF(ISBLANK(Table123[[#This Row],[Odds Spread]]), "", 1)</f>
      </c>
      <c r="P716" s="67"/>
      <c r="Q716" s="67"/>
      <c r="R71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6" s="67"/>
      <c r="T716" s="67"/>
      <c r="U716" s="168" t="str">
        <f>IF(ISBLANK(Table123[[#This Row],[Odds Side - Difference Model]]), "",N716+IF(Q716&lt;0, (N716/(Q716/-100)), N716*(Q716/100)))</f>
      </c>
      <c r="V716" s="169" t="str">
        <f>IFERROR(IF(ISBLANK(Table123[[#This Row],[Odds Side - Win Probability Model]]), "",N716+IF(R716&lt;0, (N716/(R716/-100)), N716*(R716/100))),"")</f>
      </c>
      <c r="W716" s="168" t="str">
        <f t="shared" si="73"/>
      </c>
      <c r="X716" s="169" t="str">
        <f t="shared" si="74"/>
      </c>
      <c r="Y716" s="168" t="str">
        <f>IF(ISBLANK(Table123[[#This Row],[Odds Spread]]), "",O716+IF(S716&lt;0, (O716/(S716/-100)), O716*(S716/100)))</f>
      </c>
      <c r="Z716" s="168" t="str">
        <f t="shared" si="75"/>
      </c>
      <c r="AA716" s="68" t="n">
        <f t="shared" si="76"/>
        <v>0</v>
      </c>
      <c r="AB716" s="68" t="n">
        <f t="shared" si="77"/>
        <v>0</v>
      </c>
      <c r="AC716" s="170" t="e">
        <f>IF('Prediction Log'!#REF!="Y", "W", IF('Prediction Log'!#REF!="N","L",""))</f>
        <v>#REF!</v>
      </c>
      <c r="AD716" s="171" t="e">
        <f>IF('Prediction Log'!#REF!="Y", "W", IF('Prediction Log'!#REF!="N","L",""))</f>
        <v>#REF!</v>
      </c>
      <c r="AE716" s="172" t="str">
        <f>IF(ISBLANK(Table123[[#This Row],[Odds Side - Difference Model]]), "",IF(AC716="W", W716, IF(AC716="L",-N716, "")))</f>
      </c>
      <c r="AF716" s="173" t="str">
        <f>IFERROR((IF(ISERR(Table123[[#This Row],[Potential Payout Side - Win Probability Model]]), "",IF(AD716="W", X716, IF(AD716="L",-N716, "")))), "")</f>
      </c>
      <c r="AG716" s="170" t="e">
        <f>IF('Prediction Log'!#REF!="Y", "W", IF('Prediction Log'!#REF!="N", "L", ""))</f>
        <v>#REF!</v>
      </c>
      <c r="AH716" s="172" t="str">
        <f>IF(ISBLANK(Table123[[#This Row],[Odds Spread]]), "",IF(AG716="W", Z716, IF(AG716="L",-O716, "")))</f>
      </c>
      <c r="AI716" s="184"/>
      <c r="AJ716" s="183" t="str">
        <f t="shared" si="78"/>
      </c>
      <c r="AK71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7">
      <c r="A717" s="65" t="e">
        <f>Games!#REF!</f>
        <v>#REF!</v>
      </c>
      <c r="B717" s="65" t="e">
        <f>IF('Prediction Log'!#REF!=0, "",'Prediction Log'!#REF!)</f>
        <v>#REF!</v>
      </c>
      <c r="C717" s="65" t="e">
        <f>IF('Prediction Log'!#REF!=0, "",'Prediction Log'!#REF!)</f>
        <v>#REF!</v>
      </c>
      <c r="D717" s="65" t="e">
        <f>IF('Prediction Log'!#REF!=0, "",'Prediction Log'!#REF!)</f>
        <v>#REF!</v>
      </c>
      <c r="E717" s="65" t="e">
        <f>IF('Prediction Log'!#REF!=0, "",'Prediction Log'!#REF!)</f>
        <v>#REF!</v>
      </c>
      <c r="F717" s="65" t="e">
        <f>IF('Prediction Log'!#REF!=0, "",'Prediction Log'!#REF!)</f>
        <v>#REF!</v>
      </c>
      <c r="G717" s="64" t="e">
        <f>IF(ISBLANK(Games!#REF!), "",'Prediction Log'!#REF!)</f>
        <v>#REF!</v>
      </c>
      <c r="H717" s="66" t="e">
        <f>'Prediction Log'!#REF!</f>
        <v>#REF!</v>
      </c>
      <c r="I717" s="65" t="e">
        <f>IF(ISBLANK(Games!#REF!), "",IF(AND(Games!#REF!="",Games!#REF!=""),"",IF(ISTEXT(Games!#REF!), "Side",Games!#REF!)))</f>
        <v>#REF!</v>
      </c>
      <c r="J717" s="65" t="e">
        <f>IF(ISBLANK(Games!#REF!), "",IF(Games!#REF!="Y", Games!#REF!, Games!#REF!))</f>
        <v>#REF!</v>
      </c>
      <c r="K717" s="65" t="e">
        <f>Games!#REF!</f>
        <v>#REF!</v>
      </c>
      <c r="L717" s="65" t="e">
        <f>IF(ISBLANK(Games!#REF!), "",Games!#REF!)</f>
        <v>#REF!</v>
      </c>
      <c r="M717" s="65"/>
      <c r="N717" s="167" t="str">
        <f>IF(ISBLANK(Table123[[#This Row],[Odds Side - Difference Model]]), "", 1)</f>
      </c>
      <c r="O717" s="167" t="str">
        <f>IF(ISBLANK(Table123[[#This Row],[Odds Spread]]), "", 1)</f>
      </c>
      <c r="P717" s="67"/>
      <c r="Q717" s="67"/>
      <c r="R71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7" s="67"/>
      <c r="T717" s="67"/>
      <c r="U717" s="168" t="str">
        <f>IF(ISBLANK(Table123[[#This Row],[Odds Side - Difference Model]]), "",N717+IF(Q717&lt;0, (N717/(Q717/-100)), N717*(Q717/100)))</f>
      </c>
      <c r="V717" s="169" t="str">
        <f>IFERROR(IF(ISBLANK(Table123[[#This Row],[Odds Side - Win Probability Model]]), "",N717+IF(R717&lt;0, (N717/(R717/-100)), N717*(R717/100))),"")</f>
      </c>
      <c r="W717" s="168" t="str">
        <f t="shared" si="73"/>
      </c>
      <c r="X717" s="169" t="str">
        <f t="shared" si="74"/>
      </c>
      <c r="Y717" s="168" t="str">
        <f>IF(ISBLANK(Table123[[#This Row],[Odds Spread]]), "",O717+IF(S717&lt;0, (O717/(S717/-100)), O717*(S717/100)))</f>
      </c>
      <c r="Z717" s="168" t="str">
        <f t="shared" si="75"/>
      </c>
      <c r="AA717" s="68" t="n">
        <f t="shared" si="76"/>
        <v>0</v>
      </c>
      <c r="AB717" s="68" t="n">
        <f t="shared" si="77"/>
        <v>0</v>
      </c>
      <c r="AC717" s="170" t="e">
        <f>IF('Prediction Log'!#REF!="Y", "W", IF('Prediction Log'!#REF!="N","L",""))</f>
        <v>#REF!</v>
      </c>
      <c r="AD717" s="171" t="e">
        <f>IF('Prediction Log'!#REF!="Y", "W", IF('Prediction Log'!#REF!="N","L",""))</f>
        <v>#REF!</v>
      </c>
      <c r="AE717" s="172" t="str">
        <f>IF(ISBLANK(Table123[[#This Row],[Odds Side - Difference Model]]), "",IF(AC717="W", W717, IF(AC717="L",-N717, "")))</f>
      </c>
      <c r="AF717" s="173" t="str">
        <f>IFERROR((IF(ISERR(Table123[[#This Row],[Potential Payout Side - Win Probability Model]]), "",IF(AD717="W", X717, IF(AD717="L",-N717, "")))), "")</f>
      </c>
      <c r="AG717" s="170" t="e">
        <f>IF('Prediction Log'!#REF!="Y", "W", IF('Prediction Log'!#REF!="N", "L", ""))</f>
        <v>#REF!</v>
      </c>
      <c r="AH717" s="172" t="str">
        <f>IF(ISBLANK(Table123[[#This Row],[Odds Spread]]), "",IF(AG717="W", Z717, IF(AG717="L",-O717, "")))</f>
      </c>
      <c r="AI717" s="184"/>
      <c r="AJ717" s="183" t="str">
        <f t="shared" si="78"/>
      </c>
      <c r="AK71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8">
      <c r="A718" s="65" t="e">
        <f>Games!#REF!</f>
        <v>#REF!</v>
      </c>
      <c r="B718" s="65" t="e">
        <f>IF('Prediction Log'!#REF!=0, "",'Prediction Log'!#REF!)</f>
        <v>#REF!</v>
      </c>
      <c r="C718" s="65" t="e">
        <f>IF('Prediction Log'!#REF!=0, "",'Prediction Log'!#REF!)</f>
        <v>#REF!</v>
      </c>
      <c r="D718" s="65" t="e">
        <f>IF('Prediction Log'!#REF!=0, "",'Prediction Log'!#REF!)</f>
        <v>#REF!</v>
      </c>
      <c r="E718" s="65" t="e">
        <f>IF('Prediction Log'!#REF!=0, "",'Prediction Log'!#REF!)</f>
        <v>#REF!</v>
      </c>
      <c r="F718" s="65" t="e">
        <f>IF('Prediction Log'!#REF!=0, "",'Prediction Log'!#REF!)</f>
        <v>#REF!</v>
      </c>
      <c r="G718" s="64" t="e">
        <f>IF(ISBLANK(Games!#REF!), "",'Prediction Log'!#REF!)</f>
        <v>#REF!</v>
      </c>
      <c r="H718" s="66" t="e">
        <f>'Prediction Log'!#REF!</f>
        <v>#REF!</v>
      </c>
      <c r="I718" s="65" t="e">
        <f>IF(ISBLANK(Games!#REF!), "",IF(AND(Games!#REF!="",Games!#REF!=""),"",IF(ISTEXT(Games!#REF!), "Side",Games!#REF!)))</f>
        <v>#REF!</v>
      </c>
      <c r="J718" s="65" t="e">
        <f>IF(ISBLANK(Games!#REF!), "",IF(Games!#REF!="Y", Games!#REF!, Games!#REF!))</f>
        <v>#REF!</v>
      </c>
      <c r="K718" s="65" t="e">
        <f>Games!#REF!</f>
        <v>#REF!</v>
      </c>
      <c r="L718" s="65" t="e">
        <f>IF(ISBLANK(Games!#REF!), "",Games!#REF!)</f>
        <v>#REF!</v>
      </c>
      <c r="M718" s="65"/>
      <c r="N718" s="167" t="str">
        <f>IF(ISBLANK(Table123[[#This Row],[Odds Side - Difference Model]]), "", 1)</f>
      </c>
      <c r="O718" s="167" t="str">
        <f>IF(ISBLANK(Table123[[#This Row],[Odds Spread]]), "", 1)</f>
      </c>
      <c r="P718" s="67"/>
      <c r="Q718" s="67"/>
      <c r="R71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8" s="67"/>
      <c r="T718" s="67"/>
      <c r="U718" s="168" t="str">
        <f>IF(ISBLANK(Table123[[#This Row],[Odds Side - Difference Model]]), "",N718+IF(Q718&lt;0, (N718/(Q718/-100)), N718*(Q718/100)))</f>
      </c>
      <c r="V718" s="169" t="str">
        <f>IFERROR(IF(ISBLANK(Table123[[#This Row],[Odds Side - Win Probability Model]]), "",N718+IF(R718&lt;0, (N718/(R718/-100)), N718*(R718/100))),"")</f>
      </c>
      <c r="W718" s="168" t="str">
        <f t="shared" si="73"/>
      </c>
      <c r="X718" s="169" t="str">
        <f t="shared" si="74"/>
      </c>
      <c r="Y718" s="168" t="str">
        <f>IF(ISBLANK(Table123[[#This Row],[Odds Spread]]), "",O718+IF(S718&lt;0, (O718/(S718/-100)), O718*(S718/100)))</f>
      </c>
      <c r="Z718" s="168" t="str">
        <f t="shared" si="75"/>
      </c>
      <c r="AA718" s="68" t="n">
        <f t="shared" si="76"/>
        <v>0</v>
      </c>
      <c r="AB718" s="68" t="n">
        <f t="shared" si="77"/>
        <v>0</v>
      </c>
      <c r="AC718" s="170" t="e">
        <f>IF('Prediction Log'!#REF!="Y", "W", IF('Prediction Log'!#REF!="N","L",""))</f>
        <v>#REF!</v>
      </c>
      <c r="AD718" s="171" t="e">
        <f>IF('Prediction Log'!#REF!="Y", "W", IF('Prediction Log'!#REF!="N","L",""))</f>
        <v>#REF!</v>
      </c>
      <c r="AE718" s="172" t="str">
        <f>IF(ISBLANK(Table123[[#This Row],[Odds Side - Difference Model]]), "",IF(AC718="W", W718, IF(AC718="L",-N718, "")))</f>
      </c>
      <c r="AF718" s="173" t="str">
        <f>IFERROR((IF(ISERR(Table123[[#This Row],[Potential Payout Side - Win Probability Model]]), "",IF(AD718="W", X718, IF(AD718="L",-N718, "")))), "")</f>
      </c>
      <c r="AG718" s="170" t="e">
        <f>IF('Prediction Log'!#REF!="Y", "W", IF('Prediction Log'!#REF!="N", "L", ""))</f>
        <v>#REF!</v>
      </c>
      <c r="AH718" s="172" t="str">
        <f>IF(ISBLANK(Table123[[#This Row],[Odds Spread]]), "",IF(AG718="W", Z718, IF(AG718="L",-O718, "")))</f>
      </c>
      <c r="AI718" s="184"/>
      <c r="AJ718" s="183" t="str">
        <f t="shared" si="78"/>
      </c>
      <c r="AK71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9">
      <c r="A719" s="65" t="e">
        <f>Games!#REF!</f>
        <v>#REF!</v>
      </c>
      <c r="B719" s="65" t="e">
        <f>IF('Prediction Log'!#REF!=0, "",'Prediction Log'!#REF!)</f>
        <v>#REF!</v>
      </c>
      <c r="C719" s="65" t="e">
        <f>IF('Prediction Log'!#REF!=0, "",'Prediction Log'!#REF!)</f>
        <v>#REF!</v>
      </c>
      <c r="D719" s="65" t="e">
        <f>IF('Prediction Log'!#REF!=0, "",'Prediction Log'!#REF!)</f>
        <v>#REF!</v>
      </c>
      <c r="E719" s="65" t="e">
        <f>IF('Prediction Log'!#REF!=0, "",'Prediction Log'!#REF!)</f>
        <v>#REF!</v>
      </c>
      <c r="F719" s="65" t="e">
        <f>IF('Prediction Log'!#REF!=0, "",'Prediction Log'!#REF!)</f>
        <v>#REF!</v>
      </c>
      <c r="G719" s="64" t="e">
        <f>IF(ISBLANK(Games!#REF!), "",'Prediction Log'!#REF!)</f>
        <v>#REF!</v>
      </c>
      <c r="H719" s="66" t="e">
        <f>'Prediction Log'!#REF!</f>
        <v>#REF!</v>
      </c>
      <c r="I719" s="65" t="e">
        <f>IF(ISBLANK(Games!#REF!), "",IF(AND(Games!#REF!="",Games!#REF!=""),"",IF(ISTEXT(Games!#REF!), "Side",Games!#REF!)))</f>
        <v>#REF!</v>
      </c>
      <c r="J719" s="65" t="e">
        <f>IF(ISBLANK(Games!#REF!), "",IF(Games!#REF!="Y", Games!#REF!, Games!#REF!))</f>
        <v>#REF!</v>
      </c>
      <c r="K719" s="65" t="e">
        <f>Games!#REF!</f>
        <v>#REF!</v>
      </c>
      <c r="L719" s="65" t="e">
        <f>IF(ISBLANK(Games!#REF!), "",Games!#REF!)</f>
        <v>#REF!</v>
      </c>
      <c r="M719" s="65"/>
      <c r="N719" s="167" t="str">
        <f>IF(ISBLANK(Table123[[#This Row],[Odds Side - Difference Model]]), "", 1)</f>
      </c>
      <c r="O719" s="167" t="str">
        <f>IF(ISBLANK(Table123[[#This Row],[Odds Spread]]), "", 1)</f>
      </c>
      <c r="P719" s="67"/>
      <c r="Q719" s="67"/>
      <c r="R71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9" s="67"/>
      <c r="T719" s="67"/>
      <c r="U719" s="168" t="str">
        <f>IF(ISBLANK(Table123[[#This Row],[Odds Side - Difference Model]]), "",N719+IF(Q719&lt;0, (N719/(Q719/-100)), N719*(Q719/100)))</f>
      </c>
      <c r="V719" s="169" t="str">
        <f>IFERROR(IF(ISBLANK(Table123[[#This Row],[Odds Side - Win Probability Model]]), "",N719+IF(R719&lt;0, (N719/(R719/-100)), N719*(R719/100))),"")</f>
      </c>
      <c r="W719" s="168" t="str">
        <f t="shared" si="73"/>
      </c>
      <c r="X719" s="169" t="str">
        <f t="shared" si="74"/>
      </c>
      <c r="Y719" s="168" t="str">
        <f>IF(ISBLANK(Table123[[#This Row],[Odds Spread]]), "",O719+IF(S719&lt;0, (O719/(S719/-100)), O719*(S719/100)))</f>
      </c>
      <c r="Z719" s="168" t="str">
        <f t="shared" si="75"/>
      </c>
      <c r="AA719" s="68" t="n">
        <f t="shared" si="76"/>
        <v>0</v>
      </c>
      <c r="AB719" s="68" t="n">
        <f t="shared" si="77"/>
        <v>0</v>
      </c>
      <c r="AC719" s="170" t="e">
        <f>IF('Prediction Log'!#REF!="Y", "W", IF('Prediction Log'!#REF!="N","L",""))</f>
        <v>#REF!</v>
      </c>
      <c r="AD719" s="171" t="e">
        <f>IF('Prediction Log'!#REF!="Y", "W", IF('Prediction Log'!#REF!="N","L",""))</f>
        <v>#REF!</v>
      </c>
      <c r="AE719" s="172" t="str">
        <f>IF(ISBLANK(Table123[[#This Row],[Odds Side - Difference Model]]), "",IF(AC719="W", W719, IF(AC719="L",-N719, "")))</f>
      </c>
      <c r="AF719" s="173" t="str">
        <f>IFERROR((IF(ISERR(Table123[[#This Row],[Potential Payout Side - Win Probability Model]]), "",IF(AD719="W", X719, IF(AD719="L",-N719, "")))), "")</f>
      </c>
      <c r="AG719" s="170" t="e">
        <f>IF('Prediction Log'!#REF!="Y", "W", IF('Prediction Log'!#REF!="N", "L", ""))</f>
        <v>#REF!</v>
      </c>
      <c r="AH719" s="172" t="str">
        <f>IF(ISBLANK(Table123[[#This Row],[Odds Spread]]), "",IF(AG719="W", Z719, IF(AG719="L",-O719, "")))</f>
      </c>
      <c r="AI719" s="184"/>
      <c r="AJ719" s="183" t="str">
        <f t="shared" si="78"/>
      </c>
      <c r="AK71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0">
      <c r="A720" s="65" t="e">
        <f>Games!#REF!</f>
        <v>#REF!</v>
      </c>
      <c r="B720" s="65" t="e">
        <f>IF('Prediction Log'!#REF!=0, "",'Prediction Log'!#REF!)</f>
        <v>#REF!</v>
      </c>
      <c r="C720" s="65" t="e">
        <f>IF('Prediction Log'!#REF!=0, "",'Prediction Log'!#REF!)</f>
        <v>#REF!</v>
      </c>
      <c r="D720" s="65" t="e">
        <f>IF('Prediction Log'!#REF!=0, "",'Prediction Log'!#REF!)</f>
        <v>#REF!</v>
      </c>
      <c r="E720" s="65" t="e">
        <f>IF('Prediction Log'!#REF!=0, "",'Prediction Log'!#REF!)</f>
        <v>#REF!</v>
      </c>
      <c r="F720" s="65" t="e">
        <f>IF('Prediction Log'!#REF!=0, "",'Prediction Log'!#REF!)</f>
        <v>#REF!</v>
      </c>
      <c r="G720" s="64" t="e">
        <f>IF(ISBLANK(Games!#REF!), "",'Prediction Log'!#REF!)</f>
        <v>#REF!</v>
      </c>
      <c r="H720" s="66" t="e">
        <f>'Prediction Log'!#REF!</f>
        <v>#REF!</v>
      </c>
      <c r="I720" s="65" t="e">
        <f>IF(ISBLANK(Games!#REF!), "",IF(AND(Games!#REF!="",Games!#REF!=""),"",IF(ISTEXT(Games!#REF!), "Side",Games!#REF!)))</f>
        <v>#REF!</v>
      </c>
      <c r="J720" s="65" t="e">
        <f>IF(ISBLANK(Games!#REF!), "",IF(Games!#REF!="Y", Games!#REF!, Games!#REF!))</f>
        <v>#REF!</v>
      </c>
      <c r="K720" s="65" t="e">
        <f>Games!#REF!</f>
        <v>#REF!</v>
      </c>
      <c r="L720" s="65" t="e">
        <f>IF(ISBLANK(Games!#REF!), "",Games!#REF!)</f>
        <v>#REF!</v>
      </c>
      <c r="M720" s="65"/>
      <c r="N720" s="167" t="str">
        <f>IF(ISBLANK(Table123[[#This Row],[Odds Side - Difference Model]]), "", 1)</f>
      </c>
      <c r="O720" s="167" t="str">
        <f>IF(ISBLANK(Table123[[#This Row],[Odds Spread]]), "", 1)</f>
      </c>
      <c r="P720" s="67"/>
      <c r="Q720" s="67"/>
      <c r="R72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0" s="67"/>
      <c r="T720" s="67"/>
      <c r="U720" s="168" t="str">
        <f>IF(ISBLANK(Table123[[#This Row],[Odds Side - Difference Model]]), "",N720+IF(Q720&lt;0, (N720/(Q720/-100)), N720*(Q720/100)))</f>
      </c>
      <c r="V720" s="169" t="str">
        <f>IFERROR(IF(ISBLANK(Table123[[#This Row],[Odds Side - Win Probability Model]]), "",N720+IF(R720&lt;0, (N720/(R720/-100)), N720*(R720/100))),"")</f>
      </c>
      <c r="W720" s="168" t="str">
        <f t="shared" si="73"/>
      </c>
      <c r="X720" s="169" t="str">
        <f t="shared" si="74"/>
      </c>
      <c r="Y720" s="168" t="str">
        <f>IF(ISBLANK(Table123[[#This Row],[Odds Spread]]), "",O720+IF(S720&lt;0, (O720/(S720/-100)), O720*(S720/100)))</f>
      </c>
      <c r="Z720" s="168" t="str">
        <f t="shared" si="75"/>
      </c>
      <c r="AA720" s="68" t="n">
        <f t="shared" si="76"/>
        <v>0</v>
      </c>
      <c r="AB720" s="68" t="n">
        <f t="shared" si="77"/>
        <v>0</v>
      </c>
      <c r="AC720" s="170" t="e">
        <f>IF('Prediction Log'!#REF!="Y", "W", IF('Prediction Log'!#REF!="N","L",""))</f>
        <v>#REF!</v>
      </c>
      <c r="AD720" s="171" t="e">
        <f>IF('Prediction Log'!#REF!="Y", "W", IF('Prediction Log'!#REF!="N","L",""))</f>
        <v>#REF!</v>
      </c>
      <c r="AE720" s="172" t="str">
        <f>IF(ISBLANK(Table123[[#This Row],[Odds Side - Difference Model]]), "",IF(AC720="W", W720, IF(AC720="L",-N720, "")))</f>
      </c>
      <c r="AF720" s="173" t="str">
        <f>IFERROR((IF(ISERR(Table123[[#This Row],[Potential Payout Side - Win Probability Model]]), "",IF(AD720="W", X720, IF(AD720="L",-N720, "")))), "")</f>
      </c>
      <c r="AG720" s="170" t="e">
        <f>IF('Prediction Log'!#REF!="Y", "W", IF('Prediction Log'!#REF!="N", "L", ""))</f>
        <v>#REF!</v>
      </c>
      <c r="AH720" s="172" t="str">
        <f>IF(ISBLANK(Table123[[#This Row],[Odds Spread]]), "",IF(AG720="W", Z720, IF(AG720="L",-O720, "")))</f>
      </c>
      <c r="AI720" s="184"/>
      <c r="AJ720" s="183" t="str">
        <f t="shared" si="78"/>
      </c>
      <c r="AK72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1">
      <c r="A721" s="65" t="e">
        <f>Games!#REF!</f>
        <v>#REF!</v>
      </c>
      <c r="B721" s="65" t="e">
        <f>IF('Prediction Log'!#REF!=0, "",'Prediction Log'!#REF!)</f>
        <v>#REF!</v>
      </c>
      <c r="C721" s="65" t="e">
        <f>IF('Prediction Log'!#REF!=0, "",'Prediction Log'!#REF!)</f>
        <v>#REF!</v>
      </c>
      <c r="D721" s="65" t="e">
        <f>IF('Prediction Log'!#REF!=0, "",'Prediction Log'!#REF!)</f>
        <v>#REF!</v>
      </c>
      <c r="E721" s="65" t="e">
        <f>IF('Prediction Log'!#REF!=0, "",'Prediction Log'!#REF!)</f>
        <v>#REF!</v>
      </c>
      <c r="F721" s="65" t="e">
        <f>IF('Prediction Log'!#REF!=0, "",'Prediction Log'!#REF!)</f>
        <v>#REF!</v>
      </c>
      <c r="G721" s="64" t="e">
        <f>IF(ISBLANK(Games!#REF!), "",'Prediction Log'!#REF!)</f>
        <v>#REF!</v>
      </c>
      <c r="H721" s="66" t="e">
        <f>'Prediction Log'!#REF!</f>
        <v>#REF!</v>
      </c>
      <c r="I721" s="65" t="e">
        <f>IF(ISBLANK(Games!#REF!), "",IF(AND(Games!#REF!="",Games!#REF!=""),"",IF(ISTEXT(Games!#REF!), "Side",Games!#REF!)))</f>
        <v>#REF!</v>
      </c>
      <c r="J721" s="65" t="e">
        <f>IF(ISBLANK(Games!#REF!), "",IF(Games!#REF!="Y", Games!#REF!, Games!#REF!))</f>
        <v>#REF!</v>
      </c>
      <c r="K721" s="65" t="e">
        <f>Games!#REF!</f>
        <v>#REF!</v>
      </c>
      <c r="L721" s="65" t="e">
        <f>IF(ISBLANK(Games!#REF!), "",Games!#REF!)</f>
        <v>#REF!</v>
      </c>
      <c r="M721" s="65"/>
      <c r="N721" s="167" t="str">
        <f>IF(ISBLANK(Table123[[#This Row],[Odds Side - Difference Model]]), "", 1)</f>
      </c>
      <c r="O721" s="167" t="str">
        <f>IF(ISBLANK(Table123[[#This Row],[Odds Spread]]), "", 1)</f>
      </c>
      <c r="P721" s="67"/>
      <c r="Q721" s="67"/>
      <c r="R72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1" s="67"/>
      <c r="T721" s="67"/>
      <c r="U721" s="168" t="str">
        <f>IF(ISBLANK(Table123[[#This Row],[Odds Side - Difference Model]]), "",N721+IF(Q721&lt;0, (N721/(Q721/-100)), N721*(Q721/100)))</f>
      </c>
      <c r="V721" s="169" t="str">
        <f>IFERROR(IF(ISBLANK(Table123[[#This Row],[Odds Side - Win Probability Model]]), "",N721+IF(R721&lt;0, (N721/(R721/-100)), N721*(R721/100))),"")</f>
      </c>
      <c r="W721" s="168" t="str">
        <f t="shared" si="73"/>
      </c>
      <c r="X721" s="169" t="str">
        <f t="shared" si="74"/>
      </c>
      <c r="Y721" s="168" t="str">
        <f>IF(ISBLANK(Table123[[#This Row],[Odds Spread]]), "",O721+IF(S721&lt;0, (O721/(S721/-100)), O721*(S721/100)))</f>
      </c>
      <c r="Z721" s="168" t="str">
        <f t="shared" si="75"/>
      </c>
      <c r="AA721" s="68" t="n">
        <f t="shared" si="76"/>
        <v>0</v>
      </c>
      <c r="AB721" s="68" t="n">
        <f t="shared" si="77"/>
        <v>0</v>
      </c>
      <c r="AC721" s="170" t="e">
        <f>IF('Prediction Log'!#REF!="Y", "W", IF('Prediction Log'!#REF!="N","L",""))</f>
        <v>#REF!</v>
      </c>
      <c r="AD721" s="171" t="e">
        <f>IF('Prediction Log'!#REF!="Y", "W", IF('Prediction Log'!#REF!="N","L",""))</f>
        <v>#REF!</v>
      </c>
      <c r="AE721" s="172" t="str">
        <f>IF(ISBLANK(Table123[[#This Row],[Odds Side - Difference Model]]), "",IF(AC721="W", W721, IF(AC721="L",-N721, "")))</f>
      </c>
      <c r="AF721" s="173" t="str">
        <f>IFERROR((IF(ISERR(Table123[[#This Row],[Potential Payout Side - Win Probability Model]]), "",IF(AD721="W", X721, IF(AD721="L",-N721, "")))), "")</f>
      </c>
      <c r="AG721" s="170" t="e">
        <f>IF('Prediction Log'!#REF!="Y", "W", IF('Prediction Log'!#REF!="N", "L", ""))</f>
        <v>#REF!</v>
      </c>
      <c r="AH721" s="172" t="str">
        <f>IF(ISBLANK(Table123[[#This Row],[Odds Spread]]), "",IF(AG721="W", Z721, IF(AG721="L",-O721, "")))</f>
      </c>
      <c r="AI721" s="184"/>
      <c r="AJ721" s="183" t="str">
        <f t="shared" si="78"/>
      </c>
      <c r="AK72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2">
      <c r="A722" s="65" t="e">
        <f>Games!#REF!</f>
        <v>#REF!</v>
      </c>
      <c r="B722" s="65" t="e">
        <f>IF('Prediction Log'!#REF!=0, "",'Prediction Log'!#REF!)</f>
        <v>#REF!</v>
      </c>
      <c r="C722" s="65" t="e">
        <f>IF('Prediction Log'!#REF!=0, "",'Prediction Log'!#REF!)</f>
        <v>#REF!</v>
      </c>
      <c r="D722" s="65" t="e">
        <f>IF('Prediction Log'!#REF!=0, "",'Prediction Log'!#REF!)</f>
        <v>#REF!</v>
      </c>
      <c r="E722" s="65" t="e">
        <f>IF('Prediction Log'!#REF!=0, "",'Prediction Log'!#REF!)</f>
        <v>#REF!</v>
      </c>
      <c r="F722" s="65" t="e">
        <f>IF('Prediction Log'!#REF!=0, "",'Prediction Log'!#REF!)</f>
        <v>#REF!</v>
      </c>
      <c r="G722" s="64" t="e">
        <f>IF(ISBLANK(Games!#REF!), "",'Prediction Log'!#REF!)</f>
        <v>#REF!</v>
      </c>
      <c r="H722" s="66" t="e">
        <f>'Prediction Log'!#REF!</f>
        <v>#REF!</v>
      </c>
      <c r="I722" s="65" t="e">
        <f>IF(ISBLANK(Games!#REF!), "",IF(AND(Games!#REF!="",Games!#REF!=""),"",IF(ISTEXT(Games!#REF!), "Side",Games!#REF!)))</f>
        <v>#REF!</v>
      </c>
      <c r="J722" s="65" t="e">
        <f>IF(ISBLANK(Games!#REF!), "",IF(Games!#REF!="Y", Games!#REF!, Games!#REF!))</f>
        <v>#REF!</v>
      </c>
      <c r="K722" s="65" t="e">
        <f>Games!#REF!</f>
        <v>#REF!</v>
      </c>
      <c r="L722" s="65" t="e">
        <f>IF(ISBLANK(Games!#REF!), "",Games!#REF!)</f>
        <v>#REF!</v>
      </c>
      <c r="M722" s="65"/>
      <c r="N722" s="167" t="str">
        <f>IF(ISBLANK(Table123[[#This Row],[Odds Side - Difference Model]]), "", 1)</f>
      </c>
      <c r="O722" s="167" t="str">
        <f>IF(ISBLANK(Table123[[#This Row],[Odds Spread]]), "", 1)</f>
      </c>
      <c r="P722" s="67"/>
      <c r="Q722" s="67"/>
      <c r="R72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2" s="67"/>
      <c r="T722" s="67"/>
      <c r="U722" s="168" t="str">
        <f>IF(ISBLANK(Table123[[#This Row],[Odds Side - Difference Model]]), "",N722+IF(Q722&lt;0, (N722/(Q722/-100)), N722*(Q722/100)))</f>
      </c>
      <c r="V722" s="169" t="str">
        <f>IFERROR(IF(ISBLANK(Table123[[#This Row],[Odds Side - Win Probability Model]]), "",N722+IF(R722&lt;0, (N722/(R722/-100)), N722*(R722/100))),"")</f>
      </c>
      <c r="W722" s="168" t="str">
        <f t="shared" si="73"/>
      </c>
      <c r="X722" s="169" t="str">
        <f t="shared" si="74"/>
      </c>
      <c r="Y722" s="168" t="str">
        <f>IF(ISBLANK(Table123[[#This Row],[Odds Spread]]), "",O722+IF(S722&lt;0, (O722/(S722/-100)), O722*(S722/100)))</f>
      </c>
      <c r="Z722" s="168" t="str">
        <f t="shared" si="75"/>
      </c>
      <c r="AA722" s="68" t="n">
        <f t="shared" si="76"/>
        <v>0</v>
      </c>
      <c r="AB722" s="68" t="n">
        <f t="shared" si="77"/>
        <v>0</v>
      </c>
      <c r="AC722" s="170" t="e">
        <f>IF('Prediction Log'!#REF!="Y", "W", IF('Prediction Log'!#REF!="N","L",""))</f>
        <v>#REF!</v>
      </c>
      <c r="AD722" s="171" t="e">
        <f>IF('Prediction Log'!#REF!="Y", "W", IF('Prediction Log'!#REF!="N","L",""))</f>
        <v>#REF!</v>
      </c>
      <c r="AE722" s="172" t="str">
        <f>IF(ISBLANK(Table123[[#This Row],[Odds Side - Difference Model]]), "",IF(AC722="W", W722, IF(AC722="L",-N722, "")))</f>
      </c>
      <c r="AF722" s="173" t="str">
        <f>IFERROR((IF(ISERR(Table123[[#This Row],[Potential Payout Side - Win Probability Model]]), "",IF(AD722="W", X722, IF(AD722="L",-N722, "")))), "")</f>
      </c>
      <c r="AG722" s="170" t="e">
        <f>IF('Prediction Log'!#REF!="Y", "W", IF('Prediction Log'!#REF!="N", "L", ""))</f>
        <v>#REF!</v>
      </c>
      <c r="AH722" s="172" t="str">
        <f>IF(ISBLANK(Table123[[#This Row],[Odds Spread]]), "",IF(AG722="W", Z722, IF(AG722="L",-O722, "")))</f>
      </c>
      <c r="AI722" s="184"/>
      <c r="AJ722" s="183" t="str">
        <f t="shared" si="78"/>
      </c>
      <c r="AK72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3">
      <c r="A723" s="65" t="e">
        <f>Games!#REF!</f>
        <v>#REF!</v>
      </c>
      <c r="B723" s="65" t="e">
        <f>IF('Prediction Log'!#REF!=0, "",'Prediction Log'!#REF!)</f>
        <v>#REF!</v>
      </c>
      <c r="C723" s="65" t="e">
        <f>IF('Prediction Log'!#REF!=0, "",'Prediction Log'!#REF!)</f>
        <v>#REF!</v>
      </c>
      <c r="D723" s="65" t="e">
        <f>IF('Prediction Log'!#REF!=0, "",'Prediction Log'!#REF!)</f>
        <v>#REF!</v>
      </c>
      <c r="E723" s="65" t="e">
        <f>IF('Prediction Log'!#REF!=0, "",'Prediction Log'!#REF!)</f>
        <v>#REF!</v>
      </c>
      <c r="F723" s="65" t="e">
        <f>IF('Prediction Log'!#REF!=0, "",'Prediction Log'!#REF!)</f>
        <v>#REF!</v>
      </c>
      <c r="G723" s="64" t="e">
        <f>IF(ISBLANK(Games!#REF!), "",'Prediction Log'!#REF!)</f>
        <v>#REF!</v>
      </c>
      <c r="H723" s="66" t="e">
        <f>'Prediction Log'!#REF!</f>
        <v>#REF!</v>
      </c>
      <c r="I723" s="65" t="e">
        <f>IF(ISBLANK(Games!#REF!), "",IF(AND(Games!#REF!="",Games!#REF!=""),"",IF(ISTEXT(Games!#REF!), "Side",Games!#REF!)))</f>
        <v>#REF!</v>
      </c>
      <c r="J723" s="65" t="e">
        <f>IF(ISBLANK(Games!#REF!), "",IF(Games!#REF!="Y", Games!#REF!, Games!#REF!))</f>
        <v>#REF!</v>
      </c>
      <c r="K723" s="65" t="e">
        <f>Games!#REF!</f>
        <v>#REF!</v>
      </c>
      <c r="L723" s="65" t="e">
        <f>IF(ISBLANK(Games!#REF!), "",Games!#REF!)</f>
        <v>#REF!</v>
      </c>
      <c r="M723" s="65"/>
      <c r="N723" s="167" t="str">
        <f>IF(ISBLANK(Table123[[#This Row],[Odds Side - Difference Model]]), "", 1)</f>
      </c>
      <c r="O723" s="167" t="str">
        <f>IF(ISBLANK(Table123[[#This Row],[Odds Spread]]), "", 1)</f>
      </c>
      <c r="P723" s="67"/>
      <c r="Q723" s="67"/>
      <c r="R72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3" s="67"/>
      <c r="T723" s="67"/>
      <c r="U723" s="168" t="str">
        <f>IF(ISBLANK(Table123[[#This Row],[Odds Side - Difference Model]]), "",N723+IF(Q723&lt;0, (N723/(Q723/-100)), N723*(Q723/100)))</f>
      </c>
      <c r="V723" s="169" t="str">
        <f>IFERROR(IF(ISBLANK(Table123[[#This Row],[Odds Side - Win Probability Model]]), "",N723+IF(R723&lt;0, (N723/(R723/-100)), N723*(R723/100))),"")</f>
      </c>
      <c r="W723" s="168" t="str">
        <f t="shared" si="73"/>
      </c>
      <c r="X723" s="169" t="str">
        <f t="shared" si="74"/>
      </c>
      <c r="Y723" s="168" t="str">
        <f>IF(ISBLANK(Table123[[#This Row],[Odds Spread]]), "",O723+IF(S723&lt;0, (O723/(S723/-100)), O723*(S723/100)))</f>
      </c>
      <c r="Z723" s="168" t="str">
        <f t="shared" si="75"/>
      </c>
      <c r="AA723" s="68" t="n">
        <f t="shared" si="76"/>
        <v>0</v>
      </c>
      <c r="AB723" s="68" t="n">
        <f t="shared" si="77"/>
        <v>0</v>
      </c>
      <c r="AC723" s="170" t="e">
        <f>IF('Prediction Log'!#REF!="Y", "W", IF('Prediction Log'!#REF!="N","L",""))</f>
        <v>#REF!</v>
      </c>
      <c r="AD723" s="171" t="e">
        <f>IF('Prediction Log'!#REF!="Y", "W", IF('Prediction Log'!#REF!="N","L",""))</f>
        <v>#REF!</v>
      </c>
      <c r="AE723" s="172" t="str">
        <f>IF(ISBLANK(Table123[[#This Row],[Odds Side - Difference Model]]), "",IF(AC723="W", W723, IF(AC723="L",-N723, "")))</f>
      </c>
      <c r="AF723" s="173" t="str">
        <f>IFERROR((IF(ISERR(Table123[[#This Row],[Potential Payout Side - Win Probability Model]]), "",IF(AD723="W", X723, IF(AD723="L",-N723, "")))), "")</f>
      </c>
      <c r="AG723" s="170" t="e">
        <f>IF('Prediction Log'!#REF!="Y", "W", IF('Prediction Log'!#REF!="N", "L", ""))</f>
        <v>#REF!</v>
      </c>
      <c r="AH723" s="172" t="str">
        <f>IF(ISBLANK(Table123[[#This Row],[Odds Spread]]), "",IF(AG723="W", Z723, IF(AG723="L",-O723, "")))</f>
      </c>
      <c r="AI723" s="184"/>
      <c r="AJ723" s="183" t="str">
        <f t="shared" si="78"/>
      </c>
      <c r="AK72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4">
      <c r="A724" s="65" t="e">
        <f>Games!#REF!</f>
        <v>#REF!</v>
      </c>
      <c r="B724" s="65" t="e">
        <f>IF('Prediction Log'!#REF!=0, "",'Prediction Log'!#REF!)</f>
        <v>#REF!</v>
      </c>
      <c r="C724" s="65" t="e">
        <f>IF('Prediction Log'!#REF!=0, "",'Prediction Log'!#REF!)</f>
        <v>#REF!</v>
      </c>
      <c r="D724" s="65" t="e">
        <f>IF('Prediction Log'!#REF!=0, "",'Prediction Log'!#REF!)</f>
        <v>#REF!</v>
      </c>
      <c r="E724" s="65" t="e">
        <f>IF('Prediction Log'!#REF!=0, "",'Prediction Log'!#REF!)</f>
        <v>#REF!</v>
      </c>
      <c r="F724" s="65" t="e">
        <f>IF('Prediction Log'!#REF!=0, "",'Prediction Log'!#REF!)</f>
        <v>#REF!</v>
      </c>
      <c r="G724" s="64" t="e">
        <f>IF(ISBLANK(Games!#REF!), "",'Prediction Log'!#REF!)</f>
        <v>#REF!</v>
      </c>
      <c r="H724" s="66" t="e">
        <f>'Prediction Log'!#REF!</f>
        <v>#REF!</v>
      </c>
      <c r="I724" s="65" t="e">
        <f>IF(ISBLANK(Games!#REF!), "",IF(AND(Games!#REF!="",Games!#REF!=""),"",IF(ISTEXT(Games!#REF!), "Side",Games!#REF!)))</f>
        <v>#REF!</v>
      </c>
      <c r="J724" s="65" t="e">
        <f>IF(ISBLANK(Games!#REF!), "",IF(Games!#REF!="Y", Games!#REF!, Games!#REF!))</f>
        <v>#REF!</v>
      </c>
      <c r="K724" s="65" t="e">
        <f>Games!#REF!</f>
        <v>#REF!</v>
      </c>
      <c r="L724" s="65" t="e">
        <f>IF(ISBLANK(Games!#REF!), "",Games!#REF!)</f>
        <v>#REF!</v>
      </c>
      <c r="M724" s="65"/>
      <c r="N724" s="167" t="str">
        <f>IF(ISBLANK(Table123[[#This Row],[Odds Side - Difference Model]]), "", 1)</f>
      </c>
      <c r="O724" s="167" t="str">
        <f>IF(ISBLANK(Table123[[#This Row],[Odds Spread]]), "", 1)</f>
      </c>
      <c r="P724" s="67"/>
      <c r="Q724" s="67"/>
      <c r="R72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4" s="67"/>
      <c r="T724" s="67"/>
      <c r="U724" s="168" t="str">
        <f>IF(ISBLANK(Table123[[#This Row],[Odds Side - Difference Model]]), "",N724+IF(Q724&lt;0, (N724/(Q724/-100)), N724*(Q724/100)))</f>
      </c>
      <c r="V724" s="169" t="str">
        <f>IFERROR(IF(ISBLANK(Table123[[#This Row],[Odds Side - Win Probability Model]]), "",N724+IF(R724&lt;0, (N724/(R724/-100)), N724*(R724/100))),"")</f>
      </c>
      <c r="W724" s="168" t="str">
        <f t="shared" si="73"/>
      </c>
      <c r="X724" s="169" t="str">
        <f t="shared" si="74"/>
      </c>
      <c r="Y724" s="168" t="str">
        <f>IF(ISBLANK(Table123[[#This Row],[Odds Spread]]), "",O724+IF(S724&lt;0, (O724/(S724/-100)), O724*(S724/100)))</f>
      </c>
      <c r="Z724" s="168" t="str">
        <f t="shared" si="75"/>
      </c>
      <c r="AA724" s="68" t="n">
        <f t="shared" si="76"/>
        <v>0</v>
      </c>
      <c r="AB724" s="68" t="n">
        <f t="shared" si="77"/>
        <v>0</v>
      </c>
      <c r="AC724" s="170" t="e">
        <f>IF('Prediction Log'!#REF!="Y", "W", IF('Prediction Log'!#REF!="N","L",""))</f>
        <v>#REF!</v>
      </c>
      <c r="AD724" s="171" t="e">
        <f>IF('Prediction Log'!#REF!="Y", "W", IF('Prediction Log'!#REF!="N","L",""))</f>
        <v>#REF!</v>
      </c>
      <c r="AE724" s="172" t="str">
        <f>IF(ISBLANK(Table123[[#This Row],[Odds Side - Difference Model]]), "",IF(AC724="W", W724, IF(AC724="L",-N724, "")))</f>
      </c>
      <c r="AF724" s="173" t="str">
        <f>IFERROR((IF(ISERR(Table123[[#This Row],[Potential Payout Side - Win Probability Model]]), "",IF(AD724="W", X724, IF(AD724="L",-N724, "")))), "")</f>
      </c>
      <c r="AG724" s="170" t="e">
        <f>IF('Prediction Log'!#REF!="Y", "W", IF('Prediction Log'!#REF!="N", "L", ""))</f>
        <v>#REF!</v>
      </c>
      <c r="AH724" s="172" t="str">
        <f>IF(ISBLANK(Table123[[#This Row],[Odds Spread]]), "",IF(AG724="W", Z724, IF(AG724="L",-O724, "")))</f>
      </c>
      <c r="AI724" s="184"/>
      <c r="AJ724" s="183" t="str">
        <f t="shared" si="78"/>
      </c>
      <c r="AK72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5">
      <c r="A725" s="65" t="e">
        <f>Games!#REF!</f>
        <v>#REF!</v>
      </c>
      <c r="B725" s="65" t="e">
        <f>IF('Prediction Log'!#REF!=0, "",'Prediction Log'!#REF!)</f>
        <v>#REF!</v>
      </c>
      <c r="C725" s="65" t="e">
        <f>IF('Prediction Log'!#REF!=0, "",'Prediction Log'!#REF!)</f>
        <v>#REF!</v>
      </c>
      <c r="D725" s="65" t="e">
        <f>IF('Prediction Log'!#REF!=0, "",'Prediction Log'!#REF!)</f>
        <v>#REF!</v>
      </c>
      <c r="E725" s="65" t="e">
        <f>IF('Prediction Log'!#REF!=0, "",'Prediction Log'!#REF!)</f>
        <v>#REF!</v>
      </c>
      <c r="F725" s="65" t="e">
        <f>IF('Prediction Log'!#REF!=0, "",'Prediction Log'!#REF!)</f>
        <v>#REF!</v>
      </c>
      <c r="G725" s="64" t="e">
        <f>IF(ISBLANK(Games!#REF!), "",'Prediction Log'!#REF!)</f>
        <v>#REF!</v>
      </c>
      <c r="H725" s="66" t="e">
        <f>'Prediction Log'!#REF!</f>
        <v>#REF!</v>
      </c>
      <c r="I725" s="65" t="e">
        <f>IF(ISBLANK(Games!#REF!), "",IF(AND(Games!#REF!="",Games!#REF!=""),"",IF(ISTEXT(Games!#REF!), "Side",Games!#REF!)))</f>
        <v>#REF!</v>
      </c>
      <c r="J725" s="65" t="e">
        <f>IF(ISBLANK(Games!#REF!), "",IF(Games!#REF!="Y", Games!#REF!, Games!#REF!))</f>
        <v>#REF!</v>
      </c>
      <c r="K725" s="65" t="e">
        <f>Games!#REF!</f>
        <v>#REF!</v>
      </c>
      <c r="L725" s="65" t="e">
        <f>IF(ISBLANK(Games!#REF!), "",Games!#REF!)</f>
        <v>#REF!</v>
      </c>
      <c r="M725" s="65"/>
      <c r="N725" s="167" t="str">
        <f>IF(ISBLANK(Table123[[#This Row],[Odds Side - Difference Model]]), "", 1)</f>
      </c>
      <c r="O725" s="167" t="str">
        <f>IF(ISBLANK(Table123[[#This Row],[Odds Spread]]), "", 1)</f>
      </c>
      <c r="P725" s="67"/>
      <c r="Q725" s="67"/>
      <c r="R72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5" s="67"/>
      <c r="T725" s="67"/>
      <c r="U725" s="168" t="str">
        <f>IF(ISBLANK(Table123[[#This Row],[Odds Side - Difference Model]]), "",N725+IF(Q725&lt;0, (N725/(Q725/-100)), N725*(Q725/100)))</f>
      </c>
      <c r="V725" s="169" t="str">
        <f>IFERROR(IF(ISBLANK(Table123[[#This Row],[Odds Side - Win Probability Model]]), "",N725+IF(R725&lt;0, (N725/(R725/-100)), N725*(R725/100))),"")</f>
      </c>
      <c r="W725" s="168" t="str">
        <f t="shared" si="73"/>
      </c>
      <c r="X725" s="169" t="str">
        <f t="shared" si="74"/>
      </c>
      <c r="Y725" s="168" t="str">
        <f>IF(ISBLANK(Table123[[#This Row],[Odds Spread]]), "",O725+IF(S725&lt;0, (O725/(S725/-100)), O725*(S725/100)))</f>
      </c>
      <c r="Z725" s="168" t="str">
        <f t="shared" si="75"/>
      </c>
      <c r="AA725" s="68" t="n">
        <f t="shared" si="76"/>
        <v>0</v>
      </c>
      <c r="AB725" s="68" t="n">
        <f t="shared" si="77"/>
        <v>0</v>
      </c>
      <c r="AC725" s="170" t="e">
        <f>IF('Prediction Log'!#REF!="Y", "W", IF('Prediction Log'!#REF!="N","L",""))</f>
        <v>#REF!</v>
      </c>
      <c r="AD725" s="171" t="e">
        <f>IF('Prediction Log'!#REF!="Y", "W", IF('Prediction Log'!#REF!="N","L",""))</f>
        <v>#REF!</v>
      </c>
      <c r="AE725" s="172" t="str">
        <f>IF(ISBLANK(Table123[[#This Row],[Odds Side - Difference Model]]), "",IF(AC725="W", W725, IF(AC725="L",-N725, "")))</f>
      </c>
      <c r="AF725" s="173" t="str">
        <f>IFERROR((IF(ISERR(Table123[[#This Row],[Potential Payout Side - Win Probability Model]]), "",IF(AD725="W", X725, IF(AD725="L",-N725, "")))), "")</f>
      </c>
      <c r="AG725" s="170" t="e">
        <f>IF('Prediction Log'!#REF!="Y", "W", IF('Prediction Log'!#REF!="N", "L", ""))</f>
        <v>#REF!</v>
      </c>
      <c r="AH725" s="172" t="str">
        <f>IF(ISBLANK(Table123[[#This Row],[Odds Spread]]), "",IF(AG725="W", Z725, IF(AG725="L",-O725, "")))</f>
      </c>
      <c r="AI725" s="184"/>
      <c r="AJ725" s="183" t="str">
        <f t="shared" si="78"/>
      </c>
      <c r="AK72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6">
      <c r="A726" s="65" t="e">
        <f>Games!#REF!</f>
        <v>#REF!</v>
      </c>
      <c r="B726" s="65" t="e">
        <f>IF('Prediction Log'!#REF!=0, "",'Prediction Log'!#REF!)</f>
        <v>#REF!</v>
      </c>
      <c r="C726" s="65" t="e">
        <f>IF('Prediction Log'!#REF!=0, "",'Prediction Log'!#REF!)</f>
        <v>#REF!</v>
      </c>
      <c r="D726" s="65" t="e">
        <f>IF('Prediction Log'!#REF!=0, "",'Prediction Log'!#REF!)</f>
        <v>#REF!</v>
      </c>
      <c r="E726" s="65" t="e">
        <f>IF('Prediction Log'!#REF!=0, "",'Prediction Log'!#REF!)</f>
        <v>#REF!</v>
      </c>
      <c r="F726" s="65" t="e">
        <f>IF('Prediction Log'!#REF!=0, "",'Prediction Log'!#REF!)</f>
        <v>#REF!</v>
      </c>
      <c r="G726" s="64" t="e">
        <f>IF(ISBLANK(Games!#REF!), "",'Prediction Log'!#REF!)</f>
        <v>#REF!</v>
      </c>
      <c r="H726" s="66" t="e">
        <f>'Prediction Log'!#REF!</f>
        <v>#REF!</v>
      </c>
      <c r="I726" s="65" t="e">
        <f>IF(ISBLANK(Games!#REF!), "",IF(AND(Games!#REF!="",Games!#REF!=""),"",IF(ISTEXT(Games!#REF!), "Side",Games!#REF!)))</f>
        <v>#REF!</v>
      </c>
      <c r="J726" s="65" t="e">
        <f>IF(ISBLANK(Games!#REF!), "",IF(Games!#REF!="Y", Games!#REF!, Games!#REF!))</f>
        <v>#REF!</v>
      </c>
      <c r="K726" s="65" t="e">
        <f>Games!#REF!</f>
        <v>#REF!</v>
      </c>
      <c r="L726" s="65" t="e">
        <f>IF(ISBLANK(Games!#REF!), "",Games!#REF!)</f>
        <v>#REF!</v>
      </c>
      <c r="M726" s="65"/>
      <c r="N726" s="167" t="str">
        <f>IF(ISBLANK(Table123[[#This Row],[Odds Side - Difference Model]]), "", 1)</f>
      </c>
      <c r="O726" s="167" t="str">
        <f>IF(ISBLANK(Table123[[#This Row],[Odds Spread]]), "", 1)</f>
      </c>
      <c r="P726" s="67"/>
      <c r="Q726" s="67"/>
      <c r="R72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6" s="67"/>
      <c r="T726" s="67"/>
      <c r="U726" s="168" t="str">
        <f>IF(ISBLANK(Table123[[#This Row],[Odds Side - Difference Model]]), "",N726+IF(Q726&lt;0, (N726/(Q726/-100)), N726*(Q726/100)))</f>
      </c>
      <c r="V726" s="169" t="str">
        <f>IFERROR(IF(ISBLANK(Table123[[#This Row],[Odds Side - Win Probability Model]]), "",N726+IF(R726&lt;0, (N726/(R726/-100)), N726*(R726/100))),"")</f>
      </c>
      <c r="W726" s="168" t="str">
        <f t="shared" si="73"/>
      </c>
      <c r="X726" s="169" t="str">
        <f t="shared" si="74"/>
      </c>
      <c r="Y726" s="168" t="str">
        <f>IF(ISBLANK(Table123[[#This Row],[Odds Spread]]), "",O726+IF(S726&lt;0, (O726/(S726/-100)), O726*(S726/100)))</f>
      </c>
      <c r="Z726" s="168" t="str">
        <f t="shared" si="75"/>
      </c>
      <c r="AA726" s="68" t="n">
        <f t="shared" si="76"/>
        <v>0</v>
      </c>
      <c r="AB726" s="68" t="n">
        <f t="shared" si="77"/>
        <v>0</v>
      </c>
      <c r="AC726" s="170" t="e">
        <f>IF('Prediction Log'!#REF!="Y", "W", IF('Prediction Log'!#REF!="N","L",""))</f>
        <v>#REF!</v>
      </c>
      <c r="AD726" s="171" t="e">
        <f>IF('Prediction Log'!#REF!="Y", "W", IF('Prediction Log'!#REF!="N","L",""))</f>
        <v>#REF!</v>
      </c>
      <c r="AE726" s="172" t="str">
        <f>IF(ISBLANK(Table123[[#This Row],[Odds Side - Difference Model]]), "",IF(AC726="W", W726, IF(AC726="L",-N726, "")))</f>
      </c>
      <c r="AF726" s="173" t="str">
        <f>IFERROR((IF(ISERR(Table123[[#This Row],[Potential Payout Side - Win Probability Model]]), "",IF(AD726="W", X726, IF(AD726="L",-N726, "")))), "")</f>
      </c>
      <c r="AG726" s="170" t="e">
        <f>IF('Prediction Log'!#REF!="Y", "W", IF('Prediction Log'!#REF!="N", "L", ""))</f>
        <v>#REF!</v>
      </c>
      <c r="AH726" s="172" t="str">
        <f>IF(ISBLANK(Table123[[#This Row],[Odds Spread]]), "",IF(AG726="W", Z726, IF(AG726="L",-O726, "")))</f>
      </c>
      <c r="AI726" s="184"/>
      <c r="AJ726" s="183" t="str">
        <f t="shared" si="78"/>
      </c>
      <c r="AK72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7">
      <c r="A727" s="65" t="e">
        <f>Games!#REF!</f>
        <v>#REF!</v>
      </c>
      <c r="B727" s="65" t="e">
        <f>IF('Prediction Log'!#REF!=0, "",'Prediction Log'!#REF!)</f>
        <v>#REF!</v>
      </c>
      <c r="C727" s="65" t="e">
        <f>IF('Prediction Log'!#REF!=0, "",'Prediction Log'!#REF!)</f>
        <v>#REF!</v>
      </c>
      <c r="D727" s="65" t="e">
        <f>IF('Prediction Log'!#REF!=0, "",'Prediction Log'!#REF!)</f>
        <v>#REF!</v>
      </c>
      <c r="E727" s="65" t="e">
        <f>IF('Prediction Log'!#REF!=0, "",'Prediction Log'!#REF!)</f>
        <v>#REF!</v>
      </c>
      <c r="F727" s="65" t="e">
        <f>IF('Prediction Log'!#REF!=0, "",'Prediction Log'!#REF!)</f>
        <v>#REF!</v>
      </c>
      <c r="G727" s="64" t="e">
        <f>IF(ISBLANK(Games!#REF!), "",'Prediction Log'!#REF!)</f>
        <v>#REF!</v>
      </c>
      <c r="H727" s="66" t="e">
        <f>'Prediction Log'!#REF!</f>
        <v>#REF!</v>
      </c>
      <c r="I727" s="65" t="e">
        <f>IF(ISBLANK(Games!#REF!), "",IF(AND(Games!#REF!="",Games!#REF!=""),"",IF(ISTEXT(Games!#REF!), "Side",Games!#REF!)))</f>
        <v>#REF!</v>
      </c>
      <c r="J727" s="65" t="e">
        <f>IF(ISBLANK(Games!#REF!), "",IF(Games!#REF!="Y", Games!#REF!, Games!#REF!))</f>
        <v>#REF!</v>
      </c>
      <c r="K727" s="65" t="e">
        <f>Games!#REF!</f>
        <v>#REF!</v>
      </c>
      <c r="L727" s="65" t="e">
        <f>IF(ISBLANK(Games!#REF!), "",Games!#REF!)</f>
        <v>#REF!</v>
      </c>
      <c r="M727" s="65"/>
      <c r="N727" s="167" t="str">
        <f>IF(ISBLANK(Table123[[#This Row],[Odds Side - Difference Model]]), "", 1)</f>
      </c>
      <c r="O727" s="167" t="str">
        <f>IF(ISBLANK(Table123[[#This Row],[Odds Spread]]), "", 1)</f>
      </c>
      <c r="P727" s="67"/>
      <c r="Q727" s="67"/>
      <c r="R72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7" s="67"/>
      <c r="T727" s="67"/>
      <c r="U727" s="168" t="str">
        <f>IF(ISBLANK(Table123[[#This Row],[Odds Side - Difference Model]]), "",N727+IF(Q727&lt;0, (N727/(Q727/-100)), N727*(Q727/100)))</f>
      </c>
      <c r="V727" s="169" t="str">
        <f>IFERROR(IF(ISBLANK(Table123[[#This Row],[Odds Side - Win Probability Model]]), "",N727+IF(R727&lt;0, (N727/(R727/-100)), N727*(R727/100))),"")</f>
      </c>
      <c r="W727" s="168" t="str">
        <f t="shared" si="73"/>
      </c>
      <c r="X727" s="169" t="str">
        <f t="shared" si="74"/>
      </c>
      <c r="Y727" s="168" t="str">
        <f>IF(ISBLANK(Table123[[#This Row],[Odds Spread]]), "",O727+IF(S727&lt;0, (O727/(S727/-100)), O727*(S727/100)))</f>
      </c>
      <c r="Z727" s="168" t="str">
        <f t="shared" si="75"/>
      </c>
      <c r="AA727" s="68" t="n">
        <f t="shared" si="76"/>
        <v>0</v>
      </c>
      <c r="AB727" s="68" t="n">
        <f t="shared" si="77"/>
        <v>0</v>
      </c>
      <c r="AC727" s="170" t="e">
        <f>IF('Prediction Log'!#REF!="Y", "W", IF('Prediction Log'!#REF!="N","L",""))</f>
        <v>#REF!</v>
      </c>
      <c r="AD727" s="171" t="e">
        <f>IF('Prediction Log'!#REF!="Y", "W", IF('Prediction Log'!#REF!="N","L",""))</f>
        <v>#REF!</v>
      </c>
      <c r="AE727" s="172" t="str">
        <f>IF(ISBLANK(Table123[[#This Row],[Odds Side - Difference Model]]), "",IF(AC727="W", W727, IF(AC727="L",-N727, "")))</f>
      </c>
      <c r="AF727" s="173" t="str">
        <f>IFERROR((IF(ISERR(Table123[[#This Row],[Potential Payout Side - Win Probability Model]]), "",IF(AD727="W", X727, IF(AD727="L",-N727, "")))), "")</f>
      </c>
      <c r="AG727" s="170" t="e">
        <f>IF('Prediction Log'!#REF!="Y", "W", IF('Prediction Log'!#REF!="N", "L", ""))</f>
        <v>#REF!</v>
      </c>
      <c r="AH727" s="172" t="str">
        <f>IF(ISBLANK(Table123[[#This Row],[Odds Spread]]), "",IF(AG727="W", Z727, IF(AG727="L",-O727, "")))</f>
      </c>
      <c r="AI727" s="184"/>
      <c r="AJ727" s="183" t="str">
        <f t="shared" si="78"/>
      </c>
      <c r="AK72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8">
      <c r="A728" s="65" t="e">
        <f>Games!#REF!</f>
        <v>#REF!</v>
      </c>
      <c r="B728" s="65" t="e">
        <f>IF('Prediction Log'!#REF!=0, "",'Prediction Log'!#REF!)</f>
        <v>#REF!</v>
      </c>
      <c r="C728" s="65" t="e">
        <f>IF('Prediction Log'!#REF!=0, "",'Prediction Log'!#REF!)</f>
        <v>#REF!</v>
      </c>
      <c r="D728" s="65" t="e">
        <f>IF('Prediction Log'!#REF!=0, "",'Prediction Log'!#REF!)</f>
        <v>#REF!</v>
      </c>
      <c r="E728" s="65" t="e">
        <f>IF('Prediction Log'!#REF!=0, "",'Prediction Log'!#REF!)</f>
        <v>#REF!</v>
      </c>
      <c r="F728" s="65" t="e">
        <f>IF('Prediction Log'!#REF!=0, "",'Prediction Log'!#REF!)</f>
        <v>#REF!</v>
      </c>
      <c r="G728" s="64" t="e">
        <f>IF(ISBLANK(Games!#REF!), "",'Prediction Log'!#REF!)</f>
        <v>#REF!</v>
      </c>
      <c r="H728" s="66" t="e">
        <f>'Prediction Log'!#REF!</f>
        <v>#REF!</v>
      </c>
      <c r="I728" s="65" t="e">
        <f>IF(ISBLANK(Games!#REF!), "",IF(AND(Games!#REF!="",Games!#REF!=""),"",IF(ISTEXT(Games!#REF!), "Side",Games!#REF!)))</f>
        <v>#REF!</v>
      </c>
      <c r="J728" s="65" t="e">
        <f>IF(ISBLANK(Games!#REF!), "",IF(Games!#REF!="Y", Games!#REF!, Games!#REF!))</f>
        <v>#REF!</v>
      </c>
      <c r="K728" s="65" t="e">
        <f>Games!#REF!</f>
        <v>#REF!</v>
      </c>
      <c r="L728" s="65" t="e">
        <f>IF(ISBLANK(Games!#REF!), "",Games!#REF!)</f>
        <v>#REF!</v>
      </c>
      <c r="M728" s="65"/>
      <c r="N728" s="167" t="str">
        <f>IF(ISBLANK(Table123[[#This Row],[Odds Side - Difference Model]]), "", 1)</f>
      </c>
      <c r="O728" s="167" t="str">
        <f>IF(ISBLANK(Table123[[#This Row],[Odds Spread]]), "", 1)</f>
      </c>
      <c r="P728" s="67"/>
      <c r="Q728" s="67"/>
      <c r="R72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8" s="67"/>
      <c r="T728" s="67"/>
      <c r="U728" s="168" t="str">
        <f>IF(ISBLANK(Table123[[#This Row],[Odds Side - Difference Model]]), "",N728+IF(Q728&lt;0, (N728/(Q728/-100)), N728*(Q728/100)))</f>
      </c>
      <c r="V728" s="169" t="str">
        <f>IFERROR(IF(ISBLANK(Table123[[#This Row],[Odds Side - Win Probability Model]]), "",N728+IF(R728&lt;0, (N728/(R728/-100)), N728*(R728/100))),"")</f>
      </c>
      <c r="W728" s="168" t="str">
        <f t="shared" si="73"/>
      </c>
      <c r="X728" s="169" t="str">
        <f t="shared" si="74"/>
      </c>
      <c r="Y728" s="168" t="str">
        <f>IF(ISBLANK(Table123[[#This Row],[Odds Spread]]), "",O728+IF(S728&lt;0, (O728/(S728/-100)), O728*(S728/100)))</f>
      </c>
      <c r="Z728" s="168" t="str">
        <f t="shared" si="75"/>
      </c>
      <c r="AA728" s="68" t="n">
        <f t="shared" si="76"/>
        <v>0</v>
      </c>
      <c r="AB728" s="68" t="n">
        <f t="shared" si="77"/>
        <v>0</v>
      </c>
      <c r="AC728" s="170" t="e">
        <f>IF('Prediction Log'!#REF!="Y", "W", IF('Prediction Log'!#REF!="N","L",""))</f>
        <v>#REF!</v>
      </c>
      <c r="AD728" s="171" t="e">
        <f>IF('Prediction Log'!#REF!="Y", "W", IF('Prediction Log'!#REF!="N","L",""))</f>
        <v>#REF!</v>
      </c>
      <c r="AE728" s="172" t="str">
        <f>IF(ISBLANK(Table123[[#This Row],[Odds Side - Difference Model]]), "",IF(AC728="W", W728, IF(AC728="L",-N728, "")))</f>
      </c>
      <c r="AF728" s="173" t="str">
        <f>IFERROR((IF(ISERR(Table123[[#This Row],[Potential Payout Side - Win Probability Model]]), "",IF(AD728="W", X728, IF(AD728="L",-N728, "")))), "")</f>
      </c>
      <c r="AG728" s="170" t="e">
        <f>IF('Prediction Log'!#REF!="Y", "W", IF('Prediction Log'!#REF!="N", "L", ""))</f>
        <v>#REF!</v>
      </c>
      <c r="AH728" s="172" t="str">
        <f>IF(ISBLANK(Table123[[#This Row],[Odds Spread]]), "",IF(AG728="W", Z728, IF(AG728="L",-O728, "")))</f>
      </c>
      <c r="AI728" s="184"/>
      <c r="AJ728" s="183" t="str">
        <f t="shared" si="78"/>
      </c>
      <c r="AK72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9">
      <c r="A729" s="65" t="e">
        <f>Games!#REF!</f>
        <v>#REF!</v>
      </c>
      <c r="B729" s="65" t="e">
        <f>IF('Prediction Log'!#REF!=0, "",'Prediction Log'!#REF!)</f>
        <v>#REF!</v>
      </c>
      <c r="C729" s="65" t="e">
        <f>IF('Prediction Log'!#REF!=0, "",'Prediction Log'!#REF!)</f>
        <v>#REF!</v>
      </c>
      <c r="D729" s="65" t="e">
        <f>IF('Prediction Log'!#REF!=0, "",'Prediction Log'!#REF!)</f>
        <v>#REF!</v>
      </c>
      <c r="E729" s="65" t="e">
        <f>IF('Prediction Log'!#REF!=0, "",'Prediction Log'!#REF!)</f>
        <v>#REF!</v>
      </c>
      <c r="F729" s="65" t="e">
        <f>IF('Prediction Log'!#REF!=0, "",'Prediction Log'!#REF!)</f>
        <v>#REF!</v>
      </c>
      <c r="G729" s="64" t="e">
        <f>IF(ISBLANK(Games!#REF!), "",'Prediction Log'!#REF!)</f>
        <v>#REF!</v>
      </c>
      <c r="H729" s="66" t="e">
        <f>'Prediction Log'!#REF!</f>
        <v>#REF!</v>
      </c>
      <c r="I729" s="65" t="e">
        <f>IF(ISBLANK(Games!#REF!), "",IF(AND(Games!#REF!="",Games!#REF!=""),"",IF(ISTEXT(Games!#REF!), "Side",Games!#REF!)))</f>
        <v>#REF!</v>
      </c>
      <c r="J729" s="65" t="e">
        <f>IF(ISBLANK(Games!#REF!), "",IF(Games!#REF!="Y", Games!#REF!, Games!#REF!))</f>
        <v>#REF!</v>
      </c>
      <c r="K729" s="65" t="e">
        <f>Games!#REF!</f>
        <v>#REF!</v>
      </c>
      <c r="L729" s="65" t="e">
        <f>IF(ISBLANK(Games!#REF!), "",Games!#REF!)</f>
        <v>#REF!</v>
      </c>
      <c r="M729" s="65"/>
      <c r="N729" s="167" t="str">
        <f>IF(ISBLANK(Table123[[#This Row],[Odds Side - Difference Model]]), "", 1)</f>
      </c>
      <c r="O729" s="167" t="str">
        <f>IF(ISBLANK(Table123[[#This Row],[Odds Spread]]), "", 1)</f>
      </c>
      <c r="P729" s="67"/>
      <c r="Q729" s="67"/>
      <c r="R72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9" s="67"/>
      <c r="T729" s="67"/>
      <c r="U729" s="168" t="str">
        <f>IF(ISBLANK(Table123[[#This Row],[Odds Side - Difference Model]]), "",N729+IF(Q729&lt;0, (N729/(Q729/-100)), N729*(Q729/100)))</f>
      </c>
      <c r="V729" s="169" t="str">
        <f>IFERROR(IF(ISBLANK(Table123[[#This Row],[Odds Side - Win Probability Model]]), "",N729+IF(R729&lt;0, (N729/(R729/-100)), N729*(R729/100))),"")</f>
      </c>
      <c r="W729" s="168" t="str">
        <f t="shared" si="73"/>
      </c>
      <c r="X729" s="169" t="str">
        <f t="shared" si="74"/>
      </c>
      <c r="Y729" s="168" t="str">
        <f>IF(ISBLANK(Table123[[#This Row],[Odds Spread]]), "",O729+IF(S729&lt;0, (O729/(S729/-100)), O729*(S729/100)))</f>
      </c>
      <c r="Z729" s="168" t="str">
        <f t="shared" si="75"/>
      </c>
      <c r="AA729" s="68" t="n">
        <f t="shared" si="76"/>
        <v>0</v>
      </c>
      <c r="AB729" s="68" t="n">
        <f t="shared" si="77"/>
        <v>0</v>
      </c>
      <c r="AC729" s="170" t="e">
        <f>IF('Prediction Log'!#REF!="Y", "W", IF('Prediction Log'!#REF!="N","L",""))</f>
        <v>#REF!</v>
      </c>
      <c r="AD729" s="171" t="e">
        <f>IF('Prediction Log'!#REF!="Y", "W", IF('Prediction Log'!#REF!="N","L",""))</f>
        <v>#REF!</v>
      </c>
      <c r="AE729" s="172" t="str">
        <f>IF(ISBLANK(Table123[[#This Row],[Odds Side - Difference Model]]), "",IF(AC729="W", W729, IF(AC729="L",-N729, "")))</f>
      </c>
      <c r="AF729" s="173" t="str">
        <f>IFERROR((IF(ISERR(Table123[[#This Row],[Potential Payout Side - Win Probability Model]]), "",IF(AD729="W", X729, IF(AD729="L",-N729, "")))), "")</f>
      </c>
      <c r="AG729" s="170" t="e">
        <f>IF('Prediction Log'!#REF!="Y", "W", IF('Prediction Log'!#REF!="N", "L", ""))</f>
        <v>#REF!</v>
      </c>
      <c r="AH729" s="172" t="str">
        <f>IF(ISBLANK(Table123[[#This Row],[Odds Spread]]), "",IF(AG729="W", Z729, IF(AG729="L",-O729, "")))</f>
      </c>
      <c r="AI729" s="184"/>
      <c r="AJ729" s="183" t="str">
        <f t="shared" si="78"/>
      </c>
      <c r="AK72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0">
      <c r="A730" s="65" t="e">
        <f>Games!#REF!</f>
        <v>#REF!</v>
      </c>
      <c r="B730" s="65" t="e">
        <f>IF('Prediction Log'!#REF!=0, "",'Prediction Log'!#REF!)</f>
        <v>#REF!</v>
      </c>
      <c r="C730" s="65" t="e">
        <f>IF('Prediction Log'!#REF!=0, "",'Prediction Log'!#REF!)</f>
        <v>#REF!</v>
      </c>
      <c r="D730" s="65" t="e">
        <f>IF('Prediction Log'!#REF!=0, "",'Prediction Log'!#REF!)</f>
        <v>#REF!</v>
      </c>
      <c r="E730" s="65" t="e">
        <f>IF('Prediction Log'!#REF!=0, "",'Prediction Log'!#REF!)</f>
        <v>#REF!</v>
      </c>
      <c r="F730" s="65" t="e">
        <f>IF('Prediction Log'!#REF!=0, "",'Prediction Log'!#REF!)</f>
        <v>#REF!</v>
      </c>
      <c r="G730" s="64" t="e">
        <f>IF(ISBLANK(Games!#REF!), "",'Prediction Log'!#REF!)</f>
        <v>#REF!</v>
      </c>
      <c r="H730" s="66" t="e">
        <f>'Prediction Log'!#REF!</f>
        <v>#REF!</v>
      </c>
      <c r="I730" s="65" t="e">
        <f>IF(ISBLANK(Games!#REF!), "",IF(AND(Games!#REF!="",Games!#REF!=""),"",IF(ISTEXT(Games!#REF!), "Side",Games!#REF!)))</f>
        <v>#REF!</v>
      </c>
      <c r="J730" s="65" t="e">
        <f>IF(ISBLANK(Games!#REF!), "",IF(Games!#REF!="Y", Games!#REF!, Games!#REF!))</f>
        <v>#REF!</v>
      </c>
      <c r="K730" s="65" t="e">
        <f>Games!#REF!</f>
        <v>#REF!</v>
      </c>
      <c r="L730" s="65" t="e">
        <f>IF(ISBLANK(Games!#REF!), "",Games!#REF!)</f>
        <v>#REF!</v>
      </c>
      <c r="M730" s="65"/>
      <c r="N730" s="167" t="str">
        <f>IF(ISBLANK(Table123[[#This Row],[Odds Side - Difference Model]]), "", 1)</f>
      </c>
      <c r="O730" s="167" t="str">
        <f>IF(ISBLANK(Table123[[#This Row],[Odds Spread]]), "", 1)</f>
      </c>
      <c r="P730" s="67"/>
      <c r="Q730" s="67"/>
      <c r="R73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0" s="67"/>
      <c r="T730" s="67"/>
      <c r="U730" s="168" t="str">
        <f>IF(ISBLANK(Table123[[#This Row],[Odds Side - Difference Model]]), "",N730+IF(Q730&lt;0, (N730/(Q730/-100)), N730*(Q730/100)))</f>
      </c>
      <c r="V730" s="169" t="str">
        <f>IFERROR(IF(ISBLANK(Table123[[#This Row],[Odds Side - Win Probability Model]]), "",N730+IF(R730&lt;0, (N730/(R730/-100)), N730*(R730/100))),"")</f>
      </c>
      <c r="W730" s="168" t="str">
        <f t="shared" si="73"/>
      </c>
      <c r="X730" s="169" t="str">
        <f t="shared" si="74"/>
      </c>
      <c r="Y730" s="168" t="str">
        <f>IF(ISBLANK(Table123[[#This Row],[Odds Spread]]), "",O730+IF(S730&lt;0, (O730/(S730/-100)), O730*(S730/100)))</f>
      </c>
      <c r="Z730" s="168" t="str">
        <f t="shared" si="75"/>
      </c>
      <c r="AA730" s="68" t="n">
        <f t="shared" si="76"/>
        <v>0</v>
      </c>
      <c r="AB730" s="68" t="n">
        <f t="shared" si="77"/>
        <v>0</v>
      </c>
      <c r="AC730" s="170" t="e">
        <f>IF('Prediction Log'!#REF!="Y", "W", IF('Prediction Log'!#REF!="N","L",""))</f>
        <v>#REF!</v>
      </c>
      <c r="AD730" s="171" t="e">
        <f>IF('Prediction Log'!#REF!="Y", "W", IF('Prediction Log'!#REF!="N","L",""))</f>
        <v>#REF!</v>
      </c>
      <c r="AE730" s="172" t="str">
        <f>IF(ISBLANK(Table123[[#This Row],[Odds Side - Difference Model]]), "",IF(AC730="W", W730, IF(AC730="L",-N730, "")))</f>
      </c>
      <c r="AF730" s="173" t="str">
        <f>IFERROR((IF(ISERR(Table123[[#This Row],[Potential Payout Side - Win Probability Model]]), "",IF(AD730="W", X730, IF(AD730="L",-N730, "")))), "")</f>
      </c>
      <c r="AG730" s="170" t="e">
        <f>IF('Prediction Log'!#REF!="Y", "W", IF('Prediction Log'!#REF!="N", "L", ""))</f>
        <v>#REF!</v>
      </c>
      <c r="AH730" s="172" t="str">
        <f>IF(ISBLANK(Table123[[#This Row],[Odds Spread]]), "",IF(AG730="W", Z730, IF(AG730="L",-O730, "")))</f>
      </c>
      <c r="AI730" s="184"/>
      <c r="AJ730" s="183" t="str">
        <f t="shared" si="78"/>
      </c>
      <c r="AK73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1">
      <c r="A731" s="65" t="e">
        <f>Games!#REF!</f>
        <v>#REF!</v>
      </c>
      <c r="B731" s="65" t="e">
        <f>IF('Prediction Log'!#REF!=0, "",'Prediction Log'!#REF!)</f>
        <v>#REF!</v>
      </c>
      <c r="C731" s="65" t="e">
        <f>IF('Prediction Log'!#REF!=0, "",'Prediction Log'!#REF!)</f>
        <v>#REF!</v>
      </c>
      <c r="D731" s="65" t="e">
        <f>IF('Prediction Log'!#REF!=0, "",'Prediction Log'!#REF!)</f>
        <v>#REF!</v>
      </c>
      <c r="E731" s="65" t="e">
        <f>IF('Prediction Log'!#REF!=0, "",'Prediction Log'!#REF!)</f>
        <v>#REF!</v>
      </c>
      <c r="F731" s="65" t="e">
        <f>IF('Prediction Log'!#REF!=0, "",'Prediction Log'!#REF!)</f>
        <v>#REF!</v>
      </c>
      <c r="G731" s="64" t="e">
        <f>IF(ISBLANK(Games!#REF!), "",'Prediction Log'!#REF!)</f>
        <v>#REF!</v>
      </c>
      <c r="H731" s="66" t="e">
        <f>'Prediction Log'!#REF!</f>
        <v>#REF!</v>
      </c>
      <c r="I731" s="65" t="e">
        <f>IF(ISBLANK(Games!#REF!), "",IF(AND(Games!#REF!="",Games!#REF!=""),"",IF(ISTEXT(Games!#REF!), "Side",Games!#REF!)))</f>
        <v>#REF!</v>
      </c>
      <c r="J731" s="65" t="e">
        <f>IF(ISBLANK(Games!#REF!), "",IF(Games!#REF!="Y", Games!#REF!, Games!#REF!))</f>
        <v>#REF!</v>
      </c>
      <c r="K731" s="65" t="e">
        <f>Games!#REF!</f>
        <v>#REF!</v>
      </c>
      <c r="L731" s="65" t="e">
        <f>IF(ISBLANK(Games!#REF!), "",Games!#REF!)</f>
        <v>#REF!</v>
      </c>
      <c r="M731" s="65"/>
      <c r="N731" s="167" t="str">
        <f>IF(ISBLANK(Table123[[#This Row],[Odds Side - Difference Model]]), "", 1)</f>
      </c>
      <c r="O731" s="167" t="str">
        <f>IF(ISBLANK(Table123[[#This Row],[Odds Spread]]), "", 1)</f>
      </c>
      <c r="P731" s="67"/>
      <c r="Q731" s="67"/>
      <c r="R73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1" s="67"/>
      <c r="T731" s="67"/>
      <c r="U731" s="168" t="str">
        <f>IF(ISBLANK(Table123[[#This Row],[Odds Side - Difference Model]]), "",N731+IF(Q731&lt;0, (N731/(Q731/-100)), N731*(Q731/100)))</f>
      </c>
      <c r="V731" s="169" t="str">
        <f>IFERROR(IF(ISBLANK(Table123[[#This Row],[Odds Side - Win Probability Model]]), "",N731+IF(R731&lt;0, (N731/(R731/-100)), N731*(R731/100))),"")</f>
      </c>
      <c r="W731" s="168" t="str">
        <f t="shared" si="73"/>
      </c>
      <c r="X731" s="169" t="str">
        <f t="shared" si="74"/>
      </c>
      <c r="Y731" s="168" t="str">
        <f>IF(ISBLANK(Table123[[#This Row],[Odds Spread]]), "",O731+IF(S731&lt;0, (O731/(S731/-100)), O731*(S731/100)))</f>
      </c>
      <c r="Z731" s="168" t="str">
        <f t="shared" si="75"/>
      </c>
      <c r="AA731" s="68" t="n">
        <f t="shared" si="76"/>
        <v>0</v>
      </c>
      <c r="AB731" s="68" t="n">
        <f t="shared" si="77"/>
        <v>0</v>
      </c>
      <c r="AC731" s="170" t="e">
        <f>IF('Prediction Log'!#REF!="Y", "W", IF('Prediction Log'!#REF!="N","L",""))</f>
        <v>#REF!</v>
      </c>
      <c r="AD731" s="171" t="e">
        <f>IF('Prediction Log'!#REF!="Y", "W", IF('Prediction Log'!#REF!="N","L",""))</f>
        <v>#REF!</v>
      </c>
      <c r="AE731" s="172" t="str">
        <f>IF(ISBLANK(Table123[[#This Row],[Odds Side - Difference Model]]), "",IF(AC731="W", W731, IF(AC731="L",-N731, "")))</f>
      </c>
      <c r="AF731" s="173" t="str">
        <f>IFERROR((IF(ISERR(Table123[[#This Row],[Potential Payout Side - Win Probability Model]]), "",IF(AD731="W", X731, IF(AD731="L",-N731, "")))), "")</f>
      </c>
      <c r="AG731" s="170" t="e">
        <f>IF('Prediction Log'!#REF!="Y", "W", IF('Prediction Log'!#REF!="N", "L", ""))</f>
        <v>#REF!</v>
      </c>
      <c r="AH731" s="172" t="str">
        <f>IF(ISBLANK(Table123[[#This Row],[Odds Spread]]), "",IF(AG731="W", Z731, IF(AG731="L",-O731, "")))</f>
      </c>
      <c r="AI731" s="184"/>
      <c r="AJ731" s="183" t="str">
        <f t="shared" si="78"/>
      </c>
      <c r="AK73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2">
      <c r="A732" s="65" t="e">
        <f>Games!#REF!</f>
        <v>#REF!</v>
      </c>
      <c r="B732" s="65" t="e">
        <f>IF('Prediction Log'!#REF!=0, "",'Prediction Log'!#REF!)</f>
        <v>#REF!</v>
      </c>
      <c r="C732" s="65" t="e">
        <f>IF('Prediction Log'!#REF!=0, "",'Prediction Log'!#REF!)</f>
        <v>#REF!</v>
      </c>
      <c r="D732" s="65" t="e">
        <f>IF('Prediction Log'!#REF!=0, "",'Prediction Log'!#REF!)</f>
        <v>#REF!</v>
      </c>
      <c r="E732" s="65" t="e">
        <f>IF('Prediction Log'!#REF!=0, "",'Prediction Log'!#REF!)</f>
        <v>#REF!</v>
      </c>
      <c r="F732" s="65" t="e">
        <f>IF('Prediction Log'!#REF!=0, "",'Prediction Log'!#REF!)</f>
        <v>#REF!</v>
      </c>
      <c r="G732" s="64" t="e">
        <f>IF(ISBLANK(Games!#REF!), "",'Prediction Log'!#REF!)</f>
        <v>#REF!</v>
      </c>
      <c r="H732" s="66" t="e">
        <f>'Prediction Log'!#REF!</f>
        <v>#REF!</v>
      </c>
      <c r="I732" s="65" t="e">
        <f>IF(ISBLANK(Games!#REF!), "",IF(AND(Games!#REF!="",Games!#REF!=""),"",IF(ISTEXT(Games!#REF!), "Side",Games!#REF!)))</f>
        <v>#REF!</v>
      </c>
      <c r="J732" s="65" t="e">
        <f>IF(ISBLANK(Games!#REF!), "",IF(Games!#REF!="Y", Games!#REF!, Games!#REF!))</f>
        <v>#REF!</v>
      </c>
      <c r="K732" s="65" t="e">
        <f>Games!#REF!</f>
        <v>#REF!</v>
      </c>
      <c r="L732" s="65" t="e">
        <f>IF(ISBLANK(Games!#REF!), "",Games!#REF!)</f>
        <v>#REF!</v>
      </c>
      <c r="M732" s="65"/>
      <c r="N732" s="167" t="str">
        <f>IF(ISBLANK(Table123[[#This Row],[Odds Side - Difference Model]]), "", 1)</f>
      </c>
      <c r="O732" s="167" t="str">
        <f>IF(ISBLANK(Table123[[#This Row],[Odds Spread]]), "", 1)</f>
      </c>
      <c r="P732" s="67"/>
      <c r="Q732" s="67"/>
      <c r="R73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2" s="67"/>
      <c r="T732" s="67"/>
      <c r="U732" s="168" t="str">
        <f>IF(ISBLANK(Table123[[#This Row],[Odds Side - Difference Model]]), "",N732+IF(Q732&lt;0, (N732/(Q732/-100)), N732*(Q732/100)))</f>
      </c>
      <c r="V732" s="169" t="str">
        <f>IFERROR(IF(ISBLANK(Table123[[#This Row],[Odds Side - Win Probability Model]]), "",N732+IF(R732&lt;0, (N732/(R732/-100)), N732*(R732/100))),"")</f>
      </c>
      <c r="W732" s="168" t="str">
        <f t="shared" si="73"/>
      </c>
      <c r="X732" s="169" t="str">
        <f t="shared" si="74"/>
      </c>
      <c r="Y732" s="168" t="str">
        <f>IF(ISBLANK(Table123[[#This Row],[Odds Spread]]), "",O732+IF(S732&lt;0, (O732/(S732/-100)), O732*(S732/100)))</f>
      </c>
      <c r="Z732" s="168" t="str">
        <f t="shared" si="75"/>
      </c>
      <c r="AA732" s="68" t="n">
        <f t="shared" si="76"/>
        <v>0</v>
      </c>
      <c r="AB732" s="68" t="n">
        <f t="shared" si="77"/>
        <v>0</v>
      </c>
      <c r="AC732" s="170" t="e">
        <f>IF('Prediction Log'!#REF!="Y", "W", IF('Prediction Log'!#REF!="N","L",""))</f>
        <v>#REF!</v>
      </c>
      <c r="AD732" s="171" t="e">
        <f>IF('Prediction Log'!#REF!="Y", "W", IF('Prediction Log'!#REF!="N","L",""))</f>
        <v>#REF!</v>
      </c>
      <c r="AE732" s="172" t="str">
        <f>IF(ISBLANK(Table123[[#This Row],[Odds Side - Difference Model]]), "",IF(AC732="W", W732, IF(AC732="L",-N732, "")))</f>
      </c>
      <c r="AF732" s="173" t="str">
        <f>IFERROR((IF(ISERR(Table123[[#This Row],[Potential Payout Side - Win Probability Model]]), "",IF(AD732="W", X732, IF(AD732="L",-N732, "")))), "")</f>
      </c>
      <c r="AG732" s="170" t="e">
        <f>IF('Prediction Log'!#REF!="Y", "W", IF('Prediction Log'!#REF!="N", "L", ""))</f>
        <v>#REF!</v>
      </c>
      <c r="AH732" s="172" t="str">
        <f>IF(ISBLANK(Table123[[#This Row],[Odds Spread]]), "",IF(AG732="W", Z732, IF(AG732="L",-O732, "")))</f>
      </c>
      <c r="AI732" s="184"/>
      <c r="AJ732" s="183" t="str">
        <f t="shared" si="78"/>
      </c>
      <c r="AK73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3">
      <c r="A733" s="65" t="e">
        <f>Games!#REF!</f>
        <v>#REF!</v>
      </c>
      <c r="B733" s="65" t="e">
        <f>IF('Prediction Log'!#REF!=0, "",'Prediction Log'!#REF!)</f>
        <v>#REF!</v>
      </c>
      <c r="C733" s="65" t="e">
        <f>IF('Prediction Log'!#REF!=0, "",'Prediction Log'!#REF!)</f>
        <v>#REF!</v>
      </c>
      <c r="D733" s="65" t="e">
        <f>IF('Prediction Log'!#REF!=0, "",'Prediction Log'!#REF!)</f>
        <v>#REF!</v>
      </c>
      <c r="E733" s="65" t="e">
        <f>IF('Prediction Log'!#REF!=0, "",'Prediction Log'!#REF!)</f>
        <v>#REF!</v>
      </c>
      <c r="F733" s="65" t="e">
        <f>IF('Prediction Log'!#REF!=0, "",'Prediction Log'!#REF!)</f>
        <v>#REF!</v>
      </c>
      <c r="G733" s="64" t="e">
        <f>IF(ISBLANK(Games!#REF!), "",'Prediction Log'!#REF!)</f>
        <v>#REF!</v>
      </c>
      <c r="H733" s="66" t="e">
        <f>'Prediction Log'!#REF!</f>
        <v>#REF!</v>
      </c>
      <c r="I733" s="65" t="e">
        <f>IF(ISBLANK(Games!#REF!), "",IF(AND(Games!#REF!="",Games!#REF!=""),"",IF(ISTEXT(Games!#REF!), "Side",Games!#REF!)))</f>
        <v>#REF!</v>
      </c>
      <c r="J733" s="65" t="e">
        <f>IF(ISBLANK(Games!#REF!), "",IF(Games!#REF!="Y", Games!#REF!, Games!#REF!))</f>
        <v>#REF!</v>
      </c>
      <c r="K733" s="65" t="e">
        <f>Games!#REF!</f>
        <v>#REF!</v>
      </c>
      <c r="L733" s="65" t="e">
        <f>IF(ISBLANK(Games!#REF!), "",Games!#REF!)</f>
        <v>#REF!</v>
      </c>
      <c r="M733" s="65"/>
      <c r="N733" s="167" t="str">
        <f>IF(ISBLANK(Table123[[#This Row],[Odds Side - Difference Model]]), "", 1)</f>
      </c>
      <c r="O733" s="167" t="str">
        <f>IF(ISBLANK(Table123[[#This Row],[Odds Spread]]), "", 1)</f>
      </c>
      <c r="P733" s="67"/>
      <c r="Q733" s="67"/>
      <c r="R73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3" s="67"/>
      <c r="T733" s="67"/>
      <c r="U733" s="168" t="str">
        <f>IF(ISBLANK(Table123[[#This Row],[Odds Side - Difference Model]]), "",N733+IF(Q733&lt;0, (N733/(Q733/-100)), N733*(Q733/100)))</f>
      </c>
      <c r="V733" s="169" t="str">
        <f>IFERROR(IF(ISBLANK(Table123[[#This Row],[Odds Side - Win Probability Model]]), "",N733+IF(R733&lt;0, (N733/(R733/-100)), N733*(R733/100))),"")</f>
      </c>
      <c r="W733" s="168" t="str">
        <f t="shared" si="73"/>
      </c>
      <c r="X733" s="169" t="str">
        <f t="shared" si="74"/>
      </c>
      <c r="Y733" s="168" t="str">
        <f>IF(ISBLANK(Table123[[#This Row],[Odds Spread]]), "",O733+IF(S733&lt;0, (O733/(S733/-100)), O733*(S733/100)))</f>
      </c>
      <c r="Z733" s="168" t="str">
        <f t="shared" si="75"/>
      </c>
      <c r="AA733" s="68" t="n">
        <f t="shared" si="76"/>
        <v>0</v>
      </c>
      <c r="AB733" s="68" t="n">
        <f t="shared" si="77"/>
        <v>0</v>
      </c>
      <c r="AC733" s="170" t="e">
        <f>IF('Prediction Log'!#REF!="Y", "W", IF('Prediction Log'!#REF!="N","L",""))</f>
        <v>#REF!</v>
      </c>
      <c r="AD733" s="171" t="e">
        <f>IF('Prediction Log'!#REF!="Y", "W", IF('Prediction Log'!#REF!="N","L",""))</f>
        <v>#REF!</v>
      </c>
      <c r="AE733" s="172" t="str">
        <f>IF(ISBLANK(Table123[[#This Row],[Odds Side - Difference Model]]), "",IF(AC733="W", W733, IF(AC733="L",-N733, "")))</f>
      </c>
      <c r="AF733" s="173" t="str">
        <f>IFERROR((IF(ISERR(Table123[[#This Row],[Potential Payout Side - Win Probability Model]]), "",IF(AD733="W", X733, IF(AD733="L",-N733, "")))), "")</f>
      </c>
      <c r="AG733" s="170" t="e">
        <f>IF('Prediction Log'!#REF!="Y", "W", IF('Prediction Log'!#REF!="N", "L", ""))</f>
        <v>#REF!</v>
      </c>
      <c r="AH733" s="172" t="str">
        <f>IF(ISBLANK(Table123[[#This Row],[Odds Spread]]), "",IF(AG733="W", Z733, IF(AG733="L",-O733, "")))</f>
      </c>
      <c r="AI733" s="184"/>
      <c r="AJ733" s="183" t="str">
        <f t="shared" si="78"/>
      </c>
      <c r="AK73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4">
      <c r="A734" s="65" t="e">
        <f>Games!#REF!</f>
        <v>#REF!</v>
      </c>
      <c r="B734" s="65" t="e">
        <f>IF('Prediction Log'!#REF!=0, "",'Prediction Log'!#REF!)</f>
        <v>#REF!</v>
      </c>
      <c r="C734" s="65" t="e">
        <f>IF('Prediction Log'!#REF!=0, "",'Prediction Log'!#REF!)</f>
        <v>#REF!</v>
      </c>
      <c r="D734" s="65" t="e">
        <f>IF('Prediction Log'!#REF!=0, "",'Prediction Log'!#REF!)</f>
        <v>#REF!</v>
      </c>
      <c r="E734" s="65" t="e">
        <f>IF('Prediction Log'!#REF!=0, "",'Prediction Log'!#REF!)</f>
        <v>#REF!</v>
      </c>
      <c r="F734" s="65" t="e">
        <f>IF('Prediction Log'!#REF!=0, "",'Prediction Log'!#REF!)</f>
        <v>#REF!</v>
      </c>
      <c r="G734" s="64" t="e">
        <f>IF(ISBLANK(Games!#REF!), "",'Prediction Log'!#REF!)</f>
        <v>#REF!</v>
      </c>
      <c r="H734" s="66" t="e">
        <f>'Prediction Log'!#REF!</f>
        <v>#REF!</v>
      </c>
      <c r="I734" s="65" t="e">
        <f>IF(ISBLANK(Games!#REF!), "",IF(AND(Games!#REF!="",Games!#REF!=""),"",IF(ISTEXT(Games!#REF!), "Side",Games!#REF!)))</f>
        <v>#REF!</v>
      </c>
      <c r="J734" s="65" t="e">
        <f>IF(ISBLANK(Games!#REF!), "",IF(Games!#REF!="Y", Games!#REF!, Games!#REF!))</f>
        <v>#REF!</v>
      </c>
      <c r="K734" s="65" t="e">
        <f>Games!#REF!</f>
        <v>#REF!</v>
      </c>
      <c r="L734" s="65" t="e">
        <f>IF(ISBLANK(Games!#REF!), "",Games!#REF!)</f>
        <v>#REF!</v>
      </c>
      <c r="M734" s="65"/>
      <c r="N734" s="167" t="str">
        <f>IF(ISBLANK(Table123[[#This Row],[Odds Side - Difference Model]]), "", 1)</f>
      </c>
      <c r="O734" s="167" t="str">
        <f>IF(ISBLANK(Table123[[#This Row],[Odds Spread]]), "", 1)</f>
      </c>
      <c r="P734" s="67"/>
      <c r="Q734" s="67"/>
      <c r="R73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4" s="67"/>
      <c r="T734" s="67"/>
      <c r="U734" s="168" t="str">
        <f>IF(ISBLANK(Table123[[#This Row],[Odds Side - Difference Model]]), "",N734+IF(Q734&lt;0, (N734/(Q734/-100)), N734*(Q734/100)))</f>
      </c>
      <c r="V734" s="169" t="str">
        <f>IFERROR(IF(ISBLANK(Table123[[#This Row],[Odds Side - Win Probability Model]]), "",N734+IF(R734&lt;0, (N734/(R734/-100)), N734*(R734/100))),"")</f>
      </c>
      <c r="W734" s="168" t="str">
        <f t="shared" si="73"/>
      </c>
      <c r="X734" s="169" t="str">
        <f t="shared" si="74"/>
      </c>
      <c r="Y734" s="168" t="str">
        <f>IF(ISBLANK(Table123[[#This Row],[Odds Spread]]), "",O734+IF(S734&lt;0, (O734/(S734/-100)), O734*(S734/100)))</f>
      </c>
      <c r="Z734" s="168" t="str">
        <f t="shared" si="75"/>
      </c>
      <c r="AA734" s="68" t="n">
        <f t="shared" si="76"/>
        <v>0</v>
      </c>
      <c r="AB734" s="68" t="n">
        <f t="shared" si="77"/>
        <v>0</v>
      </c>
      <c r="AC734" s="170" t="e">
        <f>IF('Prediction Log'!#REF!="Y", "W", IF('Prediction Log'!#REF!="N","L",""))</f>
        <v>#REF!</v>
      </c>
      <c r="AD734" s="171" t="e">
        <f>IF('Prediction Log'!#REF!="Y", "W", IF('Prediction Log'!#REF!="N","L",""))</f>
        <v>#REF!</v>
      </c>
      <c r="AE734" s="172" t="str">
        <f>IF(ISBLANK(Table123[[#This Row],[Odds Side - Difference Model]]), "",IF(AC734="W", W734, IF(AC734="L",-N734, "")))</f>
      </c>
      <c r="AF734" s="173" t="str">
        <f>IFERROR((IF(ISERR(Table123[[#This Row],[Potential Payout Side - Win Probability Model]]), "",IF(AD734="W", X734, IF(AD734="L",-N734, "")))), "")</f>
      </c>
      <c r="AG734" s="170" t="e">
        <f>IF('Prediction Log'!#REF!="Y", "W", IF('Prediction Log'!#REF!="N", "L", ""))</f>
        <v>#REF!</v>
      </c>
      <c r="AH734" s="172" t="str">
        <f>IF(ISBLANK(Table123[[#This Row],[Odds Spread]]), "",IF(AG734="W", Z734, IF(AG734="L",-O734, "")))</f>
      </c>
      <c r="AI734" s="184"/>
      <c r="AJ734" s="183" t="str">
        <f t="shared" si="78"/>
      </c>
      <c r="AK73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5">
      <c r="A735" s="65" t="e">
        <f>Games!#REF!</f>
        <v>#REF!</v>
      </c>
      <c r="B735" s="65" t="e">
        <f>IF('Prediction Log'!#REF!=0, "",'Prediction Log'!#REF!)</f>
        <v>#REF!</v>
      </c>
      <c r="C735" s="65" t="e">
        <f>IF('Prediction Log'!#REF!=0, "",'Prediction Log'!#REF!)</f>
        <v>#REF!</v>
      </c>
      <c r="D735" s="65" t="e">
        <f>IF('Prediction Log'!#REF!=0, "",'Prediction Log'!#REF!)</f>
        <v>#REF!</v>
      </c>
      <c r="E735" s="65" t="e">
        <f>IF('Prediction Log'!#REF!=0, "",'Prediction Log'!#REF!)</f>
        <v>#REF!</v>
      </c>
      <c r="F735" s="65" t="e">
        <f>IF('Prediction Log'!#REF!=0, "",'Prediction Log'!#REF!)</f>
        <v>#REF!</v>
      </c>
      <c r="G735" s="64" t="e">
        <f>IF(ISBLANK(Games!#REF!), "",'Prediction Log'!#REF!)</f>
        <v>#REF!</v>
      </c>
      <c r="H735" s="66" t="e">
        <f>'Prediction Log'!#REF!</f>
        <v>#REF!</v>
      </c>
      <c r="I735" s="65" t="e">
        <f>IF(ISBLANK(Games!#REF!), "",IF(AND(Games!#REF!="",Games!#REF!=""),"",IF(ISTEXT(Games!#REF!), "Side",Games!#REF!)))</f>
        <v>#REF!</v>
      </c>
      <c r="J735" s="65" t="e">
        <f>IF(ISBLANK(Games!#REF!), "",IF(Games!#REF!="Y", Games!#REF!, Games!#REF!))</f>
        <v>#REF!</v>
      </c>
      <c r="K735" s="65" t="e">
        <f>Games!#REF!</f>
        <v>#REF!</v>
      </c>
      <c r="L735" s="65" t="e">
        <f>IF(ISBLANK(Games!#REF!), "",Games!#REF!)</f>
        <v>#REF!</v>
      </c>
      <c r="M735" s="65"/>
      <c r="N735" s="167" t="str">
        <f>IF(ISBLANK(Table123[[#This Row],[Odds Side - Difference Model]]), "", 1)</f>
      </c>
      <c r="O735" s="167" t="str">
        <f>IF(ISBLANK(Table123[[#This Row],[Odds Spread]]), "", 1)</f>
      </c>
      <c r="P735" s="67"/>
      <c r="Q735" s="67"/>
      <c r="R73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5" s="67"/>
      <c r="T735" s="67"/>
      <c r="U735" s="168" t="str">
        <f>IF(ISBLANK(Table123[[#This Row],[Odds Side - Difference Model]]), "",N735+IF(Q735&lt;0, (N735/(Q735/-100)), N735*(Q735/100)))</f>
      </c>
      <c r="V735" s="169" t="str">
        <f>IFERROR(IF(ISBLANK(Table123[[#This Row],[Odds Side - Win Probability Model]]), "",N735+IF(R735&lt;0, (N735/(R735/-100)), N735*(R735/100))),"")</f>
      </c>
      <c r="W735" s="168" t="str">
        <f t="shared" si="73"/>
      </c>
      <c r="X735" s="169" t="str">
        <f t="shared" si="74"/>
      </c>
      <c r="Y735" s="168" t="str">
        <f>IF(ISBLANK(Table123[[#This Row],[Odds Spread]]), "",O735+IF(S735&lt;0, (O735/(S735/-100)), O735*(S735/100)))</f>
      </c>
      <c r="Z735" s="168" t="str">
        <f t="shared" si="75"/>
      </c>
      <c r="AA735" s="68" t="n">
        <f t="shared" si="76"/>
        <v>0</v>
      </c>
      <c r="AB735" s="68" t="n">
        <f t="shared" si="77"/>
        <v>0</v>
      </c>
      <c r="AC735" s="170" t="e">
        <f>IF('Prediction Log'!#REF!="Y", "W", IF('Prediction Log'!#REF!="N","L",""))</f>
        <v>#REF!</v>
      </c>
      <c r="AD735" s="171" t="e">
        <f>IF('Prediction Log'!#REF!="Y", "W", IF('Prediction Log'!#REF!="N","L",""))</f>
        <v>#REF!</v>
      </c>
      <c r="AE735" s="172" t="str">
        <f>IF(ISBLANK(Table123[[#This Row],[Odds Side - Difference Model]]), "",IF(AC735="W", W735, IF(AC735="L",-N735, "")))</f>
      </c>
      <c r="AF735" s="173" t="str">
        <f>IFERROR((IF(ISERR(Table123[[#This Row],[Potential Payout Side - Win Probability Model]]), "",IF(AD735="W", X735, IF(AD735="L",-N735, "")))), "")</f>
      </c>
      <c r="AG735" s="170" t="e">
        <f>IF('Prediction Log'!#REF!="Y", "W", IF('Prediction Log'!#REF!="N", "L", ""))</f>
        <v>#REF!</v>
      </c>
      <c r="AH735" s="172" t="str">
        <f>IF(ISBLANK(Table123[[#This Row],[Odds Spread]]), "",IF(AG735="W", Z735, IF(AG735="L",-O735, "")))</f>
      </c>
      <c r="AI735" s="184"/>
      <c r="AJ735" s="183" t="str">
        <f t="shared" si="78"/>
      </c>
      <c r="AK73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6">
      <c r="A736" s="65" t="e">
        <f>Games!#REF!</f>
        <v>#REF!</v>
      </c>
      <c r="B736" s="65" t="e">
        <f>IF('Prediction Log'!#REF!=0, "",'Prediction Log'!#REF!)</f>
        <v>#REF!</v>
      </c>
      <c r="C736" s="65" t="e">
        <f>IF('Prediction Log'!#REF!=0, "",'Prediction Log'!#REF!)</f>
        <v>#REF!</v>
      </c>
      <c r="D736" s="65" t="e">
        <f>IF('Prediction Log'!#REF!=0, "",'Prediction Log'!#REF!)</f>
        <v>#REF!</v>
      </c>
      <c r="E736" s="65" t="e">
        <f>IF('Prediction Log'!#REF!=0, "",'Prediction Log'!#REF!)</f>
        <v>#REF!</v>
      </c>
      <c r="F736" s="65" t="e">
        <f>IF('Prediction Log'!#REF!=0, "",'Prediction Log'!#REF!)</f>
        <v>#REF!</v>
      </c>
      <c r="G736" s="64" t="e">
        <f>IF(ISBLANK(Games!#REF!), "",'Prediction Log'!#REF!)</f>
        <v>#REF!</v>
      </c>
      <c r="H736" s="66" t="e">
        <f>'Prediction Log'!#REF!</f>
        <v>#REF!</v>
      </c>
      <c r="I736" s="65" t="e">
        <f>IF(ISBLANK(Games!#REF!), "",IF(AND(Games!#REF!="",Games!#REF!=""),"",IF(ISTEXT(Games!#REF!), "Side",Games!#REF!)))</f>
        <v>#REF!</v>
      </c>
      <c r="J736" s="65" t="e">
        <f>IF(ISBLANK(Games!#REF!), "",IF(Games!#REF!="Y", Games!#REF!, Games!#REF!))</f>
        <v>#REF!</v>
      </c>
      <c r="K736" s="65" t="e">
        <f>Games!#REF!</f>
        <v>#REF!</v>
      </c>
      <c r="L736" s="65" t="e">
        <f>IF(ISBLANK(Games!#REF!), "",Games!#REF!)</f>
        <v>#REF!</v>
      </c>
      <c r="M736" s="65"/>
      <c r="N736" s="167" t="str">
        <f>IF(ISBLANK(Table123[[#This Row],[Odds Side - Difference Model]]), "", 1)</f>
      </c>
      <c r="O736" s="167" t="str">
        <f>IF(ISBLANK(Table123[[#This Row],[Odds Spread]]), "", 1)</f>
      </c>
      <c r="P736" s="67"/>
      <c r="Q736" s="67"/>
      <c r="R73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6" s="67"/>
      <c r="T736" s="67"/>
      <c r="U736" s="168" t="str">
        <f>IF(ISBLANK(Table123[[#This Row],[Odds Side - Difference Model]]), "",N736+IF(Q736&lt;0, (N736/(Q736/-100)), N736*(Q736/100)))</f>
      </c>
      <c r="V736" s="169" t="str">
        <f>IFERROR(IF(ISBLANK(Table123[[#This Row],[Odds Side - Win Probability Model]]), "",N736+IF(R736&lt;0, (N736/(R736/-100)), N736*(R736/100))),"")</f>
      </c>
      <c r="W736" s="168" t="str">
        <f t="shared" si="73"/>
      </c>
      <c r="X736" s="169" t="str">
        <f t="shared" si="74"/>
      </c>
      <c r="Y736" s="168" t="str">
        <f>IF(ISBLANK(Table123[[#This Row],[Odds Spread]]), "",O736+IF(S736&lt;0, (O736/(S736/-100)), O736*(S736/100)))</f>
      </c>
      <c r="Z736" s="168" t="str">
        <f t="shared" si="75"/>
      </c>
      <c r="AA736" s="68" t="n">
        <f t="shared" si="76"/>
        <v>0</v>
      </c>
      <c r="AB736" s="68" t="n">
        <f t="shared" si="77"/>
        <v>0</v>
      </c>
      <c r="AC736" s="170" t="e">
        <f>IF('Prediction Log'!#REF!="Y", "W", IF('Prediction Log'!#REF!="N","L",""))</f>
        <v>#REF!</v>
      </c>
      <c r="AD736" s="171" t="e">
        <f>IF('Prediction Log'!#REF!="Y", "W", IF('Prediction Log'!#REF!="N","L",""))</f>
        <v>#REF!</v>
      </c>
      <c r="AE736" s="172" t="str">
        <f>IF(ISBLANK(Table123[[#This Row],[Odds Side - Difference Model]]), "",IF(AC736="W", W736, IF(AC736="L",-N736, "")))</f>
      </c>
      <c r="AF736" s="173" t="str">
        <f>IFERROR((IF(ISERR(Table123[[#This Row],[Potential Payout Side - Win Probability Model]]), "",IF(AD736="W", X736, IF(AD736="L",-N736, "")))), "")</f>
      </c>
      <c r="AG736" s="170" t="e">
        <f>IF('Prediction Log'!#REF!="Y", "W", IF('Prediction Log'!#REF!="N", "L", ""))</f>
        <v>#REF!</v>
      </c>
      <c r="AH736" s="172" t="str">
        <f>IF(ISBLANK(Table123[[#This Row],[Odds Spread]]), "",IF(AG736="W", Z736, IF(AG736="L",-O736, "")))</f>
      </c>
      <c r="AI736" s="184"/>
      <c r="AJ736" s="183" t="str">
        <f t="shared" si="78"/>
      </c>
      <c r="AK73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7">
      <c r="A737" s="65" t="e">
        <f>Games!#REF!</f>
        <v>#REF!</v>
      </c>
      <c r="B737" s="65" t="e">
        <f>IF('Prediction Log'!#REF!=0, "",'Prediction Log'!#REF!)</f>
        <v>#REF!</v>
      </c>
      <c r="C737" s="65" t="e">
        <f>IF('Prediction Log'!#REF!=0, "",'Prediction Log'!#REF!)</f>
        <v>#REF!</v>
      </c>
      <c r="D737" s="65" t="e">
        <f>IF('Prediction Log'!#REF!=0, "",'Prediction Log'!#REF!)</f>
        <v>#REF!</v>
      </c>
      <c r="E737" s="65" t="e">
        <f>IF('Prediction Log'!#REF!=0, "",'Prediction Log'!#REF!)</f>
        <v>#REF!</v>
      </c>
      <c r="F737" s="65" t="e">
        <f>IF('Prediction Log'!#REF!=0, "",'Prediction Log'!#REF!)</f>
        <v>#REF!</v>
      </c>
      <c r="G737" s="64" t="e">
        <f>IF(ISBLANK(Games!#REF!), "",'Prediction Log'!#REF!)</f>
        <v>#REF!</v>
      </c>
      <c r="H737" s="66" t="e">
        <f>'Prediction Log'!#REF!</f>
        <v>#REF!</v>
      </c>
      <c r="I737" s="65" t="e">
        <f>IF(ISBLANK(Games!#REF!), "",IF(AND(Games!#REF!="",Games!#REF!=""),"",IF(ISTEXT(Games!#REF!), "Side",Games!#REF!)))</f>
        <v>#REF!</v>
      </c>
      <c r="J737" s="65" t="e">
        <f>IF(ISBLANK(Games!#REF!), "",IF(Games!#REF!="Y", Games!#REF!, Games!#REF!))</f>
        <v>#REF!</v>
      </c>
      <c r="K737" s="65" t="e">
        <f>Games!#REF!</f>
        <v>#REF!</v>
      </c>
      <c r="L737" s="65" t="e">
        <f>IF(ISBLANK(Games!#REF!), "",Games!#REF!)</f>
        <v>#REF!</v>
      </c>
      <c r="M737" s="65"/>
      <c r="N737" s="167" t="str">
        <f>IF(ISBLANK(Table123[[#This Row],[Odds Side - Difference Model]]), "", 1)</f>
      </c>
      <c r="O737" s="167" t="str">
        <f>IF(ISBLANK(Table123[[#This Row],[Odds Spread]]), "", 1)</f>
      </c>
      <c r="P737" s="67"/>
      <c r="Q737" s="67"/>
      <c r="R73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7" s="67"/>
      <c r="T737" s="67"/>
      <c r="U737" s="168" t="str">
        <f>IF(ISBLANK(Table123[[#This Row],[Odds Side - Difference Model]]), "",N737+IF(Q737&lt;0, (N737/(Q737/-100)), N737*(Q737/100)))</f>
      </c>
      <c r="V737" s="169" t="str">
        <f>IFERROR(IF(ISBLANK(Table123[[#This Row],[Odds Side - Win Probability Model]]), "",N737+IF(R737&lt;0, (N737/(R737/-100)), N737*(R737/100))),"")</f>
      </c>
      <c r="W737" s="168" t="str">
        <f t="shared" si="73"/>
      </c>
      <c r="X737" s="169" t="str">
        <f t="shared" si="74"/>
      </c>
      <c r="Y737" s="168" t="str">
        <f>IF(ISBLANK(Table123[[#This Row],[Odds Spread]]), "",O737+IF(S737&lt;0, (O737/(S737/-100)), O737*(S737/100)))</f>
      </c>
      <c r="Z737" s="168" t="str">
        <f t="shared" si="75"/>
      </c>
      <c r="AA737" s="68" t="n">
        <f t="shared" si="76"/>
        <v>0</v>
      </c>
      <c r="AB737" s="68" t="n">
        <f t="shared" si="77"/>
        <v>0</v>
      </c>
      <c r="AC737" s="170" t="e">
        <f>IF('Prediction Log'!#REF!="Y", "W", IF('Prediction Log'!#REF!="N","L",""))</f>
        <v>#REF!</v>
      </c>
      <c r="AD737" s="171" t="e">
        <f>IF('Prediction Log'!#REF!="Y", "W", IF('Prediction Log'!#REF!="N","L",""))</f>
        <v>#REF!</v>
      </c>
      <c r="AE737" s="172" t="str">
        <f>IF(ISBLANK(Table123[[#This Row],[Odds Side - Difference Model]]), "",IF(AC737="W", W737, IF(AC737="L",-N737, "")))</f>
      </c>
      <c r="AF737" s="173" t="str">
        <f>IFERROR((IF(ISERR(Table123[[#This Row],[Potential Payout Side - Win Probability Model]]), "",IF(AD737="W", X737, IF(AD737="L",-N737, "")))), "")</f>
      </c>
      <c r="AG737" s="170" t="e">
        <f>IF('Prediction Log'!#REF!="Y", "W", IF('Prediction Log'!#REF!="N", "L", ""))</f>
        <v>#REF!</v>
      </c>
      <c r="AH737" s="172" t="str">
        <f>IF(ISBLANK(Table123[[#This Row],[Odds Spread]]), "",IF(AG737="W", Z737, IF(AG737="L",-O737, "")))</f>
      </c>
      <c r="AI737" s="184"/>
      <c r="AJ737" s="183" t="str">
        <f t="shared" si="78"/>
      </c>
      <c r="AK73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8">
      <c r="A738" s="65" t="e">
        <f>Games!#REF!</f>
        <v>#REF!</v>
      </c>
      <c r="B738" s="65" t="e">
        <f>IF('Prediction Log'!#REF!=0, "",'Prediction Log'!#REF!)</f>
        <v>#REF!</v>
      </c>
      <c r="C738" s="65" t="e">
        <f>IF('Prediction Log'!#REF!=0, "",'Prediction Log'!#REF!)</f>
        <v>#REF!</v>
      </c>
      <c r="D738" s="65" t="e">
        <f>IF('Prediction Log'!#REF!=0, "",'Prediction Log'!#REF!)</f>
        <v>#REF!</v>
      </c>
      <c r="E738" s="65" t="e">
        <f>IF('Prediction Log'!#REF!=0, "",'Prediction Log'!#REF!)</f>
        <v>#REF!</v>
      </c>
      <c r="F738" s="65" t="e">
        <f>IF('Prediction Log'!#REF!=0, "",'Prediction Log'!#REF!)</f>
        <v>#REF!</v>
      </c>
      <c r="G738" s="64" t="e">
        <f>IF(ISBLANK(Games!#REF!), "",'Prediction Log'!#REF!)</f>
        <v>#REF!</v>
      </c>
      <c r="H738" s="66" t="e">
        <f>'Prediction Log'!#REF!</f>
        <v>#REF!</v>
      </c>
      <c r="I738" s="65" t="e">
        <f>IF(ISBLANK(Games!#REF!), "",IF(AND(Games!#REF!="",Games!#REF!=""),"",IF(ISTEXT(Games!#REF!), "Side",Games!#REF!)))</f>
        <v>#REF!</v>
      </c>
      <c r="J738" s="65" t="e">
        <f>IF(ISBLANK(Games!#REF!), "",IF(Games!#REF!="Y", Games!#REF!, Games!#REF!))</f>
        <v>#REF!</v>
      </c>
      <c r="K738" s="65" t="e">
        <f>Games!#REF!</f>
        <v>#REF!</v>
      </c>
      <c r="L738" s="65" t="e">
        <f>IF(ISBLANK(Games!#REF!), "",Games!#REF!)</f>
        <v>#REF!</v>
      </c>
      <c r="M738" s="65"/>
      <c r="N738" s="167" t="str">
        <f>IF(ISBLANK(Table123[[#This Row],[Odds Side - Difference Model]]), "", 1)</f>
      </c>
      <c r="O738" s="167" t="str">
        <f>IF(ISBLANK(Table123[[#This Row],[Odds Spread]]), "", 1)</f>
      </c>
      <c r="P738" s="67"/>
      <c r="Q738" s="67"/>
      <c r="R73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8" s="67"/>
      <c r="T738" s="67"/>
      <c r="U738" s="168" t="str">
        <f>IF(ISBLANK(Table123[[#This Row],[Odds Side - Difference Model]]), "",N738+IF(Q738&lt;0, (N738/(Q738/-100)), N738*(Q738/100)))</f>
      </c>
      <c r="V738" s="169" t="str">
        <f>IFERROR(IF(ISBLANK(Table123[[#This Row],[Odds Side - Win Probability Model]]), "",N738+IF(R738&lt;0, (N738/(R738/-100)), N738*(R738/100))),"")</f>
      </c>
      <c r="W738" s="168" t="str">
        <f t="shared" si="73"/>
      </c>
      <c r="X738" s="169" t="str">
        <f t="shared" si="74"/>
      </c>
      <c r="Y738" s="168" t="str">
        <f>IF(ISBLANK(Table123[[#This Row],[Odds Spread]]), "",O738+IF(S738&lt;0, (O738/(S738/-100)), O738*(S738/100)))</f>
      </c>
      <c r="Z738" s="168" t="str">
        <f t="shared" si="75"/>
      </c>
      <c r="AA738" s="68" t="n">
        <f t="shared" si="76"/>
        <v>0</v>
      </c>
      <c r="AB738" s="68" t="n">
        <f t="shared" si="77"/>
        <v>0</v>
      </c>
      <c r="AC738" s="170" t="e">
        <f>IF('Prediction Log'!#REF!="Y", "W", IF('Prediction Log'!#REF!="N","L",""))</f>
        <v>#REF!</v>
      </c>
      <c r="AD738" s="171" t="e">
        <f>IF('Prediction Log'!#REF!="Y", "W", IF('Prediction Log'!#REF!="N","L",""))</f>
        <v>#REF!</v>
      </c>
      <c r="AE738" s="172" t="str">
        <f>IF(ISBLANK(Table123[[#This Row],[Odds Side - Difference Model]]), "",IF(AC738="W", W738, IF(AC738="L",-N738, "")))</f>
      </c>
      <c r="AF738" s="173" t="str">
        <f>IFERROR((IF(ISERR(Table123[[#This Row],[Potential Payout Side - Win Probability Model]]), "",IF(AD738="W", X738, IF(AD738="L",-N738, "")))), "")</f>
      </c>
      <c r="AG738" s="170" t="e">
        <f>IF('Prediction Log'!#REF!="Y", "W", IF('Prediction Log'!#REF!="N", "L", ""))</f>
        <v>#REF!</v>
      </c>
      <c r="AH738" s="172" t="str">
        <f>IF(ISBLANK(Table123[[#This Row],[Odds Spread]]), "",IF(AG738="W", Z738, IF(AG738="L",-O738, "")))</f>
      </c>
      <c r="AI738" s="184"/>
      <c r="AJ738" s="183" t="str">
        <f t="shared" si="78"/>
      </c>
      <c r="AK73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9">
      <c r="A739" s="65" t="e">
        <f>Games!#REF!</f>
        <v>#REF!</v>
      </c>
      <c r="B739" s="65" t="e">
        <f>IF('Prediction Log'!#REF!=0, "",'Prediction Log'!#REF!)</f>
        <v>#REF!</v>
      </c>
      <c r="C739" s="65" t="e">
        <f>IF('Prediction Log'!#REF!=0, "",'Prediction Log'!#REF!)</f>
        <v>#REF!</v>
      </c>
      <c r="D739" s="65" t="e">
        <f>IF('Prediction Log'!#REF!=0, "",'Prediction Log'!#REF!)</f>
        <v>#REF!</v>
      </c>
      <c r="E739" s="65" t="e">
        <f>IF('Prediction Log'!#REF!=0, "",'Prediction Log'!#REF!)</f>
        <v>#REF!</v>
      </c>
      <c r="F739" s="65" t="e">
        <f>IF('Prediction Log'!#REF!=0, "",'Prediction Log'!#REF!)</f>
        <v>#REF!</v>
      </c>
      <c r="G739" s="64" t="e">
        <f>IF(ISBLANK(Games!#REF!), "",'Prediction Log'!#REF!)</f>
        <v>#REF!</v>
      </c>
      <c r="H739" s="66" t="e">
        <f>'Prediction Log'!#REF!</f>
        <v>#REF!</v>
      </c>
      <c r="I739" s="65" t="e">
        <f>IF(ISBLANK(Games!#REF!), "",IF(AND(Games!#REF!="",Games!#REF!=""),"",IF(ISTEXT(Games!#REF!), "Side",Games!#REF!)))</f>
        <v>#REF!</v>
      </c>
      <c r="J739" s="65" t="e">
        <f>IF(ISBLANK(Games!#REF!), "",IF(Games!#REF!="Y", Games!#REF!, Games!#REF!))</f>
        <v>#REF!</v>
      </c>
      <c r="K739" s="65" t="e">
        <f>Games!#REF!</f>
        <v>#REF!</v>
      </c>
      <c r="L739" s="65" t="e">
        <f>IF(ISBLANK(Games!#REF!), "",Games!#REF!)</f>
        <v>#REF!</v>
      </c>
      <c r="M739" s="65"/>
      <c r="N739" s="167" t="str">
        <f>IF(ISBLANK(Table123[[#This Row],[Odds Side - Difference Model]]), "", 1)</f>
      </c>
      <c r="O739" s="167" t="str">
        <f>IF(ISBLANK(Table123[[#This Row],[Odds Spread]]), "", 1)</f>
      </c>
      <c r="P739" s="67"/>
      <c r="Q739" s="67"/>
      <c r="R73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9" s="67"/>
      <c r="T739" s="67"/>
      <c r="U739" s="168" t="str">
        <f>IF(ISBLANK(Table123[[#This Row],[Odds Side - Difference Model]]), "",N739+IF(Q739&lt;0, (N739/(Q739/-100)), N739*(Q739/100)))</f>
      </c>
      <c r="V739" s="169" t="str">
        <f>IFERROR(IF(ISBLANK(Table123[[#This Row],[Odds Side - Win Probability Model]]), "",N739+IF(R739&lt;0, (N739/(R739/-100)), N739*(R739/100))),"")</f>
      </c>
      <c r="W739" s="168" t="str">
        <f t="shared" si="73"/>
      </c>
      <c r="X739" s="169" t="str">
        <f t="shared" si="74"/>
      </c>
      <c r="Y739" s="168" t="str">
        <f>IF(ISBLANK(Table123[[#This Row],[Odds Spread]]), "",O739+IF(S739&lt;0, (O739/(S739/-100)), O739*(S739/100)))</f>
      </c>
      <c r="Z739" s="168" t="str">
        <f t="shared" si="75"/>
      </c>
      <c r="AA739" s="68" t="n">
        <f t="shared" si="76"/>
        <v>0</v>
      </c>
      <c r="AB739" s="68" t="n">
        <f t="shared" si="77"/>
        <v>0</v>
      </c>
      <c r="AC739" s="170" t="e">
        <f>IF('Prediction Log'!#REF!="Y", "W", IF('Prediction Log'!#REF!="N","L",""))</f>
        <v>#REF!</v>
      </c>
      <c r="AD739" s="171" t="e">
        <f>IF('Prediction Log'!#REF!="Y", "W", IF('Prediction Log'!#REF!="N","L",""))</f>
        <v>#REF!</v>
      </c>
      <c r="AE739" s="172" t="str">
        <f>IF(ISBLANK(Table123[[#This Row],[Odds Side - Difference Model]]), "",IF(AC739="W", W739, IF(AC739="L",-N739, "")))</f>
      </c>
      <c r="AF739" s="173" t="str">
        <f>IFERROR((IF(ISERR(Table123[[#This Row],[Potential Payout Side - Win Probability Model]]), "",IF(AD739="W", X739, IF(AD739="L",-N739, "")))), "")</f>
      </c>
      <c r="AG739" s="170" t="e">
        <f>IF('Prediction Log'!#REF!="Y", "W", IF('Prediction Log'!#REF!="N", "L", ""))</f>
        <v>#REF!</v>
      </c>
      <c r="AH739" s="172" t="str">
        <f>IF(ISBLANK(Table123[[#This Row],[Odds Spread]]), "",IF(AG739="W", Z739, IF(AG739="L",-O739, "")))</f>
      </c>
      <c r="AI739" s="184"/>
      <c r="AJ739" s="183" t="str">
        <f t="shared" si="78"/>
      </c>
      <c r="AK73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0">
      <c r="A740" s="65" t="e">
        <f>Games!#REF!</f>
        <v>#REF!</v>
      </c>
      <c r="B740" s="65" t="e">
        <f>IF('Prediction Log'!#REF!=0, "",'Prediction Log'!#REF!)</f>
        <v>#REF!</v>
      </c>
      <c r="C740" s="65" t="e">
        <f>IF('Prediction Log'!#REF!=0, "",'Prediction Log'!#REF!)</f>
        <v>#REF!</v>
      </c>
      <c r="D740" s="65" t="e">
        <f>IF('Prediction Log'!#REF!=0, "",'Prediction Log'!#REF!)</f>
        <v>#REF!</v>
      </c>
      <c r="E740" s="65" t="e">
        <f>IF('Prediction Log'!#REF!=0, "",'Prediction Log'!#REF!)</f>
        <v>#REF!</v>
      </c>
      <c r="F740" s="65" t="e">
        <f>IF('Prediction Log'!#REF!=0, "",'Prediction Log'!#REF!)</f>
        <v>#REF!</v>
      </c>
      <c r="G740" s="64" t="e">
        <f>IF(ISBLANK(Games!#REF!), "",'Prediction Log'!#REF!)</f>
        <v>#REF!</v>
      </c>
      <c r="H740" s="66" t="e">
        <f>'Prediction Log'!#REF!</f>
        <v>#REF!</v>
      </c>
      <c r="I740" s="65" t="e">
        <f>IF(ISBLANK(Games!#REF!), "",IF(AND(Games!#REF!="",Games!#REF!=""),"",IF(ISTEXT(Games!#REF!), "Side",Games!#REF!)))</f>
        <v>#REF!</v>
      </c>
      <c r="J740" s="65" t="e">
        <f>IF(ISBLANK(Games!#REF!), "",IF(Games!#REF!="Y", Games!#REF!, Games!#REF!))</f>
        <v>#REF!</v>
      </c>
      <c r="K740" s="65" t="e">
        <f>Games!#REF!</f>
        <v>#REF!</v>
      </c>
      <c r="L740" s="65" t="e">
        <f>IF(ISBLANK(Games!#REF!), "",Games!#REF!)</f>
        <v>#REF!</v>
      </c>
      <c r="M740" s="65"/>
      <c r="N740" s="167" t="str">
        <f>IF(ISBLANK(Table123[[#This Row],[Odds Side - Difference Model]]), "", 1)</f>
      </c>
      <c r="O740" s="167" t="str">
        <f>IF(ISBLANK(Table123[[#This Row],[Odds Spread]]), "", 1)</f>
      </c>
      <c r="P740" s="67"/>
      <c r="Q740" s="67"/>
      <c r="R74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0" s="67"/>
      <c r="T740" s="67"/>
      <c r="U740" s="168" t="str">
        <f>IF(ISBLANK(Table123[[#This Row],[Odds Side - Difference Model]]), "",N740+IF(Q740&lt;0, (N740/(Q740/-100)), N740*(Q740/100)))</f>
      </c>
      <c r="V740" s="169" t="str">
        <f>IFERROR(IF(ISBLANK(Table123[[#This Row],[Odds Side - Win Probability Model]]), "",N740+IF(R740&lt;0, (N740/(R740/-100)), N740*(R740/100))),"")</f>
      </c>
      <c r="W740" s="168" t="str">
        <f t="shared" si="73"/>
      </c>
      <c r="X740" s="169" t="str">
        <f t="shared" si="74"/>
      </c>
      <c r="Y740" s="168" t="str">
        <f>IF(ISBLANK(Table123[[#This Row],[Odds Spread]]), "",O740+IF(S740&lt;0, (O740/(S740/-100)), O740*(S740/100)))</f>
      </c>
      <c r="Z740" s="168" t="str">
        <f t="shared" si="75"/>
      </c>
      <c r="AA740" s="68" t="n">
        <f t="shared" si="76"/>
        <v>0</v>
      </c>
      <c r="AB740" s="68" t="n">
        <f t="shared" si="77"/>
        <v>0</v>
      </c>
      <c r="AC740" s="170" t="e">
        <f>IF('Prediction Log'!#REF!="Y", "W", IF('Prediction Log'!#REF!="N","L",""))</f>
        <v>#REF!</v>
      </c>
      <c r="AD740" s="171" t="e">
        <f>IF('Prediction Log'!#REF!="Y", "W", IF('Prediction Log'!#REF!="N","L",""))</f>
        <v>#REF!</v>
      </c>
      <c r="AE740" s="172" t="str">
        <f>IF(ISBLANK(Table123[[#This Row],[Odds Side - Difference Model]]), "",IF(AC740="W", W740, IF(AC740="L",-N740, "")))</f>
      </c>
      <c r="AF740" s="173" t="str">
        <f>IFERROR((IF(ISERR(Table123[[#This Row],[Potential Payout Side - Win Probability Model]]), "",IF(AD740="W", X740, IF(AD740="L",-N740, "")))), "")</f>
      </c>
      <c r="AG740" s="170" t="e">
        <f>IF('Prediction Log'!#REF!="Y", "W", IF('Prediction Log'!#REF!="N", "L", ""))</f>
        <v>#REF!</v>
      </c>
      <c r="AH740" s="172" t="str">
        <f>IF(ISBLANK(Table123[[#This Row],[Odds Spread]]), "",IF(AG740="W", Z740, IF(AG740="L",-O740, "")))</f>
      </c>
      <c r="AI740" s="184"/>
      <c r="AJ740" s="183" t="str">
        <f t="shared" si="78"/>
      </c>
      <c r="AK74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1">
      <c r="A741" s="65" t="e">
        <f>Games!#REF!</f>
        <v>#REF!</v>
      </c>
      <c r="B741" s="65" t="e">
        <f>IF('Prediction Log'!#REF!=0, "",'Prediction Log'!#REF!)</f>
        <v>#REF!</v>
      </c>
      <c r="C741" s="65" t="e">
        <f>IF('Prediction Log'!#REF!=0, "",'Prediction Log'!#REF!)</f>
        <v>#REF!</v>
      </c>
      <c r="D741" s="65" t="e">
        <f>IF('Prediction Log'!#REF!=0, "",'Prediction Log'!#REF!)</f>
        <v>#REF!</v>
      </c>
      <c r="E741" s="65" t="e">
        <f>IF('Prediction Log'!#REF!=0, "",'Prediction Log'!#REF!)</f>
        <v>#REF!</v>
      </c>
      <c r="F741" s="65" t="e">
        <f>IF('Prediction Log'!#REF!=0, "",'Prediction Log'!#REF!)</f>
        <v>#REF!</v>
      </c>
      <c r="G741" s="64" t="e">
        <f>IF(ISBLANK(Games!#REF!), "",'Prediction Log'!#REF!)</f>
        <v>#REF!</v>
      </c>
      <c r="H741" s="66" t="e">
        <f>'Prediction Log'!#REF!</f>
        <v>#REF!</v>
      </c>
      <c r="I741" s="65" t="e">
        <f>IF(ISBLANK(Games!#REF!), "",IF(AND(Games!#REF!="",Games!#REF!=""),"",IF(ISTEXT(Games!#REF!), "Side",Games!#REF!)))</f>
        <v>#REF!</v>
      </c>
      <c r="J741" s="65" t="e">
        <f>IF(ISBLANK(Games!#REF!), "",IF(Games!#REF!="Y", Games!#REF!, Games!#REF!))</f>
        <v>#REF!</v>
      </c>
      <c r="K741" s="65" t="e">
        <f>Games!#REF!</f>
        <v>#REF!</v>
      </c>
      <c r="L741" s="65" t="e">
        <f>IF(ISBLANK(Games!#REF!), "",Games!#REF!)</f>
        <v>#REF!</v>
      </c>
      <c r="M741" s="65"/>
      <c r="N741" s="167" t="str">
        <f>IF(ISBLANK(Table123[[#This Row],[Odds Side - Difference Model]]), "", 1)</f>
      </c>
      <c r="O741" s="167" t="str">
        <f>IF(ISBLANK(Table123[[#This Row],[Odds Spread]]), "", 1)</f>
      </c>
      <c r="P741" s="67"/>
      <c r="Q741" s="67"/>
      <c r="R74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1" s="67"/>
      <c r="T741" s="67"/>
      <c r="U741" s="168" t="str">
        <f>IF(ISBLANK(Table123[[#This Row],[Odds Side - Difference Model]]), "",N741+IF(Q741&lt;0, (N741/(Q741/-100)), N741*(Q741/100)))</f>
      </c>
      <c r="V741" s="169" t="str">
        <f>IFERROR(IF(ISBLANK(Table123[[#This Row],[Odds Side - Win Probability Model]]), "",N741+IF(R741&lt;0, (N741/(R741/-100)), N741*(R741/100))),"")</f>
      </c>
      <c r="W741" s="168" t="str">
        <f t="shared" si="73"/>
      </c>
      <c r="X741" s="169" t="str">
        <f t="shared" si="74"/>
      </c>
      <c r="Y741" s="168" t="str">
        <f>IF(ISBLANK(Table123[[#This Row],[Odds Spread]]), "",O741+IF(S741&lt;0, (O741/(S741/-100)), O741*(S741/100)))</f>
      </c>
      <c r="Z741" s="168" t="str">
        <f t="shared" si="75"/>
      </c>
      <c r="AA741" s="68" t="n">
        <f t="shared" si="76"/>
        <v>0</v>
      </c>
      <c r="AB741" s="68" t="n">
        <f t="shared" si="77"/>
        <v>0</v>
      </c>
      <c r="AC741" s="170" t="e">
        <f>IF('Prediction Log'!#REF!="Y", "W", IF('Prediction Log'!#REF!="N","L",""))</f>
        <v>#REF!</v>
      </c>
      <c r="AD741" s="171" t="e">
        <f>IF('Prediction Log'!#REF!="Y", "W", IF('Prediction Log'!#REF!="N","L",""))</f>
        <v>#REF!</v>
      </c>
      <c r="AE741" s="172" t="str">
        <f>IF(ISBLANK(Table123[[#This Row],[Odds Side - Difference Model]]), "",IF(AC741="W", W741, IF(AC741="L",-N741, "")))</f>
      </c>
      <c r="AF741" s="173" t="str">
        <f>IFERROR((IF(ISERR(Table123[[#This Row],[Potential Payout Side - Win Probability Model]]), "",IF(AD741="W", X741, IF(AD741="L",-N741, "")))), "")</f>
      </c>
      <c r="AG741" s="170" t="e">
        <f>IF('Prediction Log'!#REF!="Y", "W", IF('Prediction Log'!#REF!="N", "L", ""))</f>
        <v>#REF!</v>
      </c>
      <c r="AH741" s="172" t="str">
        <f>IF(ISBLANK(Table123[[#This Row],[Odds Spread]]), "",IF(AG741="W", Z741, IF(AG741="L",-O741, "")))</f>
      </c>
      <c r="AI741" s="184"/>
      <c r="AJ741" s="183" t="str">
        <f t="shared" si="78"/>
      </c>
      <c r="AK74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2">
      <c r="A742" s="65" t="e">
        <f>Games!#REF!</f>
        <v>#REF!</v>
      </c>
      <c r="B742" s="65" t="e">
        <f>IF('Prediction Log'!#REF!=0, "",'Prediction Log'!#REF!)</f>
        <v>#REF!</v>
      </c>
      <c r="C742" s="65" t="e">
        <f>IF('Prediction Log'!#REF!=0, "",'Prediction Log'!#REF!)</f>
        <v>#REF!</v>
      </c>
      <c r="D742" s="65" t="e">
        <f>IF('Prediction Log'!#REF!=0, "",'Prediction Log'!#REF!)</f>
        <v>#REF!</v>
      </c>
      <c r="E742" s="65" t="e">
        <f>IF('Prediction Log'!#REF!=0, "",'Prediction Log'!#REF!)</f>
        <v>#REF!</v>
      </c>
      <c r="F742" s="65" t="e">
        <f>IF('Prediction Log'!#REF!=0, "",'Prediction Log'!#REF!)</f>
        <v>#REF!</v>
      </c>
      <c r="G742" s="64" t="e">
        <f>IF(ISBLANK(Games!#REF!), "",'Prediction Log'!#REF!)</f>
        <v>#REF!</v>
      </c>
      <c r="H742" s="66" t="e">
        <f>'Prediction Log'!#REF!</f>
        <v>#REF!</v>
      </c>
      <c r="I742" s="65" t="e">
        <f>IF(ISBLANK(Games!#REF!), "",IF(AND(Games!#REF!="",Games!#REF!=""),"",IF(ISTEXT(Games!#REF!), "Side",Games!#REF!)))</f>
        <v>#REF!</v>
      </c>
      <c r="J742" s="65" t="e">
        <f>IF(ISBLANK(Games!#REF!), "",IF(Games!#REF!="Y", Games!#REF!, Games!#REF!))</f>
        <v>#REF!</v>
      </c>
      <c r="K742" s="65" t="e">
        <f>Games!#REF!</f>
        <v>#REF!</v>
      </c>
      <c r="L742" s="65" t="e">
        <f>IF(ISBLANK(Games!#REF!), "",Games!#REF!)</f>
        <v>#REF!</v>
      </c>
      <c r="M742" s="65"/>
      <c r="N742" s="167" t="str">
        <f>IF(ISBLANK(Table123[[#This Row],[Odds Side - Difference Model]]), "", 1)</f>
      </c>
      <c r="O742" s="167" t="str">
        <f>IF(ISBLANK(Table123[[#This Row],[Odds Spread]]), "", 1)</f>
      </c>
      <c r="P742" s="67"/>
      <c r="Q742" s="67"/>
      <c r="R74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2" s="67"/>
      <c r="T742" s="67"/>
      <c r="U742" s="168" t="str">
        <f>IF(ISBLANK(Table123[[#This Row],[Odds Side - Difference Model]]), "",N742+IF(Q742&lt;0, (N742/(Q742/-100)), N742*(Q742/100)))</f>
      </c>
      <c r="V742" s="169" t="str">
        <f>IFERROR(IF(ISBLANK(Table123[[#This Row],[Odds Side - Win Probability Model]]), "",N742+IF(R742&lt;0, (N742/(R742/-100)), N742*(R742/100))),"")</f>
      </c>
      <c r="W742" s="168" t="str">
        <f t="shared" si="73"/>
      </c>
      <c r="X742" s="169" t="str">
        <f t="shared" si="74"/>
      </c>
      <c r="Y742" s="168" t="str">
        <f>IF(ISBLANK(Table123[[#This Row],[Odds Spread]]), "",O742+IF(S742&lt;0, (O742/(S742/-100)), O742*(S742/100)))</f>
      </c>
      <c r="Z742" s="168" t="str">
        <f t="shared" si="75"/>
      </c>
      <c r="AA742" s="68" t="n">
        <f t="shared" si="76"/>
        <v>0</v>
      </c>
      <c r="AB742" s="68" t="n">
        <f t="shared" si="77"/>
        <v>0</v>
      </c>
      <c r="AC742" s="170" t="e">
        <f>IF('Prediction Log'!#REF!="Y", "W", IF('Prediction Log'!#REF!="N","L",""))</f>
        <v>#REF!</v>
      </c>
      <c r="AD742" s="171" t="e">
        <f>IF('Prediction Log'!#REF!="Y", "W", IF('Prediction Log'!#REF!="N","L",""))</f>
        <v>#REF!</v>
      </c>
      <c r="AE742" s="172" t="str">
        <f>IF(ISBLANK(Table123[[#This Row],[Odds Side - Difference Model]]), "",IF(AC742="W", W742, IF(AC742="L",-N742, "")))</f>
      </c>
      <c r="AF742" s="173" t="str">
        <f>IFERROR((IF(ISERR(Table123[[#This Row],[Potential Payout Side - Win Probability Model]]), "",IF(AD742="W", X742, IF(AD742="L",-N742, "")))), "")</f>
      </c>
      <c r="AG742" s="170" t="e">
        <f>IF('Prediction Log'!#REF!="Y", "W", IF('Prediction Log'!#REF!="N", "L", ""))</f>
        <v>#REF!</v>
      </c>
      <c r="AH742" s="172" t="str">
        <f>IF(ISBLANK(Table123[[#This Row],[Odds Spread]]), "",IF(AG742="W", Z742, IF(AG742="L",-O742, "")))</f>
      </c>
      <c r="AI742" s="184"/>
      <c r="AJ742" s="183" t="str">
        <f t="shared" si="78"/>
      </c>
      <c r="AK74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3">
      <c r="A743" s="65" t="e">
        <f>Games!#REF!</f>
        <v>#REF!</v>
      </c>
      <c r="B743" s="65" t="e">
        <f>IF('Prediction Log'!#REF!=0, "",'Prediction Log'!#REF!)</f>
        <v>#REF!</v>
      </c>
      <c r="C743" s="65" t="e">
        <f>IF('Prediction Log'!#REF!=0, "",'Prediction Log'!#REF!)</f>
        <v>#REF!</v>
      </c>
      <c r="D743" s="65" t="e">
        <f>IF('Prediction Log'!#REF!=0, "",'Prediction Log'!#REF!)</f>
        <v>#REF!</v>
      </c>
      <c r="E743" s="65" t="e">
        <f>IF('Prediction Log'!#REF!=0, "",'Prediction Log'!#REF!)</f>
        <v>#REF!</v>
      </c>
      <c r="F743" s="65" t="e">
        <f>IF('Prediction Log'!#REF!=0, "",'Prediction Log'!#REF!)</f>
        <v>#REF!</v>
      </c>
      <c r="G743" s="64" t="e">
        <f>IF(ISBLANK(Games!#REF!), "",'Prediction Log'!#REF!)</f>
        <v>#REF!</v>
      </c>
      <c r="H743" s="66" t="e">
        <f>'Prediction Log'!#REF!</f>
        <v>#REF!</v>
      </c>
      <c r="I743" s="65" t="e">
        <f>IF(ISBLANK(Games!#REF!), "",IF(AND(Games!#REF!="",Games!#REF!=""),"",IF(ISTEXT(Games!#REF!), "Side",Games!#REF!)))</f>
        <v>#REF!</v>
      </c>
      <c r="J743" s="65" t="e">
        <f>IF(ISBLANK(Games!#REF!), "",IF(Games!#REF!="Y", Games!#REF!, Games!#REF!))</f>
        <v>#REF!</v>
      </c>
      <c r="K743" s="65" t="e">
        <f>Games!#REF!</f>
        <v>#REF!</v>
      </c>
      <c r="L743" s="65" t="e">
        <f>IF(ISBLANK(Games!#REF!), "",Games!#REF!)</f>
        <v>#REF!</v>
      </c>
      <c r="M743" s="65"/>
      <c r="N743" s="167" t="str">
        <f>IF(ISBLANK(Table123[[#This Row],[Odds Side - Difference Model]]), "", 1)</f>
      </c>
      <c r="O743" s="167" t="str">
        <f>IF(ISBLANK(Table123[[#This Row],[Odds Spread]]), "", 1)</f>
      </c>
      <c r="P743" s="67"/>
      <c r="Q743" s="67"/>
      <c r="R74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3" s="67"/>
      <c r="T743" s="67"/>
      <c r="U743" s="168" t="str">
        <f>IF(ISBLANK(Table123[[#This Row],[Odds Side - Difference Model]]), "",N743+IF(Q743&lt;0, (N743/(Q743/-100)), N743*(Q743/100)))</f>
      </c>
      <c r="V743" s="169" t="str">
        <f>IFERROR(IF(ISBLANK(Table123[[#This Row],[Odds Side - Win Probability Model]]), "",N743+IF(R743&lt;0, (N743/(R743/-100)), N743*(R743/100))),"")</f>
      </c>
      <c r="W743" s="168" t="str">
        <f t="shared" si="73"/>
      </c>
      <c r="X743" s="169" t="str">
        <f t="shared" si="74"/>
      </c>
      <c r="Y743" s="168" t="str">
        <f>IF(ISBLANK(Table123[[#This Row],[Odds Spread]]), "",O743+IF(S743&lt;0, (O743/(S743/-100)), O743*(S743/100)))</f>
      </c>
      <c r="Z743" s="168" t="str">
        <f t="shared" si="75"/>
      </c>
      <c r="AA743" s="68" t="n">
        <f t="shared" si="76"/>
        <v>0</v>
      </c>
      <c r="AB743" s="68" t="n">
        <f t="shared" si="77"/>
        <v>0</v>
      </c>
      <c r="AC743" s="170" t="e">
        <f>IF('Prediction Log'!#REF!="Y", "W", IF('Prediction Log'!#REF!="N","L",""))</f>
        <v>#REF!</v>
      </c>
      <c r="AD743" s="171" t="e">
        <f>IF('Prediction Log'!#REF!="Y", "W", IF('Prediction Log'!#REF!="N","L",""))</f>
        <v>#REF!</v>
      </c>
      <c r="AE743" s="172" t="str">
        <f>IF(ISBLANK(Table123[[#This Row],[Odds Side - Difference Model]]), "",IF(AC743="W", W743, IF(AC743="L",-N743, "")))</f>
      </c>
      <c r="AF743" s="173" t="str">
        <f>IFERROR((IF(ISERR(Table123[[#This Row],[Potential Payout Side - Win Probability Model]]), "",IF(AD743="W", X743, IF(AD743="L",-N743, "")))), "")</f>
      </c>
      <c r="AG743" s="170" t="e">
        <f>IF('Prediction Log'!#REF!="Y", "W", IF('Prediction Log'!#REF!="N", "L", ""))</f>
        <v>#REF!</v>
      </c>
      <c r="AH743" s="172" t="str">
        <f>IF(ISBLANK(Table123[[#This Row],[Odds Spread]]), "",IF(AG743="W", Z743, IF(AG743="L",-O743, "")))</f>
      </c>
      <c r="AI743" s="184"/>
      <c r="AJ743" s="183" t="str">
        <f t="shared" si="78"/>
      </c>
      <c r="AK74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4">
      <c r="A744" s="65" t="e">
        <f>Games!#REF!</f>
        <v>#REF!</v>
      </c>
      <c r="B744" s="65" t="e">
        <f>IF('Prediction Log'!#REF!=0, "",'Prediction Log'!#REF!)</f>
        <v>#REF!</v>
      </c>
      <c r="C744" s="65" t="e">
        <f>IF('Prediction Log'!#REF!=0, "",'Prediction Log'!#REF!)</f>
        <v>#REF!</v>
      </c>
      <c r="D744" s="65" t="e">
        <f>IF('Prediction Log'!#REF!=0, "",'Prediction Log'!#REF!)</f>
        <v>#REF!</v>
      </c>
      <c r="E744" s="65" t="e">
        <f>IF('Prediction Log'!#REF!=0, "",'Prediction Log'!#REF!)</f>
        <v>#REF!</v>
      </c>
      <c r="F744" s="65" t="e">
        <f>IF('Prediction Log'!#REF!=0, "",'Prediction Log'!#REF!)</f>
        <v>#REF!</v>
      </c>
      <c r="G744" s="64" t="e">
        <f>IF(ISBLANK(Games!#REF!), "",'Prediction Log'!#REF!)</f>
        <v>#REF!</v>
      </c>
      <c r="H744" s="66" t="e">
        <f>'Prediction Log'!#REF!</f>
        <v>#REF!</v>
      </c>
      <c r="I744" s="65" t="e">
        <f>IF(ISBLANK(Games!#REF!), "",IF(AND(Games!#REF!="",Games!#REF!=""),"",IF(ISTEXT(Games!#REF!), "Side",Games!#REF!)))</f>
        <v>#REF!</v>
      </c>
      <c r="J744" s="65" t="e">
        <f>IF(ISBLANK(Games!#REF!), "",IF(Games!#REF!="Y", Games!#REF!, Games!#REF!))</f>
        <v>#REF!</v>
      </c>
      <c r="K744" s="65" t="e">
        <f>Games!#REF!</f>
        <v>#REF!</v>
      </c>
      <c r="L744" s="65" t="e">
        <f>IF(ISBLANK(Games!#REF!), "",Games!#REF!)</f>
        <v>#REF!</v>
      </c>
      <c r="M744" s="65"/>
      <c r="N744" s="167" t="str">
        <f>IF(ISBLANK(Table123[[#This Row],[Odds Side - Difference Model]]), "", 1)</f>
      </c>
      <c r="O744" s="167" t="str">
        <f>IF(ISBLANK(Table123[[#This Row],[Odds Spread]]), "", 1)</f>
      </c>
      <c r="P744" s="67"/>
      <c r="Q744" s="67"/>
      <c r="R74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4" s="67"/>
      <c r="T744" s="67"/>
      <c r="U744" s="168" t="str">
        <f>IF(ISBLANK(Table123[[#This Row],[Odds Side - Difference Model]]), "",N744+IF(Q744&lt;0, (N744/(Q744/-100)), N744*(Q744/100)))</f>
      </c>
      <c r="V744" s="169" t="str">
        <f>IFERROR(IF(ISBLANK(Table123[[#This Row],[Odds Side - Win Probability Model]]), "",N744+IF(R744&lt;0, (N744/(R744/-100)), N744*(R744/100))),"")</f>
      </c>
      <c r="W744" s="168" t="str">
        <f t="shared" si="73"/>
      </c>
      <c r="X744" s="169" t="str">
        <f t="shared" si="74"/>
      </c>
      <c r="Y744" s="168" t="str">
        <f>IF(ISBLANK(Table123[[#This Row],[Odds Spread]]), "",O744+IF(S744&lt;0, (O744/(S744/-100)), O744*(S744/100)))</f>
      </c>
      <c r="Z744" s="168" t="str">
        <f t="shared" si="75"/>
      </c>
      <c r="AA744" s="68" t="n">
        <f t="shared" si="76"/>
        <v>0</v>
      </c>
      <c r="AB744" s="68" t="n">
        <f t="shared" si="77"/>
        <v>0</v>
      </c>
      <c r="AC744" s="170" t="e">
        <f>IF('Prediction Log'!#REF!="Y", "W", IF('Prediction Log'!#REF!="N","L",""))</f>
        <v>#REF!</v>
      </c>
      <c r="AD744" s="171" t="e">
        <f>IF('Prediction Log'!#REF!="Y", "W", IF('Prediction Log'!#REF!="N","L",""))</f>
        <v>#REF!</v>
      </c>
      <c r="AE744" s="172" t="str">
        <f>IF(ISBLANK(Table123[[#This Row],[Odds Side - Difference Model]]), "",IF(AC744="W", W744, IF(AC744="L",-N744, "")))</f>
      </c>
      <c r="AF744" s="173" t="str">
        <f>IFERROR((IF(ISERR(Table123[[#This Row],[Potential Payout Side - Win Probability Model]]), "",IF(AD744="W", X744, IF(AD744="L",-N744, "")))), "")</f>
      </c>
      <c r="AG744" s="170" t="e">
        <f>IF('Prediction Log'!#REF!="Y", "W", IF('Prediction Log'!#REF!="N", "L", ""))</f>
        <v>#REF!</v>
      </c>
      <c r="AH744" s="172" t="str">
        <f>IF(ISBLANK(Table123[[#This Row],[Odds Spread]]), "",IF(AG744="W", Z744, IF(AG744="L",-O744, "")))</f>
      </c>
      <c r="AI744" s="184"/>
      <c r="AJ744" s="183" t="str">
        <f t="shared" si="78"/>
      </c>
      <c r="AK74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5">
      <c r="A745" s="65" t="e">
        <f>Games!#REF!</f>
        <v>#REF!</v>
      </c>
      <c r="B745" s="65" t="e">
        <f>IF('Prediction Log'!#REF!=0, "",'Prediction Log'!#REF!)</f>
        <v>#REF!</v>
      </c>
      <c r="C745" s="65" t="e">
        <f>IF('Prediction Log'!#REF!=0, "",'Prediction Log'!#REF!)</f>
        <v>#REF!</v>
      </c>
      <c r="D745" s="65" t="e">
        <f>IF('Prediction Log'!#REF!=0, "",'Prediction Log'!#REF!)</f>
        <v>#REF!</v>
      </c>
      <c r="E745" s="65" t="e">
        <f>IF('Prediction Log'!#REF!=0, "",'Prediction Log'!#REF!)</f>
        <v>#REF!</v>
      </c>
      <c r="F745" s="65" t="e">
        <f>IF('Prediction Log'!#REF!=0, "",'Prediction Log'!#REF!)</f>
        <v>#REF!</v>
      </c>
      <c r="G745" s="64" t="e">
        <f>IF(ISBLANK(Games!#REF!), "",'Prediction Log'!#REF!)</f>
        <v>#REF!</v>
      </c>
      <c r="H745" s="66" t="e">
        <f>'Prediction Log'!#REF!</f>
        <v>#REF!</v>
      </c>
      <c r="I745" s="65" t="e">
        <f>IF(ISBLANK(Games!#REF!), "",IF(AND(Games!#REF!="",Games!#REF!=""),"",IF(ISTEXT(Games!#REF!), "Side",Games!#REF!)))</f>
        <v>#REF!</v>
      </c>
      <c r="J745" s="65" t="e">
        <f>IF(ISBLANK(Games!#REF!), "",IF(Games!#REF!="Y", Games!#REF!, Games!#REF!))</f>
        <v>#REF!</v>
      </c>
      <c r="K745" s="65" t="e">
        <f>Games!#REF!</f>
        <v>#REF!</v>
      </c>
      <c r="L745" s="65" t="e">
        <f>IF(ISBLANK(Games!#REF!), "",Games!#REF!)</f>
        <v>#REF!</v>
      </c>
      <c r="M745" s="65"/>
      <c r="N745" s="167" t="str">
        <f>IF(ISBLANK(Table123[[#This Row],[Odds Side - Difference Model]]), "", 1)</f>
      </c>
      <c r="O745" s="167" t="str">
        <f>IF(ISBLANK(Table123[[#This Row],[Odds Spread]]), "", 1)</f>
      </c>
      <c r="P745" s="67"/>
      <c r="Q745" s="67"/>
      <c r="R74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5" s="67"/>
      <c r="T745" s="67"/>
      <c r="U745" s="168" t="str">
        <f>IF(ISBLANK(Table123[[#This Row],[Odds Side - Difference Model]]), "",N745+IF(Q745&lt;0, (N745/(Q745/-100)), N745*(Q745/100)))</f>
      </c>
      <c r="V745" s="169" t="str">
        <f>IFERROR(IF(ISBLANK(Table123[[#This Row],[Odds Side - Win Probability Model]]), "",N745+IF(R745&lt;0, (N745/(R745/-100)), N745*(R745/100))),"")</f>
      </c>
      <c r="W745" s="168" t="str">
        <f t="shared" si="73"/>
      </c>
      <c r="X745" s="169" t="str">
        <f t="shared" si="74"/>
      </c>
      <c r="Y745" s="168" t="str">
        <f>IF(ISBLANK(Table123[[#This Row],[Odds Spread]]), "",O745+IF(S745&lt;0, (O745/(S745/-100)), O745*(S745/100)))</f>
      </c>
      <c r="Z745" s="168" t="str">
        <f t="shared" si="75"/>
      </c>
      <c r="AA745" s="68" t="n">
        <f t="shared" si="76"/>
        <v>0</v>
      </c>
      <c r="AB745" s="68" t="n">
        <f t="shared" si="77"/>
        <v>0</v>
      </c>
      <c r="AC745" s="170" t="e">
        <f>IF('Prediction Log'!#REF!="Y", "W", IF('Prediction Log'!#REF!="N","L",""))</f>
        <v>#REF!</v>
      </c>
      <c r="AD745" s="171" t="e">
        <f>IF('Prediction Log'!#REF!="Y", "W", IF('Prediction Log'!#REF!="N","L",""))</f>
        <v>#REF!</v>
      </c>
      <c r="AE745" s="172" t="str">
        <f>IF(ISBLANK(Table123[[#This Row],[Odds Side - Difference Model]]), "",IF(AC745="W", W745, IF(AC745="L",-N745, "")))</f>
      </c>
      <c r="AF745" s="173" t="str">
        <f>IFERROR((IF(ISERR(Table123[[#This Row],[Potential Payout Side - Win Probability Model]]), "",IF(AD745="W", X745, IF(AD745="L",-N745, "")))), "")</f>
      </c>
      <c r="AG745" s="170" t="e">
        <f>IF('Prediction Log'!#REF!="Y", "W", IF('Prediction Log'!#REF!="N", "L", ""))</f>
        <v>#REF!</v>
      </c>
      <c r="AH745" s="172" t="str">
        <f>IF(ISBLANK(Table123[[#This Row],[Odds Spread]]), "",IF(AG745="W", Z745, IF(AG745="L",-O745, "")))</f>
      </c>
      <c r="AI745" s="184"/>
      <c r="AJ745" s="183" t="str">
        <f t="shared" si="78"/>
      </c>
      <c r="AK74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6">
      <c r="A746" s="65" t="e">
        <f>Games!#REF!</f>
        <v>#REF!</v>
      </c>
      <c r="B746" s="65" t="e">
        <f>IF('Prediction Log'!#REF!=0, "",'Prediction Log'!#REF!)</f>
        <v>#REF!</v>
      </c>
      <c r="C746" s="65" t="e">
        <f>IF('Prediction Log'!#REF!=0, "",'Prediction Log'!#REF!)</f>
        <v>#REF!</v>
      </c>
      <c r="D746" s="65" t="e">
        <f>IF('Prediction Log'!#REF!=0, "",'Prediction Log'!#REF!)</f>
        <v>#REF!</v>
      </c>
      <c r="E746" s="65" t="e">
        <f>IF('Prediction Log'!#REF!=0, "",'Prediction Log'!#REF!)</f>
        <v>#REF!</v>
      </c>
      <c r="F746" s="65" t="e">
        <f>IF('Prediction Log'!#REF!=0, "",'Prediction Log'!#REF!)</f>
        <v>#REF!</v>
      </c>
      <c r="G746" s="64" t="e">
        <f>IF(ISBLANK(Games!#REF!), "",'Prediction Log'!#REF!)</f>
        <v>#REF!</v>
      </c>
      <c r="H746" s="66" t="e">
        <f>'Prediction Log'!#REF!</f>
        <v>#REF!</v>
      </c>
      <c r="I746" s="65" t="e">
        <f>IF(ISBLANK(Games!#REF!), "",IF(AND(Games!#REF!="",Games!#REF!=""),"",IF(ISTEXT(Games!#REF!), "Side",Games!#REF!)))</f>
        <v>#REF!</v>
      </c>
      <c r="J746" s="65" t="e">
        <f>IF(ISBLANK(Games!#REF!), "",IF(Games!#REF!="Y", Games!#REF!, Games!#REF!))</f>
        <v>#REF!</v>
      </c>
      <c r="K746" s="65" t="e">
        <f>Games!#REF!</f>
        <v>#REF!</v>
      </c>
      <c r="L746" s="65" t="e">
        <f>IF(ISBLANK(Games!#REF!), "",Games!#REF!)</f>
        <v>#REF!</v>
      </c>
      <c r="M746" s="65"/>
      <c r="N746" s="167" t="str">
        <f>IF(ISBLANK(Table123[[#This Row],[Odds Side - Difference Model]]), "", 1)</f>
      </c>
      <c r="O746" s="167" t="str">
        <f>IF(ISBLANK(Table123[[#This Row],[Odds Spread]]), "", 1)</f>
      </c>
      <c r="P746" s="67"/>
      <c r="Q746" s="67"/>
      <c r="R746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6" s="67"/>
      <c r="T746" s="67"/>
      <c r="U746" s="168" t="str">
        <f>IF(ISBLANK(Table123[[#This Row],[Odds Side - Difference Model]]), "",N746+IF(Q746&lt;0, (N746/(Q746/-100)), N746*(Q746/100)))</f>
      </c>
      <c r="V746" s="169" t="str">
        <f>IFERROR(IF(ISBLANK(Table123[[#This Row],[Odds Side - Win Probability Model]]), "",N746+IF(R746&lt;0, (N746/(R746/-100)), N746*(R746/100))),"")</f>
      </c>
      <c r="W746" s="168" t="str">
        <f t="shared" si="73"/>
      </c>
      <c r="X746" s="169" t="str">
        <f t="shared" si="74"/>
      </c>
      <c r="Y746" s="168" t="str">
        <f>IF(ISBLANK(Table123[[#This Row],[Odds Spread]]), "",O746+IF(S746&lt;0, (O746/(S746/-100)), O746*(S746/100)))</f>
      </c>
      <c r="Z746" s="168" t="str">
        <f t="shared" si="75"/>
      </c>
      <c r="AA746" s="68" t="n">
        <f t="shared" si="76"/>
        <v>0</v>
      </c>
      <c r="AB746" s="68" t="n">
        <f t="shared" si="77"/>
        <v>0</v>
      </c>
      <c r="AC746" s="170" t="e">
        <f>IF('Prediction Log'!#REF!="Y", "W", IF('Prediction Log'!#REF!="N","L",""))</f>
        <v>#REF!</v>
      </c>
      <c r="AD746" s="171" t="e">
        <f>IF('Prediction Log'!#REF!="Y", "W", IF('Prediction Log'!#REF!="N","L",""))</f>
        <v>#REF!</v>
      </c>
      <c r="AE746" s="172" t="str">
        <f>IF(ISBLANK(Table123[[#This Row],[Odds Side - Difference Model]]), "",IF(AC746="W", W746, IF(AC746="L",-N746, "")))</f>
      </c>
      <c r="AF746" s="173" t="str">
        <f>IFERROR((IF(ISERR(Table123[[#This Row],[Potential Payout Side - Win Probability Model]]), "",IF(AD746="W", X746, IF(AD746="L",-N746, "")))), "")</f>
      </c>
      <c r="AG746" s="170" t="e">
        <f>IF('Prediction Log'!#REF!="Y", "W", IF('Prediction Log'!#REF!="N", "L", ""))</f>
        <v>#REF!</v>
      </c>
      <c r="AH746" s="172" t="str">
        <f>IF(ISBLANK(Table123[[#This Row],[Odds Spread]]), "",IF(AG746="W", Z746, IF(AG746="L",-O746, "")))</f>
      </c>
      <c r="AI746" s="184"/>
      <c r="AJ746" s="183" t="str">
        <f t="shared" si="78"/>
      </c>
      <c r="AK746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6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7">
      <c r="A747" s="65" t="e">
        <f>Games!#REF!</f>
        <v>#REF!</v>
      </c>
      <c r="B747" s="65" t="e">
        <f>IF('Prediction Log'!#REF!=0, "",'Prediction Log'!#REF!)</f>
        <v>#REF!</v>
      </c>
      <c r="C747" s="65" t="e">
        <f>IF('Prediction Log'!#REF!=0, "",'Prediction Log'!#REF!)</f>
        <v>#REF!</v>
      </c>
      <c r="D747" s="65" t="e">
        <f>IF('Prediction Log'!#REF!=0, "",'Prediction Log'!#REF!)</f>
        <v>#REF!</v>
      </c>
      <c r="E747" s="65" t="e">
        <f>IF('Prediction Log'!#REF!=0, "",'Prediction Log'!#REF!)</f>
        <v>#REF!</v>
      </c>
      <c r="F747" s="65" t="e">
        <f>IF('Prediction Log'!#REF!=0, "",'Prediction Log'!#REF!)</f>
        <v>#REF!</v>
      </c>
      <c r="G747" s="64" t="e">
        <f>IF(ISBLANK(Games!#REF!), "",'Prediction Log'!#REF!)</f>
        <v>#REF!</v>
      </c>
      <c r="H747" s="66" t="e">
        <f>'Prediction Log'!#REF!</f>
        <v>#REF!</v>
      </c>
      <c r="I747" s="65" t="e">
        <f>IF(ISBLANK(Games!#REF!), "",IF(AND(Games!#REF!="",Games!#REF!=""),"",IF(ISTEXT(Games!#REF!), "Side",Games!#REF!)))</f>
        <v>#REF!</v>
      </c>
      <c r="J747" s="65" t="e">
        <f>IF(ISBLANK(Games!#REF!), "",IF(Games!#REF!="Y", Games!#REF!, Games!#REF!))</f>
        <v>#REF!</v>
      </c>
      <c r="K747" s="65" t="e">
        <f>Games!#REF!</f>
        <v>#REF!</v>
      </c>
      <c r="L747" s="65" t="e">
        <f>IF(ISBLANK(Games!#REF!), "",Games!#REF!)</f>
        <v>#REF!</v>
      </c>
      <c r="M747" s="65"/>
      <c r="N747" s="167" t="str">
        <f>IF(ISBLANK(Table123[[#This Row],[Odds Side - Difference Model]]), "", 1)</f>
      </c>
      <c r="O747" s="167" t="str">
        <f>IF(ISBLANK(Table123[[#This Row],[Odds Spread]]), "", 1)</f>
      </c>
      <c r="P747" s="67"/>
      <c r="Q747" s="67"/>
      <c r="R747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7" s="67"/>
      <c r="T747" s="67"/>
      <c r="U747" s="168" t="str">
        <f>IF(ISBLANK(Table123[[#This Row],[Odds Side - Difference Model]]), "",N747+IF(Q747&lt;0, (N747/(Q747/-100)), N747*(Q747/100)))</f>
      </c>
      <c r="V747" s="169" t="str">
        <f>IFERROR(IF(ISBLANK(Table123[[#This Row],[Odds Side - Win Probability Model]]), "",N747+IF(R747&lt;0, (N747/(R747/-100)), N747*(R747/100))),"")</f>
      </c>
      <c r="W747" s="168" t="str">
        <f t="shared" si="73"/>
      </c>
      <c r="X747" s="169" t="str">
        <f t="shared" si="74"/>
      </c>
      <c r="Y747" s="168" t="str">
        <f>IF(ISBLANK(Table123[[#This Row],[Odds Spread]]), "",O747+IF(S747&lt;0, (O747/(S747/-100)), O747*(S747/100)))</f>
      </c>
      <c r="Z747" s="168" t="str">
        <f t="shared" si="75"/>
      </c>
      <c r="AA747" s="68" t="n">
        <f t="shared" si="76"/>
        <v>0</v>
      </c>
      <c r="AB747" s="68" t="n">
        <f t="shared" si="77"/>
        <v>0</v>
      </c>
      <c r="AC747" s="170" t="e">
        <f>IF('Prediction Log'!#REF!="Y", "W", IF('Prediction Log'!#REF!="N","L",""))</f>
        <v>#REF!</v>
      </c>
      <c r="AD747" s="171" t="e">
        <f>IF('Prediction Log'!#REF!="Y", "W", IF('Prediction Log'!#REF!="N","L",""))</f>
        <v>#REF!</v>
      </c>
      <c r="AE747" s="172" t="str">
        <f>IF(ISBLANK(Table123[[#This Row],[Odds Side - Difference Model]]), "",IF(AC747="W", W747, IF(AC747="L",-N747, "")))</f>
      </c>
      <c r="AF747" s="173" t="str">
        <f>IFERROR((IF(ISERR(Table123[[#This Row],[Potential Payout Side - Win Probability Model]]), "",IF(AD747="W", X747, IF(AD747="L",-N747, "")))), "")</f>
      </c>
      <c r="AG747" s="170" t="e">
        <f>IF('Prediction Log'!#REF!="Y", "W", IF('Prediction Log'!#REF!="N", "L", ""))</f>
        <v>#REF!</v>
      </c>
      <c r="AH747" s="172" t="str">
        <f>IF(ISBLANK(Table123[[#This Row],[Odds Spread]]), "",IF(AG747="W", Z747, IF(AG747="L",-O747, "")))</f>
      </c>
      <c r="AI747" s="184"/>
      <c r="AJ747" s="183" t="str">
        <f t="shared" si="78"/>
      </c>
      <c r="AK747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7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8">
      <c r="A748" s="65" t="e">
        <f>Games!#REF!</f>
        <v>#REF!</v>
      </c>
      <c r="B748" s="65" t="e">
        <f>IF('Prediction Log'!#REF!=0, "",'Prediction Log'!#REF!)</f>
        <v>#REF!</v>
      </c>
      <c r="C748" s="65" t="e">
        <f>IF('Prediction Log'!#REF!=0, "",'Prediction Log'!#REF!)</f>
        <v>#REF!</v>
      </c>
      <c r="D748" s="65" t="e">
        <f>IF('Prediction Log'!#REF!=0, "",'Prediction Log'!#REF!)</f>
        <v>#REF!</v>
      </c>
      <c r="E748" s="65" t="e">
        <f>IF('Prediction Log'!#REF!=0, "",'Prediction Log'!#REF!)</f>
        <v>#REF!</v>
      </c>
      <c r="F748" s="65" t="e">
        <f>IF('Prediction Log'!#REF!=0, "",'Prediction Log'!#REF!)</f>
        <v>#REF!</v>
      </c>
      <c r="G748" s="64" t="e">
        <f>IF(ISBLANK(Games!#REF!), "",'Prediction Log'!#REF!)</f>
        <v>#REF!</v>
      </c>
      <c r="H748" s="66" t="e">
        <f>'Prediction Log'!#REF!</f>
        <v>#REF!</v>
      </c>
      <c r="I748" s="65" t="e">
        <f>IF(ISBLANK(Games!#REF!), "",IF(AND(Games!#REF!="",Games!#REF!=""),"",IF(ISTEXT(Games!#REF!), "Side",Games!#REF!)))</f>
        <v>#REF!</v>
      </c>
      <c r="J748" s="65" t="e">
        <f>IF(ISBLANK(Games!#REF!), "",IF(Games!#REF!="Y", Games!#REF!, Games!#REF!))</f>
        <v>#REF!</v>
      </c>
      <c r="K748" s="65" t="e">
        <f>Games!#REF!</f>
        <v>#REF!</v>
      </c>
      <c r="L748" s="65" t="e">
        <f>IF(ISBLANK(Games!#REF!), "",Games!#REF!)</f>
        <v>#REF!</v>
      </c>
      <c r="M748" s="65"/>
      <c r="N748" s="167" t="str">
        <f>IF(ISBLANK(Table123[[#This Row],[Odds Side - Difference Model]]), "", 1)</f>
      </c>
      <c r="O748" s="167" t="str">
        <f>IF(ISBLANK(Table123[[#This Row],[Odds Spread]]), "", 1)</f>
      </c>
      <c r="P748" s="67"/>
      <c r="Q748" s="67"/>
      <c r="R748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8" s="67"/>
      <c r="T748" s="67"/>
      <c r="U748" s="168" t="str">
        <f>IF(ISBLANK(Table123[[#This Row],[Odds Side - Difference Model]]), "",N748+IF(Q748&lt;0, (N748/(Q748/-100)), N748*(Q748/100)))</f>
      </c>
      <c r="V748" s="169" t="str">
        <f>IFERROR(IF(ISBLANK(Table123[[#This Row],[Odds Side - Win Probability Model]]), "",N748+IF(R748&lt;0, (N748/(R748/-100)), N748*(R748/100))),"")</f>
      </c>
      <c r="W748" s="168" t="str">
        <f t="shared" si="73"/>
      </c>
      <c r="X748" s="169" t="str">
        <f t="shared" si="74"/>
      </c>
      <c r="Y748" s="168" t="str">
        <f>IF(ISBLANK(Table123[[#This Row],[Odds Spread]]), "",O748+IF(S748&lt;0, (O748/(S748/-100)), O748*(S748/100)))</f>
      </c>
      <c r="Z748" s="168" t="str">
        <f t="shared" si="75"/>
      </c>
      <c r="AA748" s="68" t="n">
        <f t="shared" si="76"/>
        <v>0</v>
      </c>
      <c r="AB748" s="68" t="n">
        <f t="shared" si="77"/>
        <v>0</v>
      </c>
      <c r="AC748" s="170" t="e">
        <f>IF('Prediction Log'!#REF!="Y", "W", IF('Prediction Log'!#REF!="N","L",""))</f>
        <v>#REF!</v>
      </c>
      <c r="AD748" s="171" t="e">
        <f>IF('Prediction Log'!#REF!="Y", "W", IF('Prediction Log'!#REF!="N","L",""))</f>
        <v>#REF!</v>
      </c>
      <c r="AE748" s="172" t="str">
        <f>IF(ISBLANK(Table123[[#This Row],[Odds Side - Difference Model]]), "",IF(AC748="W", W748, IF(AC748="L",-N748, "")))</f>
      </c>
      <c r="AF748" s="173" t="str">
        <f>IFERROR((IF(ISERR(Table123[[#This Row],[Potential Payout Side - Win Probability Model]]), "",IF(AD748="W", X748, IF(AD748="L",-N748, "")))), "")</f>
      </c>
      <c r="AG748" s="170" t="e">
        <f>IF('Prediction Log'!#REF!="Y", "W", IF('Prediction Log'!#REF!="N", "L", ""))</f>
        <v>#REF!</v>
      </c>
      <c r="AH748" s="172" t="str">
        <f>IF(ISBLANK(Table123[[#This Row],[Odds Spread]]), "",IF(AG748="W", Z748, IF(AG748="L",-O748, "")))</f>
      </c>
      <c r="AI748" s="184"/>
      <c r="AJ748" s="183" t="str">
        <f t="shared" si="78"/>
      </c>
      <c r="AK748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8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9">
      <c r="A749" s="65" t="e">
        <f>Games!#REF!</f>
        <v>#REF!</v>
      </c>
      <c r="B749" s="65" t="e">
        <f>IF('Prediction Log'!#REF!=0, "",'Prediction Log'!#REF!)</f>
        <v>#REF!</v>
      </c>
      <c r="C749" s="65" t="e">
        <f>IF('Prediction Log'!#REF!=0, "",'Prediction Log'!#REF!)</f>
        <v>#REF!</v>
      </c>
      <c r="D749" s="65" t="e">
        <f>IF('Prediction Log'!#REF!=0, "",'Prediction Log'!#REF!)</f>
        <v>#REF!</v>
      </c>
      <c r="E749" s="65" t="e">
        <f>IF('Prediction Log'!#REF!=0, "",'Prediction Log'!#REF!)</f>
        <v>#REF!</v>
      </c>
      <c r="F749" s="65" t="e">
        <f>IF('Prediction Log'!#REF!=0, "",'Prediction Log'!#REF!)</f>
        <v>#REF!</v>
      </c>
      <c r="G749" s="64" t="e">
        <f>IF(ISBLANK(Games!#REF!), "",'Prediction Log'!#REF!)</f>
        <v>#REF!</v>
      </c>
      <c r="H749" s="66" t="e">
        <f>'Prediction Log'!#REF!</f>
        <v>#REF!</v>
      </c>
      <c r="I749" s="65" t="e">
        <f>IF(ISBLANK(Games!#REF!), "",IF(AND(Games!#REF!="",Games!#REF!=""),"",IF(ISTEXT(Games!#REF!), "Side",Games!#REF!)))</f>
        <v>#REF!</v>
      </c>
      <c r="J749" s="65" t="e">
        <f>IF(ISBLANK(Games!#REF!), "",IF(Games!#REF!="Y", Games!#REF!, Games!#REF!))</f>
        <v>#REF!</v>
      </c>
      <c r="K749" s="65" t="e">
        <f>Games!#REF!</f>
        <v>#REF!</v>
      </c>
      <c r="L749" s="65" t="e">
        <f>IF(ISBLANK(Games!#REF!), "",Games!#REF!)</f>
        <v>#REF!</v>
      </c>
      <c r="M749" s="65"/>
      <c r="N749" s="167" t="str">
        <f>IF(ISBLANK(Table123[[#This Row],[Odds Side - Difference Model]]), "", 1)</f>
      </c>
      <c r="O749" s="167" t="str">
        <f>IF(ISBLANK(Table123[[#This Row],[Odds Spread]]), "", 1)</f>
      </c>
      <c r="P749" s="67"/>
      <c r="Q749" s="67"/>
      <c r="R749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9" s="67"/>
      <c r="T749" s="67"/>
      <c r="U749" s="168" t="str">
        <f>IF(ISBLANK(Table123[[#This Row],[Odds Side - Difference Model]]), "",N749+IF(Q749&lt;0, (N749/(Q749/-100)), N749*(Q749/100)))</f>
      </c>
      <c r="V749" s="169" t="str">
        <f>IFERROR(IF(ISBLANK(Table123[[#This Row],[Odds Side - Win Probability Model]]), "",N749+IF(R749&lt;0, (N749/(R749/-100)), N749*(R749/100))),"")</f>
      </c>
      <c r="W749" s="168" t="str">
        <f t="shared" si="73"/>
      </c>
      <c r="X749" s="169" t="str">
        <f t="shared" si="74"/>
      </c>
      <c r="Y749" s="168" t="str">
        <f>IF(ISBLANK(Table123[[#This Row],[Odds Spread]]), "",O749+IF(S749&lt;0, (O749/(S749/-100)), O749*(S749/100)))</f>
      </c>
      <c r="Z749" s="168" t="str">
        <f t="shared" si="75"/>
      </c>
      <c r="AA749" s="68" t="n">
        <f t="shared" si="76"/>
        <v>0</v>
      </c>
      <c r="AB749" s="68" t="n">
        <f t="shared" si="77"/>
        <v>0</v>
      </c>
      <c r="AC749" s="170" t="e">
        <f>IF('Prediction Log'!#REF!="Y", "W", IF('Prediction Log'!#REF!="N","L",""))</f>
        <v>#REF!</v>
      </c>
      <c r="AD749" s="171" t="e">
        <f>IF('Prediction Log'!#REF!="Y", "W", IF('Prediction Log'!#REF!="N","L",""))</f>
        <v>#REF!</v>
      </c>
      <c r="AE749" s="172" t="str">
        <f>IF(ISBLANK(Table123[[#This Row],[Odds Side - Difference Model]]), "",IF(AC749="W", W749, IF(AC749="L",-N749, "")))</f>
      </c>
      <c r="AF749" s="173" t="str">
        <f>IFERROR((IF(ISERR(Table123[[#This Row],[Potential Payout Side - Win Probability Model]]), "",IF(AD749="W", X749, IF(AD749="L",-N749, "")))), "")</f>
      </c>
      <c r="AG749" s="170" t="e">
        <f>IF('Prediction Log'!#REF!="Y", "W", IF('Prediction Log'!#REF!="N", "L", ""))</f>
        <v>#REF!</v>
      </c>
      <c r="AH749" s="172" t="str">
        <f>IF(ISBLANK(Table123[[#This Row],[Odds Spread]]), "",IF(AG749="W", Z749, IF(AG749="L",-O749, "")))</f>
      </c>
      <c r="AI749" s="184"/>
      <c r="AJ749" s="183" t="str">
        <f t="shared" si="78"/>
      </c>
      <c r="AK749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9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0">
      <c r="A750" s="65" t="e">
        <f>Games!#REF!</f>
        <v>#REF!</v>
      </c>
      <c r="B750" s="65" t="e">
        <f>IF('Prediction Log'!#REF!=0, "",'Prediction Log'!#REF!)</f>
        <v>#REF!</v>
      </c>
      <c r="C750" s="65" t="e">
        <f>IF('Prediction Log'!#REF!=0, "",'Prediction Log'!#REF!)</f>
        <v>#REF!</v>
      </c>
      <c r="D750" s="65" t="e">
        <f>IF('Prediction Log'!#REF!=0, "",'Prediction Log'!#REF!)</f>
        <v>#REF!</v>
      </c>
      <c r="E750" s="65" t="e">
        <f>IF('Prediction Log'!#REF!=0, "",'Prediction Log'!#REF!)</f>
        <v>#REF!</v>
      </c>
      <c r="F750" s="65" t="e">
        <f>IF('Prediction Log'!#REF!=0, "",'Prediction Log'!#REF!)</f>
        <v>#REF!</v>
      </c>
      <c r="G750" s="64" t="e">
        <f>IF(ISBLANK(Games!#REF!), "",'Prediction Log'!#REF!)</f>
        <v>#REF!</v>
      </c>
      <c r="H750" s="66" t="e">
        <f>'Prediction Log'!#REF!</f>
        <v>#REF!</v>
      </c>
      <c r="I750" s="65" t="e">
        <f>IF(ISBLANK(Games!#REF!), "",IF(AND(Games!#REF!="",Games!#REF!=""),"",IF(ISTEXT(Games!#REF!), "Side",Games!#REF!)))</f>
        <v>#REF!</v>
      </c>
      <c r="J750" s="65" t="e">
        <f>IF(ISBLANK(Games!#REF!), "",IF(Games!#REF!="Y", Games!#REF!, Games!#REF!))</f>
        <v>#REF!</v>
      </c>
      <c r="K750" s="65" t="e">
        <f>Games!#REF!</f>
        <v>#REF!</v>
      </c>
      <c r="L750" s="65" t="e">
        <f>IF(ISBLANK(Games!#REF!), "",Games!#REF!)</f>
        <v>#REF!</v>
      </c>
      <c r="M750" s="65"/>
      <c r="N750" s="167" t="str">
        <f>IF(ISBLANK(Table123[[#This Row],[Odds Side - Difference Model]]), "", 1)</f>
      </c>
      <c r="O750" s="167" t="str">
        <f>IF(ISBLANK(Table123[[#This Row],[Odds Spread]]), "", 1)</f>
      </c>
      <c r="P750" s="67"/>
      <c r="Q750" s="67"/>
      <c r="R750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0" s="67"/>
      <c r="T750" s="67"/>
      <c r="U750" s="168" t="str">
        <f>IF(ISBLANK(Table123[[#This Row],[Odds Side - Difference Model]]), "",N750+IF(Q750&lt;0, (N750/(Q750/-100)), N750*(Q750/100)))</f>
      </c>
      <c r="V750" s="169" t="str">
        <f>IFERROR(IF(ISBLANK(Table123[[#This Row],[Odds Side - Win Probability Model]]), "",N750+IF(R750&lt;0, (N750/(R750/-100)), N750*(R750/100))),"")</f>
      </c>
      <c r="W750" s="168" t="str">
        <f t="shared" si="73"/>
      </c>
      <c r="X750" s="169" t="str">
        <f t="shared" si="74"/>
      </c>
      <c r="Y750" s="168" t="str">
        <f>IF(ISBLANK(Table123[[#This Row],[Odds Spread]]), "",O750+IF(S750&lt;0, (O750/(S750/-100)), O750*(S750/100)))</f>
      </c>
      <c r="Z750" s="168" t="str">
        <f t="shared" si="75"/>
      </c>
      <c r="AA750" s="68" t="n">
        <f t="shared" si="76"/>
        <v>0</v>
      </c>
      <c r="AB750" s="68" t="n">
        <f t="shared" si="77"/>
        <v>0</v>
      </c>
      <c r="AC750" s="170" t="e">
        <f>IF('Prediction Log'!#REF!="Y", "W", IF('Prediction Log'!#REF!="N","L",""))</f>
        <v>#REF!</v>
      </c>
      <c r="AD750" s="171" t="e">
        <f>IF('Prediction Log'!#REF!="Y", "W", IF('Prediction Log'!#REF!="N","L",""))</f>
        <v>#REF!</v>
      </c>
      <c r="AE750" s="172" t="str">
        <f>IF(ISBLANK(Table123[[#This Row],[Odds Side - Difference Model]]), "",IF(AC750="W", W750, IF(AC750="L",-N750, "")))</f>
      </c>
      <c r="AF750" s="173" t="str">
        <f>IFERROR((IF(ISERR(Table123[[#This Row],[Potential Payout Side - Win Probability Model]]), "",IF(AD750="W", X750, IF(AD750="L",-N750, "")))), "")</f>
      </c>
      <c r="AG750" s="170" t="e">
        <f>IF('Prediction Log'!#REF!="Y", "W", IF('Prediction Log'!#REF!="N", "L", ""))</f>
        <v>#REF!</v>
      </c>
      <c r="AH750" s="172" t="str">
        <f>IF(ISBLANK(Table123[[#This Row],[Odds Spread]]), "",IF(AG750="W", Z750, IF(AG750="L",-O750, "")))</f>
      </c>
      <c r="AI750" s="184"/>
      <c r="AJ750" s="183" t="str">
        <f t="shared" si="78"/>
      </c>
      <c r="AK750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0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1">
      <c r="A751" s="65" t="e">
        <f>Games!#REF!</f>
        <v>#REF!</v>
      </c>
      <c r="B751" s="65" t="e">
        <f>IF('Prediction Log'!#REF!=0, "",'Prediction Log'!#REF!)</f>
        <v>#REF!</v>
      </c>
      <c r="C751" s="65" t="e">
        <f>IF('Prediction Log'!#REF!=0, "",'Prediction Log'!#REF!)</f>
        <v>#REF!</v>
      </c>
      <c r="D751" s="65" t="e">
        <f>IF('Prediction Log'!#REF!=0, "",'Prediction Log'!#REF!)</f>
        <v>#REF!</v>
      </c>
      <c r="E751" s="65" t="e">
        <f>IF('Prediction Log'!#REF!=0, "",'Prediction Log'!#REF!)</f>
        <v>#REF!</v>
      </c>
      <c r="F751" s="65" t="e">
        <f>IF('Prediction Log'!#REF!=0, "",'Prediction Log'!#REF!)</f>
        <v>#REF!</v>
      </c>
      <c r="G751" s="64" t="e">
        <f>IF(ISBLANK(Games!#REF!), "",'Prediction Log'!#REF!)</f>
        <v>#REF!</v>
      </c>
      <c r="H751" s="66" t="e">
        <f>'Prediction Log'!#REF!</f>
        <v>#REF!</v>
      </c>
      <c r="I751" s="65" t="e">
        <f>IF(ISBLANK(Games!#REF!), "",IF(AND(Games!#REF!="",Games!#REF!=""),"",IF(ISTEXT(Games!#REF!), "Side",Games!#REF!)))</f>
        <v>#REF!</v>
      </c>
      <c r="J751" s="65" t="e">
        <f>IF(ISBLANK(Games!#REF!), "",IF(Games!#REF!="Y", Games!#REF!, Games!#REF!))</f>
        <v>#REF!</v>
      </c>
      <c r="K751" s="65" t="e">
        <f>Games!#REF!</f>
        <v>#REF!</v>
      </c>
      <c r="L751" s="65" t="e">
        <f>IF(ISBLANK(Games!#REF!), "",Games!#REF!)</f>
        <v>#REF!</v>
      </c>
      <c r="M751" s="65"/>
      <c r="N751" s="167" t="str">
        <f>IF(ISBLANK(Table123[[#This Row],[Odds Side - Difference Model]]), "", 1)</f>
      </c>
      <c r="O751" s="167" t="str">
        <f>IF(ISBLANK(Table123[[#This Row],[Odds Spread]]), "", 1)</f>
      </c>
      <c r="P751" s="67"/>
      <c r="Q751" s="67"/>
      <c r="R751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1" s="67"/>
      <c r="T751" s="67"/>
      <c r="U751" s="168" t="str">
        <f>IF(ISBLANK(Table123[[#This Row],[Odds Side - Difference Model]]), "",N751+IF(Q751&lt;0, (N751/(Q751/-100)), N751*(Q751/100)))</f>
      </c>
      <c r="V751" s="169" t="str">
        <f>IFERROR(IF(ISBLANK(Table123[[#This Row],[Odds Side - Win Probability Model]]), "",N751+IF(R751&lt;0, (N751/(R751/-100)), N751*(R751/100))),"")</f>
      </c>
      <c r="W751" s="168" t="str">
        <f t="shared" si="73"/>
      </c>
      <c r="X751" s="169" t="str">
        <f t="shared" si="74"/>
      </c>
      <c r="Y751" s="168" t="str">
        <f>IF(ISBLANK(Table123[[#This Row],[Odds Spread]]), "",O751+IF(S751&lt;0, (O751/(S751/-100)), O751*(S751/100)))</f>
      </c>
      <c r="Z751" s="168" t="str">
        <f t="shared" si="75"/>
      </c>
      <c r="AA751" s="68" t="n">
        <f t="shared" si="76"/>
        <v>0</v>
      </c>
      <c r="AB751" s="68" t="n">
        <f t="shared" si="77"/>
        <v>0</v>
      </c>
      <c r="AC751" s="170" t="e">
        <f>IF('Prediction Log'!#REF!="Y", "W", IF('Prediction Log'!#REF!="N","L",""))</f>
        <v>#REF!</v>
      </c>
      <c r="AD751" s="171" t="e">
        <f>IF('Prediction Log'!#REF!="Y", "W", IF('Prediction Log'!#REF!="N","L",""))</f>
        <v>#REF!</v>
      </c>
      <c r="AE751" s="172" t="str">
        <f>IF(ISBLANK(Table123[[#This Row],[Odds Side - Difference Model]]), "",IF(AC751="W", W751, IF(AC751="L",-N751, "")))</f>
      </c>
      <c r="AF751" s="173" t="str">
        <f>IFERROR((IF(ISERR(Table123[[#This Row],[Potential Payout Side - Win Probability Model]]), "",IF(AD751="W", X751, IF(AD751="L",-N751, "")))), "")</f>
      </c>
      <c r="AG751" s="170" t="e">
        <f>IF('Prediction Log'!#REF!="Y", "W", IF('Prediction Log'!#REF!="N", "L", ""))</f>
        <v>#REF!</v>
      </c>
      <c r="AH751" s="172" t="str">
        <f>IF(ISBLANK(Table123[[#This Row],[Odds Spread]]), "",IF(AG751="W", Z751, IF(AG751="L",-O751, "")))</f>
      </c>
      <c r="AI751" s="184"/>
      <c r="AJ751" s="183" t="str">
        <f t="shared" si="78"/>
      </c>
      <c r="AK751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1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2">
      <c r="A752" s="65" t="e">
        <f>Games!#REF!</f>
        <v>#REF!</v>
      </c>
      <c r="B752" s="65" t="e">
        <f>IF('Prediction Log'!#REF!=0, "",'Prediction Log'!#REF!)</f>
        <v>#REF!</v>
      </c>
      <c r="C752" s="65" t="e">
        <f>IF('Prediction Log'!#REF!=0, "",'Prediction Log'!#REF!)</f>
        <v>#REF!</v>
      </c>
      <c r="D752" s="65" t="e">
        <f>IF('Prediction Log'!#REF!=0, "",'Prediction Log'!#REF!)</f>
        <v>#REF!</v>
      </c>
      <c r="E752" s="65" t="e">
        <f>IF('Prediction Log'!#REF!=0, "",'Prediction Log'!#REF!)</f>
        <v>#REF!</v>
      </c>
      <c r="F752" s="65" t="e">
        <f>IF('Prediction Log'!#REF!=0, "",'Prediction Log'!#REF!)</f>
        <v>#REF!</v>
      </c>
      <c r="G752" s="64" t="e">
        <f>IF(ISBLANK(Games!#REF!), "",'Prediction Log'!#REF!)</f>
        <v>#REF!</v>
      </c>
      <c r="H752" s="66" t="e">
        <f>'Prediction Log'!#REF!</f>
        <v>#REF!</v>
      </c>
      <c r="I752" s="65" t="e">
        <f>IF(ISBLANK(Games!#REF!), "",IF(AND(Games!#REF!="",Games!#REF!=""),"",IF(ISTEXT(Games!#REF!), "Side",Games!#REF!)))</f>
        <v>#REF!</v>
      </c>
      <c r="J752" s="65" t="e">
        <f>IF(ISBLANK(Games!#REF!), "",IF(Games!#REF!="Y", Games!#REF!, Games!#REF!))</f>
        <v>#REF!</v>
      </c>
      <c r="K752" s="65" t="e">
        <f>Games!#REF!</f>
        <v>#REF!</v>
      </c>
      <c r="L752" s="65" t="e">
        <f>IF(ISBLANK(Games!#REF!), "",Games!#REF!)</f>
        <v>#REF!</v>
      </c>
      <c r="M752" s="65"/>
      <c r="N752" s="167" t="str">
        <f>IF(ISBLANK(Table123[[#This Row],[Odds Side - Difference Model]]), "", 1)</f>
      </c>
      <c r="O752" s="167" t="str">
        <f>IF(ISBLANK(Table123[[#This Row],[Odds Spread]]), "", 1)</f>
      </c>
      <c r="P752" s="67"/>
      <c r="Q752" s="67"/>
      <c r="R752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2" s="67"/>
      <c r="T752" s="67"/>
      <c r="U752" s="168" t="str">
        <f>IF(ISBLANK(Table123[[#This Row],[Odds Side - Difference Model]]), "",N752+IF(Q752&lt;0, (N752/(Q752/-100)), N752*(Q752/100)))</f>
      </c>
      <c r="V752" s="169" t="str">
        <f>IFERROR(IF(ISBLANK(Table123[[#This Row],[Odds Side - Win Probability Model]]), "",N752+IF(R752&lt;0, (N752/(R752/-100)), N752*(R752/100))),"")</f>
      </c>
      <c r="W752" s="168" t="str">
        <f t="shared" si="73"/>
      </c>
      <c r="X752" s="169" t="str">
        <f t="shared" si="74"/>
      </c>
      <c r="Y752" s="168" t="str">
        <f>IF(ISBLANK(Table123[[#This Row],[Odds Spread]]), "",O752+IF(S752&lt;0, (O752/(S752/-100)), O752*(S752/100)))</f>
      </c>
      <c r="Z752" s="168" t="str">
        <f t="shared" si="75"/>
      </c>
      <c r="AA752" s="68" t="n">
        <f t="shared" si="76"/>
        <v>0</v>
      </c>
      <c r="AB752" s="68" t="n">
        <f t="shared" si="77"/>
        <v>0</v>
      </c>
      <c r="AC752" s="170" t="e">
        <f>IF('Prediction Log'!#REF!="Y", "W", IF('Prediction Log'!#REF!="N","L",""))</f>
        <v>#REF!</v>
      </c>
      <c r="AD752" s="171" t="e">
        <f>IF('Prediction Log'!#REF!="Y", "W", IF('Prediction Log'!#REF!="N","L",""))</f>
        <v>#REF!</v>
      </c>
      <c r="AE752" s="172" t="str">
        <f>IF(ISBLANK(Table123[[#This Row],[Odds Side - Difference Model]]), "",IF(AC752="W", W752, IF(AC752="L",-N752, "")))</f>
      </c>
      <c r="AF752" s="173" t="str">
        <f>IFERROR((IF(ISERR(Table123[[#This Row],[Potential Payout Side - Win Probability Model]]), "",IF(AD752="W", X752, IF(AD752="L",-N752, "")))), "")</f>
      </c>
      <c r="AG752" s="170" t="e">
        <f>IF('Prediction Log'!#REF!="Y", "W", IF('Prediction Log'!#REF!="N", "L", ""))</f>
        <v>#REF!</v>
      </c>
      <c r="AH752" s="172" t="str">
        <f>IF(ISBLANK(Table123[[#This Row],[Odds Spread]]), "",IF(AG752="W", Z752, IF(AG752="L",-O752, "")))</f>
      </c>
      <c r="AI752" s="184"/>
      <c r="AJ752" s="183" t="str">
        <f t="shared" si="78"/>
      </c>
      <c r="AK752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2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3">
      <c r="A753" s="65" t="e">
        <f>Games!#REF!</f>
        <v>#REF!</v>
      </c>
      <c r="B753" s="65" t="e">
        <f>IF('Prediction Log'!#REF!=0, "",'Prediction Log'!#REF!)</f>
        <v>#REF!</v>
      </c>
      <c r="C753" s="65" t="e">
        <f>IF('Prediction Log'!#REF!=0, "",'Prediction Log'!#REF!)</f>
        <v>#REF!</v>
      </c>
      <c r="D753" s="65" t="e">
        <f>IF('Prediction Log'!#REF!=0, "",'Prediction Log'!#REF!)</f>
        <v>#REF!</v>
      </c>
      <c r="E753" s="65" t="e">
        <f>IF('Prediction Log'!#REF!=0, "",'Prediction Log'!#REF!)</f>
        <v>#REF!</v>
      </c>
      <c r="F753" s="65" t="e">
        <f>IF('Prediction Log'!#REF!=0, "",'Prediction Log'!#REF!)</f>
        <v>#REF!</v>
      </c>
      <c r="G753" s="64" t="e">
        <f>IF(ISBLANK(Games!#REF!), "",'Prediction Log'!#REF!)</f>
        <v>#REF!</v>
      </c>
      <c r="H753" s="66" t="e">
        <f>'Prediction Log'!#REF!</f>
        <v>#REF!</v>
      </c>
      <c r="I753" s="65" t="e">
        <f>IF(ISBLANK(Games!#REF!), "",IF(AND(Games!#REF!="",Games!#REF!=""),"",IF(ISTEXT(Games!#REF!), "Side",Games!#REF!)))</f>
        <v>#REF!</v>
      </c>
      <c r="J753" s="65" t="e">
        <f>IF(ISBLANK(Games!#REF!), "",IF(Games!#REF!="Y", Games!#REF!, Games!#REF!))</f>
        <v>#REF!</v>
      </c>
      <c r="K753" s="65" t="e">
        <f>Games!#REF!</f>
        <v>#REF!</v>
      </c>
      <c r="L753" s="65" t="e">
        <f>IF(ISBLANK(Games!#REF!), "",Games!#REF!)</f>
        <v>#REF!</v>
      </c>
      <c r="M753" s="65"/>
      <c r="N753" s="167" t="str">
        <f>IF(ISBLANK(Table123[[#This Row],[Odds Side - Difference Model]]), "", 1)</f>
      </c>
      <c r="O753" s="167" t="str">
        <f>IF(ISBLANK(Table123[[#This Row],[Odds Spread]]), "", 1)</f>
      </c>
      <c r="P753" s="67"/>
      <c r="Q753" s="67"/>
      <c r="R753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3" s="67"/>
      <c r="T753" s="67"/>
      <c r="U753" s="168" t="str">
        <f>IF(ISBLANK(Table123[[#This Row],[Odds Side - Difference Model]]), "",N753+IF(Q753&lt;0, (N753/(Q753/-100)), N753*(Q753/100)))</f>
      </c>
      <c r="V753" s="169" t="str">
        <f>IFERROR(IF(ISBLANK(Table123[[#This Row],[Odds Side - Win Probability Model]]), "",N753+IF(R753&lt;0, (N753/(R753/-100)), N753*(R753/100))),"")</f>
      </c>
      <c r="W753" s="168" t="str">
        <f t="shared" si="73"/>
      </c>
      <c r="X753" s="169" t="str">
        <f t="shared" si="74"/>
      </c>
      <c r="Y753" s="168" t="str">
        <f>IF(ISBLANK(Table123[[#This Row],[Odds Spread]]), "",O753+IF(S753&lt;0, (O753/(S753/-100)), O753*(S753/100)))</f>
      </c>
      <c r="Z753" s="168" t="str">
        <f t="shared" si="75"/>
      </c>
      <c r="AA753" s="68" t="n">
        <f t="shared" si="76"/>
        <v>0</v>
      </c>
      <c r="AB753" s="68" t="n">
        <f t="shared" si="77"/>
        <v>0</v>
      </c>
      <c r="AC753" s="170" t="e">
        <f>IF('Prediction Log'!#REF!="Y", "W", IF('Prediction Log'!#REF!="N","L",""))</f>
        <v>#REF!</v>
      </c>
      <c r="AD753" s="171" t="e">
        <f>IF('Prediction Log'!#REF!="Y", "W", IF('Prediction Log'!#REF!="N","L",""))</f>
        <v>#REF!</v>
      </c>
      <c r="AE753" s="172" t="str">
        <f>IF(ISBLANK(Table123[[#This Row],[Odds Side - Difference Model]]), "",IF(AC753="W", W753, IF(AC753="L",-N753, "")))</f>
      </c>
      <c r="AF753" s="173" t="str">
        <f>IFERROR((IF(ISERR(Table123[[#This Row],[Potential Payout Side - Win Probability Model]]), "",IF(AD753="W", X753, IF(AD753="L",-N753, "")))), "")</f>
      </c>
      <c r="AG753" s="170" t="e">
        <f>IF('Prediction Log'!#REF!="Y", "W", IF('Prediction Log'!#REF!="N", "L", ""))</f>
        <v>#REF!</v>
      </c>
      <c r="AH753" s="172" t="str">
        <f>IF(ISBLANK(Table123[[#This Row],[Odds Spread]]), "",IF(AG753="W", Z753, IF(AG753="L",-O753, "")))</f>
      </c>
      <c r="AI753" s="184"/>
      <c r="AJ753" s="183" t="str">
        <f t="shared" si="78"/>
      </c>
      <c r="AK753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3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4">
      <c r="A754" s="65" t="e">
        <f>Games!#REF!</f>
        <v>#REF!</v>
      </c>
      <c r="B754" s="65" t="e">
        <f>IF('Prediction Log'!#REF!=0, "",'Prediction Log'!#REF!)</f>
        <v>#REF!</v>
      </c>
      <c r="C754" s="65" t="e">
        <f>IF('Prediction Log'!#REF!=0, "",'Prediction Log'!#REF!)</f>
        <v>#REF!</v>
      </c>
      <c r="D754" s="65" t="e">
        <f>IF('Prediction Log'!#REF!=0, "",'Prediction Log'!#REF!)</f>
        <v>#REF!</v>
      </c>
      <c r="E754" s="65" t="e">
        <f>IF('Prediction Log'!#REF!=0, "",'Prediction Log'!#REF!)</f>
        <v>#REF!</v>
      </c>
      <c r="F754" s="65" t="e">
        <f>IF('Prediction Log'!#REF!=0, "",'Prediction Log'!#REF!)</f>
        <v>#REF!</v>
      </c>
      <c r="G754" s="64" t="e">
        <f>IF(ISBLANK(Games!#REF!), "",'Prediction Log'!#REF!)</f>
        <v>#REF!</v>
      </c>
      <c r="H754" s="66" t="e">
        <f>'Prediction Log'!#REF!</f>
        <v>#REF!</v>
      </c>
      <c r="I754" s="65" t="e">
        <f>IF(ISBLANK(Games!#REF!), "",IF(AND(Games!#REF!="",Games!#REF!=""),"",IF(ISTEXT(Games!#REF!), "Side",Games!#REF!)))</f>
        <v>#REF!</v>
      </c>
      <c r="J754" s="65" t="e">
        <f>IF(ISBLANK(Games!#REF!), "",IF(Games!#REF!="Y", Games!#REF!, Games!#REF!))</f>
        <v>#REF!</v>
      </c>
      <c r="K754" s="65" t="e">
        <f>Games!#REF!</f>
        <v>#REF!</v>
      </c>
      <c r="L754" s="65" t="e">
        <f>IF(ISBLANK(Games!#REF!), "",Games!#REF!)</f>
        <v>#REF!</v>
      </c>
      <c r="M754" s="65"/>
      <c r="N754" s="167" t="str">
        <f>IF(ISBLANK(Table123[[#This Row],[Odds Side - Difference Model]]), "", 1)</f>
      </c>
      <c r="O754" s="167" t="str">
        <f>IF(ISBLANK(Table123[[#This Row],[Odds Spread]]), "", 1)</f>
      </c>
      <c r="P754" s="67"/>
      <c r="Q754" s="67"/>
      <c r="R754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4" s="67"/>
      <c r="T754" s="67"/>
      <c r="U754" s="168" t="str">
        <f>IF(ISBLANK(Table123[[#This Row],[Odds Side - Difference Model]]), "",N754+IF(Q754&lt;0, (N754/(Q754/-100)), N754*(Q754/100)))</f>
      </c>
      <c r="V754" s="169" t="str">
        <f>IFERROR(IF(ISBLANK(Table123[[#This Row],[Odds Side - Win Probability Model]]), "",N754+IF(R754&lt;0, (N754/(R754/-100)), N754*(R754/100))),"")</f>
      </c>
      <c r="W754" s="168" t="str">
        <f t="shared" si="73"/>
      </c>
      <c r="X754" s="169" t="str">
        <f t="shared" si="74"/>
      </c>
      <c r="Y754" s="168" t="str">
        <f>IF(ISBLANK(Table123[[#This Row],[Odds Spread]]), "",O754+IF(S754&lt;0, (O754/(S754/-100)), O754*(S754/100)))</f>
      </c>
      <c r="Z754" s="168" t="str">
        <f t="shared" si="75"/>
      </c>
      <c r="AA754" s="68" t="n">
        <f t="shared" si="76"/>
        <v>0</v>
      </c>
      <c r="AB754" s="68" t="n">
        <f t="shared" si="77"/>
        <v>0</v>
      </c>
      <c r="AC754" s="170" t="e">
        <f>IF('Prediction Log'!#REF!="Y", "W", IF('Prediction Log'!#REF!="N","L",""))</f>
        <v>#REF!</v>
      </c>
      <c r="AD754" s="171" t="e">
        <f>IF('Prediction Log'!#REF!="Y", "W", IF('Prediction Log'!#REF!="N","L",""))</f>
        <v>#REF!</v>
      </c>
      <c r="AE754" s="172" t="str">
        <f>IF(ISBLANK(Table123[[#This Row],[Odds Side - Difference Model]]), "",IF(AC754="W", W754, IF(AC754="L",-N754, "")))</f>
      </c>
      <c r="AF754" s="173" t="str">
        <f>IFERROR((IF(ISERR(Table123[[#This Row],[Potential Payout Side - Win Probability Model]]), "",IF(AD754="W", X754, IF(AD754="L",-N754, "")))), "")</f>
      </c>
      <c r="AG754" s="170" t="e">
        <f>IF('Prediction Log'!#REF!="Y", "W", IF('Prediction Log'!#REF!="N", "L", ""))</f>
        <v>#REF!</v>
      </c>
      <c r="AH754" s="172" t="str">
        <f>IF(ISBLANK(Table123[[#This Row],[Odds Spread]]), "",IF(AG754="W", Z754, IF(AG754="L",-O754, "")))</f>
      </c>
      <c r="AI754" s="184"/>
      <c r="AJ754" s="183" t="str">
        <f t="shared" si="78"/>
      </c>
      <c r="AK754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4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5">
      <c r="A755" s="65" t="e">
        <f>Games!#REF!</f>
        <v>#REF!</v>
      </c>
      <c r="B755" s="65" t="e">
        <f>IF('Prediction Log'!#REF!=0, "",'Prediction Log'!#REF!)</f>
        <v>#REF!</v>
      </c>
      <c r="C755" s="65" t="e">
        <f>IF('Prediction Log'!#REF!=0, "",'Prediction Log'!#REF!)</f>
        <v>#REF!</v>
      </c>
      <c r="D755" s="65" t="e">
        <f>IF('Prediction Log'!#REF!=0, "",'Prediction Log'!#REF!)</f>
        <v>#REF!</v>
      </c>
      <c r="E755" s="65" t="e">
        <f>IF('Prediction Log'!#REF!=0, "",'Prediction Log'!#REF!)</f>
        <v>#REF!</v>
      </c>
      <c r="F755" s="65" t="e">
        <f>IF('Prediction Log'!#REF!=0, "",'Prediction Log'!#REF!)</f>
        <v>#REF!</v>
      </c>
      <c r="G755" s="64" t="e">
        <f>IF(ISBLANK(Games!#REF!), "",'Prediction Log'!#REF!)</f>
        <v>#REF!</v>
      </c>
      <c r="H755" s="66" t="e">
        <f>'Prediction Log'!#REF!</f>
        <v>#REF!</v>
      </c>
      <c r="I755" s="65" t="e">
        <f>IF(ISBLANK(Games!#REF!), "",IF(AND(Games!#REF!="",Games!#REF!=""),"",IF(ISTEXT(Games!#REF!), "Side",Games!#REF!)))</f>
        <v>#REF!</v>
      </c>
      <c r="J755" s="65" t="e">
        <f>IF(ISBLANK(Games!#REF!), "",IF(Games!#REF!="Y", Games!#REF!, Games!#REF!))</f>
        <v>#REF!</v>
      </c>
      <c r="K755" s="65" t="e">
        <f>Games!#REF!</f>
        <v>#REF!</v>
      </c>
      <c r="L755" s="65" t="e">
        <f>IF(ISBLANK(Games!#REF!), "",Games!#REF!)</f>
        <v>#REF!</v>
      </c>
      <c r="M755" s="65"/>
      <c r="N755" s="167" t="str">
        <f>IF(ISBLANK(Table123[[#This Row],[Odds Side - Difference Model]]), "", 1)</f>
      </c>
      <c r="O755" s="167" t="str">
        <f>IF(ISBLANK(Table123[[#This Row],[Odds Spread]]), "", 1)</f>
      </c>
      <c r="P755" s="67"/>
      <c r="Q755" s="67"/>
      <c r="R755" s="67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5" s="67"/>
      <c r="T755" s="67"/>
      <c r="U755" s="168" t="str">
        <f>IF(ISBLANK(Table123[[#This Row],[Odds Side - Difference Model]]), "",N755+IF(Q755&lt;0, (N755/(Q755/-100)), N755*(Q755/100)))</f>
      </c>
      <c r="V755" s="169" t="str">
        <f>IFERROR(IF(ISBLANK(Table123[[#This Row],[Odds Side - Win Probability Model]]), "",N755+IF(R755&lt;0, (N755/(R755/-100)), N755*(R755/100))),"")</f>
      </c>
      <c r="W755" s="168" t="str">
        <f t="shared" si="73"/>
      </c>
      <c r="X755" s="169" t="str">
        <f t="shared" si="74"/>
      </c>
      <c r="Y755" s="168" t="str">
        <f>IF(ISBLANK(Table123[[#This Row],[Odds Spread]]), "",O755+IF(S755&lt;0, (O755/(S755/-100)), O755*(S755/100)))</f>
      </c>
      <c r="Z755" s="168" t="str">
        <f t="shared" si="75"/>
      </c>
      <c r="AA755" s="68" t="n">
        <f t="shared" si="76"/>
        <v>0</v>
      </c>
      <c r="AB755" s="68" t="n">
        <f t="shared" si="77"/>
        <v>0</v>
      </c>
      <c r="AC755" s="170" t="e">
        <f>IF('Prediction Log'!#REF!="Y", "W", IF('Prediction Log'!#REF!="N","L",""))</f>
        <v>#REF!</v>
      </c>
      <c r="AD755" s="171" t="e">
        <f>IF('Prediction Log'!#REF!="Y", "W", IF('Prediction Log'!#REF!="N","L",""))</f>
        <v>#REF!</v>
      </c>
      <c r="AE755" s="172" t="str">
        <f>IF(ISBLANK(Table123[[#This Row],[Odds Side - Difference Model]]), "",IF(AC755="W", W755, IF(AC755="L",-N755, "")))</f>
      </c>
      <c r="AF755" s="173" t="str">
        <f>IFERROR((IF(ISERR(Table123[[#This Row],[Potential Payout Side - Win Probability Model]]), "",IF(AD755="W", X755, IF(AD755="L",-N755, "")))), "")</f>
      </c>
      <c r="AG755" s="170" t="e">
        <f>IF('Prediction Log'!#REF!="Y", "W", IF('Prediction Log'!#REF!="N", "L", ""))</f>
        <v>#REF!</v>
      </c>
      <c r="AH755" s="172" t="str">
        <f>IF(ISBLANK(Table123[[#This Row],[Odds Spread]]), "",IF(AG755="W", Z755, IF(AG755="L",-O755, "")))</f>
      </c>
      <c r="AI755" s="184"/>
      <c r="AJ755" s="183" t="str">
        <f t="shared" si="78"/>
      </c>
      <c r="AK755" s="185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5" s="166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</sheetData>
  <mergeCells count="6">
    <mergeCell ref="AN1:AQ1"/>
    <mergeCell ref="AN5:AQ5"/>
    <mergeCell ref="AN9:AQ9"/>
    <mergeCell ref="AS1:AV1"/>
    <mergeCell ref="AS5:AV5"/>
    <mergeCell ref="AS9:AV9"/>
  </mergeCells>
  <dataValidations count="1">
    <dataValidation type="list" allowBlank="1" showInputMessage="1" showErrorMessage="1" sqref="AC2:AD755 AG2:AG755" xr:uid="{846EEB47-57C7-4AE0-B88F-D96DE791C19E}">
      <formula1>$AN$2:$AO$2</formula1>
    </dataValidation>
  </dataValidations>
  <pageMargins left="0.7" right="0.7" top="0.75" bottom="0.75" header="0.3" footer="0.3"/>
  <pageSetup paperSize="9" orientation="portrait" horizontalDpi="300" verticalDpi="300"/>
  <tableParts count="1"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15BDAEF-C1E0-46B2-BFAA-D9060973B1BB}">
            <xm:f>Games!$L2&lt;0.5</xm:f>
            <x14:dxf>
              <fill>
                <patternFill>
                  <bgColor theme="5" tint="0.59996337778862885"/>
                </patternFill>
              </fill>
            </x14:dxf>
          </x14:cfRule>
          <xm:sqref>R2:R383</xm:sqref>
        </x14:conditionalFormatting>
        <x14:conditionalFormatting xmlns:xm="http://schemas.microsoft.com/office/excel/2006/main">
          <x14:cfRule type="expression" priority="28" id="{A15BDAEF-C1E0-46B2-BFAA-D9060973B1BB}">
            <xm:f>Games!#REF!&lt;0.5</xm:f>
            <x14:dxf>
              <fill>
                <patternFill>
                  <bgColor theme="5" tint="0.59996337778862885"/>
                </patternFill>
              </fill>
            </x14:dxf>
          </x14:cfRule>
          <xm:sqref>R384:R755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/>
  </sheetPr>
  <dimension ref="A1"/>
  <sheetViews>
    <sheetView workbookViewId="0"/>
  </sheetViews>
  <sheetFormatPr defaultRowHeight="15.0" baseColWidth="10"/>
  <cols>
    <col min="2" max="2" width="9.06640625" hidden="0" customWidth="1"/>
    <col min="3" max="3" width="9.06640625" hidden="0" customWidth="1"/>
    <col min="4" max="4" width="9.06640625" hidden="0" customWidth="1"/>
    <col min="5" max="5" width="9.06640625" hidden="0" customWidth="1"/>
    <col min="6" max="6" width="9.06640625" hidden="0" customWidth="1"/>
    <col min="7" max="7" width="9.06640625" hidden="0" customWidth="1"/>
  </cols>
  <sheetData>
    <row r="1">
      <c r="A1" t="s">
        <v>268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s">
        <v>193</v>
      </c>
      <c r="F2" t="s">
        <v>79</v>
      </c>
    </row>
    <row r="3">
      <c r="A3" t="s">
        <v>243</v>
      </c>
    </row>
    <row r="4">
      <c r="A4" t="s">
        <v>113</v>
      </c>
      <c r="F4" t="s">
        <v>79</v>
      </c>
    </row>
    <row r="5">
      <c r="A5" t="s">
        <v>137</v>
      </c>
    </row>
    <row r="6">
      <c r="A6" t="s">
        <v>130</v>
      </c>
      <c r="F6" t="s">
        <v>79</v>
      </c>
    </row>
    <row r="7">
      <c r="A7" t="s">
        <v>217</v>
      </c>
      <c r="G7" t="s">
        <v>79</v>
      </c>
    </row>
    <row r="8">
      <c r="A8" t="s">
        <v>182</v>
      </c>
    </row>
    <row r="9">
      <c r="A9" t="s">
        <v>191</v>
      </c>
      <c r="G9" t="s">
        <v>79</v>
      </c>
    </row>
    <row r="10">
      <c r="A10" t="s">
        <v>224</v>
      </c>
      <c r="E10" t="s">
        <v>79</v>
      </c>
    </row>
    <row r="11">
      <c r="A11" t="s">
        <v>152</v>
      </c>
    </row>
    <row r="12">
      <c r="A12" t="s">
        <v>233</v>
      </c>
      <c r="C12" t="s">
        <v>79</v>
      </c>
    </row>
    <row r="13">
      <c r="A13" t="s">
        <v>197</v>
      </c>
    </row>
    <row r="14">
      <c r="A14" t="s">
        <v>148</v>
      </c>
      <c r="E14" t="s">
        <v>79</v>
      </c>
    </row>
    <row r="15">
      <c r="A15" t="s">
        <v>188</v>
      </c>
    </row>
    <row r="16">
      <c r="A16" t="s">
        <v>194</v>
      </c>
      <c r="E16" t="s">
        <v>79</v>
      </c>
    </row>
    <row r="17">
      <c r="A17" t="s">
        <v>236</v>
      </c>
      <c r="H17" t="s">
        <v>79</v>
      </c>
    </row>
    <row r="18">
      <c r="A18" t="s">
        <v>202</v>
      </c>
      <c r="H18" t="s">
        <v>79</v>
      </c>
    </row>
    <row r="19">
      <c r="A19" t="s">
        <v>175</v>
      </c>
      <c r="G19" t="s">
        <v>79</v>
      </c>
    </row>
    <row r="20">
      <c r="A20" t="s">
        <v>230</v>
      </c>
      <c r="H20" t="s">
        <v>79</v>
      </c>
    </row>
    <row r="21">
      <c r="A21" t="s">
        <v>241</v>
      </c>
    </row>
    <row r="22">
      <c r="A22" t="s">
        <v>208</v>
      </c>
      <c r="H22" t="s">
        <v>79</v>
      </c>
    </row>
    <row r="23">
      <c r="A23" t="s">
        <v>128</v>
      </c>
      <c r="E23" t="s">
        <v>79</v>
      </c>
    </row>
    <row r="24">
      <c r="A24" t="s">
        <v>198</v>
      </c>
      <c r="G24" t="s">
        <v>79</v>
      </c>
    </row>
    <row r="25">
      <c r="A25" t="s">
        <v>205</v>
      </c>
      <c r="H25" t="s">
        <v>79</v>
      </c>
    </row>
    <row r="26">
      <c r="A26" t="s">
        <v>207</v>
      </c>
      <c r="G26" t="s">
        <v>79</v>
      </c>
    </row>
    <row r="27">
      <c r="A27" t="s">
        <v>244</v>
      </c>
    </row>
    <row r="28">
      <c r="A28" t="s">
        <v>157</v>
      </c>
    </row>
    <row r="29">
      <c r="A29" t="s">
        <v>223</v>
      </c>
    </row>
    <row r="30">
      <c r="A30" t="s">
        <v>240</v>
      </c>
      <c r="H30" t="s">
        <v>79</v>
      </c>
    </row>
    <row r="31">
      <c r="A31" t="s">
        <v>143</v>
      </c>
      <c r="G31" t="s">
        <v>79</v>
      </c>
    </row>
    <row r="32">
      <c r="A32" t="s">
        <v>226</v>
      </c>
      <c r="H32" t="s">
        <v>79</v>
      </c>
    </row>
    <row r="33">
      <c r="A33" t="s">
        <v>246</v>
      </c>
      <c r="H33" t="s">
        <v>79</v>
      </c>
    </row>
    <row r="34">
      <c r="A34" t="s">
        <v>132</v>
      </c>
      <c r="D34" t="s">
        <v>79</v>
      </c>
    </row>
    <row r="35">
      <c r="A35" t="s">
        <v>165</v>
      </c>
      <c r="H35" t="s">
        <v>79</v>
      </c>
    </row>
    <row r="36">
      <c r="A36" t="s">
        <v>108</v>
      </c>
      <c r="F36" t="s">
        <v>79</v>
      </c>
    </row>
    <row r="37">
      <c r="A37" t="s">
        <v>209</v>
      </c>
      <c r="H37" t="s">
        <v>79</v>
      </c>
    </row>
    <row r="38">
      <c r="A38" t="s">
        <v>216</v>
      </c>
      <c r="F38" t="s">
        <v>79</v>
      </c>
      <c r="H38" t="s">
        <v>79</v>
      </c>
    </row>
    <row r="39">
      <c r="A39" t="s">
        <v>161</v>
      </c>
      <c r="G39" t="s">
        <v>79</v>
      </c>
    </row>
    <row r="40">
      <c r="A40" t="s">
        <v>228</v>
      </c>
      <c r="D40" t="s">
        <v>79</v>
      </c>
      <c r="G40" t="s">
        <v>79</v>
      </c>
    </row>
    <row r="41">
      <c r="A41" t="s">
        <v>186</v>
      </c>
    </row>
    <row r="42">
      <c r="A42" t="s">
        <v>178</v>
      </c>
      <c r="H42" t="s">
        <v>79</v>
      </c>
    </row>
    <row r="43">
      <c r="A43" t="s">
        <v>210</v>
      </c>
    </row>
    <row r="44">
      <c r="A44" t="s">
        <v>177</v>
      </c>
      <c r="G44" t="s">
        <v>79</v>
      </c>
    </row>
    <row r="45">
      <c r="A45" t="s">
        <v>133</v>
      </c>
      <c r="E45" t="s">
        <v>79</v>
      </c>
    </row>
    <row r="46">
      <c r="A46" t="s">
        <v>190</v>
      </c>
      <c r="G46" t="s">
        <v>79</v>
      </c>
    </row>
    <row r="47">
      <c r="A47" t="s">
        <v>167</v>
      </c>
      <c r="E47" t="s">
        <v>79</v>
      </c>
    </row>
    <row r="48">
      <c r="A48" t="s">
        <v>131</v>
      </c>
    </row>
    <row r="49">
      <c r="A49" t="s">
        <v>125</v>
      </c>
      <c r="H49" t="s">
        <v>79</v>
      </c>
    </row>
    <row r="50">
      <c r="A50" t="s">
        <v>251</v>
      </c>
      <c r="F50" t="s">
        <v>79</v>
      </c>
    </row>
    <row r="51">
      <c r="A51" t="s">
        <v>248</v>
      </c>
      <c r="H51" t="s">
        <v>79</v>
      </c>
    </row>
    <row r="52">
      <c r="A52" t="s">
        <v>159</v>
      </c>
      <c r="H52" t="s">
        <v>79</v>
      </c>
    </row>
    <row r="53">
      <c r="A53" t="s">
        <v>140</v>
      </c>
      <c r="H53" t="s">
        <v>79</v>
      </c>
    </row>
    <row r="54">
      <c r="A54" t="s">
        <v>189</v>
      </c>
      <c r="E54" t="s">
        <v>79</v>
      </c>
    </row>
    <row r="55">
      <c r="A55" t="s">
        <v>250</v>
      </c>
      <c r="E55" t="s">
        <v>79</v>
      </c>
    </row>
    <row r="56">
      <c r="A56" t="s">
        <v>242</v>
      </c>
      <c r="D56" t="s">
        <v>79</v>
      </c>
      <c r="H56" t="s">
        <v>79</v>
      </c>
    </row>
    <row r="57">
      <c r="A57" t="s">
        <v>163</v>
      </c>
    </row>
    <row r="58">
      <c r="A58" t="s">
        <v>123</v>
      </c>
      <c r="H58" t="s">
        <v>79</v>
      </c>
    </row>
    <row r="59">
      <c r="A59" t="s">
        <v>222</v>
      </c>
      <c r="E59" t="s">
        <v>79</v>
      </c>
    </row>
    <row r="60">
      <c r="A60" t="s">
        <v>147</v>
      </c>
      <c r="H60" t="s">
        <v>79</v>
      </c>
    </row>
    <row r="61">
      <c r="A61" t="s">
        <v>134</v>
      </c>
      <c r="H61" t="s">
        <v>79</v>
      </c>
    </row>
    <row r="62">
      <c r="A62" t="s">
        <v>146</v>
      </c>
    </row>
    <row r="63">
      <c r="A63" t="s">
        <v>181</v>
      </c>
      <c r="D63" t="s">
        <v>79</v>
      </c>
    </row>
    <row r="64">
      <c r="A64" t="s">
        <v>112</v>
      </c>
    </row>
    <row r="65">
      <c r="A65" t="s">
        <v>212</v>
      </c>
    </row>
    <row r="66">
      <c r="A66" t="s">
        <v>211</v>
      </c>
      <c r="H66" t="s">
        <v>79</v>
      </c>
    </row>
    <row r="67">
      <c r="A67" t="s">
        <v>183</v>
      </c>
    </row>
    <row r="68">
      <c r="A68" t="s">
        <v>201</v>
      </c>
      <c r="H68" t="s">
        <v>79</v>
      </c>
    </row>
    <row r="69">
      <c r="A69" t="s">
        <v>119</v>
      </c>
      <c r="G69" t="s">
        <v>79</v>
      </c>
    </row>
    <row r="70">
      <c r="A70" t="s">
        <v>237</v>
      </c>
      <c r="E70" t="s">
        <v>79</v>
      </c>
    </row>
    <row r="71">
      <c r="A71" t="s">
        <v>162</v>
      </c>
    </row>
    <row r="72">
      <c r="A72" t="s">
        <v>174</v>
      </c>
    </row>
    <row r="73">
      <c r="A73" t="s">
        <v>245</v>
      </c>
      <c r="G73" t="s">
        <v>79</v>
      </c>
    </row>
    <row r="74">
      <c r="A74" t="s">
        <v>235</v>
      </c>
      <c r="D74" t="s">
        <v>79</v>
      </c>
      <c r="H74" t="s">
        <v>79</v>
      </c>
    </row>
    <row r="75">
      <c r="A75" t="s">
        <v>227</v>
      </c>
      <c r="H75" t="s">
        <v>79</v>
      </c>
    </row>
    <row r="76">
      <c r="A76" t="s">
        <v>153</v>
      </c>
    </row>
    <row r="77">
      <c r="A77" t="s">
        <v>200</v>
      </c>
      <c r="E77" t="s">
        <v>79</v>
      </c>
    </row>
    <row r="78">
      <c r="A78" t="s">
        <v>218</v>
      </c>
      <c r="H78" t="s">
        <v>79</v>
      </c>
    </row>
    <row r="79">
      <c r="A79" t="s">
        <v>185</v>
      </c>
      <c r="G79" t="s">
        <v>79</v>
      </c>
    </row>
    <row r="80">
      <c r="A80" t="s">
        <v>116</v>
      </c>
      <c r="H80" t="s">
        <v>79</v>
      </c>
    </row>
    <row r="81">
      <c r="A81" t="s">
        <v>196</v>
      </c>
      <c r="H81" t="s">
        <v>79</v>
      </c>
    </row>
    <row r="82">
      <c r="A82" t="s">
        <v>118</v>
      </c>
      <c r="E82" t="s">
        <v>79</v>
      </c>
    </row>
    <row r="83">
      <c r="A83" t="s">
        <v>120</v>
      </c>
      <c r="H83" t="s">
        <v>79</v>
      </c>
    </row>
    <row r="84">
      <c r="A84" t="s">
        <v>150</v>
      </c>
    </row>
    <row r="85">
      <c r="A85" t="s">
        <v>214</v>
      </c>
      <c r="F85" t="s">
        <v>79</v>
      </c>
    </row>
    <row r="86">
      <c r="A86" t="s">
        <v>124</v>
      </c>
    </row>
    <row r="87">
      <c r="A87" t="s">
        <v>110</v>
      </c>
      <c r="F87" t="s">
        <v>79</v>
      </c>
    </row>
    <row r="88">
      <c r="A88" t="s">
        <v>166</v>
      </c>
      <c r="G88" t="s">
        <v>79</v>
      </c>
    </row>
    <row r="89">
      <c r="A89" t="s">
        <v>114</v>
      </c>
      <c r="E89" t="s">
        <v>79</v>
      </c>
    </row>
    <row r="90">
      <c r="A90" t="s">
        <v>192</v>
      </c>
      <c r="G90" t="s">
        <v>79</v>
      </c>
    </row>
    <row r="91">
      <c r="A91" t="s">
        <v>180</v>
      </c>
      <c r="D91" t="s">
        <v>79</v>
      </c>
    </row>
    <row r="92">
      <c r="A92" t="s">
        <v>213</v>
      </c>
      <c r="H92" t="s">
        <v>79</v>
      </c>
    </row>
    <row r="93">
      <c r="A93" t="s">
        <v>187</v>
      </c>
      <c r="E93" t="s">
        <v>79</v>
      </c>
    </row>
    <row r="94">
      <c r="A94" t="s">
        <v>231</v>
      </c>
    </row>
    <row r="95">
      <c r="A95" t="s">
        <v>220</v>
      </c>
      <c r="F95" t="s">
        <v>79</v>
      </c>
    </row>
    <row r="96">
      <c r="A96" t="s">
        <v>184</v>
      </c>
      <c r="G96" t="s">
        <v>79</v>
      </c>
    </row>
    <row r="97">
      <c r="A97" t="s">
        <v>121</v>
      </c>
      <c r="E97" t="s">
        <v>79</v>
      </c>
    </row>
    <row r="98">
      <c r="A98" t="s">
        <v>154</v>
      </c>
    </row>
    <row r="99">
      <c r="A99" t="s">
        <v>168</v>
      </c>
      <c r="G99" t="s">
        <v>79</v>
      </c>
    </row>
    <row r="100">
      <c r="A100" t="s">
        <v>239</v>
      </c>
      <c r="G100" t="s">
        <v>79</v>
      </c>
    </row>
    <row r="101">
      <c r="A101" t="s">
        <v>172</v>
      </c>
      <c r="H101" t="s">
        <v>79</v>
      </c>
    </row>
    <row r="102">
      <c r="A102" t="s">
        <v>221</v>
      </c>
      <c r="E102" t="s">
        <v>79</v>
      </c>
    </row>
    <row r="103">
      <c r="A103" t="s">
        <v>219</v>
      </c>
      <c r="E103" t="s">
        <v>79</v>
      </c>
    </row>
    <row r="104">
      <c r="A104" t="s">
        <v>145</v>
      </c>
    </row>
    <row r="105">
      <c r="A105" t="s">
        <v>247</v>
      </c>
    </row>
    <row r="106">
      <c r="A106" t="s">
        <v>127</v>
      </c>
      <c r="G106" t="s">
        <v>79</v>
      </c>
    </row>
    <row r="107">
      <c r="A107" t="s">
        <v>115</v>
      </c>
      <c r="H107" t="s">
        <v>79</v>
      </c>
    </row>
    <row r="108">
      <c r="A108" t="s">
        <v>129</v>
      </c>
    </row>
    <row r="109">
      <c r="A109" t="s">
        <v>204</v>
      </c>
      <c r="F109" t="s">
        <v>79</v>
      </c>
    </row>
    <row r="110">
      <c r="A110" t="s">
        <v>158</v>
      </c>
    </row>
    <row r="111">
      <c r="A111" t="s">
        <v>169</v>
      </c>
      <c r="G111" t="s">
        <v>79</v>
      </c>
    </row>
    <row r="112">
      <c r="A112" t="s">
        <v>160</v>
      </c>
    </row>
    <row r="113">
      <c r="A113" t="s">
        <v>173</v>
      </c>
    </row>
    <row r="114">
      <c r="A114" t="s">
        <v>232</v>
      </c>
    </row>
    <row r="115">
      <c r="A115" t="s">
        <v>203</v>
      </c>
      <c r="F115" t="s">
        <v>79</v>
      </c>
    </row>
    <row r="116">
      <c r="A116" t="s">
        <v>151</v>
      </c>
      <c r="F116" t="s">
        <v>79</v>
      </c>
    </row>
    <row r="117">
      <c r="A117" t="s">
        <v>156</v>
      </c>
      <c r="D117" t="s">
        <v>79</v>
      </c>
    </row>
    <row r="118">
      <c r="A118" t="s">
        <v>249</v>
      </c>
    </row>
    <row r="119">
      <c r="A119" t="s">
        <v>179</v>
      </c>
      <c r="F119" t="s">
        <v>79</v>
      </c>
    </row>
    <row r="120">
      <c r="A120" t="s">
        <v>142</v>
      </c>
      <c r="E120" t="s">
        <v>79</v>
      </c>
    </row>
    <row r="121">
      <c r="A121" t="s">
        <v>164</v>
      </c>
      <c r="H121" t="s">
        <v>79</v>
      </c>
    </row>
    <row r="122">
      <c r="A122" t="s">
        <v>225</v>
      </c>
      <c r="G122" t="s">
        <v>79</v>
      </c>
    </row>
    <row r="123">
      <c r="A123" t="s">
        <v>238</v>
      </c>
      <c r="G123" t="s">
        <v>79</v>
      </c>
    </row>
    <row r="124">
      <c r="A124" t="s">
        <v>171</v>
      </c>
      <c r="H124" t="s">
        <v>79</v>
      </c>
    </row>
    <row r="125">
      <c r="A125" t="s">
        <v>234</v>
      </c>
      <c r="G125" t="s">
        <v>79</v>
      </c>
    </row>
    <row r="126">
      <c r="A126" t="s">
        <v>215</v>
      </c>
      <c r="G126" t="s">
        <v>79</v>
      </c>
    </row>
    <row r="127">
      <c r="A127" t="s">
        <v>144</v>
      </c>
    </row>
    <row r="128">
      <c r="A128" t="s">
        <v>206</v>
      </c>
      <c r="F128" t="s">
        <v>79</v>
      </c>
    </row>
    <row r="129">
      <c r="A129" t="s">
        <v>136</v>
      </c>
    </row>
    <row r="130">
      <c r="A130" t="s">
        <v>176</v>
      </c>
      <c r="H130" t="s">
        <v>79</v>
      </c>
    </row>
    <row r="131">
      <c r="A131" t="s">
        <v>195</v>
      </c>
      <c r="H131" t="s">
        <v>79</v>
      </c>
    </row>
    <row r="132">
      <c r="A132" t="s">
        <v>229</v>
      </c>
      <c r="F132" t="s">
        <v>79</v>
      </c>
    </row>
    <row r="133">
      <c r="A133" t="s">
        <v>139</v>
      </c>
      <c r="G133" t="s">
        <v>79</v>
      </c>
    </row>
    <row r="134">
      <c r="A134" t="s">
        <v>155</v>
      </c>
      <c r="F134" t="s">
        <v>79</v>
      </c>
    </row>
    <row r="135">
      <c r="A135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950</v>
      </c>
      <c r="B1" t="s">
        <v>952</v>
      </c>
      <c r="C1" t="s">
        <v>953</v>
      </c>
      <c r="D1" t="s">
        <v>1187</v>
      </c>
      <c r="E1" t="s">
        <v>1188</v>
      </c>
      <c r="F1" t="s">
        <v>1189</v>
      </c>
      <c r="G1" t="s">
        <v>1190</v>
      </c>
      <c r="H1" t="s">
        <v>1191</v>
      </c>
      <c r="I1" t="s">
        <v>1192</v>
      </c>
      <c r="J1" t="s">
        <v>1193</v>
      </c>
    </row>
    <row r="2">
      <c r="A2" t="n">
        <v>1</v>
      </c>
      <c r="B2" t="s">
        <v>1144</v>
      </c>
      <c r="C2" t="s">
        <v>1145</v>
      </c>
      <c r="D2" t="s">
        <v>1194</v>
      </c>
      <c r="E2" t="s">
        <v>1195</v>
      </c>
      <c r="F2" t="s">
        <v>1196</v>
      </c>
      <c r="G2" t="s">
        <v>1197</v>
      </c>
      <c r="H2" t="s">
        <v>1198</v>
      </c>
      <c r="I2" t="n">
        <v>-148</v>
      </c>
      <c r="J2" t="n">
        <v>124</v>
      </c>
    </row>
    <row r="3">
      <c r="A3" t="n">
        <v>1</v>
      </c>
      <c r="B3" t="s">
        <v>1032</v>
      </c>
      <c r="C3" t="s">
        <v>1033</v>
      </c>
      <c r="D3" t="s">
        <v>1194</v>
      </c>
      <c r="E3" t="s">
        <v>1199</v>
      </c>
      <c r="F3" t="s">
        <v>1199</v>
      </c>
      <c r="G3" t="s">
        <v>1200</v>
      </c>
      <c r="H3" t="s">
        <v>1200</v>
      </c>
      <c r="I3" t="n">
        <v>250</v>
      </c>
      <c r="J3" t="n">
        <v>-310</v>
      </c>
    </row>
    <row r="4">
      <c r="A4" t="n">
        <v>1</v>
      </c>
      <c r="B4" t="s">
        <v>1023</v>
      </c>
      <c r="C4" t="s">
        <v>1024</v>
      </c>
      <c r="D4" t="s">
        <v>1194</v>
      </c>
      <c r="E4" t="s">
        <v>1201</v>
      </c>
      <c r="F4" t="s">
        <v>1201</v>
      </c>
      <c r="G4" t="s">
        <v>1202</v>
      </c>
      <c r="H4" t="s">
        <v>1202</v>
      </c>
      <c r="I4"/>
      <c r="J4"/>
    </row>
    <row r="5">
      <c r="A5" t="n">
        <v>1</v>
      </c>
      <c r="B5" t="s">
        <v>1123</v>
      </c>
      <c r="C5" t="s">
        <v>1124</v>
      </c>
      <c r="D5" t="s">
        <v>1194</v>
      </c>
      <c r="E5" t="s">
        <v>1203</v>
      </c>
      <c r="F5" t="s">
        <v>1203</v>
      </c>
      <c r="G5" t="s">
        <v>1204</v>
      </c>
      <c r="H5" t="s">
        <v>1205</v>
      </c>
      <c r="I5" t="n">
        <v>-20000</v>
      </c>
      <c r="J5" t="n">
        <v>3500</v>
      </c>
    </row>
    <row r="6">
      <c r="A6" t="n">
        <v>1</v>
      </c>
      <c r="B6" t="s">
        <v>1081</v>
      </c>
      <c r="C6" t="s">
        <v>1082</v>
      </c>
      <c r="D6" t="s">
        <v>1194</v>
      </c>
      <c r="E6" t="s">
        <v>1206</v>
      </c>
      <c r="F6" t="s">
        <v>1207</v>
      </c>
      <c r="G6" t="s">
        <v>1208</v>
      </c>
      <c r="H6" t="s">
        <v>1209</v>
      </c>
      <c r="I6" t="n">
        <v>-3200</v>
      </c>
      <c r="J6" t="n">
        <v>1400</v>
      </c>
    </row>
    <row r="7">
      <c r="A7" t="n">
        <v>1</v>
      </c>
      <c r="B7" t="s">
        <v>1073</v>
      </c>
      <c r="C7" t="s">
        <v>1074</v>
      </c>
      <c r="D7" t="s">
        <v>1194</v>
      </c>
      <c r="E7" t="s">
        <v>1210</v>
      </c>
      <c r="F7" t="s">
        <v>1210</v>
      </c>
      <c r="G7" t="s">
        <v>1211</v>
      </c>
      <c r="H7" t="s">
        <v>1211</v>
      </c>
      <c r="I7" t="n">
        <v>-3600</v>
      </c>
      <c r="J7" t="n">
        <v>1500</v>
      </c>
    </row>
    <row r="8">
      <c r="A8" t="n">
        <v>1</v>
      </c>
      <c r="B8" t="s">
        <v>1167</v>
      </c>
      <c r="C8" t="s">
        <v>1168</v>
      </c>
      <c r="D8" t="s">
        <v>1194</v>
      </c>
      <c r="E8" t="s">
        <v>1212</v>
      </c>
      <c r="F8" t="s">
        <v>1213</v>
      </c>
      <c r="G8" t="s">
        <v>1209</v>
      </c>
      <c r="H8" t="s">
        <v>1209</v>
      </c>
      <c r="I8" t="n">
        <v>215</v>
      </c>
      <c r="J8" t="n">
        <v>-265</v>
      </c>
    </row>
    <row r="9">
      <c r="A9" t="n">
        <v>1</v>
      </c>
      <c r="B9" t="s">
        <v>1099</v>
      </c>
      <c r="C9" t="s">
        <v>1100</v>
      </c>
      <c r="D9" t="s">
        <v>1194</v>
      </c>
      <c r="E9" t="s">
        <v>1214</v>
      </c>
      <c r="F9" t="s">
        <v>1214</v>
      </c>
      <c r="G9" t="s">
        <v>1215</v>
      </c>
      <c r="H9" t="s">
        <v>1216</v>
      </c>
      <c r="I9" t="n">
        <v>-2100</v>
      </c>
      <c r="J9" t="n">
        <v>1100</v>
      </c>
    </row>
    <row r="10">
      <c r="A10" t="n">
        <v>1</v>
      </c>
      <c r="B10" t="s">
        <v>997</v>
      </c>
      <c r="C10" t="s">
        <v>998</v>
      </c>
      <c r="D10" t="s">
        <v>1194</v>
      </c>
      <c r="E10" t="s">
        <v>1217</v>
      </c>
      <c r="F10" t="s">
        <v>1217</v>
      </c>
      <c r="G10" t="s">
        <v>1218</v>
      </c>
      <c r="H10" t="s">
        <v>1219</v>
      </c>
      <c r="I10" t="n">
        <v>-180</v>
      </c>
      <c r="J10" t="n">
        <v>150</v>
      </c>
    </row>
    <row r="11">
      <c r="A11" t="n">
        <v>1</v>
      </c>
      <c r="B11" t="s">
        <v>958</v>
      </c>
      <c r="C11" t="s">
        <v>1169</v>
      </c>
      <c r="D11" t="s">
        <v>1194</v>
      </c>
      <c r="E11" t="s">
        <v>1207</v>
      </c>
      <c r="F11" t="s">
        <v>1207</v>
      </c>
      <c r="G11" t="s">
        <v>1219</v>
      </c>
      <c r="H11" t="s">
        <v>1220</v>
      </c>
      <c r="I11" t="n">
        <v>-2100</v>
      </c>
      <c r="J11" t="n">
        <v>1100</v>
      </c>
    </row>
    <row r="12">
      <c r="A12" t="n">
        <v>1</v>
      </c>
      <c r="B12" t="s">
        <v>1155</v>
      </c>
      <c r="C12" t="s">
        <v>1156</v>
      </c>
      <c r="D12" t="s">
        <v>1194</v>
      </c>
      <c r="E12" t="s">
        <v>1221</v>
      </c>
      <c r="F12" t="s">
        <v>1221</v>
      </c>
      <c r="G12" t="s">
        <v>1208</v>
      </c>
      <c r="H12" t="s">
        <v>1208</v>
      </c>
      <c r="I12" t="n">
        <v>-5000</v>
      </c>
      <c r="J12" t="n">
        <v>1800</v>
      </c>
    </row>
    <row r="13">
      <c r="A13" t="n">
        <v>1</v>
      </c>
      <c r="B13" t="s">
        <v>1052</v>
      </c>
      <c r="C13" t="s">
        <v>1053</v>
      </c>
      <c r="D13" t="s">
        <v>1194</v>
      </c>
      <c r="E13" t="s">
        <v>1222</v>
      </c>
      <c r="F13" t="s">
        <v>1207</v>
      </c>
      <c r="G13" t="s">
        <v>1223</v>
      </c>
      <c r="H13" t="s">
        <v>1223</v>
      </c>
      <c r="I13" t="n">
        <v>-1350</v>
      </c>
      <c r="J13" t="n">
        <v>800</v>
      </c>
    </row>
    <row r="14">
      <c r="A14" t="n">
        <v>1</v>
      </c>
      <c r="B14" t="s">
        <v>961</v>
      </c>
      <c r="C14" t="s">
        <v>962</v>
      </c>
      <c r="D14" t="s">
        <v>1194</v>
      </c>
      <c r="E14" t="s">
        <v>1212</v>
      </c>
      <c r="F14" t="s">
        <v>1224</v>
      </c>
      <c r="G14" t="s">
        <v>1225</v>
      </c>
      <c r="H14" t="s">
        <v>1226</v>
      </c>
      <c r="I14" t="n">
        <v>360</v>
      </c>
      <c r="J14" t="n">
        <v>-470</v>
      </c>
    </row>
    <row r="15">
      <c r="A15" t="n">
        <v>1</v>
      </c>
      <c r="B15" t="s">
        <v>967</v>
      </c>
      <c r="C15" t="s">
        <v>968</v>
      </c>
      <c r="D15" t="s">
        <v>1194</v>
      </c>
      <c r="E15" t="s">
        <v>1227</v>
      </c>
      <c r="F15" t="s">
        <v>1227</v>
      </c>
      <c r="G15" t="s">
        <v>1220</v>
      </c>
      <c r="H15" t="s">
        <v>1216</v>
      </c>
      <c r="I15"/>
      <c r="J15"/>
    </row>
    <row r="16">
      <c r="A16" t="n">
        <v>1</v>
      </c>
      <c r="B16" t="s">
        <v>999</v>
      </c>
      <c r="C16" t="s">
        <v>1000</v>
      </c>
      <c r="D16" t="s">
        <v>1194</v>
      </c>
      <c r="E16" t="s">
        <v>1228</v>
      </c>
      <c r="F16" t="s">
        <v>1229</v>
      </c>
      <c r="G16" t="s">
        <v>1230</v>
      </c>
      <c r="H16" t="s">
        <v>1202</v>
      </c>
      <c r="I16" t="n">
        <v>-470</v>
      </c>
      <c r="J16" t="n">
        <v>360</v>
      </c>
    </row>
    <row r="17">
      <c r="A17" t="n">
        <v>1</v>
      </c>
      <c r="B17" t="s">
        <v>1060</v>
      </c>
      <c r="C17" t="s">
        <v>1061</v>
      </c>
      <c r="D17" t="s">
        <v>1194</v>
      </c>
      <c r="E17" t="s">
        <v>1229</v>
      </c>
      <c r="F17" t="s">
        <v>1231</v>
      </c>
      <c r="G17" t="s">
        <v>1225</v>
      </c>
      <c r="H17" t="s">
        <v>1225</v>
      </c>
      <c r="I17" t="n">
        <v>-500</v>
      </c>
      <c r="J17" t="n">
        <v>380</v>
      </c>
    </row>
    <row r="18">
      <c r="A18" t="n">
        <v>1</v>
      </c>
      <c r="B18" t="s">
        <v>1021</v>
      </c>
      <c r="C18" t="s">
        <v>1022</v>
      </c>
      <c r="D18" t="s">
        <v>1194</v>
      </c>
      <c r="E18" t="s">
        <v>1232</v>
      </c>
      <c r="F18" t="s">
        <v>1232</v>
      </c>
      <c r="G18" t="s">
        <v>1198</v>
      </c>
      <c r="H18" t="s">
        <v>1198</v>
      </c>
      <c r="I18" t="n">
        <v>-535</v>
      </c>
      <c r="J18" t="n">
        <v>400</v>
      </c>
    </row>
    <row r="19">
      <c r="A19" t="n">
        <v>1</v>
      </c>
      <c r="B19" t="s">
        <v>1104</v>
      </c>
      <c r="C19" t="s">
        <v>1105</v>
      </c>
      <c r="D19" t="s">
        <v>1194</v>
      </c>
      <c r="E19" t="s">
        <v>1233</v>
      </c>
      <c r="F19" t="s">
        <v>1234</v>
      </c>
      <c r="G19" t="s">
        <v>1235</v>
      </c>
      <c r="H19" t="s">
        <v>1236</v>
      </c>
      <c r="I19" t="n">
        <v>-218</v>
      </c>
      <c r="J19" t="n">
        <v>180</v>
      </c>
    </row>
    <row r="20">
      <c r="A20" t="n">
        <v>1</v>
      </c>
      <c r="B20" t="s">
        <v>1121</v>
      </c>
      <c r="C20" t="s">
        <v>1122</v>
      </c>
      <c r="D20" t="s">
        <v>1194</v>
      </c>
      <c r="E20" t="s">
        <v>1232</v>
      </c>
      <c r="F20" t="s">
        <v>1237</v>
      </c>
      <c r="G20" t="s">
        <v>1211</v>
      </c>
      <c r="H20" t="s">
        <v>1238</v>
      </c>
      <c r="I20" t="n">
        <v>-345</v>
      </c>
      <c r="J20" t="n">
        <v>275</v>
      </c>
    </row>
    <row r="21">
      <c r="A21" t="n">
        <v>1</v>
      </c>
      <c r="B21" t="s">
        <v>958</v>
      </c>
      <c r="C21" t="s">
        <v>959</v>
      </c>
      <c r="D21" t="s">
        <v>1194</v>
      </c>
      <c r="E21" t="s">
        <v>1239</v>
      </c>
      <c r="F21" t="s">
        <v>1240</v>
      </c>
      <c r="G21" t="s">
        <v>1216</v>
      </c>
      <c r="H21" t="s">
        <v>1241</v>
      </c>
      <c r="I21" t="n">
        <v>320</v>
      </c>
      <c r="J21" t="n">
        <v>-410</v>
      </c>
    </row>
    <row r="22">
      <c r="A22" t="n">
        <v>1</v>
      </c>
      <c r="B22" t="s">
        <v>959</v>
      </c>
      <c r="C22" t="s">
        <v>1186</v>
      </c>
      <c r="D22" t="s">
        <v>1194</v>
      </c>
      <c r="E22" t="s">
        <v>1242</v>
      </c>
      <c r="F22" t="s">
        <v>1243</v>
      </c>
      <c r="G22" t="s">
        <v>1244</v>
      </c>
      <c r="H22" t="s">
        <v>1245</v>
      </c>
      <c r="I22" t="n">
        <v>-850</v>
      </c>
      <c r="J22" t="n">
        <v>575</v>
      </c>
    </row>
    <row r="23">
      <c r="A23" t="n">
        <v>1</v>
      </c>
      <c r="B23" t="s">
        <v>995</v>
      </c>
      <c r="C23" t="s">
        <v>996</v>
      </c>
      <c r="D23" t="s">
        <v>1194</v>
      </c>
      <c r="E23" t="s">
        <v>1246</v>
      </c>
      <c r="F23" t="s">
        <v>1196</v>
      </c>
      <c r="G23" t="s">
        <v>1208</v>
      </c>
      <c r="H23" t="s">
        <v>1208</v>
      </c>
      <c r="I23" t="n">
        <v>105</v>
      </c>
      <c r="J23" t="n">
        <v>-125</v>
      </c>
    </row>
    <row r="24">
      <c r="A24" t="n">
        <v>1</v>
      </c>
      <c r="B24" t="s">
        <v>1050</v>
      </c>
      <c r="C24" t="s">
        <v>1051</v>
      </c>
      <c r="D24" t="s">
        <v>1194</v>
      </c>
      <c r="E24" t="s">
        <v>1247</v>
      </c>
      <c r="F24" t="s">
        <v>1247</v>
      </c>
      <c r="G24" t="s">
        <v>1211</v>
      </c>
      <c r="H24" t="s">
        <v>1223</v>
      </c>
      <c r="I24" t="n">
        <v>-455</v>
      </c>
      <c r="J24" t="n">
        <v>350</v>
      </c>
    </row>
    <row r="25">
      <c r="A25" t="n">
        <v>1</v>
      </c>
      <c r="B25" t="s">
        <v>1046</v>
      </c>
      <c r="C25" t="s">
        <v>1047</v>
      </c>
      <c r="D25" t="s">
        <v>1194</v>
      </c>
      <c r="E25" t="s">
        <v>1239</v>
      </c>
      <c r="F25" t="s">
        <v>1248</v>
      </c>
      <c r="G25" t="s">
        <v>1226</v>
      </c>
      <c r="H25" t="s">
        <v>1225</v>
      </c>
      <c r="I25" t="n">
        <v>390</v>
      </c>
      <c r="J25" t="n">
        <v>-520</v>
      </c>
    </row>
    <row r="26">
      <c r="A26" t="n">
        <v>1</v>
      </c>
      <c r="B26" t="s">
        <v>1087</v>
      </c>
      <c r="C26" t="s">
        <v>1088</v>
      </c>
      <c r="D26" t="s">
        <v>1194</v>
      </c>
      <c r="E26" t="s">
        <v>1249</v>
      </c>
      <c r="F26" t="s">
        <v>1249</v>
      </c>
      <c r="G26" t="s">
        <v>1215</v>
      </c>
      <c r="H26" t="s">
        <v>1215</v>
      </c>
      <c r="I26" t="n">
        <v>120</v>
      </c>
      <c r="J26" t="n">
        <v>-142</v>
      </c>
    </row>
    <row r="27">
      <c r="A27" t="n">
        <v>1</v>
      </c>
      <c r="B27" t="s">
        <v>964</v>
      </c>
      <c r="C27" t="s">
        <v>965</v>
      </c>
      <c r="D27" t="s">
        <v>1194</v>
      </c>
      <c r="E27" t="s">
        <v>1250</v>
      </c>
      <c r="F27" t="s">
        <v>1251</v>
      </c>
      <c r="G27" t="s">
        <v>1218</v>
      </c>
      <c r="H27" t="s">
        <v>1219</v>
      </c>
      <c r="I27" t="n">
        <v>1500</v>
      </c>
      <c r="J27" t="n">
        <v>-3600</v>
      </c>
    </row>
    <row r="28">
      <c r="A28" t="n">
        <v>1</v>
      </c>
      <c r="B28" t="s">
        <v>967</v>
      </c>
      <c r="C28" t="s">
        <v>1143</v>
      </c>
      <c r="D28" t="s">
        <v>1194</v>
      </c>
      <c r="E28" t="s">
        <v>1248</v>
      </c>
      <c r="F28" t="s">
        <v>1248</v>
      </c>
      <c r="G28" t="s">
        <v>1216</v>
      </c>
      <c r="H28" t="s">
        <v>1216</v>
      </c>
      <c r="I28" t="n">
        <v>410</v>
      </c>
      <c r="J28" t="n">
        <v>-550</v>
      </c>
    </row>
    <row r="29">
      <c r="A29" t="n">
        <v>1</v>
      </c>
      <c r="B29" t="s">
        <v>1183</v>
      </c>
      <c r="C29" t="s">
        <v>1184</v>
      </c>
      <c r="D29" t="s">
        <v>1194</v>
      </c>
      <c r="E29" t="s">
        <v>1234</v>
      </c>
      <c r="F29" t="s">
        <v>1252</v>
      </c>
      <c r="G29" t="s">
        <v>1253</v>
      </c>
      <c r="H29" t="s">
        <v>1254</v>
      </c>
      <c r="I29" t="n">
        <v>-185</v>
      </c>
      <c r="J29" t="n">
        <v>154</v>
      </c>
    </row>
    <row r="30">
      <c r="A30" t="n">
        <v>1</v>
      </c>
      <c r="B30" t="s">
        <v>1044</v>
      </c>
      <c r="C30" t="s">
        <v>1045</v>
      </c>
      <c r="D30" t="s">
        <v>1194</v>
      </c>
      <c r="E30" t="s">
        <v>1224</v>
      </c>
      <c r="F30" t="s">
        <v>1255</v>
      </c>
      <c r="G30" t="s">
        <v>1245</v>
      </c>
      <c r="H30" t="s">
        <v>1209</v>
      </c>
      <c r="I30" t="n">
        <v>235</v>
      </c>
      <c r="J30" t="n">
        <v>-290</v>
      </c>
    </row>
    <row r="31">
      <c r="A31" t="n">
        <v>1</v>
      </c>
      <c r="B31" t="s">
        <v>1093</v>
      </c>
      <c r="C31" t="s">
        <v>1094</v>
      </c>
      <c r="D31" t="s">
        <v>1194</v>
      </c>
      <c r="E31" t="s">
        <v>1256</v>
      </c>
      <c r="F31" t="s">
        <v>1256</v>
      </c>
      <c r="G31" t="s">
        <v>1257</v>
      </c>
      <c r="H31" t="s">
        <v>1244</v>
      </c>
      <c r="I31" t="n">
        <v>-3600</v>
      </c>
      <c r="J31" t="n">
        <v>1500</v>
      </c>
    </row>
    <row r="32">
      <c r="A32" t="n">
        <v>1</v>
      </c>
      <c r="B32" t="s">
        <v>1071</v>
      </c>
      <c r="C32" t="s">
        <v>1072</v>
      </c>
      <c r="D32" t="s">
        <v>1194</v>
      </c>
      <c r="E32" t="s">
        <v>1252</v>
      </c>
      <c r="F32" t="s">
        <v>1252</v>
      </c>
      <c r="G32" t="s">
        <v>1258</v>
      </c>
      <c r="H32" t="s">
        <v>1258</v>
      </c>
      <c r="I32" t="n">
        <v>-148</v>
      </c>
      <c r="J32" t="n">
        <v>124</v>
      </c>
    </row>
    <row r="33">
      <c r="A33" t="n">
        <v>1</v>
      </c>
      <c r="B33" t="s">
        <v>1091</v>
      </c>
      <c r="C33" t="s">
        <v>1092</v>
      </c>
      <c r="D33" t="s">
        <v>1194</v>
      </c>
      <c r="E33" t="s">
        <v>1259</v>
      </c>
      <c r="F33" t="s">
        <v>1260</v>
      </c>
      <c r="G33" t="s">
        <v>1223</v>
      </c>
      <c r="H33" t="s">
        <v>1223</v>
      </c>
      <c r="I33" t="n">
        <v>-850</v>
      </c>
      <c r="J33" t="n">
        <v>575</v>
      </c>
    </row>
    <row r="34">
      <c r="A34" t="n">
        <v>1</v>
      </c>
      <c r="B34" t="s">
        <v>1083</v>
      </c>
      <c r="C34" t="s">
        <v>1084</v>
      </c>
      <c r="D34" t="s">
        <v>1194</v>
      </c>
      <c r="E34" t="s">
        <v>1261</v>
      </c>
      <c r="F34" t="s">
        <v>1261</v>
      </c>
      <c r="G34" t="s">
        <v>1262</v>
      </c>
      <c r="H34" t="s">
        <v>1262</v>
      </c>
      <c r="I34"/>
      <c r="J34"/>
    </row>
    <row r="35">
      <c r="A35" t="n">
        <v>1</v>
      </c>
      <c r="B35" t="s">
        <v>1077</v>
      </c>
      <c r="C35" t="s">
        <v>1078</v>
      </c>
      <c r="D35" t="s">
        <v>1194</v>
      </c>
      <c r="E35" t="s">
        <v>1263</v>
      </c>
      <c r="F35" t="s">
        <v>1196</v>
      </c>
      <c r="G35" t="s">
        <v>1211</v>
      </c>
      <c r="H35" t="s">
        <v>1211</v>
      </c>
      <c r="I35" t="n">
        <v>-130</v>
      </c>
      <c r="J35" t="n">
        <v>110</v>
      </c>
    </row>
    <row r="36">
      <c r="A36" t="n">
        <v>1</v>
      </c>
      <c r="B36" t="s">
        <v>1048</v>
      </c>
      <c r="C36" t="s">
        <v>1049</v>
      </c>
      <c r="D36" t="s">
        <v>1194</v>
      </c>
      <c r="E36" t="s">
        <v>1264</v>
      </c>
      <c r="F36" t="s">
        <v>1264</v>
      </c>
      <c r="G36" t="s">
        <v>1226</v>
      </c>
      <c r="H36" t="s">
        <v>1226</v>
      </c>
      <c r="I36" t="n">
        <v>-2100</v>
      </c>
      <c r="J36" t="n">
        <v>1100</v>
      </c>
    </row>
    <row r="37">
      <c r="A37" t="n">
        <v>1</v>
      </c>
      <c r="B37" t="s">
        <v>1029</v>
      </c>
      <c r="C37" t="s">
        <v>1030</v>
      </c>
      <c r="D37" t="s">
        <v>1194</v>
      </c>
      <c r="E37" t="s">
        <v>1256</v>
      </c>
      <c r="F37" t="s">
        <v>1256</v>
      </c>
      <c r="G37" t="s">
        <v>1218</v>
      </c>
      <c r="H37" t="s">
        <v>1218</v>
      </c>
      <c r="I37" t="n">
        <v>-3200</v>
      </c>
      <c r="J37" t="n">
        <v>1400</v>
      </c>
    </row>
    <row r="38">
      <c r="A38" t="n">
        <v>1</v>
      </c>
      <c r="B38" t="s">
        <v>1089</v>
      </c>
      <c r="C38" t="s">
        <v>1090</v>
      </c>
      <c r="D38" t="s">
        <v>1194</v>
      </c>
      <c r="E38" t="s">
        <v>1265</v>
      </c>
      <c r="F38" t="s">
        <v>1265</v>
      </c>
      <c r="G38" t="s">
        <v>1230</v>
      </c>
      <c r="H38" t="s">
        <v>1230</v>
      </c>
      <c r="I38" t="n">
        <v>-20000</v>
      </c>
      <c r="J38" t="n">
        <v>3500</v>
      </c>
    </row>
    <row r="39">
      <c r="A39" t="n">
        <v>1</v>
      </c>
      <c r="B39" t="s">
        <v>1096</v>
      </c>
      <c r="C39" t="s">
        <v>1097</v>
      </c>
      <c r="D39" t="s">
        <v>1194</v>
      </c>
      <c r="E39" t="s">
        <v>1240</v>
      </c>
      <c r="F39" t="s">
        <v>1266</v>
      </c>
      <c r="G39" t="s">
        <v>1219</v>
      </c>
      <c r="H39" t="s">
        <v>1219</v>
      </c>
      <c r="I39" t="n">
        <v>390</v>
      </c>
      <c r="J39" t="n">
        <v>-520</v>
      </c>
    </row>
    <row r="40">
      <c r="A40" t="n">
        <v>1</v>
      </c>
      <c r="B40" t="s">
        <v>1176</v>
      </c>
      <c r="C40" t="s">
        <v>961</v>
      </c>
      <c r="D40" t="s">
        <v>1194</v>
      </c>
      <c r="E40" t="s">
        <v>1267</v>
      </c>
      <c r="F40" t="s">
        <v>1267</v>
      </c>
      <c r="G40" t="s">
        <v>1225</v>
      </c>
      <c r="H40" t="s">
        <v>1226</v>
      </c>
      <c r="I40" t="n">
        <v>-10000</v>
      </c>
      <c r="J40" t="n">
        <v>3000</v>
      </c>
    </row>
    <row r="41">
      <c r="A41" t="n">
        <v>1</v>
      </c>
      <c r="B41" t="s">
        <v>1146</v>
      </c>
      <c r="C41" t="s">
        <v>1147</v>
      </c>
      <c r="D41" t="s">
        <v>1194</v>
      </c>
      <c r="E41" t="s">
        <v>1222</v>
      </c>
      <c r="F41" t="s">
        <v>1222</v>
      </c>
      <c r="G41" t="s">
        <v>1268</v>
      </c>
      <c r="H41" t="s">
        <v>1268</v>
      </c>
      <c r="I41" t="n">
        <v>-1800</v>
      </c>
      <c r="J41" t="n">
        <v>1000</v>
      </c>
    </row>
    <row r="42">
      <c r="A42" t="n">
        <v>1</v>
      </c>
      <c r="B42" t="s">
        <v>1140</v>
      </c>
      <c r="C42" t="s">
        <v>1141</v>
      </c>
      <c r="D42" t="s">
        <v>1194</v>
      </c>
      <c r="E42" t="s">
        <v>1269</v>
      </c>
      <c r="F42" t="s">
        <v>1270</v>
      </c>
      <c r="G42" t="s">
        <v>1271</v>
      </c>
      <c r="H42" t="s">
        <v>1218</v>
      </c>
      <c r="I42" t="n">
        <v>-170</v>
      </c>
      <c r="J42" t="n">
        <v>142</v>
      </c>
    </row>
    <row r="43">
      <c r="A43" t="n">
        <v>1</v>
      </c>
      <c r="B43" t="s">
        <v>1139</v>
      </c>
      <c r="C43" t="s">
        <v>964</v>
      </c>
      <c r="D43" t="s">
        <v>1194</v>
      </c>
      <c r="E43" t="s">
        <v>1272</v>
      </c>
      <c r="F43" t="s">
        <v>1273</v>
      </c>
      <c r="G43" t="s">
        <v>1198</v>
      </c>
      <c r="H43" t="s">
        <v>1197</v>
      </c>
      <c r="I43" t="n">
        <v>-278</v>
      </c>
      <c r="J43" t="n">
        <v>225</v>
      </c>
    </row>
    <row r="44">
      <c r="A44" t="n">
        <v>1</v>
      </c>
      <c r="B44" t="s">
        <v>1177</v>
      </c>
      <c r="C44" t="s">
        <v>1178</v>
      </c>
      <c r="D44" t="s">
        <v>1194</v>
      </c>
      <c r="E44" t="s">
        <v>1274</v>
      </c>
      <c r="F44" t="s">
        <v>1274</v>
      </c>
      <c r="G44" t="s">
        <v>1223</v>
      </c>
      <c r="H44" t="s">
        <v>1223</v>
      </c>
      <c r="I44" t="n">
        <v>-245</v>
      </c>
      <c r="J44" t="n">
        <v>200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13.46484375" hidden="0" customWidth="1"/>
    <col min="4" max="4" width="20.86328125" hidden="0" customWidth="1"/>
  </cols>
  <sheetData>
    <row r="1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</row>
    <row r="2">
      <c r="A2" t="n">
        <v>-3.7765953152867</v>
      </c>
      <c r="B2" t="n">
        <v>-1.07469877043887</v>
      </c>
      <c r="C2" t="n">
        <v>-6.21436016473282</v>
      </c>
      <c r="D2" t="n">
        <v>-0.26361858316371</v>
      </c>
      <c r="E2" t="n">
        <v>-0.0530595954915596</v>
      </c>
      <c r="F2" t="n">
        <v>-0.374725232413096</v>
      </c>
      <c r="G2" t="n">
        <v>-1.39820940709939</v>
      </c>
      <c r="H2" t="n">
        <v>-7.06589717343011</v>
      </c>
      <c r="I2" t="n">
        <v>0.146456255781865</v>
      </c>
      <c r="J2" t="n">
        <v>12.965113782717</v>
      </c>
      <c r="K2" t="n">
        <v>2.2564618572078</v>
      </c>
      <c r="L2" t="n">
        <v>-3.23734021446939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5.3984375" hidden="0" customWidth="1"/>
    <col min="11" max="11" width="15.46484375" hidden="0" customWidth="1"/>
  </cols>
  <sheetData>
    <row r="1">
      <c r="A1" t="s">
        <v>1275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</row>
    <row r="2">
      <c r="A2" t="n">
        <v>2005</v>
      </c>
      <c r="B2" t="s">
        <v>1079</v>
      </c>
      <c r="C2" t="s">
        <v>1287</v>
      </c>
      <c r="D2" t="n">
        <v>103.6</v>
      </c>
      <c r="E2" t="n">
        <v>0.692307692307692</v>
      </c>
      <c r="F2" t="n">
        <v>1232.4</v>
      </c>
      <c r="G2" t="n">
        <v>2.3725</v>
      </c>
      <c r="H2" t="s">
        <v>1288</v>
      </c>
      <c r="I2" t="s">
        <v>1289</v>
      </c>
      <c r="J2" t="n">
        <v>-7.1</v>
      </c>
      <c r="K2"/>
      <c r="L2"/>
    </row>
    <row r="3">
      <c r="A3" t="n">
        <v>2006</v>
      </c>
      <c r="B3" t="s">
        <v>1084</v>
      </c>
      <c r="C3" t="s">
        <v>1290</v>
      </c>
      <c r="D3" t="n">
        <v>91.4</v>
      </c>
      <c r="E3" t="n">
        <v>0.166666666666667</v>
      </c>
      <c r="F3" t="n">
        <v>843.72</v>
      </c>
      <c r="G3" t="n">
        <v>-13.6072</v>
      </c>
      <c r="H3" t="s">
        <v>1291</v>
      </c>
      <c r="I3" t="s">
        <v>1292</v>
      </c>
      <c r="J3" t="n">
        <v>-22.2</v>
      </c>
      <c r="K3"/>
      <c r="L3"/>
    </row>
    <row r="4">
      <c r="A4" t="n">
        <v>333</v>
      </c>
      <c r="B4" t="s">
        <v>1123</v>
      </c>
      <c r="C4" t="s">
        <v>1293</v>
      </c>
      <c r="D4" t="n">
        <v>11.2</v>
      </c>
      <c r="E4" t="n">
        <v>0.857142857142857</v>
      </c>
      <c r="F4" t="n">
        <v>1610.81</v>
      </c>
      <c r="G4" t="n">
        <v>13.2568</v>
      </c>
      <c r="H4" t="s">
        <v>1294</v>
      </c>
      <c r="I4" t="s">
        <v>1295</v>
      </c>
      <c r="J4" t="n">
        <v>27.8</v>
      </c>
      <c r="K4"/>
      <c r="L4" t="n">
        <v>1</v>
      </c>
    </row>
    <row r="5">
      <c r="A5" t="n">
        <v>2026</v>
      </c>
      <c r="B5" t="s">
        <v>1069</v>
      </c>
      <c r="C5" t="s">
        <v>1296</v>
      </c>
      <c r="D5" t="n">
        <v>78</v>
      </c>
      <c r="E5" t="n">
        <v>0.642857142857143</v>
      </c>
      <c r="F5" t="n">
        <v>1275.06</v>
      </c>
      <c r="G5" t="n">
        <v>2.2922</v>
      </c>
      <c r="H5" t="s">
        <v>1297</v>
      </c>
      <c r="I5" t="s">
        <v>1298</v>
      </c>
      <c r="J5" t="n">
        <v>0.5</v>
      </c>
      <c r="K5"/>
      <c r="L5"/>
    </row>
    <row r="6">
      <c r="A6" t="n">
        <v>12</v>
      </c>
      <c r="B6" t="s">
        <v>1176</v>
      </c>
      <c r="C6" t="s">
        <v>1299</v>
      </c>
      <c r="D6" t="n">
        <v>75.2</v>
      </c>
      <c r="E6" t="n">
        <v>0.769230769230769</v>
      </c>
      <c r="F6" t="n">
        <v>1404.62</v>
      </c>
      <c r="G6" t="n">
        <v>10.074</v>
      </c>
      <c r="H6" t="s">
        <v>1300</v>
      </c>
      <c r="I6" t="s">
        <v>1301</v>
      </c>
      <c r="J6" t="n">
        <v>12.4</v>
      </c>
      <c r="K6"/>
      <c r="L6" t="n">
        <v>1</v>
      </c>
    </row>
    <row r="7">
      <c r="A7" t="n">
        <v>9</v>
      </c>
      <c r="B7" t="s">
        <v>1177</v>
      </c>
      <c r="C7" t="s">
        <v>1299</v>
      </c>
      <c r="D7" t="n">
        <v>29.6</v>
      </c>
      <c r="E7" t="n">
        <v>0.25</v>
      </c>
      <c r="F7" t="n">
        <v>1013.57</v>
      </c>
      <c r="G7" t="n">
        <v>-2.9054</v>
      </c>
      <c r="H7" t="s">
        <v>1302</v>
      </c>
      <c r="I7" t="s">
        <v>1303</v>
      </c>
      <c r="J7" t="n">
        <v>-4</v>
      </c>
      <c r="K7"/>
      <c r="L7"/>
    </row>
    <row r="8">
      <c r="A8" t="n">
        <v>8</v>
      </c>
      <c r="B8" t="s">
        <v>988</v>
      </c>
      <c r="C8" t="s">
        <v>1293</v>
      </c>
      <c r="D8" t="n">
        <v>48.8</v>
      </c>
      <c r="E8" t="n">
        <v>0.333333333333333</v>
      </c>
      <c r="F8" t="n">
        <v>1130.49</v>
      </c>
      <c r="G8" t="n">
        <v>0.146</v>
      </c>
      <c r="H8" t="s">
        <v>1304</v>
      </c>
      <c r="I8" t="s">
        <v>1305</v>
      </c>
      <c r="J8" t="n">
        <v>6.1</v>
      </c>
      <c r="K8"/>
      <c r="L8"/>
    </row>
    <row r="9">
      <c r="A9" t="n">
        <v>2032</v>
      </c>
      <c r="B9" t="s">
        <v>1131</v>
      </c>
      <c r="C9" t="s">
        <v>1296</v>
      </c>
      <c r="D9" t="n">
        <v>114.2</v>
      </c>
      <c r="E9" t="n">
        <v>0.461538461538462</v>
      </c>
      <c r="F9" t="n">
        <v>1075.19</v>
      </c>
      <c r="G9" t="n">
        <v>-2.0002</v>
      </c>
      <c r="H9" t="s">
        <v>1306</v>
      </c>
      <c r="I9" t="s">
        <v>1307</v>
      </c>
      <c r="J9" t="n">
        <v>-9.1</v>
      </c>
      <c r="K9"/>
      <c r="L9"/>
    </row>
    <row r="10">
      <c r="A10" t="n">
        <v>349</v>
      </c>
      <c r="B10" t="s">
        <v>1018</v>
      </c>
      <c r="C10" t="s">
        <v>1308</v>
      </c>
      <c r="D10" t="n">
        <v>74</v>
      </c>
      <c r="E10" t="n">
        <v>0.5</v>
      </c>
      <c r="F10" t="n">
        <v>1096.52</v>
      </c>
      <c r="G10" t="n">
        <v>-2.8762</v>
      </c>
      <c r="H10" t="s">
        <v>1309</v>
      </c>
      <c r="I10" t="s">
        <v>1310</v>
      </c>
      <c r="J10" t="n">
        <v>-11.1</v>
      </c>
      <c r="K10"/>
      <c r="L10"/>
    </row>
    <row r="11">
      <c r="A11" t="n">
        <v>2</v>
      </c>
      <c r="B11" t="s">
        <v>1150</v>
      </c>
      <c r="C11" t="s">
        <v>1293</v>
      </c>
      <c r="D11" t="n">
        <v>22.6</v>
      </c>
      <c r="E11" t="n">
        <v>0.461538461538462</v>
      </c>
      <c r="F11" t="n">
        <v>1288.49</v>
      </c>
      <c r="G11" t="n">
        <v>2.9273</v>
      </c>
      <c r="H11" t="s">
        <v>1311</v>
      </c>
      <c r="I11" t="s">
        <v>1312</v>
      </c>
      <c r="J11" t="n">
        <v>13.1</v>
      </c>
      <c r="K11"/>
      <c r="L11"/>
    </row>
    <row r="12">
      <c r="A12" t="n">
        <v>2050</v>
      </c>
      <c r="B12" t="s">
        <v>1313</v>
      </c>
      <c r="C12" t="s">
        <v>1290</v>
      </c>
      <c r="D12" t="n">
        <v>75.6</v>
      </c>
      <c r="E12" t="n">
        <v>0.333333333333333</v>
      </c>
      <c r="F12" t="n">
        <v>996.98</v>
      </c>
      <c r="G12" t="n">
        <v>-7.8402</v>
      </c>
      <c r="H12" t="s">
        <v>1314</v>
      </c>
      <c r="I12" t="s">
        <v>1315</v>
      </c>
      <c r="J12" t="n">
        <v>-16.9</v>
      </c>
      <c r="K12"/>
      <c r="L12"/>
    </row>
    <row r="13">
      <c r="A13" t="n">
        <v>239</v>
      </c>
      <c r="B13" t="s">
        <v>1127</v>
      </c>
      <c r="C13" t="s">
        <v>1299</v>
      </c>
      <c r="D13" t="n">
        <v>49.2</v>
      </c>
      <c r="E13" t="n">
        <v>0.25</v>
      </c>
      <c r="F13" t="n">
        <v>1093.36</v>
      </c>
      <c r="G13" t="n">
        <v>-3.5478</v>
      </c>
      <c r="H13" t="s">
        <v>1316</v>
      </c>
      <c r="I13" t="s">
        <v>1317</v>
      </c>
      <c r="J13" t="n">
        <v>2.2</v>
      </c>
      <c r="K13"/>
      <c r="L13"/>
    </row>
    <row r="14">
      <c r="A14" t="n">
        <v>68</v>
      </c>
      <c r="B14" t="s">
        <v>1097</v>
      </c>
      <c r="C14" t="s">
        <v>1287</v>
      </c>
      <c r="D14" t="n">
        <v>44.8</v>
      </c>
      <c r="E14" t="n">
        <v>0.571428571428571</v>
      </c>
      <c r="F14" t="n">
        <v>1364.33</v>
      </c>
      <c r="G14" t="n">
        <v>3.504</v>
      </c>
      <c r="H14" t="s">
        <v>1318</v>
      </c>
      <c r="I14" t="s">
        <v>1319</v>
      </c>
      <c r="J14" t="n">
        <v>7.9</v>
      </c>
      <c r="K14"/>
      <c r="L14"/>
    </row>
    <row r="15">
      <c r="A15" t="n">
        <v>103</v>
      </c>
      <c r="B15" t="s">
        <v>1186</v>
      </c>
      <c r="C15" t="s">
        <v>1320</v>
      </c>
      <c r="D15" t="n">
        <v>61.4</v>
      </c>
      <c r="E15" t="n">
        <v>0.538461538461538</v>
      </c>
      <c r="F15" t="n">
        <v>1002.51</v>
      </c>
      <c r="G15" t="n">
        <v>-1.8615</v>
      </c>
      <c r="H15" t="s">
        <v>1321</v>
      </c>
      <c r="I15" t="s">
        <v>1322</v>
      </c>
      <c r="J15" t="n">
        <v>-2.4</v>
      </c>
      <c r="K15"/>
      <c r="L15"/>
    </row>
    <row r="16">
      <c r="A16" t="n">
        <v>189</v>
      </c>
      <c r="B16" t="s">
        <v>983</v>
      </c>
      <c r="C16" t="s">
        <v>1290</v>
      </c>
      <c r="D16" t="n">
        <v>95.6</v>
      </c>
      <c r="E16" t="n">
        <v>0.538461538461538</v>
      </c>
      <c r="F16" t="n">
        <v>1110.74</v>
      </c>
      <c r="G16" t="n">
        <v>-1.4892</v>
      </c>
      <c r="H16" t="s">
        <v>1323</v>
      </c>
      <c r="I16" t="s">
        <v>1324</v>
      </c>
      <c r="J16" t="n">
        <v>-11.2</v>
      </c>
      <c r="K16"/>
      <c r="L16"/>
    </row>
    <row r="17">
      <c r="A17" t="n">
        <v>2084</v>
      </c>
      <c r="B17" t="s">
        <v>981</v>
      </c>
      <c r="C17" t="s">
        <v>1290</v>
      </c>
      <c r="D17" t="n">
        <v>114.6</v>
      </c>
      <c r="E17" t="n">
        <v>0.25</v>
      </c>
      <c r="F17" t="n">
        <v>1015.94</v>
      </c>
      <c r="G17" t="n">
        <v>-8.9936</v>
      </c>
      <c r="H17" t="s">
        <v>1325</v>
      </c>
      <c r="I17" t="s">
        <v>1326</v>
      </c>
      <c r="J17" t="n">
        <v>-17</v>
      </c>
      <c r="K17"/>
      <c r="L17"/>
    </row>
    <row r="18">
      <c r="A18" t="n">
        <v>252</v>
      </c>
      <c r="B18" t="s">
        <v>1164</v>
      </c>
      <c r="C18" t="s">
        <v>1299</v>
      </c>
      <c r="D18" t="n">
        <v>80.8</v>
      </c>
      <c r="E18" t="n">
        <v>0.416666666666667</v>
      </c>
      <c r="F18" t="n">
        <v>1077.56</v>
      </c>
      <c r="G18" t="n">
        <v>-0.6716</v>
      </c>
      <c r="H18" t="s">
        <v>1327</v>
      </c>
      <c r="I18" t="s">
        <v>1328</v>
      </c>
      <c r="J18" t="n">
        <v>-1.5</v>
      </c>
      <c r="K18"/>
      <c r="L18"/>
    </row>
    <row r="19">
      <c r="A19" t="n">
        <v>25</v>
      </c>
      <c r="B19" t="s">
        <v>1106</v>
      </c>
      <c r="C19" t="s">
        <v>1320</v>
      </c>
      <c r="D19" t="n">
        <v>91.4</v>
      </c>
      <c r="E19" t="n">
        <v>0.461538461538462</v>
      </c>
      <c r="F19" t="n">
        <v>1211.07</v>
      </c>
      <c r="G19" t="n">
        <v>1.3578</v>
      </c>
      <c r="H19" t="s">
        <v>1329</v>
      </c>
      <c r="I19" t="s">
        <v>1330</v>
      </c>
      <c r="J19" t="n">
        <v>2.8</v>
      </c>
      <c r="K19"/>
      <c r="L19"/>
    </row>
    <row r="20">
      <c r="A20" t="n">
        <v>2117</v>
      </c>
      <c r="B20" t="s">
        <v>985</v>
      </c>
      <c r="C20" t="s">
        <v>1290</v>
      </c>
      <c r="D20" t="n">
        <v>54.6</v>
      </c>
      <c r="E20" t="n">
        <v>0.416666666666667</v>
      </c>
      <c r="F20" t="n">
        <v>987.5</v>
      </c>
      <c r="G20" t="n">
        <v>-9.6214</v>
      </c>
      <c r="H20" t="s">
        <v>1331</v>
      </c>
      <c r="I20" t="s">
        <v>1332</v>
      </c>
      <c r="J20" t="n">
        <v>-15.9</v>
      </c>
      <c r="K20"/>
      <c r="L20"/>
    </row>
    <row r="21">
      <c r="A21" t="n">
        <v>2429</v>
      </c>
      <c r="B21" t="s">
        <v>1167</v>
      </c>
      <c r="C21" t="s">
        <v>1308</v>
      </c>
      <c r="D21" t="n">
        <v>108</v>
      </c>
      <c r="E21" t="n">
        <v>0.25</v>
      </c>
      <c r="F21" t="n">
        <v>833.45</v>
      </c>
      <c r="G21" t="n">
        <v>-9.4243</v>
      </c>
      <c r="H21" t="s">
        <v>1333</v>
      </c>
      <c r="I21" t="s">
        <v>1334</v>
      </c>
      <c r="J21" t="n">
        <v>-18.1</v>
      </c>
      <c r="K21"/>
      <c r="L21"/>
    </row>
    <row r="22">
      <c r="A22" t="n">
        <v>2132</v>
      </c>
      <c r="B22" t="s">
        <v>1063</v>
      </c>
      <c r="C22" t="s">
        <v>1299</v>
      </c>
      <c r="D22" t="n">
        <v>93.4</v>
      </c>
      <c r="E22" t="n">
        <v>0.25</v>
      </c>
      <c r="F22" t="n">
        <v>1060.18</v>
      </c>
      <c r="G22" t="n">
        <v>-4.3873</v>
      </c>
      <c r="H22" t="s">
        <v>1335</v>
      </c>
      <c r="I22" t="s">
        <v>1336</v>
      </c>
      <c r="J22" t="n">
        <v>-0.1</v>
      </c>
      <c r="K22"/>
      <c r="L22"/>
    </row>
    <row r="23">
      <c r="A23" t="n">
        <v>228</v>
      </c>
      <c r="B23" t="s">
        <v>1051</v>
      </c>
      <c r="C23" t="s">
        <v>1320</v>
      </c>
      <c r="D23" t="n">
        <v>40.4</v>
      </c>
      <c r="E23" t="n">
        <v>0.692307692307692</v>
      </c>
      <c r="F23" t="n">
        <v>1397.51</v>
      </c>
      <c r="G23" t="n">
        <v>7.1686</v>
      </c>
      <c r="H23" t="s">
        <v>1337</v>
      </c>
      <c r="I23" t="s">
        <v>1338</v>
      </c>
      <c r="J23" t="n">
        <v>18.8</v>
      </c>
      <c r="K23"/>
      <c r="L23" t="n">
        <v>1</v>
      </c>
    </row>
    <row r="24">
      <c r="A24" t="n">
        <v>324</v>
      </c>
      <c r="B24" t="s">
        <v>998</v>
      </c>
      <c r="C24" t="s">
        <v>1296</v>
      </c>
      <c r="D24" t="n">
        <v>45.2</v>
      </c>
      <c r="E24" t="n">
        <v>0.615384615384615</v>
      </c>
      <c r="F24" t="n">
        <v>1098.89</v>
      </c>
      <c r="G24" t="n">
        <v>0.584</v>
      </c>
      <c r="H24" t="s">
        <v>1339</v>
      </c>
      <c r="I24" t="s">
        <v>1340</v>
      </c>
      <c r="J24" t="n">
        <v>-6.5</v>
      </c>
      <c r="K24"/>
      <c r="L24"/>
    </row>
    <row r="25">
      <c r="A25" t="n">
        <v>38</v>
      </c>
      <c r="B25" t="s">
        <v>999</v>
      </c>
      <c r="C25" t="s">
        <v>1299</v>
      </c>
      <c r="D25" t="n">
        <v>98.8</v>
      </c>
      <c r="E25" t="n">
        <v>0.333333333333333</v>
      </c>
      <c r="F25" t="n">
        <v>977.23</v>
      </c>
      <c r="G25" t="n">
        <v>0.7154</v>
      </c>
      <c r="H25" t="s">
        <v>1341</v>
      </c>
      <c r="I25" t="s">
        <v>1342</v>
      </c>
      <c r="J25" t="n">
        <v>0.3</v>
      </c>
      <c r="K25"/>
      <c r="L25"/>
    </row>
    <row r="26">
      <c r="A26" t="n">
        <v>36</v>
      </c>
      <c r="B26" t="s">
        <v>1090</v>
      </c>
      <c r="C26" t="s">
        <v>1287</v>
      </c>
      <c r="D26" t="n">
        <v>89.4</v>
      </c>
      <c r="E26" t="n">
        <v>0.416666666666667</v>
      </c>
      <c r="F26" t="n">
        <v>1008.04</v>
      </c>
      <c r="G26" t="n">
        <v>-5.3655</v>
      </c>
      <c r="H26" t="s">
        <v>1343</v>
      </c>
      <c r="I26" t="s">
        <v>1344</v>
      </c>
      <c r="J26" t="n">
        <v>-10.6</v>
      </c>
      <c r="K26"/>
      <c r="L26"/>
    </row>
    <row r="27">
      <c r="A27" t="n">
        <v>41</v>
      </c>
      <c r="B27" t="s">
        <v>1053</v>
      </c>
      <c r="C27" t="s">
        <v>1345</v>
      </c>
      <c r="D27" t="n">
        <v>100.6</v>
      </c>
      <c r="E27" t="n">
        <v>0.25</v>
      </c>
      <c r="F27" t="n">
        <v>865.84</v>
      </c>
      <c r="G27" t="n">
        <v>-7.2416</v>
      </c>
      <c r="H27" t="s">
        <v>1346</v>
      </c>
      <c r="I27" t="s">
        <v>1347</v>
      </c>
      <c r="J27" t="n">
        <v>-17.9</v>
      </c>
      <c r="K27"/>
      <c r="L27"/>
    </row>
    <row r="28">
      <c r="A28" t="n">
        <v>150</v>
      </c>
      <c r="B28" t="s">
        <v>1026</v>
      </c>
      <c r="C28" t="s">
        <v>1320</v>
      </c>
      <c r="D28" t="n">
        <v>89</v>
      </c>
      <c r="E28" t="n">
        <v>0.615384615384615</v>
      </c>
      <c r="F28" t="n">
        <v>1286.91</v>
      </c>
      <c r="G28" t="n">
        <v>6.5846</v>
      </c>
      <c r="H28" t="s">
        <v>1348</v>
      </c>
      <c r="I28" t="s">
        <v>1349</v>
      </c>
      <c r="J28" t="n">
        <v>3.1</v>
      </c>
      <c r="K28"/>
      <c r="L28"/>
    </row>
    <row r="29">
      <c r="A29" t="n">
        <v>151</v>
      </c>
      <c r="B29" t="s">
        <v>1115</v>
      </c>
      <c r="C29" t="s">
        <v>1308</v>
      </c>
      <c r="D29" t="n">
        <v>70.4</v>
      </c>
      <c r="E29" t="n">
        <v>0.166666666666667</v>
      </c>
      <c r="F29" t="n">
        <v>1071.24</v>
      </c>
      <c r="G29" t="n">
        <v>-6.7598</v>
      </c>
      <c r="H29" t="s">
        <v>1350</v>
      </c>
      <c r="I29" t="s">
        <v>1351</v>
      </c>
      <c r="J29" t="n">
        <v>-9.5</v>
      </c>
      <c r="K29"/>
      <c r="L29"/>
    </row>
    <row r="30">
      <c r="A30" t="n">
        <v>2199</v>
      </c>
      <c r="B30" t="s">
        <v>1078</v>
      </c>
      <c r="C30" t="s">
        <v>1290</v>
      </c>
      <c r="D30" t="n">
        <v>99</v>
      </c>
      <c r="E30" t="n">
        <v>0.461538461538462</v>
      </c>
      <c r="F30" t="n">
        <v>1015.15</v>
      </c>
      <c r="G30" t="n">
        <v>-10.3368</v>
      </c>
      <c r="H30" t="s">
        <v>1352</v>
      </c>
      <c r="I30" t="s">
        <v>1353</v>
      </c>
      <c r="J30" t="n">
        <v>-15.9</v>
      </c>
      <c r="K30"/>
      <c r="L30"/>
    </row>
    <row r="31">
      <c r="A31" t="n">
        <v>57</v>
      </c>
      <c r="B31" t="s">
        <v>1087</v>
      </c>
      <c r="C31" t="s">
        <v>1293</v>
      </c>
      <c r="D31" t="n">
        <v>68.8</v>
      </c>
      <c r="E31" t="n">
        <v>0.416666666666667</v>
      </c>
      <c r="F31" t="n">
        <v>1259.26</v>
      </c>
      <c r="G31" t="n">
        <v>2.4163</v>
      </c>
      <c r="H31" t="s">
        <v>1354</v>
      </c>
      <c r="I31" t="s">
        <v>1355</v>
      </c>
      <c r="J31" t="n">
        <v>13.2</v>
      </c>
      <c r="K31"/>
      <c r="L31"/>
    </row>
    <row r="32">
      <c r="A32" t="n">
        <v>2226</v>
      </c>
      <c r="B32" t="s">
        <v>1022</v>
      </c>
      <c r="C32" t="s">
        <v>1308</v>
      </c>
      <c r="D32" t="n">
        <v>86</v>
      </c>
      <c r="E32" t="n">
        <v>0.333333333333333</v>
      </c>
      <c r="F32" t="n">
        <v>1092.57</v>
      </c>
      <c r="G32" t="n">
        <v>-5.1173</v>
      </c>
      <c r="H32" t="s">
        <v>1356</v>
      </c>
      <c r="I32" t="s">
        <v>1344</v>
      </c>
      <c r="J32" t="n">
        <v>-12.2</v>
      </c>
      <c r="K32"/>
      <c r="L32"/>
    </row>
    <row r="33">
      <c r="A33" t="n">
        <v>2229</v>
      </c>
      <c r="B33" t="s">
        <v>1082</v>
      </c>
      <c r="C33" t="s">
        <v>1357</v>
      </c>
      <c r="D33" t="n">
        <v>102.6</v>
      </c>
      <c r="E33" t="n">
        <v>0.333333333333333</v>
      </c>
      <c r="F33" t="n">
        <v>787.63</v>
      </c>
      <c r="G33" t="n">
        <v>-11.169</v>
      </c>
      <c r="H33" t="s">
        <v>1358</v>
      </c>
      <c r="I33" t="s">
        <v>1359</v>
      </c>
      <c r="J33" t="n">
        <v>-19</v>
      </c>
      <c r="K33"/>
      <c r="L33"/>
    </row>
    <row r="34">
      <c r="A34" t="n">
        <v>52</v>
      </c>
      <c r="B34" t="s">
        <v>959</v>
      </c>
      <c r="C34" t="s">
        <v>1320</v>
      </c>
      <c r="D34" t="n">
        <v>42.8</v>
      </c>
      <c r="E34" t="n">
        <v>0.928571428571429</v>
      </c>
      <c r="F34" t="n">
        <v>1541.29</v>
      </c>
      <c r="G34" t="n">
        <v>12.0523</v>
      </c>
      <c r="H34" t="s">
        <v>1360</v>
      </c>
      <c r="I34" t="s">
        <v>1361</v>
      </c>
      <c r="J34" t="n">
        <v>19.9</v>
      </c>
      <c r="K34"/>
      <c r="L34" t="n">
        <v>1</v>
      </c>
    </row>
    <row r="35">
      <c r="A35" t="n">
        <v>278</v>
      </c>
      <c r="B35" t="s">
        <v>1147</v>
      </c>
      <c r="C35" t="s">
        <v>1287</v>
      </c>
      <c r="D35" t="n">
        <v>46.4</v>
      </c>
      <c r="E35" t="n">
        <v>0.692307692307692</v>
      </c>
      <c r="F35" t="n">
        <v>1196.06</v>
      </c>
      <c r="G35" t="n">
        <v>-0.3942</v>
      </c>
      <c r="H35" t="s">
        <v>1362</v>
      </c>
      <c r="I35" t="s">
        <v>1363</v>
      </c>
      <c r="J35" t="n">
        <v>-0.1</v>
      </c>
      <c r="K35"/>
      <c r="L35"/>
    </row>
    <row r="36">
      <c r="A36" t="n">
        <v>61</v>
      </c>
      <c r="B36" t="s">
        <v>1050</v>
      </c>
      <c r="C36" t="s">
        <v>1293</v>
      </c>
      <c r="D36" t="n">
        <v>25</v>
      </c>
      <c r="E36" t="n">
        <v>0.928571428571429</v>
      </c>
      <c r="F36" t="n">
        <v>1667.69</v>
      </c>
      <c r="G36" t="n">
        <v>14.6</v>
      </c>
      <c r="H36" t="s">
        <v>1364</v>
      </c>
      <c r="I36" t="s">
        <v>1365</v>
      </c>
      <c r="J36" t="n">
        <v>34.2</v>
      </c>
      <c r="K36"/>
      <c r="L36" t="n">
        <v>1</v>
      </c>
    </row>
    <row r="37">
      <c r="A37" t="n">
        <v>290</v>
      </c>
      <c r="B37" t="s">
        <v>1096</v>
      </c>
      <c r="C37" t="s">
        <v>1296</v>
      </c>
      <c r="D37" t="n">
        <v>88.6</v>
      </c>
      <c r="E37" t="n">
        <v>0.461538461538462</v>
      </c>
      <c r="F37" t="n">
        <v>1080.72</v>
      </c>
      <c r="G37" t="n">
        <v>-4.1683</v>
      </c>
      <c r="H37" t="s">
        <v>1274</v>
      </c>
      <c r="I37" t="s">
        <v>1366</v>
      </c>
      <c r="J37" t="n">
        <v>-10.3</v>
      </c>
      <c r="K37"/>
      <c r="L37"/>
    </row>
    <row r="38">
      <c r="A38" t="n">
        <v>2247</v>
      </c>
      <c r="B38" t="s">
        <v>1169</v>
      </c>
      <c r="C38" t="s">
        <v>1296</v>
      </c>
      <c r="D38" t="n">
        <v>89.8</v>
      </c>
      <c r="E38" t="n">
        <v>0.538461538461538</v>
      </c>
      <c r="F38" t="n">
        <v>1045.17</v>
      </c>
      <c r="G38" t="n">
        <v>-2.3652</v>
      </c>
      <c r="H38" t="s">
        <v>1367</v>
      </c>
      <c r="I38" t="s">
        <v>1368</v>
      </c>
      <c r="J38" t="n">
        <v>-11.3</v>
      </c>
      <c r="K38"/>
      <c r="L38"/>
    </row>
    <row r="39">
      <c r="A39" t="n">
        <v>59</v>
      </c>
      <c r="B39" t="s">
        <v>958</v>
      </c>
      <c r="C39" t="s">
        <v>1320</v>
      </c>
      <c r="D39" t="n">
        <v>35.6</v>
      </c>
      <c r="E39" t="n">
        <v>0.538461538461538</v>
      </c>
      <c r="F39" t="n">
        <v>1149.45</v>
      </c>
      <c r="G39" t="n">
        <v>2.7083</v>
      </c>
      <c r="H39" t="s">
        <v>1369</v>
      </c>
      <c r="I39" t="s">
        <v>1370</v>
      </c>
      <c r="J39" t="n">
        <v>0.6</v>
      </c>
      <c r="K39"/>
      <c r="L39"/>
    </row>
    <row r="40">
      <c r="A40" t="n">
        <v>62</v>
      </c>
      <c r="B40" t="s">
        <v>967</v>
      </c>
      <c r="C40" t="s">
        <v>1287</v>
      </c>
      <c r="D40" t="n">
        <v>87.4</v>
      </c>
      <c r="E40" t="n">
        <v>0.384615384615385</v>
      </c>
      <c r="F40" t="n">
        <v>861.89</v>
      </c>
      <c r="G40" t="n">
        <v>-7.8767</v>
      </c>
      <c r="H40" t="s">
        <v>1343</v>
      </c>
      <c r="I40" t="s">
        <v>1347</v>
      </c>
      <c r="J40" t="n">
        <v>-12.6</v>
      </c>
      <c r="K40"/>
      <c r="L40"/>
    </row>
    <row r="41">
      <c r="A41" t="n">
        <v>248</v>
      </c>
      <c r="B41" t="s">
        <v>1140</v>
      </c>
      <c r="C41" t="s">
        <v>1299</v>
      </c>
      <c r="D41" t="n">
        <v>93.6</v>
      </c>
      <c r="E41" t="n">
        <v>0.333333333333333</v>
      </c>
      <c r="F41" t="n">
        <v>1122.59</v>
      </c>
      <c r="G41" t="n">
        <v>-1.8542</v>
      </c>
      <c r="H41" t="s">
        <v>1371</v>
      </c>
      <c r="I41" t="s">
        <v>1372</v>
      </c>
      <c r="J41" t="n">
        <v>-3.3</v>
      </c>
      <c r="K41"/>
      <c r="L41"/>
    </row>
    <row r="42">
      <c r="A42" t="n">
        <v>356</v>
      </c>
      <c r="B42" t="s">
        <v>1010</v>
      </c>
      <c r="C42" t="s">
        <v>1373</v>
      </c>
      <c r="D42" t="n">
        <v>49.6</v>
      </c>
      <c r="E42" t="n">
        <v>0.416666666666667</v>
      </c>
      <c r="F42" t="n">
        <v>1188.16</v>
      </c>
      <c r="G42" t="n">
        <v>-0.3066</v>
      </c>
      <c r="H42" t="s">
        <v>1374</v>
      </c>
      <c r="I42" t="s">
        <v>1298</v>
      </c>
      <c r="J42" t="n">
        <v>0.1</v>
      </c>
      <c r="K42"/>
      <c r="L42"/>
    </row>
    <row r="43">
      <c r="A43" t="n">
        <v>84</v>
      </c>
      <c r="B43" t="s">
        <v>1081</v>
      </c>
      <c r="C43" t="s">
        <v>1373</v>
      </c>
      <c r="D43" t="n">
        <v>68.2</v>
      </c>
      <c r="E43" t="n">
        <v>0.25</v>
      </c>
      <c r="F43" t="n">
        <v>1060.97</v>
      </c>
      <c r="G43" t="n">
        <v>-1.8177</v>
      </c>
      <c r="H43" t="s">
        <v>1375</v>
      </c>
      <c r="I43" t="s">
        <v>1303</v>
      </c>
      <c r="J43" t="n">
        <v>-4.5</v>
      </c>
      <c r="K43"/>
      <c r="L43"/>
    </row>
    <row r="44">
      <c r="A44" t="n">
        <v>2294</v>
      </c>
      <c r="B44" t="s">
        <v>1054</v>
      </c>
      <c r="C44" t="s">
        <v>1373</v>
      </c>
      <c r="D44" t="n">
        <v>41.6</v>
      </c>
      <c r="E44" t="n">
        <v>0.714285714285714</v>
      </c>
      <c r="F44" t="n">
        <v>1316.14</v>
      </c>
      <c r="G44" t="n">
        <v>4.5698</v>
      </c>
      <c r="H44" t="s">
        <v>1376</v>
      </c>
      <c r="I44" t="s">
        <v>1370</v>
      </c>
      <c r="J44" t="n">
        <v>13.2</v>
      </c>
      <c r="K44"/>
      <c r="L44" t="n">
        <v>1</v>
      </c>
    </row>
    <row r="45">
      <c r="A45" t="n">
        <v>66</v>
      </c>
      <c r="B45" t="s">
        <v>1075</v>
      </c>
      <c r="C45" t="s">
        <v>1299</v>
      </c>
      <c r="D45" t="n">
        <v>78</v>
      </c>
      <c r="E45" t="n">
        <v>0.538461538461538</v>
      </c>
      <c r="F45" t="n">
        <v>1344.58</v>
      </c>
      <c r="G45" t="n">
        <v>5.256</v>
      </c>
      <c r="H45" t="s">
        <v>1377</v>
      </c>
      <c r="I45" t="s">
        <v>1378</v>
      </c>
      <c r="J45" t="n">
        <v>11.5</v>
      </c>
      <c r="K45"/>
      <c r="L45"/>
    </row>
    <row r="46">
      <c r="A46" t="n">
        <v>55</v>
      </c>
      <c r="B46" t="s">
        <v>997</v>
      </c>
      <c r="C46" t="s">
        <v>1357</v>
      </c>
      <c r="D46" t="n">
        <v>108.6</v>
      </c>
      <c r="E46" t="n">
        <v>0.692307692307692</v>
      </c>
      <c r="F46" t="n">
        <v>1233.19</v>
      </c>
      <c r="G46" t="n">
        <v>0.4964</v>
      </c>
      <c r="H46" t="s">
        <v>1379</v>
      </c>
      <c r="I46" t="s">
        <v>1380</v>
      </c>
      <c r="J46" t="n">
        <v>-9.9</v>
      </c>
      <c r="K46"/>
      <c r="L46"/>
    </row>
    <row r="47">
      <c r="A47" t="n">
        <v>256</v>
      </c>
      <c r="B47" t="s">
        <v>1168</v>
      </c>
      <c r="C47" t="s">
        <v>1296</v>
      </c>
      <c r="D47" t="n">
        <v>49.2</v>
      </c>
      <c r="E47" t="n">
        <v>0.846153846153846</v>
      </c>
      <c r="F47" t="n">
        <v>1449.65</v>
      </c>
      <c r="G47" t="n">
        <v>6.2269</v>
      </c>
      <c r="H47" t="s">
        <v>1381</v>
      </c>
      <c r="I47" t="s">
        <v>1382</v>
      </c>
      <c r="J47" t="n">
        <v>0.7</v>
      </c>
      <c r="K47"/>
      <c r="L47"/>
    </row>
    <row r="48">
      <c r="A48" t="n">
        <v>2305</v>
      </c>
      <c r="B48" t="s">
        <v>1007</v>
      </c>
      <c r="C48" t="s">
        <v>1299</v>
      </c>
      <c r="D48" t="n">
        <v>38.4</v>
      </c>
      <c r="E48" t="n">
        <v>0.692307692307692</v>
      </c>
      <c r="F48" t="n">
        <v>1320.09</v>
      </c>
      <c r="G48" t="n">
        <v>6.6138</v>
      </c>
      <c r="H48" t="s">
        <v>1383</v>
      </c>
      <c r="I48" t="s">
        <v>1384</v>
      </c>
      <c r="J48" t="n">
        <v>9.7</v>
      </c>
      <c r="K48"/>
      <c r="L48" t="n">
        <v>1</v>
      </c>
    </row>
    <row r="49">
      <c r="A49" t="n">
        <v>2306</v>
      </c>
      <c r="B49" t="s">
        <v>1133</v>
      </c>
      <c r="C49" t="s">
        <v>1299</v>
      </c>
      <c r="D49" t="n">
        <v>43.2</v>
      </c>
      <c r="E49" t="n">
        <v>0.692307692307692</v>
      </c>
      <c r="F49" t="n">
        <v>1534.18</v>
      </c>
      <c r="G49" t="n">
        <v>11.4099</v>
      </c>
      <c r="H49" t="s">
        <v>1385</v>
      </c>
      <c r="I49" t="s">
        <v>1386</v>
      </c>
      <c r="J49" t="n">
        <v>16.4</v>
      </c>
      <c r="K49"/>
      <c r="L49" t="n">
        <v>1</v>
      </c>
    </row>
    <row r="50">
      <c r="A50" t="n">
        <v>338</v>
      </c>
      <c r="B50" t="s">
        <v>1094</v>
      </c>
      <c r="C50" t="s">
        <v>1357</v>
      </c>
      <c r="D50"/>
      <c r="E50"/>
      <c r="F50"/>
      <c r="G50"/>
      <c r="H50" t="s">
        <v>1387</v>
      </c>
      <c r="I50"/>
      <c r="J50" t="n">
        <v>-20.9</v>
      </c>
      <c r="K50"/>
      <c r="L50"/>
    </row>
    <row r="51">
      <c r="A51" t="n">
        <v>2309</v>
      </c>
      <c r="B51" t="s">
        <v>1049</v>
      </c>
      <c r="C51" t="s">
        <v>1290</v>
      </c>
      <c r="D51" t="n">
        <v>105</v>
      </c>
      <c r="E51" t="n">
        <v>0.0833333333333333</v>
      </c>
      <c r="F51" t="n">
        <v>779.73</v>
      </c>
      <c r="G51" t="n">
        <v>-16.3009</v>
      </c>
      <c r="H51" t="s">
        <v>1388</v>
      </c>
      <c r="I51" t="s">
        <v>1389</v>
      </c>
      <c r="J51" t="n">
        <v>-20.9</v>
      </c>
      <c r="K51"/>
      <c r="L51"/>
    </row>
    <row r="52">
      <c r="A52" t="n">
        <v>96</v>
      </c>
      <c r="B52" t="s">
        <v>1155</v>
      </c>
      <c r="C52" t="s">
        <v>1293</v>
      </c>
      <c r="D52" t="n">
        <v>34.8</v>
      </c>
      <c r="E52" t="n">
        <v>0.538461538461538</v>
      </c>
      <c r="F52" t="n">
        <v>1292.44</v>
      </c>
      <c r="G52" t="n">
        <v>3.9055</v>
      </c>
      <c r="H52" t="s">
        <v>1390</v>
      </c>
      <c r="I52" t="s">
        <v>1391</v>
      </c>
      <c r="J52" t="n">
        <v>13.8</v>
      </c>
      <c r="K52"/>
      <c r="L52"/>
    </row>
    <row r="53">
      <c r="A53" t="n">
        <v>2335</v>
      </c>
      <c r="B53" t="s">
        <v>1109</v>
      </c>
      <c r="C53" t="s">
        <v>1357</v>
      </c>
      <c r="D53" t="n">
        <v>89.8</v>
      </c>
      <c r="E53" t="n">
        <v>0.928571428571429</v>
      </c>
      <c r="F53" t="n">
        <v>1330.36</v>
      </c>
      <c r="G53" t="n">
        <v>6.7014</v>
      </c>
      <c r="H53" t="s">
        <v>1392</v>
      </c>
      <c r="I53" t="s">
        <v>1393</v>
      </c>
      <c r="J53" t="n">
        <v>3.9</v>
      </c>
      <c r="K53"/>
      <c r="L53"/>
    </row>
    <row r="54">
      <c r="A54" t="n">
        <v>309</v>
      </c>
      <c r="B54" t="s">
        <v>1170</v>
      </c>
      <c r="C54" t="s">
        <v>1296</v>
      </c>
      <c r="D54" t="n">
        <v>72</v>
      </c>
      <c r="E54" t="n">
        <v>0.461538461538462</v>
      </c>
      <c r="F54" t="n">
        <v>1177.89</v>
      </c>
      <c r="G54" t="n">
        <v>-1.8177</v>
      </c>
      <c r="H54" t="s">
        <v>1394</v>
      </c>
      <c r="I54" t="s">
        <v>1340</v>
      </c>
      <c r="J54" t="n">
        <v>-2.4</v>
      </c>
      <c r="K54"/>
      <c r="L54"/>
    </row>
    <row r="55">
      <c r="A55" t="n">
        <v>2433</v>
      </c>
      <c r="B55" t="s">
        <v>973</v>
      </c>
      <c r="C55" t="s">
        <v>1296</v>
      </c>
      <c r="D55" t="n">
        <v>117.4</v>
      </c>
      <c r="E55" t="n">
        <v>0.166666666666667</v>
      </c>
      <c r="F55" t="n">
        <v>778.15</v>
      </c>
      <c r="G55" t="n">
        <v>-9.709</v>
      </c>
      <c r="H55" t="s">
        <v>1395</v>
      </c>
      <c r="I55" t="s">
        <v>1396</v>
      </c>
      <c r="J55" t="n">
        <v>-23.4</v>
      </c>
      <c r="K55"/>
      <c r="L55"/>
    </row>
    <row r="56">
      <c r="A56" t="n">
        <v>2348</v>
      </c>
      <c r="B56" t="s">
        <v>1160</v>
      </c>
      <c r="C56" t="s">
        <v>1357</v>
      </c>
      <c r="D56" t="n">
        <v>119</v>
      </c>
      <c r="E56" t="n">
        <v>0.25</v>
      </c>
      <c r="F56" t="n">
        <v>884.01</v>
      </c>
      <c r="G56" t="n">
        <v>-8.2344</v>
      </c>
      <c r="H56" t="s">
        <v>1397</v>
      </c>
      <c r="I56" t="s">
        <v>1398</v>
      </c>
      <c r="J56" t="n">
        <v>-16.7</v>
      </c>
      <c r="K56"/>
      <c r="L56"/>
    </row>
    <row r="57">
      <c r="A57" t="n">
        <v>97</v>
      </c>
      <c r="B57" t="s">
        <v>1038</v>
      </c>
      <c r="C57" t="s">
        <v>1320</v>
      </c>
      <c r="D57" t="n">
        <v>25.4</v>
      </c>
      <c r="E57" t="n">
        <v>0.714285714285714</v>
      </c>
      <c r="F57" t="n">
        <v>1365.12</v>
      </c>
      <c r="G57" t="n">
        <v>7.6066</v>
      </c>
      <c r="H57" t="s">
        <v>1399</v>
      </c>
      <c r="I57" t="s">
        <v>1400</v>
      </c>
      <c r="J57" t="n">
        <v>11.3</v>
      </c>
      <c r="K57"/>
      <c r="L57"/>
    </row>
    <row r="58">
      <c r="A58" t="n">
        <v>99</v>
      </c>
      <c r="B58" t="s">
        <v>1183</v>
      </c>
      <c r="C58" t="s">
        <v>1293</v>
      </c>
      <c r="D58" t="n">
        <v>37</v>
      </c>
      <c r="E58" t="n">
        <v>0.769230769230769</v>
      </c>
      <c r="F58" t="n">
        <v>1576.05</v>
      </c>
      <c r="G58" t="n">
        <v>10.7018</v>
      </c>
      <c r="H58" t="s">
        <v>1401</v>
      </c>
      <c r="I58" t="s">
        <v>1402</v>
      </c>
      <c r="J58" t="n">
        <v>23.1</v>
      </c>
      <c r="K58"/>
      <c r="L58" t="n">
        <v>1</v>
      </c>
    </row>
    <row r="59">
      <c r="A59" t="n">
        <v>276</v>
      </c>
      <c r="B59" t="s">
        <v>1102</v>
      </c>
      <c r="C59" t="s">
        <v>1296</v>
      </c>
      <c r="D59" t="n">
        <v>68</v>
      </c>
      <c r="E59" t="n">
        <v>0.461538461538462</v>
      </c>
      <c r="F59" t="n">
        <v>1083.09</v>
      </c>
      <c r="G59" t="n">
        <v>-4.3143</v>
      </c>
      <c r="H59" t="s">
        <v>1403</v>
      </c>
      <c r="I59" t="s">
        <v>1404</v>
      </c>
      <c r="J59" t="n">
        <v>-9.9</v>
      </c>
      <c r="K59"/>
      <c r="L59"/>
    </row>
    <row r="60">
      <c r="A60" t="n">
        <v>120</v>
      </c>
      <c r="B60" t="s">
        <v>1052</v>
      </c>
      <c r="C60" t="s">
        <v>1373</v>
      </c>
      <c r="D60" t="n">
        <v>32.8</v>
      </c>
      <c r="E60" t="n">
        <v>0.615384615384615</v>
      </c>
      <c r="F60" t="n">
        <v>1302.71</v>
      </c>
      <c r="G60" t="n">
        <v>7.1102</v>
      </c>
      <c r="H60" t="s">
        <v>1390</v>
      </c>
      <c r="I60" t="s">
        <v>1405</v>
      </c>
      <c r="J60" t="n">
        <v>5.2</v>
      </c>
      <c r="K60"/>
      <c r="L60"/>
    </row>
    <row r="61">
      <c r="A61" t="n">
        <v>235</v>
      </c>
      <c r="B61" t="s">
        <v>1129</v>
      </c>
      <c r="C61" t="s">
        <v>1308</v>
      </c>
      <c r="D61" t="n">
        <v>48.4</v>
      </c>
      <c r="E61" t="n">
        <v>0.769230769230769</v>
      </c>
      <c r="F61" t="n">
        <v>1241.09</v>
      </c>
      <c r="G61" t="n">
        <v>4.5917</v>
      </c>
      <c r="H61" t="s">
        <v>1406</v>
      </c>
      <c r="I61" t="s">
        <v>1289</v>
      </c>
      <c r="J61" t="n">
        <v>6.1</v>
      </c>
      <c r="K61"/>
      <c r="L61"/>
    </row>
    <row r="62">
      <c r="A62" t="n">
        <v>2390</v>
      </c>
      <c r="B62" t="s">
        <v>1088</v>
      </c>
      <c r="C62" t="s">
        <v>1320</v>
      </c>
      <c r="D62" t="n">
        <v>18</v>
      </c>
      <c r="E62" t="n">
        <v>0.538461538461538</v>
      </c>
      <c r="F62" t="n">
        <v>1264</v>
      </c>
      <c r="G62" t="n">
        <v>5.8181</v>
      </c>
      <c r="H62" t="s">
        <v>1407</v>
      </c>
      <c r="I62" t="s">
        <v>1408</v>
      </c>
      <c r="J62" t="n">
        <v>15.5</v>
      </c>
      <c r="K62"/>
      <c r="L62" t="n">
        <v>1</v>
      </c>
    </row>
    <row r="63">
      <c r="A63" t="n">
        <v>193</v>
      </c>
      <c r="B63" t="s">
        <v>1072</v>
      </c>
      <c r="C63" t="s">
        <v>1290</v>
      </c>
      <c r="D63" t="n">
        <v>74.8</v>
      </c>
      <c r="E63" t="n">
        <v>0.785714285714286</v>
      </c>
      <c r="F63" t="n">
        <v>1194.48</v>
      </c>
      <c r="G63" t="n">
        <v>1.2775</v>
      </c>
      <c r="H63" t="s">
        <v>1409</v>
      </c>
      <c r="I63" t="s">
        <v>1410</v>
      </c>
      <c r="J63" t="n">
        <v>-4</v>
      </c>
      <c r="K63"/>
      <c r="L63"/>
    </row>
    <row r="64">
      <c r="A64" t="n">
        <v>130</v>
      </c>
      <c r="B64" t="s">
        <v>1146</v>
      </c>
      <c r="C64" t="s">
        <v>1373</v>
      </c>
      <c r="D64" t="n">
        <v>22.4</v>
      </c>
      <c r="E64" t="n">
        <v>1</v>
      </c>
      <c r="F64" t="n">
        <v>1717.46</v>
      </c>
      <c r="G64" t="n">
        <v>18.2573</v>
      </c>
      <c r="H64" t="s">
        <v>1411</v>
      </c>
      <c r="I64" t="s">
        <v>1412</v>
      </c>
      <c r="J64" t="n">
        <v>25</v>
      </c>
      <c r="K64"/>
      <c r="L64" t="n">
        <v>1</v>
      </c>
    </row>
    <row r="65">
      <c r="A65" t="n">
        <v>127</v>
      </c>
      <c r="B65" t="s">
        <v>1021</v>
      </c>
      <c r="C65" t="s">
        <v>1373</v>
      </c>
      <c r="D65" t="n">
        <v>84.6</v>
      </c>
      <c r="E65" t="n">
        <v>0.333333333333333</v>
      </c>
      <c r="F65" t="n">
        <v>1057.02</v>
      </c>
      <c r="G65" t="n">
        <v>-1.1242</v>
      </c>
      <c r="H65" t="s">
        <v>1413</v>
      </c>
      <c r="I65" t="s">
        <v>1414</v>
      </c>
      <c r="J65" t="n">
        <v>-2.4</v>
      </c>
      <c r="K65"/>
      <c r="L65"/>
    </row>
    <row r="66">
      <c r="A66" t="n">
        <v>2393</v>
      </c>
      <c r="B66" t="s">
        <v>1135</v>
      </c>
      <c r="C66" t="s">
        <v>1357</v>
      </c>
      <c r="D66" t="n">
        <v>115.6</v>
      </c>
      <c r="E66" t="n">
        <v>0.333333333333333</v>
      </c>
      <c r="F66" t="n">
        <v>1067.29</v>
      </c>
      <c r="G66" t="n">
        <v>-4.088</v>
      </c>
      <c r="H66" t="s">
        <v>1415</v>
      </c>
      <c r="I66" t="s">
        <v>1416</v>
      </c>
      <c r="J66" t="n">
        <v>-13.4</v>
      </c>
      <c r="K66"/>
      <c r="L66"/>
    </row>
    <row r="67">
      <c r="A67" t="n">
        <v>135</v>
      </c>
      <c r="B67" t="s">
        <v>995</v>
      </c>
      <c r="C67" t="s">
        <v>1373</v>
      </c>
      <c r="D67" t="n">
        <v>50.8</v>
      </c>
      <c r="E67" t="n">
        <v>0.461538461538462</v>
      </c>
      <c r="F67" t="n">
        <v>1168.41</v>
      </c>
      <c r="G67" t="n">
        <v>-0.0073</v>
      </c>
      <c r="H67" t="s">
        <v>1417</v>
      </c>
      <c r="I67" t="s">
        <v>1418</v>
      </c>
      <c r="J67" t="n">
        <v>4.2</v>
      </c>
      <c r="K67"/>
      <c r="L67"/>
    </row>
    <row r="68">
      <c r="A68" t="n">
        <v>344</v>
      </c>
      <c r="B68" t="s">
        <v>1111</v>
      </c>
      <c r="C68" t="s">
        <v>1293</v>
      </c>
      <c r="D68" t="n">
        <v>48.8</v>
      </c>
      <c r="E68" t="n">
        <v>0.416666666666667</v>
      </c>
      <c r="F68" t="n">
        <v>1122.59</v>
      </c>
      <c r="G68" t="n">
        <v>-0.5694</v>
      </c>
      <c r="H68" t="s">
        <v>1419</v>
      </c>
      <c r="I68" t="s">
        <v>1420</v>
      </c>
      <c r="J68" t="n">
        <v>1.1</v>
      </c>
      <c r="K68"/>
      <c r="L68"/>
    </row>
    <row r="69">
      <c r="A69" t="n">
        <v>142</v>
      </c>
      <c r="B69" t="s">
        <v>1005</v>
      </c>
      <c r="C69" t="s">
        <v>1293</v>
      </c>
      <c r="D69" t="n">
        <v>27.2</v>
      </c>
      <c r="E69" t="n">
        <v>0.846153846153846</v>
      </c>
      <c r="F69" t="n">
        <v>1440.17</v>
      </c>
      <c r="G69" t="n">
        <v>11.9428</v>
      </c>
      <c r="H69" t="s">
        <v>1407</v>
      </c>
      <c r="I69" t="s">
        <v>1421</v>
      </c>
      <c r="J69" t="n">
        <v>22.2</v>
      </c>
      <c r="K69"/>
      <c r="L69" t="n">
        <v>1</v>
      </c>
    </row>
    <row r="70">
      <c r="A70" t="n">
        <v>2426</v>
      </c>
      <c r="B70" t="s">
        <v>1042</v>
      </c>
      <c r="C70" t="s">
        <v>1308</v>
      </c>
      <c r="D70" t="n">
        <v>93</v>
      </c>
      <c r="E70" t="n">
        <v>0.416666666666667</v>
      </c>
      <c r="F70" t="n">
        <v>1028.58</v>
      </c>
      <c r="G70" t="n">
        <v>-4.2486</v>
      </c>
      <c r="H70" t="s">
        <v>1422</v>
      </c>
      <c r="I70" t="s">
        <v>1423</v>
      </c>
      <c r="J70" t="n">
        <v>-13.3</v>
      </c>
      <c r="K70"/>
      <c r="L70"/>
    </row>
    <row r="71">
      <c r="A71" t="n">
        <v>152</v>
      </c>
      <c r="B71" t="s">
        <v>975</v>
      </c>
      <c r="C71" t="s">
        <v>1320</v>
      </c>
      <c r="D71" t="n">
        <v>82.8</v>
      </c>
      <c r="E71" t="n">
        <v>0.692307692307692</v>
      </c>
      <c r="F71" t="n">
        <v>1311.4</v>
      </c>
      <c r="G71" t="n">
        <v>5.4093</v>
      </c>
      <c r="H71" t="s">
        <v>1316</v>
      </c>
      <c r="I71" t="s">
        <v>1424</v>
      </c>
      <c r="J71" t="n">
        <v>12.1</v>
      </c>
      <c r="K71"/>
      <c r="L71" t="n">
        <v>1</v>
      </c>
    </row>
    <row r="72">
      <c r="A72" t="n">
        <v>158</v>
      </c>
      <c r="B72" t="s">
        <v>1073</v>
      </c>
      <c r="C72" t="s">
        <v>1373</v>
      </c>
      <c r="D72" t="n">
        <v>40.8</v>
      </c>
      <c r="E72" t="n">
        <v>0.416666666666667</v>
      </c>
      <c r="F72" t="n">
        <v>1193.69</v>
      </c>
      <c r="G72" t="n">
        <v>1.5038</v>
      </c>
      <c r="H72" t="s">
        <v>1425</v>
      </c>
      <c r="I72" t="s">
        <v>1363</v>
      </c>
      <c r="J72" t="n">
        <v>7.4</v>
      </c>
      <c r="K72"/>
      <c r="L72"/>
    </row>
    <row r="73">
      <c r="A73" t="n">
        <v>2440</v>
      </c>
      <c r="B73" t="s">
        <v>964</v>
      </c>
      <c r="C73" t="s">
        <v>1287</v>
      </c>
      <c r="D73" t="n">
        <v>79.8</v>
      </c>
      <c r="E73" t="n">
        <v>0.166666666666667</v>
      </c>
      <c r="F73" t="n">
        <v>855.57</v>
      </c>
      <c r="G73" t="n">
        <v>-11.534</v>
      </c>
      <c r="H73" t="s">
        <v>1426</v>
      </c>
      <c r="I73" t="s">
        <v>1396</v>
      </c>
      <c r="J73" t="n">
        <v>-16.7</v>
      </c>
      <c r="K73"/>
      <c r="L73"/>
    </row>
    <row r="74">
      <c r="A74" t="n">
        <v>167</v>
      </c>
      <c r="B74" t="s">
        <v>961</v>
      </c>
      <c r="C74" t="s">
        <v>1287</v>
      </c>
      <c r="D74" t="n">
        <v>116</v>
      </c>
      <c r="E74" t="n">
        <v>0.333333333333333</v>
      </c>
      <c r="F74" t="n">
        <v>870.58</v>
      </c>
      <c r="G74" t="n">
        <v>-7.2781</v>
      </c>
      <c r="H74" t="s">
        <v>1427</v>
      </c>
      <c r="I74" t="s">
        <v>1428</v>
      </c>
      <c r="J74" t="n">
        <v>-20.6</v>
      </c>
      <c r="K74"/>
      <c r="L74"/>
    </row>
    <row r="75">
      <c r="A75" t="n">
        <v>166</v>
      </c>
      <c r="B75" t="s">
        <v>1173</v>
      </c>
      <c r="C75" t="s">
        <v>1357</v>
      </c>
      <c r="D75" t="n">
        <v>121.8</v>
      </c>
      <c r="E75" t="n">
        <v>0.666666666666667</v>
      </c>
      <c r="F75" t="n">
        <v>1163.67</v>
      </c>
      <c r="G75" t="n">
        <v>-0.8979</v>
      </c>
      <c r="H75" t="s">
        <v>1291</v>
      </c>
      <c r="I75" t="s">
        <v>1429</v>
      </c>
      <c r="J75" t="n">
        <v>-15.5</v>
      </c>
      <c r="K75"/>
      <c r="L75"/>
    </row>
    <row r="76">
      <c r="A76" t="n">
        <v>153</v>
      </c>
      <c r="B76" t="s">
        <v>996</v>
      </c>
      <c r="C76" t="s">
        <v>1320</v>
      </c>
      <c r="D76" t="n">
        <v>37</v>
      </c>
      <c r="E76" t="n">
        <v>0.615384615384615</v>
      </c>
      <c r="F76" t="n">
        <v>1290.86</v>
      </c>
      <c r="G76" t="n">
        <v>4.3873</v>
      </c>
      <c r="H76" t="s">
        <v>1430</v>
      </c>
      <c r="I76" t="s">
        <v>1431</v>
      </c>
      <c r="J76" t="n">
        <v>7.9</v>
      </c>
      <c r="K76"/>
      <c r="L76"/>
    </row>
    <row r="77">
      <c r="A77" t="n">
        <v>2459</v>
      </c>
      <c r="B77" t="s">
        <v>1085</v>
      </c>
      <c r="C77" t="s">
        <v>1290</v>
      </c>
      <c r="D77" t="n">
        <v>67.8</v>
      </c>
      <c r="E77" t="n">
        <v>0.538461538461538</v>
      </c>
      <c r="F77" t="n">
        <v>1120.22</v>
      </c>
      <c r="G77" t="n">
        <v>-5.0881</v>
      </c>
      <c r="H77" t="s">
        <v>1432</v>
      </c>
      <c r="I77" t="s">
        <v>1433</v>
      </c>
      <c r="J77" t="n">
        <v>-10.6</v>
      </c>
      <c r="K77"/>
      <c r="L77"/>
    </row>
    <row r="78">
      <c r="A78" t="n">
        <v>249</v>
      </c>
      <c r="B78" t="s">
        <v>1105</v>
      </c>
      <c r="C78" t="s">
        <v>1308</v>
      </c>
      <c r="D78" t="n">
        <v>52.6</v>
      </c>
      <c r="E78" t="n">
        <v>0.416666666666667</v>
      </c>
      <c r="F78" t="n">
        <v>1081.51</v>
      </c>
      <c r="G78" t="n">
        <v>-5.2341</v>
      </c>
      <c r="H78" t="s">
        <v>1434</v>
      </c>
      <c r="I78" t="s">
        <v>1435</v>
      </c>
      <c r="J78" t="n">
        <v>-11.3</v>
      </c>
      <c r="K78"/>
      <c r="L78"/>
    </row>
    <row r="79">
      <c r="A79" t="n">
        <v>77</v>
      </c>
      <c r="B79" t="s">
        <v>1071</v>
      </c>
      <c r="C79" t="s">
        <v>1373</v>
      </c>
      <c r="D79" t="n">
        <v>53.2</v>
      </c>
      <c r="E79" t="n">
        <v>0.615384615384615</v>
      </c>
      <c r="F79" t="n">
        <v>1155.77</v>
      </c>
      <c r="G79" t="n">
        <v>1.8469</v>
      </c>
      <c r="H79" t="s">
        <v>1436</v>
      </c>
      <c r="I79" t="s">
        <v>1370</v>
      </c>
      <c r="J79" t="n">
        <v>-2.8</v>
      </c>
      <c r="K79"/>
      <c r="L79"/>
    </row>
    <row r="80">
      <c r="A80" t="n">
        <v>87</v>
      </c>
      <c r="B80" t="s">
        <v>1145</v>
      </c>
      <c r="C80" t="s">
        <v>1345</v>
      </c>
      <c r="D80" t="n">
        <v>16.2</v>
      </c>
      <c r="E80" t="n">
        <v>0.769230769230769</v>
      </c>
      <c r="F80" t="n">
        <v>1587.11</v>
      </c>
      <c r="G80" t="n">
        <v>12.2567</v>
      </c>
      <c r="H80" t="s">
        <v>1437</v>
      </c>
      <c r="I80" t="s">
        <v>1438</v>
      </c>
      <c r="J80" t="n">
        <v>23.4</v>
      </c>
      <c r="K80"/>
      <c r="L80" t="n">
        <v>1</v>
      </c>
    </row>
    <row r="81">
      <c r="A81" t="n">
        <v>195</v>
      </c>
      <c r="B81" t="s">
        <v>1092</v>
      </c>
      <c r="C81" t="s">
        <v>1290</v>
      </c>
      <c r="D81" t="n">
        <v>89</v>
      </c>
      <c r="E81" t="n">
        <v>0.769230769230769</v>
      </c>
      <c r="F81" t="n">
        <v>1177.89</v>
      </c>
      <c r="G81" t="n">
        <v>-0.4818</v>
      </c>
      <c r="H81" t="s">
        <v>1439</v>
      </c>
      <c r="I81" t="s">
        <v>1440</v>
      </c>
      <c r="J81" t="n">
        <v>-12</v>
      </c>
      <c r="K81"/>
      <c r="L81"/>
    </row>
    <row r="82">
      <c r="A82" t="n">
        <v>194</v>
      </c>
      <c r="B82" t="s">
        <v>1083</v>
      </c>
      <c r="C82" t="s">
        <v>1373</v>
      </c>
      <c r="D82" t="n">
        <v>18.6</v>
      </c>
      <c r="E82" t="n">
        <v>0.846153846153846</v>
      </c>
      <c r="F82" t="n">
        <v>1665.32</v>
      </c>
      <c r="G82" t="n">
        <v>14.7898</v>
      </c>
      <c r="H82" t="s">
        <v>1441</v>
      </c>
      <c r="I82" t="s">
        <v>1442</v>
      </c>
      <c r="J82" t="n">
        <v>30.8</v>
      </c>
      <c r="K82"/>
      <c r="L82" t="n">
        <v>1</v>
      </c>
    </row>
    <row r="83">
      <c r="A83" t="n">
        <v>201</v>
      </c>
      <c r="B83" t="s">
        <v>1023</v>
      </c>
      <c r="C83" t="s">
        <v>1293</v>
      </c>
      <c r="D83" t="n">
        <v>25.2</v>
      </c>
      <c r="E83" t="n">
        <v>0.769230769230769</v>
      </c>
      <c r="F83" t="n">
        <v>1559.46</v>
      </c>
      <c r="G83" t="n">
        <v>11.5778</v>
      </c>
      <c r="H83" t="s">
        <v>1443</v>
      </c>
      <c r="I83" t="s">
        <v>1301</v>
      </c>
      <c r="J83" t="n">
        <v>19.8</v>
      </c>
      <c r="K83"/>
      <c r="L83" t="n">
        <v>1</v>
      </c>
    </row>
    <row r="84">
      <c r="A84" t="n">
        <v>197</v>
      </c>
      <c r="B84" t="s">
        <v>1060</v>
      </c>
      <c r="C84" t="s">
        <v>1299</v>
      </c>
      <c r="D84" t="n">
        <v>71.6</v>
      </c>
      <c r="E84" t="n">
        <v>0.714285714285714</v>
      </c>
      <c r="F84" t="n">
        <v>1175.52</v>
      </c>
      <c r="G84" t="n">
        <v>4.7085</v>
      </c>
      <c r="H84" t="s">
        <v>1390</v>
      </c>
      <c r="I84" t="s">
        <v>1444</v>
      </c>
      <c r="J84" t="n">
        <v>14</v>
      </c>
      <c r="K84"/>
      <c r="L84" t="n">
        <v>1</v>
      </c>
    </row>
    <row r="85">
      <c r="A85" t="n">
        <v>295</v>
      </c>
      <c r="B85" t="s">
        <v>1100</v>
      </c>
      <c r="C85" t="s">
        <v>1296</v>
      </c>
      <c r="D85" t="n">
        <v>55.6</v>
      </c>
      <c r="E85" t="n">
        <v>0.461538461538462</v>
      </c>
      <c r="F85" t="n">
        <v>1070.45</v>
      </c>
      <c r="G85" t="n">
        <v>-3.1901</v>
      </c>
      <c r="H85" t="s">
        <v>1445</v>
      </c>
      <c r="I85" t="s">
        <v>1404</v>
      </c>
      <c r="J85" t="n">
        <v>-13.1</v>
      </c>
      <c r="K85"/>
      <c r="L85"/>
    </row>
    <row r="86">
      <c r="A86" t="n">
        <v>145</v>
      </c>
      <c r="B86" t="s">
        <v>1137</v>
      </c>
      <c r="C86" t="s">
        <v>1293</v>
      </c>
      <c r="D86" t="n">
        <v>14.8</v>
      </c>
      <c r="E86" t="n">
        <v>0.846153846153846</v>
      </c>
      <c r="F86" t="n">
        <v>1324.04</v>
      </c>
      <c r="G86" t="n">
        <v>9.8477</v>
      </c>
      <c r="H86" t="s">
        <v>1446</v>
      </c>
      <c r="I86" t="s">
        <v>1447</v>
      </c>
      <c r="J86" t="n">
        <v>24.7</v>
      </c>
      <c r="K86"/>
      <c r="L86" t="n">
        <v>1</v>
      </c>
    </row>
    <row r="87">
      <c r="A87" t="n">
        <v>2483</v>
      </c>
      <c r="B87" t="s">
        <v>1152</v>
      </c>
      <c r="C87" t="s">
        <v>1373</v>
      </c>
      <c r="D87" t="n">
        <v>79.2</v>
      </c>
      <c r="E87" t="n">
        <v>0.857142857142857</v>
      </c>
      <c r="F87" t="n">
        <v>1604.49</v>
      </c>
      <c r="G87" t="n">
        <v>14.5562</v>
      </c>
      <c r="H87" t="s">
        <v>1448</v>
      </c>
      <c r="I87" t="s">
        <v>1449</v>
      </c>
      <c r="J87" t="n">
        <v>29</v>
      </c>
      <c r="K87"/>
      <c r="L87" t="n">
        <v>1</v>
      </c>
    </row>
    <row r="88">
      <c r="A88" t="n">
        <v>204</v>
      </c>
      <c r="B88" t="s">
        <v>1118</v>
      </c>
      <c r="C88" t="s">
        <v>1450</v>
      </c>
      <c r="D88" t="n">
        <v>87.4</v>
      </c>
      <c r="E88" t="n">
        <v>0.615384615384615</v>
      </c>
      <c r="F88" t="n">
        <v>1414.1</v>
      </c>
      <c r="G88" t="n">
        <v>6.8766</v>
      </c>
      <c r="H88" t="s">
        <v>1451</v>
      </c>
      <c r="I88" t="s">
        <v>1452</v>
      </c>
      <c r="J88" t="n">
        <v>3.2</v>
      </c>
      <c r="K88"/>
      <c r="L88"/>
    </row>
    <row r="89">
      <c r="A89" t="n">
        <v>213</v>
      </c>
      <c r="B89" t="s">
        <v>1045</v>
      </c>
      <c r="C89" t="s">
        <v>1373</v>
      </c>
      <c r="D89" t="n">
        <v>16</v>
      </c>
      <c r="E89" t="n">
        <v>0.769230769230769</v>
      </c>
      <c r="F89" t="n">
        <v>1628.19</v>
      </c>
      <c r="G89" t="n">
        <v>13.3079</v>
      </c>
      <c r="H89" t="s">
        <v>1453</v>
      </c>
      <c r="I89" t="s">
        <v>1295</v>
      </c>
      <c r="J89" t="n">
        <v>26.1</v>
      </c>
      <c r="K89"/>
      <c r="L89" t="n">
        <v>1</v>
      </c>
    </row>
    <row r="90">
      <c r="A90" t="n">
        <v>221</v>
      </c>
      <c r="B90" t="s">
        <v>1048</v>
      </c>
      <c r="C90" t="s">
        <v>1320</v>
      </c>
      <c r="D90" t="n">
        <v>61.8</v>
      </c>
      <c r="E90" t="n">
        <v>0.25</v>
      </c>
      <c r="F90" t="n">
        <v>1109.16</v>
      </c>
      <c r="G90" t="n">
        <v>-2.3944</v>
      </c>
      <c r="H90" t="s">
        <v>1454</v>
      </c>
      <c r="I90" t="s">
        <v>1455</v>
      </c>
      <c r="J90" t="n">
        <v>-0.8</v>
      </c>
      <c r="K90"/>
      <c r="L90"/>
    </row>
    <row r="91">
      <c r="A91" t="n">
        <v>2509</v>
      </c>
      <c r="B91" t="s">
        <v>1040</v>
      </c>
      <c r="C91" t="s">
        <v>1373</v>
      </c>
      <c r="D91" t="n">
        <v>49.8</v>
      </c>
      <c r="E91" t="n">
        <v>0.333333333333333</v>
      </c>
      <c r="F91" t="n">
        <v>1176.31</v>
      </c>
      <c r="G91" t="n">
        <v>-0.2774</v>
      </c>
      <c r="H91" t="s">
        <v>1456</v>
      </c>
      <c r="I91" t="s">
        <v>1457</v>
      </c>
      <c r="J91" t="n">
        <v>-1.4</v>
      </c>
      <c r="K91"/>
      <c r="L91"/>
    </row>
    <row r="92">
      <c r="A92" t="n">
        <v>242</v>
      </c>
      <c r="B92" t="s">
        <v>1121</v>
      </c>
      <c r="C92" t="s">
        <v>1308</v>
      </c>
      <c r="D92" t="n">
        <v>107</v>
      </c>
      <c r="E92" t="n">
        <v>0.461538461538462</v>
      </c>
      <c r="F92" t="n">
        <v>1072.82</v>
      </c>
      <c r="G92" t="n">
        <v>-2.8762</v>
      </c>
      <c r="H92" t="s">
        <v>1458</v>
      </c>
      <c r="I92" t="s">
        <v>1459</v>
      </c>
      <c r="J92" t="n">
        <v>-9</v>
      </c>
      <c r="K92"/>
      <c r="L92"/>
    </row>
    <row r="93">
      <c r="A93" t="n">
        <v>164</v>
      </c>
      <c r="B93" t="s">
        <v>970</v>
      </c>
      <c r="C93" t="s">
        <v>1373</v>
      </c>
      <c r="D93" t="n">
        <v>55.8</v>
      </c>
      <c r="E93" t="n">
        <v>0.538461538461538</v>
      </c>
      <c r="F93" t="n">
        <v>1122.59</v>
      </c>
      <c r="G93" t="n">
        <v>3.5989</v>
      </c>
      <c r="H93" t="s">
        <v>1316</v>
      </c>
      <c r="I93" t="s">
        <v>1460</v>
      </c>
      <c r="J93" t="n">
        <v>3.5</v>
      </c>
      <c r="K93"/>
      <c r="L93"/>
    </row>
    <row r="94">
      <c r="A94" t="n">
        <v>2534</v>
      </c>
      <c r="B94" t="s">
        <v>1122</v>
      </c>
      <c r="C94" t="s">
        <v>1357</v>
      </c>
      <c r="D94" t="n">
        <v>52.4</v>
      </c>
      <c r="E94" t="n">
        <v>0.25</v>
      </c>
      <c r="F94" t="n">
        <v>1052.28</v>
      </c>
      <c r="G94" t="n">
        <v>-7.4241</v>
      </c>
      <c r="H94" t="s">
        <v>1461</v>
      </c>
      <c r="I94" t="s">
        <v>1462</v>
      </c>
      <c r="J94" t="n">
        <v>-14.2</v>
      </c>
      <c r="K94"/>
      <c r="L94"/>
    </row>
    <row r="95">
      <c r="A95" t="n">
        <v>21</v>
      </c>
      <c r="B95" t="s">
        <v>1158</v>
      </c>
      <c r="C95" t="s">
        <v>1287</v>
      </c>
      <c r="D95" t="n">
        <v>93.2</v>
      </c>
      <c r="E95" t="n">
        <v>0.333333333333333</v>
      </c>
      <c r="F95" t="n">
        <v>1086.25</v>
      </c>
      <c r="G95" t="n">
        <v>-6.2853</v>
      </c>
      <c r="H95" t="s">
        <v>1463</v>
      </c>
      <c r="I95" t="s">
        <v>1416</v>
      </c>
      <c r="J95" t="n">
        <v>-8.9</v>
      </c>
      <c r="K95"/>
      <c r="L95"/>
    </row>
    <row r="96">
      <c r="A96" t="n">
        <v>23</v>
      </c>
      <c r="B96" t="s">
        <v>1015</v>
      </c>
      <c r="C96" t="s">
        <v>1287</v>
      </c>
      <c r="D96" t="n">
        <v>107.4</v>
      </c>
      <c r="E96" t="n">
        <v>0.538461538461538</v>
      </c>
      <c r="F96" t="n">
        <v>1262.42</v>
      </c>
      <c r="G96" t="n">
        <v>0.8614</v>
      </c>
      <c r="H96" t="s">
        <v>1464</v>
      </c>
      <c r="I96" t="s">
        <v>1465</v>
      </c>
      <c r="J96" t="n">
        <v>-11</v>
      </c>
      <c r="K96"/>
      <c r="L96"/>
    </row>
    <row r="97">
      <c r="A97" t="n">
        <v>2567</v>
      </c>
      <c r="B97" t="s">
        <v>965</v>
      </c>
      <c r="C97" t="s">
        <v>1320</v>
      </c>
      <c r="D97" t="n">
        <v>55.2</v>
      </c>
      <c r="E97" t="n">
        <v>0.785714285714286</v>
      </c>
      <c r="F97" t="n">
        <v>1470.19</v>
      </c>
      <c r="G97" t="n">
        <v>5.4093</v>
      </c>
      <c r="H97" t="s">
        <v>1304</v>
      </c>
      <c r="I97" t="s">
        <v>1466</v>
      </c>
      <c r="J97" t="n">
        <v>12.7</v>
      </c>
      <c r="K97"/>
      <c r="L97"/>
    </row>
    <row r="98">
      <c r="A98" t="n">
        <v>6</v>
      </c>
      <c r="B98" t="s">
        <v>1104</v>
      </c>
      <c r="C98" t="s">
        <v>1296</v>
      </c>
      <c r="D98" t="n">
        <v>101.4</v>
      </c>
      <c r="E98" t="n">
        <v>0.538461538461538</v>
      </c>
      <c r="F98" t="n">
        <v>1280.59</v>
      </c>
      <c r="G98" t="n">
        <v>1.1461</v>
      </c>
      <c r="H98" t="s">
        <v>1467</v>
      </c>
      <c r="I98" t="s">
        <v>1468</v>
      </c>
      <c r="J98" t="n">
        <v>-6.4</v>
      </c>
      <c r="K98"/>
      <c r="L98"/>
    </row>
    <row r="99">
      <c r="A99" t="n">
        <v>2579</v>
      </c>
      <c r="B99" t="s">
        <v>1099</v>
      </c>
      <c r="C99" t="s">
        <v>1293</v>
      </c>
      <c r="D99" t="n">
        <v>77.4</v>
      </c>
      <c r="E99" t="n">
        <v>0.416666666666667</v>
      </c>
      <c r="F99" t="n">
        <v>1259.26</v>
      </c>
      <c r="G99" t="n">
        <v>1.7009</v>
      </c>
      <c r="H99" t="s">
        <v>1469</v>
      </c>
      <c r="I99" t="s">
        <v>1470</v>
      </c>
      <c r="J99" t="n">
        <v>9.5</v>
      </c>
      <c r="K99"/>
      <c r="L99"/>
    </row>
    <row r="100">
      <c r="A100" t="n">
        <v>2572</v>
      </c>
      <c r="B100" t="s">
        <v>1156</v>
      </c>
      <c r="C100" t="s">
        <v>1296</v>
      </c>
      <c r="D100" t="n">
        <v>91.4</v>
      </c>
      <c r="E100" t="n">
        <v>0.25</v>
      </c>
      <c r="F100" t="n">
        <v>919.56</v>
      </c>
      <c r="G100" t="n">
        <v>-6.2488</v>
      </c>
      <c r="H100" t="s">
        <v>1237</v>
      </c>
      <c r="I100" t="s">
        <v>1471</v>
      </c>
      <c r="J100" t="n">
        <v>-16.1</v>
      </c>
      <c r="K100"/>
      <c r="L100"/>
    </row>
    <row r="101">
      <c r="A101" t="n">
        <v>58</v>
      </c>
      <c r="B101" t="s">
        <v>1125</v>
      </c>
      <c r="C101" t="s">
        <v>1308</v>
      </c>
      <c r="D101" t="n">
        <v>51.2</v>
      </c>
      <c r="E101" t="n">
        <v>0.538461538461538</v>
      </c>
      <c r="F101" t="n">
        <v>995.4</v>
      </c>
      <c r="G101" t="n">
        <v>-3.5916</v>
      </c>
      <c r="H101" t="s">
        <v>1464</v>
      </c>
      <c r="I101" t="s">
        <v>1459</v>
      </c>
      <c r="J101" t="n">
        <v>-5.6</v>
      </c>
      <c r="K101"/>
      <c r="L101"/>
    </row>
    <row r="102">
      <c r="A102" t="n">
        <v>24</v>
      </c>
      <c r="B102" t="s">
        <v>1032</v>
      </c>
      <c r="C102" t="s">
        <v>1320</v>
      </c>
      <c r="D102" t="n">
        <v>69.2</v>
      </c>
      <c r="E102" t="n">
        <v>0.25</v>
      </c>
      <c r="F102" t="n">
        <v>932.2</v>
      </c>
      <c r="G102" t="n">
        <v>-3.4748</v>
      </c>
      <c r="H102" t="s">
        <v>1472</v>
      </c>
      <c r="I102" t="s">
        <v>1473</v>
      </c>
      <c r="J102" t="n">
        <v>-3.5</v>
      </c>
      <c r="K102"/>
      <c r="L102"/>
    </row>
    <row r="103">
      <c r="A103" t="n">
        <v>183</v>
      </c>
      <c r="B103" t="s">
        <v>1091</v>
      </c>
      <c r="C103" t="s">
        <v>1320</v>
      </c>
      <c r="D103" t="n">
        <v>57.2</v>
      </c>
      <c r="E103" t="n">
        <v>0.461538461538462</v>
      </c>
      <c r="F103" t="n">
        <v>1105.21</v>
      </c>
      <c r="G103" t="n">
        <v>-2.1389</v>
      </c>
      <c r="H103" t="s">
        <v>1348</v>
      </c>
      <c r="I103" t="s">
        <v>1474</v>
      </c>
      <c r="J103" t="n">
        <v>-1</v>
      </c>
      <c r="K103"/>
      <c r="L103"/>
    </row>
    <row r="104">
      <c r="A104" t="n">
        <v>2628</v>
      </c>
      <c r="B104" t="s">
        <v>1033</v>
      </c>
      <c r="C104" t="s">
        <v>1299</v>
      </c>
      <c r="D104" t="n">
        <v>35</v>
      </c>
      <c r="E104" t="n">
        <v>0.416666666666667</v>
      </c>
      <c r="F104" t="n">
        <v>1288.49</v>
      </c>
      <c r="G104" t="n">
        <v>4.672</v>
      </c>
      <c r="H104" t="s">
        <v>1199</v>
      </c>
      <c r="I104" t="s">
        <v>1475</v>
      </c>
      <c r="J104" t="n">
        <v>8.7</v>
      </c>
      <c r="K104"/>
      <c r="L104"/>
    </row>
    <row r="105">
      <c r="A105" t="n">
        <v>218</v>
      </c>
      <c r="B105" t="s">
        <v>1024</v>
      </c>
      <c r="C105" t="s">
        <v>1308</v>
      </c>
      <c r="D105" t="n">
        <v>99.4</v>
      </c>
      <c r="E105" t="n">
        <v>0.25</v>
      </c>
      <c r="F105" t="n">
        <v>803.43</v>
      </c>
      <c r="G105" t="n">
        <v>-10.512</v>
      </c>
      <c r="H105" t="s">
        <v>1476</v>
      </c>
      <c r="I105" t="s">
        <v>1477</v>
      </c>
      <c r="J105" t="n">
        <v>-21.9</v>
      </c>
      <c r="K105"/>
      <c r="L105"/>
    </row>
    <row r="106">
      <c r="A106" t="n">
        <v>2633</v>
      </c>
      <c r="B106" t="s">
        <v>1057</v>
      </c>
      <c r="C106" t="s">
        <v>1293</v>
      </c>
      <c r="D106" t="n">
        <v>19.4</v>
      </c>
      <c r="E106" t="n">
        <v>0.692307692307692</v>
      </c>
      <c r="F106" t="n">
        <v>1410.94</v>
      </c>
      <c r="G106" t="n">
        <v>7.8037</v>
      </c>
      <c r="H106" t="s">
        <v>1478</v>
      </c>
      <c r="I106" t="s">
        <v>1479</v>
      </c>
      <c r="J106" t="n">
        <v>19.2</v>
      </c>
      <c r="K106"/>
      <c r="L106" t="n">
        <v>1</v>
      </c>
    </row>
    <row r="107">
      <c r="A107" t="n">
        <v>251</v>
      </c>
      <c r="B107" t="s">
        <v>1089</v>
      </c>
      <c r="C107" t="s">
        <v>1293</v>
      </c>
      <c r="D107" t="n">
        <v>13.8</v>
      </c>
      <c r="E107" t="n">
        <v>0.857142857142857</v>
      </c>
      <c r="F107" t="n">
        <v>1619.5</v>
      </c>
      <c r="G107" t="n">
        <v>14.8336</v>
      </c>
      <c r="H107" t="s">
        <v>1480</v>
      </c>
      <c r="I107" t="s">
        <v>1438</v>
      </c>
      <c r="J107" t="n">
        <v>27.7</v>
      </c>
      <c r="K107"/>
      <c r="L107" t="n">
        <v>1</v>
      </c>
    </row>
    <row r="108">
      <c r="A108" t="n">
        <v>245</v>
      </c>
      <c r="B108" t="s">
        <v>1144</v>
      </c>
      <c r="C108" t="s">
        <v>1293</v>
      </c>
      <c r="D108" t="n">
        <v>25.2</v>
      </c>
      <c r="E108" t="n">
        <v>0.538461538461538</v>
      </c>
      <c r="F108" t="n">
        <v>1435.43</v>
      </c>
      <c r="G108" t="n">
        <v>6.5554</v>
      </c>
      <c r="H108" t="s">
        <v>1481</v>
      </c>
      <c r="I108" t="s">
        <v>1482</v>
      </c>
      <c r="J108" t="n">
        <v>19.2</v>
      </c>
      <c r="K108"/>
      <c r="L108" t="n">
        <v>1</v>
      </c>
    </row>
    <row r="109">
      <c r="A109" t="n">
        <v>326</v>
      </c>
      <c r="B109" t="s">
        <v>1162</v>
      </c>
      <c r="C109" t="s">
        <v>1296</v>
      </c>
      <c r="D109" t="n">
        <v>105.4</v>
      </c>
      <c r="E109" t="n">
        <v>0.615384615384615</v>
      </c>
      <c r="F109" t="n">
        <v>1015.15</v>
      </c>
      <c r="G109" t="n">
        <v>-0.2555</v>
      </c>
      <c r="H109" t="s">
        <v>1352</v>
      </c>
      <c r="I109" t="s">
        <v>1483</v>
      </c>
      <c r="J109" t="n">
        <v>-6.5</v>
      </c>
      <c r="K109"/>
      <c r="L109"/>
    </row>
    <row r="110">
      <c r="A110" t="n">
        <v>2641</v>
      </c>
      <c r="B110" t="s">
        <v>1148</v>
      </c>
      <c r="C110" t="s">
        <v>1299</v>
      </c>
      <c r="D110" t="n">
        <v>96.2</v>
      </c>
      <c r="E110" t="n">
        <v>0.538461538461538</v>
      </c>
      <c r="F110" t="n">
        <v>1188.16</v>
      </c>
      <c r="G110" t="n">
        <v>5.0662</v>
      </c>
      <c r="H110" t="s">
        <v>1327</v>
      </c>
      <c r="I110" t="s">
        <v>1484</v>
      </c>
      <c r="J110" t="n">
        <v>7.4</v>
      </c>
      <c r="K110"/>
      <c r="L110"/>
    </row>
    <row r="111">
      <c r="A111" t="n">
        <v>2649</v>
      </c>
      <c r="B111" t="s">
        <v>990</v>
      </c>
      <c r="C111" t="s">
        <v>1290</v>
      </c>
      <c r="D111" t="n">
        <v>61</v>
      </c>
      <c r="E111" t="n">
        <v>0.785714285714286</v>
      </c>
      <c r="F111" t="n">
        <v>1218.18</v>
      </c>
      <c r="G111" t="n">
        <v>1.606</v>
      </c>
      <c r="H111" t="s">
        <v>1485</v>
      </c>
      <c r="I111" t="s">
        <v>1305</v>
      </c>
      <c r="J111" t="n">
        <v>-7</v>
      </c>
      <c r="K111"/>
      <c r="L111"/>
    </row>
    <row r="112">
      <c r="A112" t="n">
        <v>2653</v>
      </c>
      <c r="B112" t="s">
        <v>1139</v>
      </c>
      <c r="C112" t="s">
        <v>1296</v>
      </c>
      <c r="D112" t="n">
        <v>101.2</v>
      </c>
      <c r="E112" t="n">
        <v>0.785714285714286</v>
      </c>
      <c r="F112" t="n">
        <v>1391.19</v>
      </c>
      <c r="G112" t="n">
        <v>7.5117</v>
      </c>
      <c r="H112" t="s">
        <v>1486</v>
      </c>
      <c r="I112" t="s">
        <v>1487</v>
      </c>
      <c r="J112" t="n">
        <v>-0.7</v>
      </c>
      <c r="K112"/>
      <c r="L112"/>
    </row>
    <row r="113">
      <c r="A113" t="n">
        <v>2655</v>
      </c>
      <c r="B113" t="s">
        <v>1003</v>
      </c>
      <c r="C113" t="s">
        <v>1308</v>
      </c>
      <c r="D113" t="n">
        <v>41.4</v>
      </c>
      <c r="E113" t="n">
        <v>0.785714285714286</v>
      </c>
      <c r="F113" t="n">
        <v>1301.92</v>
      </c>
      <c r="G113" t="n">
        <v>2.9127</v>
      </c>
      <c r="H113" t="s">
        <v>1488</v>
      </c>
      <c r="I113" t="s">
        <v>1489</v>
      </c>
      <c r="J113" t="n">
        <v>-0.8</v>
      </c>
      <c r="K113"/>
      <c r="L113"/>
    </row>
    <row r="114">
      <c r="A114" t="n">
        <v>202</v>
      </c>
      <c r="B114" t="s">
        <v>993</v>
      </c>
      <c r="C114" t="s">
        <v>1308</v>
      </c>
      <c r="D114" t="n">
        <v>80.4</v>
      </c>
      <c r="E114" t="n">
        <v>0.333333333333333</v>
      </c>
      <c r="F114" t="n">
        <v>886.38</v>
      </c>
      <c r="G114" t="n">
        <v>-6.0079</v>
      </c>
      <c r="H114" t="s">
        <v>1490</v>
      </c>
      <c r="I114" t="s">
        <v>1347</v>
      </c>
      <c r="J114" t="n">
        <v>-13.2</v>
      </c>
      <c r="K114"/>
      <c r="L114"/>
    </row>
    <row r="115">
      <c r="A115" t="n">
        <v>5</v>
      </c>
      <c r="B115" t="s">
        <v>1001</v>
      </c>
      <c r="C115" t="s">
        <v>1308</v>
      </c>
      <c r="D115" t="n">
        <v>71.2</v>
      </c>
      <c r="E115" t="n">
        <v>0.333333333333333</v>
      </c>
      <c r="F115" t="n">
        <v>1023.05</v>
      </c>
      <c r="G115" t="n">
        <v>-7.1175</v>
      </c>
      <c r="H115" t="s">
        <v>1409</v>
      </c>
      <c r="I115" t="s">
        <v>1491</v>
      </c>
      <c r="J115" t="n">
        <v>-10.6</v>
      </c>
      <c r="K115"/>
      <c r="L115"/>
    </row>
    <row r="116">
      <c r="A116" t="n">
        <v>2116</v>
      </c>
      <c r="B116" t="s">
        <v>977</v>
      </c>
      <c r="C116" t="s">
        <v>1299</v>
      </c>
      <c r="D116" t="n">
        <v>29.8</v>
      </c>
      <c r="E116" t="n">
        <v>0.461538461538462</v>
      </c>
      <c r="F116" t="n">
        <v>1309.82</v>
      </c>
      <c r="G116" t="n">
        <v>1.7082</v>
      </c>
      <c r="H116" t="s">
        <v>1492</v>
      </c>
      <c r="I116" t="s">
        <v>1493</v>
      </c>
      <c r="J116" t="n">
        <v>5.9</v>
      </c>
      <c r="K116"/>
      <c r="L116"/>
    </row>
    <row r="117">
      <c r="A117" t="n">
        <v>26</v>
      </c>
      <c r="B117" t="s">
        <v>1143</v>
      </c>
      <c r="C117" t="s">
        <v>1373</v>
      </c>
      <c r="D117" t="n">
        <v>73.6</v>
      </c>
      <c r="E117" t="n">
        <v>0.615384615384615</v>
      </c>
      <c r="F117" t="n">
        <v>1236.35</v>
      </c>
      <c r="G117" t="n">
        <v>4.6501</v>
      </c>
      <c r="H117" t="s">
        <v>1494</v>
      </c>
      <c r="I117" t="s">
        <v>1378</v>
      </c>
      <c r="J117" t="n">
        <v>8.8</v>
      </c>
      <c r="K117"/>
      <c r="L117"/>
    </row>
    <row r="118">
      <c r="A118" t="n">
        <v>113</v>
      </c>
      <c r="B118" t="s">
        <v>1077</v>
      </c>
      <c r="C118" t="s">
        <v>1345</v>
      </c>
      <c r="D118" t="n">
        <v>117.8</v>
      </c>
      <c r="E118" t="n">
        <v>0.25</v>
      </c>
      <c r="F118" t="n">
        <v>759.98</v>
      </c>
      <c r="G118" t="n">
        <v>-9.1761</v>
      </c>
      <c r="H118" t="s">
        <v>1495</v>
      </c>
      <c r="I118" t="s">
        <v>1496</v>
      </c>
      <c r="J118" t="n">
        <v>-20.1</v>
      </c>
      <c r="K118"/>
      <c r="L118"/>
    </row>
    <row r="119">
      <c r="A119" t="n">
        <v>2439</v>
      </c>
      <c r="B119" t="s">
        <v>1141</v>
      </c>
      <c r="C119" t="s">
        <v>1287</v>
      </c>
      <c r="D119" t="n">
        <v>37.2</v>
      </c>
      <c r="E119" t="n">
        <v>0.642857142857143</v>
      </c>
      <c r="F119" t="n">
        <v>1186.58</v>
      </c>
      <c r="G119" t="n">
        <v>1.7447</v>
      </c>
      <c r="H119" t="s">
        <v>1497</v>
      </c>
      <c r="I119" t="s">
        <v>1328</v>
      </c>
      <c r="J119" t="n">
        <v>-5.2</v>
      </c>
      <c r="K119"/>
      <c r="L119"/>
    </row>
    <row r="120">
      <c r="A120" t="n">
        <v>30</v>
      </c>
      <c r="B120" t="s">
        <v>1184</v>
      </c>
      <c r="C120" t="s">
        <v>1373</v>
      </c>
      <c r="D120" t="n">
        <v>32.2</v>
      </c>
      <c r="E120" t="n">
        <v>0.615384615384615</v>
      </c>
      <c r="F120" t="n">
        <v>1329.57</v>
      </c>
      <c r="G120" t="n">
        <v>7.0007</v>
      </c>
      <c r="H120" t="s">
        <v>1248</v>
      </c>
      <c r="I120" t="s">
        <v>1447</v>
      </c>
      <c r="J120" t="n">
        <v>13.9</v>
      </c>
      <c r="K120"/>
      <c r="L120" t="n">
        <v>1</v>
      </c>
    </row>
    <row r="121">
      <c r="A121" t="n">
        <v>254</v>
      </c>
      <c r="B121" t="s">
        <v>1012</v>
      </c>
      <c r="C121" t="s">
        <v>1299</v>
      </c>
      <c r="D121" t="n">
        <v>28</v>
      </c>
      <c r="E121" t="n">
        <v>0.615384615384615</v>
      </c>
      <c r="F121" t="n">
        <v>1358.01</v>
      </c>
      <c r="G121" t="n">
        <v>5.0881</v>
      </c>
      <c r="H121" t="s">
        <v>1498</v>
      </c>
      <c r="I121" t="s">
        <v>1499</v>
      </c>
      <c r="J121" t="n">
        <v>15.8</v>
      </c>
      <c r="K121"/>
      <c r="L121" t="n">
        <v>1</v>
      </c>
    </row>
    <row r="122">
      <c r="A122" t="n">
        <v>328</v>
      </c>
      <c r="B122" t="s">
        <v>1035</v>
      </c>
      <c r="C122" t="s">
        <v>1287</v>
      </c>
      <c r="D122" t="n">
        <v>103.4</v>
      </c>
      <c r="E122" t="n">
        <v>0.461538461538462</v>
      </c>
      <c r="F122" t="n">
        <v>1043.59</v>
      </c>
      <c r="G122" t="n">
        <v>-4.3581</v>
      </c>
      <c r="H122" t="s">
        <v>1500</v>
      </c>
      <c r="I122" t="s">
        <v>1501</v>
      </c>
      <c r="J122" t="n">
        <v>-11.1</v>
      </c>
      <c r="K122"/>
      <c r="L122"/>
    </row>
    <row r="123">
      <c r="A123" t="n">
        <v>2638</v>
      </c>
      <c r="B123" t="s">
        <v>1074</v>
      </c>
      <c r="C123" t="s">
        <v>1357</v>
      </c>
      <c r="D123" t="n">
        <v>95.4</v>
      </c>
      <c r="E123" t="n">
        <v>0.25</v>
      </c>
      <c r="F123" t="n">
        <v>944.05</v>
      </c>
      <c r="G123" t="n">
        <v>-8.103</v>
      </c>
      <c r="H123" t="s">
        <v>1502</v>
      </c>
      <c r="I123" t="s">
        <v>1503</v>
      </c>
      <c r="J123" t="n">
        <v>-17.8</v>
      </c>
      <c r="K123"/>
      <c r="L123"/>
    </row>
    <row r="124">
      <c r="A124" t="n">
        <v>2636</v>
      </c>
      <c r="B124" t="s">
        <v>1093</v>
      </c>
      <c r="C124" t="s">
        <v>1308</v>
      </c>
      <c r="D124" t="n">
        <v>98.6</v>
      </c>
      <c r="E124" t="n">
        <v>0.692307692307692</v>
      </c>
      <c r="F124" t="n">
        <v>1292.44</v>
      </c>
      <c r="G124" t="n">
        <v>2.4966</v>
      </c>
      <c r="H124" t="s">
        <v>1504</v>
      </c>
      <c r="I124" t="s">
        <v>1465</v>
      </c>
      <c r="J124" t="n">
        <v>1.2</v>
      </c>
      <c r="K124"/>
      <c r="L124"/>
    </row>
    <row r="125">
      <c r="A125" t="n">
        <v>238</v>
      </c>
      <c r="B125" t="s">
        <v>1046</v>
      </c>
      <c r="C125" t="s">
        <v>1293</v>
      </c>
      <c r="D125" t="n">
        <v>44.4</v>
      </c>
      <c r="E125" t="n">
        <v>0.166666666666667</v>
      </c>
      <c r="F125" t="n">
        <v>929.04</v>
      </c>
      <c r="G125" t="n">
        <v>-6.716</v>
      </c>
      <c r="H125" t="s">
        <v>1505</v>
      </c>
      <c r="I125" t="s">
        <v>1368</v>
      </c>
      <c r="J125" t="n">
        <v>-7.3</v>
      </c>
      <c r="K125"/>
      <c r="L125"/>
    </row>
    <row r="126">
      <c r="A126" t="n">
        <v>258</v>
      </c>
      <c r="B126" t="s">
        <v>1113</v>
      </c>
      <c r="C126" t="s">
        <v>1320</v>
      </c>
      <c r="D126" t="n">
        <v>94.6</v>
      </c>
      <c r="E126" t="n">
        <v>0.25</v>
      </c>
      <c r="F126" t="n">
        <v>960.64</v>
      </c>
      <c r="G126" t="n">
        <v>-2.7594</v>
      </c>
      <c r="H126" t="s">
        <v>1506</v>
      </c>
      <c r="I126" t="s">
        <v>1410</v>
      </c>
      <c r="J126" t="n">
        <v>-3.5</v>
      </c>
      <c r="K126"/>
      <c r="L126"/>
    </row>
    <row r="127">
      <c r="A127" t="n">
        <v>259</v>
      </c>
      <c r="B127" t="s">
        <v>1047</v>
      </c>
      <c r="C127" t="s">
        <v>1320</v>
      </c>
      <c r="D127" t="n">
        <v>71.8</v>
      </c>
      <c r="E127" t="n">
        <v>0.538461538461538</v>
      </c>
      <c r="F127" t="n">
        <v>1269.53</v>
      </c>
      <c r="G127" t="n">
        <v>4.307</v>
      </c>
      <c r="H127" t="s">
        <v>1507</v>
      </c>
      <c r="I127" t="s">
        <v>1508</v>
      </c>
      <c r="J127" t="n">
        <v>9.4</v>
      </c>
      <c r="K127"/>
      <c r="L127"/>
    </row>
    <row r="128">
      <c r="A128" t="n">
        <v>154</v>
      </c>
      <c r="B128" t="s">
        <v>979</v>
      </c>
      <c r="C128" t="s">
        <v>1320</v>
      </c>
      <c r="D128" t="n">
        <v>68.8</v>
      </c>
      <c r="E128" t="n">
        <v>0.333333333333333</v>
      </c>
      <c r="F128" t="n">
        <v>1103.63</v>
      </c>
      <c r="G128" t="n">
        <v>-2.4236</v>
      </c>
      <c r="H128" t="s">
        <v>1509</v>
      </c>
      <c r="I128" t="s">
        <v>1510</v>
      </c>
      <c r="J128" t="n">
        <v>-2.6</v>
      </c>
      <c r="K128"/>
      <c r="L128"/>
    </row>
    <row r="129">
      <c r="A129" t="n">
        <v>264</v>
      </c>
      <c r="B129" t="s">
        <v>1180</v>
      </c>
      <c r="C129" t="s">
        <v>1373</v>
      </c>
      <c r="D129" t="n">
        <v>59.2</v>
      </c>
      <c r="E129" t="n">
        <v>0.933333333333333</v>
      </c>
      <c r="F129" t="n">
        <v>1487.57</v>
      </c>
      <c r="G129" t="n">
        <v>13.0597</v>
      </c>
      <c r="H129" t="s">
        <v>1511</v>
      </c>
      <c r="I129" t="s">
        <v>1512</v>
      </c>
      <c r="J129" t="n">
        <v>10.3</v>
      </c>
      <c r="K129"/>
      <c r="L129"/>
    </row>
    <row r="130">
      <c r="A130" t="n">
        <v>265</v>
      </c>
      <c r="B130" t="s">
        <v>1066</v>
      </c>
      <c r="C130" t="s">
        <v>1450</v>
      </c>
      <c r="D130" t="n">
        <v>57</v>
      </c>
      <c r="E130" t="n">
        <v>0.416666666666667</v>
      </c>
      <c r="F130" t="n">
        <v>1221.34</v>
      </c>
      <c r="G130" t="n">
        <v>3.0879</v>
      </c>
      <c r="H130" t="s">
        <v>1377</v>
      </c>
      <c r="I130" t="s">
        <v>1312</v>
      </c>
      <c r="J130" t="n">
        <v>0.6</v>
      </c>
      <c r="K130"/>
      <c r="L130"/>
    </row>
    <row r="131">
      <c r="A131" t="n">
        <v>98</v>
      </c>
      <c r="B131" t="s">
        <v>1124</v>
      </c>
      <c r="C131" t="s">
        <v>1357</v>
      </c>
      <c r="D131" t="n">
        <v>91</v>
      </c>
      <c r="E131" t="n">
        <v>0.615384615384615</v>
      </c>
      <c r="F131" t="n">
        <v>1147.87</v>
      </c>
      <c r="G131" t="n">
        <v>0.0657</v>
      </c>
      <c r="H131" t="s">
        <v>1513</v>
      </c>
      <c r="I131" t="s">
        <v>1514</v>
      </c>
      <c r="J131" t="n">
        <v>-1.6</v>
      </c>
      <c r="K131"/>
      <c r="L131"/>
    </row>
    <row r="132">
      <c r="A132" t="n">
        <v>2711</v>
      </c>
      <c r="B132" t="s">
        <v>1030</v>
      </c>
      <c r="C132" t="s">
        <v>1290</v>
      </c>
      <c r="D132" t="n">
        <v>75.4</v>
      </c>
      <c r="E132" t="n">
        <v>0.333333333333333</v>
      </c>
      <c r="F132" t="n">
        <v>966.17</v>
      </c>
      <c r="G132" t="n">
        <v>-8.3658</v>
      </c>
      <c r="H132" t="s">
        <v>1306</v>
      </c>
      <c r="I132" t="s">
        <v>1332</v>
      </c>
      <c r="J132" t="n">
        <v>-12.9</v>
      </c>
      <c r="K132"/>
      <c r="L132"/>
    </row>
    <row r="133">
      <c r="A133" t="n">
        <v>277</v>
      </c>
      <c r="B133" t="s">
        <v>1044</v>
      </c>
      <c r="C133" t="s">
        <v>1299</v>
      </c>
      <c r="D133" t="n">
        <v>40.6</v>
      </c>
      <c r="E133" t="n">
        <v>0.692307692307692</v>
      </c>
      <c r="F133" t="n">
        <v>1221.34</v>
      </c>
      <c r="G133" t="n">
        <v>5.1319</v>
      </c>
      <c r="H133" t="s">
        <v>1515</v>
      </c>
      <c r="I133" t="s">
        <v>1312</v>
      </c>
      <c r="J133" t="n">
        <v>9.7</v>
      </c>
      <c r="K133"/>
      <c r="L133"/>
    </row>
    <row r="134">
      <c r="A134" t="n">
        <v>275</v>
      </c>
      <c r="B134" t="s">
        <v>1029</v>
      </c>
      <c r="C134" t="s">
        <v>1373</v>
      </c>
      <c r="D134" t="n">
        <v>46.2</v>
      </c>
      <c r="E134" t="n">
        <v>0.538461538461538</v>
      </c>
      <c r="F134" t="n">
        <v>1280.59</v>
      </c>
      <c r="G134" t="n">
        <v>4.2486</v>
      </c>
      <c r="H134" t="s">
        <v>1456</v>
      </c>
      <c r="I134" t="s">
        <v>1516</v>
      </c>
      <c r="J134" t="n">
        <v>12.9</v>
      </c>
      <c r="K134"/>
      <c r="L134"/>
    </row>
    <row r="135">
      <c r="A135" t="n">
        <v>2751</v>
      </c>
      <c r="B135" t="s">
        <v>1178</v>
      </c>
      <c r="C135" t="s">
        <v>1287</v>
      </c>
      <c r="D135" t="n">
        <v>97.4</v>
      </c>
      <c r="E135" t="n">
        <v>0.692307692307692</v>
      </c>
      <c r="F135" t="n">
        <v>1177.89</v>
      </c>
      <c r="G135" t="n">
        <v>0.8614</v>
      </c>
      <c r="H135" t="s">
        <v>1517</v>
      </c>
      <c r="I135" t="s">
        <v>1518</v>
      </c>
      <c r="J135" t="n">
        <v>-8</v>
      </c>
      <c r="K135"/>
      <c r="L135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3</v>
      </c>
      <c r="B1" t="s">
        <v>13</v>
      </c>
      <c r="C1" t="s">
        <v>17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O1" t="s">
        <v>26</v>
      </c>
    </row>
    <row r="2">
      <c r="A2" t="n">
        <f>Coefficients!$A$2</f>
        <v>-3.7765953152866998</v>
      </c>
      <c r="B2" t="n">
        <f>ABS(Games!D2)*(1*Coefficients!$B$2)</f>
        <v>-12.359035860047005</v>
      </c>
      <c r="C2" t="n">
        <f>(VLOOKUP(Games!B2, Data!$B$2:$L$135, 4, FALSE)-VLOOKUP(Games!C2, Data!$B$2:$L$135, 4, FALSE))*Coefficients!$C$2</f>
        <v>2.424283360967205</v>
      </c>
      <c r="D2" t="n">
        <f>(VLOOKUP(Games!B2, Data!$B$2:$L$135, 3, FALSE)-VLOOKUP(Games!C2, Data!$B$2:$L$135, 3, FALSE))*Coefficients!$D$2</f>
        <v>-3.0579755646990359</v>
      </c>
      <c r="E2" t="n">
        <f>(VLOOKUP(Games!B2, Data!$B$2:$L$135, 5, FALSE)-VLOOKUP(Games!C2, Data!$B$2:$L$135, 5, FALSE))*Coefficients!$E$2</f>
        <v>20.79087189741271</v>
      </c>
      <c r="F2" t="n">
        <f>(VLOOKUP(Games!B2, Data!$B$2:$L$135, 6, FALSE)-VLOOKUP(Games!C2, Data!$B$2:$L$135, 6, FALSE))*Coefficients!$F$2</f>
        <v>3.5014325716679697</v>
      </c>
      <c r="G2" t="n">
        <f>(VLOOKUP(Games!B2, Data!$B$2:$L$135, 7, FALSE)-VLOOKUP(Games!C2, Data!$B$2:$L$135, 7, FALSE))*Coefficients!$G$2</f>
        <v>8.1096145611764623</v>
      </c>
      <c r="H2" t="n">
        <f>(VLOOKUP(Games!B2, Data!$B$2:$L$135, 8, FALSE)-VLOOKUP(Games!C2, Data!$B$2:$L$135, 8, FALSE))*Coefficients!$H$2</f>
        <v>4.5928331627295718</v>
      </c>
      <c r="I2" t="n">
        <f>(VLOOKUP(Games!B2, Data!$B$2:$L$135, 9, FALSE)-VLOOKUP(Games!C2, Data!$B$2:$L$135, 9, FALSE))*Coefficients!$I$2</f>
        <v>-2.8266057365899941</v>
      </c>
      <c r="J2" t="n">
        <f>IF(ISBLANK(Data!K2), Games!L2-Games!M2,VLOOKUP(Games!B2, Data!$B$2:$L$135, 10, FALSE)-VLOOKUP(Games!C2, Data!$B$2:$L$135, 10, FALSE))*Coefficients!$J$2</f>
        <v>-4.3122771275080058</v>
      </c>
      <c r="K2" t="n">
        <f>(IF(AND(VLOOKUP(Games!B2, Data!$B$2:$L$135, 11, FALSE)=1, VLOOKUP(Games!C2, Data!$B$2:$L$135, 11, FALSE)&lt;&gt;1), 1,0))*Coefficients!K$2</f>
        <v>0</v>
      </c>
      <c r="L2" t="n">
        <f>(IF(AND(VLOOKUP(Games!B2, Data!$B$2:$L$135, 11, FALSE)&lt;&gt;1, VLOOKUP(Games!C2, Data!$B$2:$L$135, 11, FALSE)=1), 1,0))*Coefficients!L$2</f>
        <v>-3.2373402144693899</v>
      </c>
      <c r="O2" t="n">
        <f>SUM(A2:L2)</f>
        <v>9.8492057353537916</v>
      </c>
    </row>
    <row r="3">
      <c r="A3" t="n">
        <f>Coefficients!$A$2</f>
        <v>-3.7765953152866998</v>
      </c>
      <c r="B3" t="n">
        <f>(Games!D3)*(-1*Coefficients!$B$2)</f>
        <v>-22.031324793996834</v>
      </c>
      <c r="C3" t="e">
        <f>(VLOOKUP(Games!B3, Data!$B$2:$L$135, 4, FALSE)-VLOOKUP(Games!C3, Data!$B$2:$L$135, 4, FALSE))*Coefficients!$C$2</f>
        <v>#N/A</v>
      </c>
      <c r="D3" t="e">
        <f>(VLOOKUP(Games!B3, Data!$B$2:$L$135, 3, FALSE)-VLOOKUP(Games!C3, Data!$B$2:$L$135, 3, FALSE))*Coefficients!$D$2</f>
        <v>#N/A</v>
      </c>
      <c r="E3" t="e">
        <f>(VLOOKUP(Games!B3, Data!$B$2:$L$135, 5, FALSE)-VLOOKUP(Games!C3, Data!$B$2:$L$135, 5, FALSE))*Coefficients!$E$2</f>
        <v>#N/A</v>
      </c>
      <c r="F3" t="e">
        <f>(VLOOKUP(Games!B3, Data!$B$2:$L$135, 6, FALSE)-VLOOKUP(Games!C3, Data!$B$2:$L$135, 6, FALSE))*Coefficients!$F$2</f>
        <v>#N/A</v>
      </c>
      <c r="G3" t="e">
        <f>(VLOOKUP(Games!B3, Data!$B$2:$L$135, 7, FALSE)-VLOOKUP(Games!C3, Data!$B$2:$L$135, 7, FALSE))*Coefficients!$G$2</f>
        <v>#N/A</v>
      </c>
      <c r="H3" t="e">
        <f>(VLOOKUP(Games!B3, Data!$B$2:$L$135, 8, FALSE)-VLOOKUP(Games!C3, Data!$B$2:$L$135, 8, FALSE))*Coefficients!$H$2</f>
        <v>#N/A</v>
      </c>
      <c r="I3" t="e">
        <f>(VLOOKUP(Games!B3, Data!$B$2:$L$135, 9, FALSE)-VLOOKUP(Games!C3, Data!$B$2:$L$135, 9, FALSE))*Coefficients!$I$2</f>
        <v>#N/A</v>
      </c>
      <c r="J3" t="n">
        <f>IF(ISBLANK(Data!K3), Games!L3-Games!M3,VLOOKUP(Games!B3, Data!$B$2:$L$135, 10, FALSE)-VLOOKUP(Games!C3, Data!$B$2:$L$135, 10, FALSE))*Coefficients!$J$2</f>
        <v>9.1376897009183011</v>
      </c>
      <c r="K3" t="e">
        <f>(IF(AND(VLOOKUP(Games!B3, Data!$B$2:$L$135, 11, FALSE)=1, VLOOKUP(Games!C3, Data!$B$2:$L$135, 11, FALSE)&lt;&gt;1), 1,0))*Coefficients!K$2</f>
        <v>#N/A</v>
      </c>
      <c r="L3" t="e">
        <f>(IF(AND(VLOOKUP(Games!B3, Data!$B$2:$L$135, 11, FALSE)&lt;&gt;1, VLOOKUP(Games!C3, Data!$B$2:$L$135, 11, FALSE)=1), 1,0))*Coefficients!L$2</f>
        <v>#N/A</v>
      </c>
      <c r="O3" t="e">
        <f t="shared" ref="O3:O66" si="0">SUM(A3:L3)</f>
        <v>#N/A</v>
      </c>
    </row>
    <row r="4">
      <c r="A4" t="n">
        <f>Coefficients!$A$2</f>
        <v>-3.7765953152866998</v>
      </c>
      <c r="B4" t="n">
        <f>(Games!D4)*(-1*Coefficients!$B$2)</f>
        <v>29.016866801849488</v>
      </c>
      <c r="C4" t="n">
        <f>(VLOOKUP(Games!B4, Data!$B$2:$L$135, 4, FALSE)-VLOOKUP(Games!C4, Data!$B$2:$L$135, 4, FALSE))*Coefficients!$C$2</f>
        <v>3.8469848638822222</v>
      </c>
      <c r="D4" t="n">
        <f>(VLOOKUP(Games!B4, Data!$B$2:$L$135, 3, FALSE)-VLOOKUP(Games!C4, Data!$B$2:$L$135, 3, FALSE))*Coefficients!$D$2</f>
        <v>-8.1721760780750099</v>
      </c>
      <c r="E4" t="n">
        <f>(VLOOKUP(Games!B4, Data!$B$2:$L$135, 5, FALSE)-VLOOKUP(Games!C4, Data!$B$2:$L$135, 5, FALSE))*Coefficients!$E$2</f>
        <v>32.611488581022364</v>
      </c>
      <c r="F4" t="n">
        <f>(VLOOKUP(Games!B4, Data!$B$2:$L$135, 6, FALSE)-VLOOKUP(Games!C4, Data!$B$2:$L$135, 6, FALSE))*Coefficients!$F$2</f>
        <v>6.3490820303448103</v>
      </c>
      <c r="G4" t="n">
        <f>(VLOOKUP(Games!B4, Data!$B$2:$L$135, 7, FALSE)-VLOOKUP(Games!C4, Data!$B$2:$L$135, 7, FALSE))*Coefficients!$G$2</f>
        <v>21.951887691460421</v>
      </c>
      <c r="H4" t="n">
        <f>(VLOOKUP(Games!B4, Data!$B$2:$L$135, 8, FALSE)-VLOOKUP(Games!C4, Data!$B$2:$L$135, 8, FALSE))*Coefficients!$H$2</f>
        <v>8.6910535233190345</v>
      </c>
      <c r="I4" t="n">
        <f>(VLOOKUP(Games!B4, Data!$B$2:$L$135, 9, FALSE)-VLOOKUP(Games!C4, Data!$B$2:$L$135, 9, FALSE))*Coefficients!$I$2</f>
        <v>-4.3058139199868304</v>
      </c>
      <c r="J4" t="n">
        <f>IF(ISBLANK(Data!K4), Games!L4-Games!M4,VLOOKUP(Games!B4, Data!$B$2:$L$135, 10, FALSE)-VLOOKUP(Games!C4, Data!$B$2:$L$135, 10, FALSE))*Coefficients!$J$2</f>
        <v>-12.333368287828584</v>
      </c>
      <c r="K4" t="n">
        <f>(IF(AND(VLOOKUP(Games!B4, Data!$B$2:$L$135, 11, FALSE)=1, VLOOKUP(Games!C4, Data!$B$2:$L$135, 11, FALSE)&lt;&gt;1), 1,0))*Coefficients!K$2</f>
        <v>0</v>
      </c>
      <c r="L4" t="n">
        <f>(IF(AND(VLOOKUP(Games!B4, Data!$B$2:$L$135, 11, FALSE)&lt;&gt;1, VLOOKUP(Games!C4, Data!$B$2:$L$135, 11, FALSE)=1), 1,0))*Coefficients!L$2</f>
        <v>0</v>
      </c>
      <c r="O4" t="n">
        <f t="shared" si="0"/>
        <v>73.879409890701197</v>
      </c>
    </row>
    <row r="5">
      <c r="A5" t="n">
        <f>Coefficients!$A$2</f>
        <v>-3.7765953152866998</v>
      </c>
      <c r="B5" t="n">
        <f>(Games!D5)*(-1*Coefficients!$B$2)</f>
        <v>-40.838553276677061</v>
      </c>
      <c r="C5" t="e">
        <f>(VLOOKUP(Games!B5, Data!$B$2:$L$135, 4, FALSE)-VLOOKUP(Games!C5, Data!$B$2:$L$135, 4, FALSE))*Coefficients!$C$2</f>
        <v>#N/A</v>
      </c>
      <c r="D5" t="e">
        <f>(VLOOKUP(Games!B5, Data!$B$2:$L$135, 3, FALSE)-VLOOKUP(Games!C5, Data!$B$2:$L$135, 3, FALSE))*Coefficients!$D$2</f>
        <v>#N/A</v>
      </c>
      <c r="E5" t="e">
        <f>(VLOOKUP(Games!B5, Data!$B$2:$L$135, 5, FALSE)-VLOOKUP(Games!C5, Data!$B$2:$L$135, 5, FALSE))*Coefficients!$E$2</f>
        <v>#N/A</v>
      </c>
      <c r="F5" t="e">
        <f>(VLOOKUP(Games!B5, Data!$B$2:$L$135, 6, FALSE)-VLOOKUP(Games!C5, Data!$B$2:$L$135, 6, FALSE))*Coefficients!$F$2</f>
        <v>#N/A</v>
      </c>
      <c r="G5" t="e">
        <f>(VLOOKUP(Games!B5, Data!$B$2:$L$135, 7, FALSE)-VLOOKUP(Games!C5, Data!$B$2:$L$135, 7, FALSE))*Coefficients!$G$2</f>
        <v>#N/A</v>
      </c>
      <c r="H5" t="e">
        <f>(VLOOKUP(Games!B5, Data!$B$2:$L$135, 8, FALSE)-VLOOKUP(Games!C5, Data!$B$2:$L$135, 8, FALSE))*Coefficients!$H$2</f>
        <v>#N/A</v>
      </c>
      <c r="I5" t="e">
        <f>(VLOOKUP(Games!B5, Data!$B$2:$L$135, 9, FALSE)-VLOOKUP(Games!C5, Data!$B$2:$L$135, 9, FALSE))*Coefficients!$I$2</f>
        <v>#N/A</v>
      </c>
      <c r="J5" t="n">
        <f>IF(ISBLANK(Data!K5), Games!L5-Games!M5,VLOOKUP(Games!B5, Data!$B$2:$L$135, 10, FALSE)-VLOOKUP(Games!C5, Data!$B$2:$L$135, 10, FALSE))*Coefficients!$J$2</f>
        <v>10.23722815315721</v>
      </c>
      <c r="K5" t="e">
        <f>(IF(AND(VLOOKUP(Games!B5, Data!$B$2:$L$135, 11, FALSE)=1, VLOOKUP(Games!C5, Data!$B$2:$L$135, 11, FALSE)&lt;&gt;1), 1,0))*Coefficients!K$2</f>
        <v>#N/A</v>
      </c>
      <c r="L5" t="e">
        <f>(IF(AND(VLOOKUP(Games!B5, Data!$B$2:$L$135, 11, FALSE)&lt;&gt;1, VLOOKUP(Games!C5, Data!$B$2:$L$135, 11, FALSE)=1), 1,0))*Coefficients!L$2</f>
        <v>#N/A</v>
      </c>
      <c r="O5" t="e">
        <f t="shared" si="0"/>
        <v>#N/A</v>
      </c>
    </row>
    <row r="6">
      <c r="A6" t="n">
        <f>Coefficients!$A$2</f>
        <v>-3.7765953152866998</v>
      </c>
      <c r="B6" t="n">
        <f>(Games!D6)*(-1*Coefficients!$B$2)</f>
        <v>-41.375902661896497</v>
      </c>
      <c r="C6" t="e">
        <f>(VLOOKUP(Games!B6, Data!$B$2:$L$135, 4, FALSE)-VLOOKUP(Games!C6, Data!$B$2:$L$135, 4, FALSE))*Coefficients!$C$2</f>
        <v>#N/A</v>
      </c>
      <c r="D6" t="e">
        <f>(VLOOKUP(Games!B6, Data!$B$2:$L$135, 3, FALSE)-VLOOKUP(Games!C6, Data!$B$2:$L$135, 3, FALSE))*Coefficients!$D$2</f>
        <v>#N/A</v>
      </c>
      <c r="E6" t="e">
        <f>(VLOOKUP(Games!B6, Data!$B$2:$L$135, 5, FALSE)-VLOOKUP(Games!C6, Data!$B$2:$L$135, 5, FALSE))*Coefficients!$E$2</f>
        <v>#N/A</v>
      </c>
      <c r="F6" t="e">
        <f>(VLOOKUP(Games!B6, Data!$B$2:$L$135, 6, FALSE)-VLOOKUP(Games!C6, Data!$B$2:$L$135, 6, FALSE))*Coefficients!$F$2</f>
        <v>#N/A</v>
      </c>
      <c r="G6" t="e">
        <f>(VLOOKUP(Games!B6, Data!$B$2:$L$135, 7, FALSE)-VLOOKUP(Games!C6, Data!$B$2:$L$135, 7, FALSE))*Coefficients!$G$2</f>
        <v>#N/A</v>
      </c>
      <c r="H6" t="e">
        <f>(VLOOKUP(Games!B6, Data!$B$2:$L$135, 8, FALSE)-VLOOKUP(Games!C6, Data!$B$2:$L$135, 8, FALSE))*Coefficients!$H$2</f>
        <v>#N/A</v>
      </c>
      <c r="I6" t="e">
        <f>(VLOOKUP(Games!B6, Data!$B$2:$L$135, 9, FALSE)-VLOOKUP(Games!C6, Data!$B$2:$L$135, 9, FALSE))*Coefficients!$I$2</f>
        <v>#N/A</v>
      </c>
      <c r="J6" t="n">
        <f>IF(ISBLANK(Data!K6), Games!L6-Games!M6,VLOOKUP(Games!B6, Data!$B$2:$L$135, 10, FALSE)-VLOOKUP(Games!C6, Data!$B$2:$L$135, 10, FALSE))*Coefficients!$J$2</f>
        <v>11.769649147849318</v>
      </c>
      <c r="K6" t="e">
        <f>(IF(AND(VLOOKUP(Games!B6, Data!$B$2:$L$135, 11, FALSE)=1, VLOOKUP(Games!C6, Data!$B$2:$L$135, 11, FALSE)&lt;&gt;1), 1,0))*Coefficients!K$2</f>
        <v>#N/A</v>
      </c>
      <c r="L6" t="e">
        <f>(IF(AND(VLOOKUP(Games!B6, Data!$B$2:$L$135, 11, FALSE)&lt;&gt;1, VLOOKUP(Games!C6, Data!$B$2:$L$135, 11, FALSE)=1), 1,0))*Coefficients!L$2</f>
        <v>#N/A</v>
      </c>
      <c r="O6" t="e">
        <f t="shared" si="0"/>
        <v>#N/A</v>
      </c>
    </row>
    <row r="7">
      <c r="A7" t="n">
        <f>Coefficients!$A$2</f>
        <v>-3.7765953152866998</v>
      </c>
      <c r="B7" t="e">
        <f>(Games!D7)*(-1*Coefficients!$B$2)</f>
        <v>#VALUE!</v>
      </c>
      <c r="C7" t="e">
        <f>(VLOOKUP(Games!B7, Data!$B$2:$L$135, 4, FALSE)-VLOOKUP(Games!C7, Data!$B$2:$L$135, 4, FALSE))*Coefficients!$C$2</f>
        <v>#N/A</v>
      </c>
      <c r="D7" t="e">
        <f>(VLOOKUP(Games!B7, Data!$B$2:$L$135, 3, FALSE)-VLOOKUP(Games!C7, Data!$B$2:$L$135, 3, FALSE))*Coefficients!$D$2</f>
        <v>#N/A</v>
      </c>
      <c r="E7" t="e">
        <f>(VLOOKUP(Games!B7, Data!$B$2:$L$135, 5, FALSE)-VLOOKUP(Games!C7, Data!$B$2:$L$135, 5, FALSE))*Coefficients!$E$2</f>
        <v>#N/A</v>
      </c>
      <c r="F7" t="e">
        <f>(VLOOKUP(Games!B7, Data!$B$2:$L$135, 6, FALSE)-VLOOKUP(Games!C7, Data!$B$2:$L$135, 6, FALSE))*Coefficients!$F$2</f>
        <v>#N/A</v>
      </c>
      <c r="G7" t="e">
        <f>(VLOOKUP(Games!B7, Data!$B$2:$L$135, 7, FALSE)-VLOOKUP(Games!C7, Data!$B$2:$L$135, 7, FALSE))*Coefficients!$G$2</f>
        <v>#N/A</v>
      </c>
      <c r="H7" t="e">
        <f>(VLOOKUP(Games!B7, Data!$B$2:$L$135, 8, FALSE)-VLOOKUP(Games!C7, Data!$B$2:$L$135, 8, FALSE))*Coefficients!$H$2</f>
        <v>#N/A</v>
      </c>
      <c r="I7" t="e">
        <f>(VLOOKUP(Games!B7, Data!$B$2:$L$135, 9, FALSE)-VLOOKUP(Games!C7, Data!$B$2:$L$135, 9, FALSE))*Coefficients!$I$2</f>
        <v>#N/A</v>
      </c>
      <c r="J7" t="n">
        <f>IF(ISBLANK(Data!K7), Games!L7-Games!M7,VLOOKUP(Games!B7, Data!$B$2:$L$135, 10, FALSE)-VLOOKUP(Games!C7, Data!$B$2:$L$135, 10, FALSE))*Coefficients!$J$2</f>
        <v>4.9634623432820524</v>
      </c>
      <c r="K7" t="e">
        <f>(IF(AND(VLOOKUP(Games!B7, Data!$B$2:$L$135, 11, FALSE)=1, VLOOKUP(Games!C7, Data!$B$2:$L$135, 11, FALSE)&lt;&gt;1), 1,0))*Coefficients!K$2</f>
        <v>#N/A</v>
      </c>
      <c r="L7" t="e">
        <f>(IF(AND(VLOOKUP(Games!B7, Data!$B$2:$L$135, 11, FALSE)&lt;&gt;1, VLOOKUP(Games!C7, Data!$B$2:$L$135, 11, FALSE)=1), 1,0))*Coefficients!L$2</f>
        <v>#N/A</v>
      </c>
      <c r="O7" t="e">
        <f t="shared" si="0"/>
        <v>#VALUE!</v>
      </c>
    </row>
    <row r="8">
      <c r="A8" t="n">
        <f>Coefficients!$A$2</f>
        <v>-3.7765953152866998</v>
      </c>
      <c r="B8" t="n">
        <f>(Games!D8)*(-1*Coefficients!$B$2)</f>
        <v>-36.002408809702146</v>
      </c>
      <c r="C8" t="e">
        <f>(VLOOKUP(Games!B8, Data!$B$2:$L$135, 4, FALSE)-VLOOKUP(Games!C8, Data!$B$2:$L$135, 4, FALSE))*Coefficients!$C$2</f>
        <v>#N/A</v>
      </c>
      <c r="D8" t="e">
        <f>(VLOOKUP(Games!B8, Data!$B$2:$L$135, 3, FALSE)-VLOOKUP(Games!C8, Data!$B$2:$L$135, 3, FALSE))*Coefficients!$D$2</f>
        <v>#N/A</v>
      </c>
      <c r="E8" t="e">
        <f>(VLOOKUP(Games!B8, Data!$B$2:$L$135, 5, FALSE)-VLOOKUP(Games!C8, Data!$B$2:$L$135, 5, FALSE))*Coefficients!$E$2</f>
        <v>#N/A</v>
      </c>
      <c r="F8" t="e">
        <f>(VLOOKUP(Games!B8, Data!$B$2:$L$135, 6, FALSE)-VLOOKUP(Games!C8, Data!$B$2:$L$135, 6, FALSE))*Coefficients!$F$2</f>
        <v>#N/A</v>
      </c>
      <c r="G8" t="e">
        <f>(VLOOKUP(Games!B8, Data!$B$2:$L$135, 7, FALSE)-VLOOKUP(Games!C8, Data!$B$2:$L$135, 7, FALSE))*Coefficients!$G$2</f>
        <v>#N/A</v>
      </c>
      <c r="H8" t="e">
        <f>(VLOOKUP(Games!B8, Data!$B$2:$L$135, 8, FALSE)-VLOOKUP(Games!C8, Data!$B$2:$L$135, 8, FALSE))*Coefficients!$H$2</f>
        <v>#N/A</v>
      </c>
      <c r="I8" t="e">
        <f>(VLOOKUP(Games!B8, Data!$B$2:$L$135, 9, FALSE)-VLOOKUP(Games!C8, Data!$B$2:$L$135, 9, FALSE))*Coefficients!$I$2</f>
        <v>#N/A</v>
      </c>
      <c r="J8" t="n">
        <f>IF(ISBLANK(Data!K8), Games!L8-Games!M8,VLOOKUP(Games!B8, Data!$B$2:$L$135, 10, FALSE)-VLOOKUP(Games!C8, Data!$B$2:$L$135, 10, FALSE))*Coefficients!$J$2</f>
        <v>10.007712853637493</v>
      </c>
      <c r="K8" t="e">
        <f>(IF(AND(VLOOKUP(Games!B8, Data!$B$2:$L$135, 11, FALSE)=1, VLOOKUP(Games!C8, Data!$B$2:$L$135, 11, FALSE)&lt;&gt;1), 1,0))*Coefficients!K$2</f>
        <v>#N/A</v>
      </c>
      <c r="L8" t="e">
        <f>(IF(AND(VLOOKUP(Games!B8, Data!$B$2:$L$135, 11, FALSE)&lt;&gt;1, VLOOKUP(Games!C8, Data!$B$2:$L$135, 11, FALSE)=1), 1,0))*Coefficients!L$2</f>
        <v>#N/A</v>
      </c>
      <c r="O8" t="e">
        <f t="shared" si="0"/>
        <v>#N/A</v>
      </c>
    </row>
    <row r="9">
      <c r="A9" t="n">
        <f>Coefficients!$A$2</f>
        <v>-3.7765953152866998</v>
      </c>
      <c r="B9" t="n">
        <f>(Games!D9)*(-1*Coefficients!$B$2)</f>
        <v>-3.761445696536045</v>
      </c>
      <c r="C9" t="e">
        <f>(VLOOKUP(Games!B9, Data!$B$2:$L$135, 4, FALSE)-VLOOKUP(Games!C9, Data!$B$2:$L$135, 4, FALSE))*Coefficients!$C$2</f>
        <v>#N/A</v>
      </c>
      <c r="D9" t="e">
        <f>(VLOOKUP(Games!B9, Data!$B$2:$L$135, 3, FALSE)-VLOOKUP(Games!C9, Data!$B$2:$L$135, 3, FALSE))*Coefficients!$D$2</f>
        <v>#N/A</v>
      </c>
      <c r="E9" t="e">
        <f>(VLOOKUP(Games!B9, Data!$B$2:$L$135, 5, FALSE)-VLOOKUP(Games!C9, Data!$B$2:$L$135, 5, FALSE))*Coefficients!$E$2</f>
        <v>#N/A</v>
      </c>
      <c r="F9" t="e">
        <f>(VLOOKUP(Games!B9, Data!$B$2:$L$135, 6, FALSE)-VLOOKUP(Games!C9, Data!$B$2:$L$135, 6, FALSE))*Coefficients!$F$2</f>
        <v>#N/A</v>
      </c>
      <c r="G9" t="e">
        <f>(VLOOKUP(Games!B9, Data!$B$2:$L$135, 7, FALSE)-VLOOKUP(Games!C9, Data!$B$2:$L$135, 7, FALSE))*Coefficients!$G$2</f>
        <v>#N/A</v>
      </c>
      <c r="H9" t="e">
        <f>(VLOOKUP(Games!B9, Data!$B$2:$L$135, 8, FALSE)-VLOOKUP(Games!C9, Data!$B$2:$L$135, 8, FALSE))*Coefficients!$H$2</f>
        <v>#N/A</v>
      </c>
      <c r="I9" t="e">
        <f>(VLOOKUP(Games!B9, Data!$B$2:$L$135, 9, FALSE)-VLOOKUP(Games!C9, Data!$B$2:$L$135, 9, FALSE))*Coefficients!$I$2</f>
        <v>#N/A</v>
      </c>
      <c r="J9" t="n">
        <f>IF(ISBLANK(Data!K9), Games!L9-Games!M9,VLOOKUP(Games!B9, Data!$B$2:$L$135, 10, FALSE)-VLOOKUP(Games!C9, Data!$B$2:$L$135, 10, FALSE))*Coefficients!$J$2</f>
        <v>9.1180490087177741</v>
      </c>
      <c r="K9" t="e">
        <f>(IF(AND(VLOOKUP(Games!B9, Data!$B$2:$L$135, 11, FALSE)=1, VLOOKUP(Games!C9, Data!$B$2:$L$135, 11, FALSE)&lt;&gt;1), 1,0))*Coefficients!K$2</f>
        <v>#N/A</v>
      </c>
      <c r="L9" t="e">
        <f>(IF(AND(VLOOKUP(Games!B9, Data!$B$2:$L$135, 11, FALSE)&lt;&gt;1, VLOOKUP(Games!C9, Data!$B$2:$L$135, 11, FALSE)=1), 1,0))*Coefficients!L$2</f>
        <v>#N/A</v>
      </c>
      <c r="O9" t="e">
        <f t="shared" si="0"/>
        <v>#N/A</v>
      </c>
    </row>
    <row r="10">
      <c r="A10" t="n">
        <f>Coefficients!$A$2</f>
        <v>-3.7765953152866998</v>
      </c>
      <c r="B10" t="e">
        <f>(Games!D10)*(-1*Coefficients!$B$2)</f>
        <v>#VALUE!</v>
      </c>
      <c r="C10" t="e">
        <f>(VLOOKUP(Games!B10, Data!$B$2:$L$135, 4, FALSE)-VLOOKUP(Games!C10, Data!$B$2:$L$135, 4, FALSE))*Coefficients!$C$2</f>
        <v>#N/A</v>
      </c>
      <c r="D10" t="e">
        <f>(VLOOKUP(Games!B10, Data!$B$2:$L$135, 3, FALSE)-VLOOKUP(Games!C10, Data!$B$2:$L$135, 3, FALSE))*Coefficients!$D$2</f>
        <v>#N/A</v>
      </c>
      <c r="E10" t="e">
        <f>(VLOOKUP(Games!B10, Data!$B$2:$L$135, 5, FALSE)-VLOOKUP(Games!C10, Data!$B$2:$L$135, 5, FALSE))*Coefficients!$E$2</f>
        <v>#N/A</v>
      </c>
      <c r="F10" t="e">
        <f>(VLOOKUP(Games!B10, Data!$B$2:$L$135, 6, FALSE)-VLOOKUP(Games!C10, Data!$B$2:$L$135, 6, FALSE))*Coefficients!$F$2</f>
        <v>#N/A</v>
      </c>
      <c r="G10" t="e">
        <f>(VLOOKUP(Games!B10, Data!$B$2:$L$135, 7, FALSE)-VLOOKUP(Games!C10, Data!$B$2:$L$135, 7, FALSE))*Coefficients!$G$2</f>
        <v>#N/A</v>
      </c>
      <c r="H10" t="e">
        <f>(VLOOKUP(Games!B10, Data!$B$2:$L$135, 8, FALSE)-VLOOKUP(Games!C10, Data!$B$2:$L$135, 8, FALSE))*Coefficients!$H$2</f>
        <v>#N/A</v>
      </c>
      <c r="I10" t="e">
        <f>(VLOOKUP(Games!B10, Data!$B$2:$L$135, 9, FALSE)-VLOOKUP(Games!C10, Data!$B$2:$L$135, 9, FALSE))*Coefficients!$I$2</f>
        <v>#N/A</v>
      </c>
      <c r="J10" t="n">
        <f>IF(ISBLANK(Data!K10), Games!L10-Games!M10,VLOOKUP(Games!B10, Data!$B$2:$L$135, 10, FALSE)-VLOOKUP(Games!C10, Data!$B$2:$L$135, 10, FALSE))*Coefficients!$J$2</f>
        <v>12.348264667793599</v>
      </c>
      <c r="K10" t="e">
        <f>(IF(AND(VLOOKUP(Games!B10, Data!$B$2:$L$135, 11, FALSE)=1, VLOOKUP(Games!C10, Data!$B$2:$L$135, 11, FALSE)&lt;&gt;1), 1,0))*Coefficients!K$2</f>
        <v>#N/A</v>
      </c>
      <c r="L10" t="e">
        <f>(IF(AND(VLOOKUP(Games!B10, Data!$B$2:$L$135, 11, FALSE)&lt;&gt;1, VLOOKUP(Games!C10, Data!$B$2:$L$135, 11, FALSE)=1), 1,0))*Coefficients!L$2</f>
        <v>#N/A</v>
      </c>
      <c r="O10" t="e">
        <f t="shared" si="0"/>
        <v>#VALUE!</v>
      </c>
    </row>
    <row r="11">
      <c r="A11" t="n">
        <f>Coefficients!$A$2</f>
        <v>-3.7765953152866998</v>
      </c>
      <c r="B11" t="e">
        <f>(Games!D11)*(-1*Coefficients!$B$2)</f>
        <v>#VALUE!</v>
      </c>
      <c r="C11" t="e">
        <f>(VLOOKUP(Games!B11, Data!$B$2:$L$135, 4, FALSE)-VLOOKUP(Games!C11, Data!$B$2:$L$135, 4, FALSE))*Coefficients!$C$2</f>
        <v>#N/A</v>
      </c>
      <c r="D11" t="e">
        <f>(VLOOKUP(Games!B11, Data!$B$2:$L$135, 3, FALSE)-VLOOKUP(Games!C11, Data!$B$2:$L$135, 3, FALSE))*Coefficients!$D$2</f>
        <v>#N/A</v>
      </c>
      <c r="E11" t="e">
        <f>(VLOOKUP(Games!B11, Data!$B$2:$L$135, 5, FALSE)-VLOOKUP(Games!C11, Data!$B$2:$L$135, 5, FALSE))*Coefficients!$E$2</f>
        <v>#N/A</v>
      </c>
      <c r="F11" t="e">
        <f>(VLOOKUP(Games!B11, Data!$B$2:$L$135, 6, FALSE)-VLOOKUP(Games!C11, Data!$B$2:$L$135, 6, FALSE))*Coefficients!$F$2</f>
        <v>#N/A</v>
      </c>
      <c r="G11" t="e">
        <f>(VLOOKUP(Games!B11, Data!$B$2:$L$135, 7, FALSE)-VLOOKUP(Games!C11, Data!$B$2:$L$135, 7, FALSE))*Coefficients!$G$2</f>
        <v>#N/A</v>
      </c>
      <c r="H11" t="e">
        <f>(VLOOKUP(Games!B11, Data!$B$2:$L$135, 8, FALSE)-VLOOKUP(Games!C11, Data!$B$2:$L$135, 8, FALSE))*Coefficients!$H$2</f>
        <v>#N/A</v>
      </c>
      <c r="I11" t="e">
        <f>(VLOOKUP(Games!B11, Data!$B$2:$L$135, 9, FALSE)-VLOOKUP(Games!C11, Data!$B$2:$L$135, 9, FALSE))*Coefficients!$I$2</f>
        <v>#N/A</v>
      </c>
      <c r="J11" t="n">
        <f>IF(ISBLANK(Data!K11), Games!L11-Games!M11,VLOOKUP(Games!B11, Data!$B$2:$L$135, 10, FALSE)-VLOOKUP(Games!C11, Data!$B$2:$L$135, 10, FALSE))*Coefficients!$J$2</f>
        <v>12.478867130473924</v>
      </c>
      <c r="K11" t="e">
        <f>(IF(AND(VLOOKUP(Games!B11, Data!$B$2:$L$135, 11, FALSE)=1, VLOOKUP(Games!C11, Data!$B$2:$L$135, 11, FALSE)&lt;&gt;1), 1,0))*Coefficients!K$2</f>
        <v>#N/A</v>
      </c>
      <c r="L11" t="e">
        <f>(IF(AND(VLOOKUP(Games!B11, Data!$B$2:$L$135, 11, FALSE)&lt;&gt;1, VLOOKUP(Games!C11, Data!$B$2:$L$135, 11, FALSE)=1), 1,0))*Coefficients!L$2</f>
        <v>#N/A</v>
      </c>
      <c r="O11" t="e">
        <f t="shared" si="0"/>
        <v>#VALUE!</v>
      </c>
    </row>
    <row r="12">
      <c r="A12" t="n">
        <f>Coefficients!$A$2</f>
        <v>-3.7765953152866998</v>
      </c>
      <c r="B12" t="e">
        <f>(Games!D12)*(-1*Coefficients!$B$2)</f>
        <v>#VALUE!</v>
      </c>
      <c r="C12" t="e">
        <f>(VLOOKUP(Games!B12, Data!$B$2:$L$135, 4, FALSE)-VLOOKUP(Games!C12, Data!$B$2:$L$135, 4, FALSE))*Coefficients!$C$2</f>
        <v>#N/A</v>
      </c>
      <c r="D12" t="e">
        <f>(VLOOKUP(Games!B12, Data!$B$2:$L$135, 3, FALSE)-VLOOKUP(Games!C12, Data!$B$2:$L$135, 3, FALSE))*Coefficients!$D$2</f>
        <v>#N/A</v>
      </c>
      <c r="E12" t="e">
        <f>(VLOOKUP(Games!B12, Data!$B$2:$L$135, 5, FALSE)-VLOOKUP(Games!C12, Data!$B$2:$L$135, 5, FALSE))*Coefficients!$E$2</f>
        <v>#N/A</v>
      </c>
      <c r="F12" t="e">
        <f>(VLOOKUP(Games!B12, Data!$B$2:$L$135, 6, FALSE)-VLOOKUP(Games!C12, Data!$B$2:$L$135, 6, FALSE))*Coefficients!$F$2</f>
        <v>#N/A</v>
      </c>
      <c r="G12" t="e">
        <f>(VLOOKUP(Games!B12, Data!$B$2:$L$135, 7, FALSE)-VLOOKUP(Games!C12, Data!$B$2:$L$135, 7, FALSE))*Coefficients!$G$2</f>
        <v>#N/A</v>
      </c>
      <c r="H12" t="e">
        <f>(VLOOKUP(Games!B12, Data!$B$2:$L$135, 8, FALSE)-VLOOKUP(Games!C12, Data!$B$2:$L$135, 8, FALSE))*Coefficients!$H$2</f>
        <v>#N/A</v>
      </c>
      <c r="I12" t="e">
        <f>(VLOOKUP(Games!B12, Data!$B$2:$L$135, 9, FALSE)-VLOOKUP(Games!C12, Data!$B$2:$L$135, 9, FALSE))*Coefficients!$I$2</f>
        <v>#N/A</v>
      </c>
      <c r="J12" t="n">
        <f>IF(ISBLANK(Data!K12), Games!L12-Games!M12,VLOOKUP(Games!B12, Data!$B$2:$L$135, 10, FALSE)-VLOOKUP(Games!C12, Data!$B$2:$L$135, 10, FALSE))*Coefficients!$J$2</f>
        <v>11.547637855164258</v>
      </c>
      <c r="K12" t="e">
        <f>(IF(AND(VLOOKUP(Games!B12, Data!$B$2:$L$135, 11, FALSE)=1, VLOOKUP(Games!C12, Data!$B$2:$L$135, 11, FALSE)&lt;&gt;1), 1,0))*Coefficients!K$2</f>
        <v>#N/A</v>
      </c>
      <c r="L12" t="e">
        <f>(IF(AND(VLOOKUP(Games!B12, Data!$B$2:$L$135, 11, FALSE)&lt;&gt;1, VLOOKUP(Games!C12, Data!$B$2:$L$135, 11, FALSE)=1), 1,0))*Coefficients!L$2</f>
        <v>#N/A</v>
      </c>
      <c r="O12" t="e">
        <f t="shared" si="0"/>
        <v>#VALUE!</v>
      </c>
    </row>
    <row r="13">
      <c r="A13" t="n">
        <f>Coefficients!$A$2</f>
        <v>-3.7765953152866998</v>
      </c>
      <c r="B13" t="e">
        <f>(Games!D13)*(-1*Coefficients!$B$2)</f>
        <v>#VALUE!</v>
      </c>
      <c r="C13" t="e">
        <f>(VLOOKUP(Games!B13, Data!$B$2:$L$135, 4, FALSE)-VLOOKUP(Games!C13, Data!$B$2:$L$135, 4, FALSE))*Coefficients!$C$2</f>
        <v>#N/A</v>
      </c>
      <c r="D13" t="e">
        <f>(VLOOKUP(Games!B13, Data!$B$2:$L$135, 3, FALSE)-VLOOKUP(Games!C13, Data!$B$2:$L$135, 3, FALSE))*Coefficients!$D$2</f>
        <v>#N/A</v>
      </c>
      <c r="E13" t="e">
        <f>(VLOOKUP(Games!B13, Data!$B$2:$L$135, 5, FALSE)-VLOOKUP(Games!C13, Data!$B$2:$L$135, 5, FALSE))*Coefficients!$E$2</f>
        <v>#N/A</v>
      </c>
      <c r="F13" t="e">
        <f>(VLOOKUP(Games!B13, Data!$B$2:$L$135, 6, FALSE)-VLOOKUP(Games!C13, Data!$B$2:$L$135, 6, FALSE))*Coefficients!$F$2</f>
        <v>#N/A</v>
      </c>
      <c r="G13" t="e">
        <f>(VLOOKUP(Games!B13, Data!$B$2:$L$135, 7, FALSE)-VLOOKUP(Games!C13, Data!$B$2:$L$135, 7, FALSE))*Coefficients!$G$2</f>
        <v>#N/A</v>
      </c>
      <c r="H13" t="e">
        <f>(VLOOKUP(Games!B13, Data!$B$2:$L$135, 8, FALSE)-VLOOKUP(Games!C13, Data!$B$2:$L$135, 8, FALSE))*Coefficients!$H$2</f>
        <v>#N/A</v>
      </c>
      <c r="I13" t="e">
        <f>(VLOOKUP(Games!B13, Data!$B$2:$L$135, 9, FALSE)-VLOOKUP(Games!C13, Data!$B$2:$L$135, 9, FALSE))*Coefficients!$I$2</f>
        <v>#N/A</v>
      </c>
      <c r="J13" t="n">
        <f>IF(ISBLANK(Data!K13), Games!L13-Games!M13,VLOOKUP(Games!B13, Data!$B$2:$L$135, 10, FALSE)-VLOOKUP(Games!C13, Data!$B$2:$L$135, 10, FALSE))*Coefficients!$J$2</f>
        <v>11.241463990612907</v>
      </c>
      <c r="K13" t="e">
        <f>(IF(AND(VLOOKUP(Games!B13, Data!$B$2:$L$135, 11, FALSE)=1, VLOOKUP(Games!C13, Data!$B$2:$L$135, 11, FALSE)&lt;&gt;1), 1,0))*Coefficients!K$2</f>
        <v>#N/A</v>
      </c>
      <c r="L13" t="e">
        <f>(IF(AND(VLOOKUP(Games!B13, Data!$B$2:$L$135, 11, FALSE)&lt;&gt;1, VLOOKUP(Games!C13, Data!$B$2:$L$135, 11, FALSE)=1), 1,0))*Coefficients!L$2</f>
        <v>#N/A</v>
      </c>
      <c r="O13" t="e">
        <f t="shared" si="0"/>
        <v>#VALUE!</v>
      </c>
    </row>
    <row r="14">
      <c r="A14" t="n">
        <f>Coefficients!$A$2</f>
        <v>-3.7765953152866998</v>
      </c>
      <c r="B14" t="e">
        <f>(Games!D14)*(-1*Coefficients!$B$2)</f>
        <v>#VALUE!</v>
      </c>
      <c r="C14" t="e">
        <f>(VLOOKUP(Games!B14, Data!$B$2:$L$135, 4, FALSE)-VLOOKUP(Games!C14, Data!$B$2:$L$135, 4, FALSE))*Coefficients!$C$2</f>
        <v>#N/A</v>
      </c>
      <c r="D14" t="e">
        <f>(VLOOKUP(Games!B14, Data!$B$2:$L$135, 3, FALSE)-VLOOKUP(Games!C14, Data!$B$2:$L$135, 3, FALSE))*Coefficients!$D$2</f>
        <v>#N/A</v>
      </c>
      <c r="E14" t="e">
        <f>(VLOOKUP(Games!B14, Data!$B$2:$L$135, 5, FALSE)-VLOOKUP(Games!C14, Data!$B$2:$L$135, 5, FALSE))*Coefficients!$E$2</f>
        <v>#N/A</v>
      </c>
      <c r="F14" t="e">
        <f>(VLOOKUP(Games!B14, Data!$B$2:$L$135, 6, FALSE)-VLOOKUP(Games!C14, Data!$B$2:$L$135, 6, FALSE))*Coefficients!$F$2</f>
        <v>#N/A</v>
      </c>
      <c r="G14" t="e">
        <f>(VLOOKUP(Games!B14, Data!$B$2:$L$135, 7, FALSE)-VLOOKUP(Games!C14, Data!$B$2:$L$135, 7, FALSE))*Coefficients!$G$2</f>
        <v>#N/A</v>
      </c>
      <c r="H14" t="e">
        <f>(VLOOKUP(Games!B14, Data!$B$2:$L$135, 8, FALSE)-VLOOKUP(Games!C14, Data!$B$2:$L$135, 8, FALSE))*Coefficients!$H$2</f>
        <v>#N/A</v>
      </c>
      <c r="I14" t="e">
        <f>(VLOOKUP(Games!B14, Data!$B$2:$L$135, 9, FALSE)-VLOOKUP(Games!C14, Data!$B$2:$L$135, 9, FALSE))*Coefficients!$I$2</f>
        <v>#N/A</v>
      </c>
      <c r="J14" t="n">
        <f>IF(ISBLANK(Data!K14), Games!L14-Games!M14,VLOOKUP(Games!B14, Data!$B$2:$L$135, 10, FALSE)-VLOOKUP(Games!C14, Data!$B$2:$L$135, 10, FALSE))*Coefficients!$J$2</f>
        <v>11.534517505695156</v>
      </c>
      <c r="K14" t="e">
        <f>(IF(AND(VLOOKUP(Games!B14, Data!$B$2:$L$135, 11, FALSE)=1, VLOOKUP(Games!C14, Data!$B$2:$L$135, 11, FALSE)&lt;&gt;1), 1,0))*Coefficients!K$2</f>
        <v>#N/A</v>
      </c>
      <c r="L14" t="e">
        <f>(IF(AND(VLOOKUP(Games!B14, Data!$B$2:$L$135, 11, FALSE)&lt;&gt;1, VLOOKUP(Games!C14, Data!$B$2:$L$135, 11, FALSE)=1), 1,0))*Coefficients!L$2</f>
        <v>#N/A</v>
      </c>
      <c r="O14" t="e">
        <f t="shared" si="0"/>
        <v>#VALUE!</v>
      </c>
    </row>
    <row r="15">
      <c r="A15" t="n">
        <f>Coefficients!$A$2</f>
        <v>-3.7765953152866998</v>
      </c>
      <c r="B15" t="e">
        <f>(Games!D15)*(-1*Coefficients!$B$2)</f>
        <v>#VALUE!</v>
      </c>
      <c r="C15" t="e">
        <f>(VLOOKUP(Games!B15, Data!$B$2:$L$135, 4, FALSE)-VLOOKUP(Games!C15, Data!$B$2:$L$135, 4, FALSE))*Coefficients!$C$2</f>
        <v>#N/A</v>
      </c>
      <c r="D15" t="e">
        <f>(VLOOKUP(Games!B15, Data!$B$2:$L$135, 3, FALSE)-VLOOKUP(Games!C15, Data!$B$2:$L$135, 3, FALSE))*Coefficients!$D$2</f>
        <v>#N/A</v>
      </c>
      <c r="E15" t="e">
        <f>(VLOOKUP(Games!B15, Data!$B$2:$L$135, 5, FALSE)-VLOOKUP(Games!C15, Data!$B$2:$L$135, 5, FALSE))*Coefficients!$E$2</f>
        <v>#N/A</v>
      </c>
      <c r="F15" t="e">
        <f>(VLOOKUP(Games!B15, Data!$B$2:$L$135, 6, FALSE)-VLOOKUP(Games!C15, Data!$B$2:$L$135, 6, FALSE))*Coefficients!$F$2</f>
        <v>#N/A</v>
      </c>
      <c r="G15" t="e">
        <f>(VLOOKUP(Games!B15, Data!$B$2:$L$135, 7, FALSE)-VLOOKUP(Games!C15, Data!$B$2:$L$135, 7, FALSE))*Coefficients!$G$2</f>
        <v>#N/A</v>
      </c>
      <c r="H15" t="e">
        <f>(VLOOKUP(Games!B15, Data!$B$2:$L$135, 8, FALSE)-VLOOKUP(Games!C15, Data!$B$2:$L$135, 8, FALSE))*Coefficients!$H$2</f>
        <v>#N/A</v>
      </c>
      <c r="I15" t="e">
        <f>(VLOOKUP(Games!B15, Data!$B$2:$L$135, 9, FALSE)-VLOOKUP(Games!C15, Data!$B$2:$L$135, 9, FALSE))*Coefficients!$I$2</f>
        <v>#N/A</v>
      </c>
      <c r="J15" t="n">
        <f>IF(ISBLANK(Data!K15), Games!L15-Games!M15,VLOOKUP(Games!B15, Data!$B$2:$L$135, 10, FALSE)-VLOOKUP(Games!C15, Data!$B$2:$L$135, 10, FALSE))*Coefficients!$J$2</f>
        <v>12.170706290649292</v>
      </c>
      <c r="K15" t="e">
        <f>(IF(AND(VLOOKUP(Games!B15, Data!$B$2:$L$135, 11, FALSE)=1, VLOOKUP(Games!C15, Data!$B$2:$L$135, 11, FALSE)&lt;&gt;1), 1,0))*Coefficients!K$2</f>
        <v>#N/A</v>
      </c>
      <c r="L15" t="e">
        <f>(IF(AND(VLOOKUP(Games!B15, Data!$B$2:$L$135, 11, FALSE)&lt;&gt;1, VLOOKUP(Games!C15, Data!$B$2:$L$135, 11, FALSE)=1), 1,0))*Coefficients!L$2</f>
        <v>#N/A</v>
      </c>
      <c r="O15" t="e">
        <f t="shared" si="0"/>
        <v>#VALUE!</v>
      </c>
    </row>
    <row r="16">
      <c r="A16" t="n">
        <f>Coefficients!$A$2</f>
        <v>-3.7765953152866998</v>
      </c>
      <c r="B16" t="e">
        <f>(Games!D16)*(-1*Coefficients!$B$2)</f>
        <v>#VALUE!</v>
      </c>
      <c r="C16" t="e">
        <f>(VLOOKUP(Games!B16, Data!$B$2:$L$135, 4, FALSE)-VLOOKUP(Games!C16, Data!$B$2:$L$135, 4, FALSE))*Coefficients!$C$2</f>
        <v>#N/A</v>
      </c>
      <c r="D16" t="e">
        <f>(VLOOKUP(Games!B16, Data!$B$2:$L$135, 3, FALSE)-VLOOKUP(Games!C16, Data!$B$2:$L$135, 3, FALSE))*Coefficients!$D$2</f>
        <v>#N/A</v>
      </c>
      <c r="E16" t="e">
        <f>(VLOOKUP(Games!B16, Data!$B$2:$L$135, 5, FALSE)-VLOOKUP(Games!C16, Data!$B$2:$L$135, 5, FALSE))*Coefficients!$E$2</f>
        <v>#N/A</v>
      </c>
      <c r="F16" t="e">
        <f>(VLOOKUP(Games!B16, Data!$B$2:$L$135, 6, FALSE)-VLOOKUP(Games!C16, Data!$B$2:$L$135, 6, FALSE))*Coefficients!$F$2</f>
        <v>#N/A</v>
      </c>
      <c r="G16" t="e">
        <f>(VLOOKUP(Games!B16, Data!$B$2:$L$135, 7, FALSE)-VLOOKUP(Games!C16, Data!$B$2:$L$135, 7, FALSE))*Coefficients!$G$2</f>
        <v>#N/A</v>
      </c>
      <c r="H16" t="e">
        <f>(VLOOKUP(Games!B16, Data!$B$2:$L$135, 8, FALSE)-VLOOKUP(Games!C16, Data!$B$2:$L$135, 8, FALSE))*Coefficients!$H$2</f>
        <v>#N/A</v>
      </c>
      <c r="I16" t="e">
        <f>(VLOOKUP(Games!B16, Data!$B$2:$L$135, 9, FALSE)-VLOOKUP(Games!C16, Data!$B$2:$L$135, 9, FALSE))*Coefficients!$I$2</f>
        <v>#N/A</v>
      </c>
      <c r="J16" t="n">
        <f>IF(ISBLANK(Data!K16), Games!L16-Games!M16,VLOOKUP(Games!B16, Data!$B$2:$L$135, 10, FALSE)-VLOOKUP(Games!C16, Data!$B$2:$L$135, 10, FALSE))*Coefficients!$J$2</f>
        <v>9.8885435789976484</v>
      </c>
      <c r="K16" t="e">
        <f>(IF(AND(VLOOKUP(Games!B16, Data!$B$2:$L$135, 11, FALSE)=1, VLOOKUP(Games!C16, Data!$B$2:$L$135, 11, FALSE)&lt;&gt;1), 1,0))*Coefficients!K$2</f>
        <v>#N/A</v>
      </c>
      <c r="L16" t="e">
        <f>(IF(AND(VLOOKUP(Games!B16, Data!$B$2:$L$135, 11, FALSE)&lt;&gt;1, VLOOKUP(Games!C16, Data!$B$2:$L$135, 11, FALSE)=1), 1,0))*Coefficients!L$2</f>
        <v>#N/A</v>
      </c>
      <c r="O16" t="e">
        <f t="shared" si="0"/>
        <v>#VALUE!</v>
      </c>
    </row>
    <row r="17">
      <c r="A17" t="n">
        <f>Coefficients!$A$2</f>
        <v>-3.7765953152866998</v>
      </c>
      <c r="B17" t="n">
        <f>(Games!D17)*(-1*Coefficients!$B$2)</f>
        <v>-2.6867469260971748</v>
      </c>
      <c r="C17" t="n">
        <f>(VLOOKUP(Games!B17, Data!$B$2:$L$135, 4, FALSE)-VLOOKUP(Games!C17, Data!$B$2:$L$135, 4, FALSE))*Coefficients!$C$2</f>
        <v>0.95605540995888993</v>
      </c>
      <c r="D17" t="n">
        <f>(VLOOKUP(Games!B17, Data!$B$2:$L$135, 3, FALSE)-VLOOKUP(Games!C17, Data!$B$2:$L$135, 3, FALSE))*Coefficients!$D$2</f>
        <v>0.89630318275661369</v>
      </c>
      <c r="E17" t="n">
        <f>(VLOOKUP(Games!B17, Data!$B$2:$L$135, 5, FALSE)-VLOOKUP(Games!C17, Data!$B$2:$L$135, 5, FALSE))*Coefficients!$E$2</f>
        <v>6.4971474679414634</v>
      </c>
      <c r="F17" t="n">
        <f>(VLOOKUP(Games!B17, Data!$B$2:$L$135, 6, FALSE)-VLOOKUP(Games!C17, Data!$B$2:$L$135, 6, FALSE))*Coefficients!$F$2</f>
        <v>1.6467675063625917</v>
      </c>
      <c r="G17" t="n">
        <f>(VLOOKUP(Games!B17, Data!$B$2:$L$135, 7, FALSE)-VLOOKUP(Games!C17, Data!$B$2:$L$135, 7, FALSE))*Coefficients!$G$2</f>
        <v>6.0123004505273769</v>
      </c>
      <c r="H17" t="n">
        <f>(VLOOKUP(Games!B17, Data!$B$2:$L$135, 8, FALSE)-VLOOKUP(Games!C17, Data!$B$2:$L$135, 8, FALSE))*Coefficients!$H$2</f>
        <v>3.1089947563092486</v>
      </c>
      <c r="I17" t="n">
        <f>(VLOOKUP(Games!B17, Data!$B$2:$L$135, 9, FALSE)-VLOOKUP(Games!C17, Data!$B$2:$L$135, 9, FALSE))*Coefficients!$I$2</f>
        <v>-0.5418881463929005</v>
      </c>
      <c r="J17" t="n">
        <f>IF(ISBLANK(Data!K17), Games!L17-Games!M17,VLOOKUP(Games!B17, Data!$B$2:$L$135, 10, FALSE)-VLOOKUP(Games!C17, Data!$B$2:$L$135, 10, FALSE))*Coefficients!$J$2</f>
        <v>-3.0336949334043357</v>
      </c>
      <c r="K17" t="n">
        <f>(IF(AND(VLOOKUP(Games!B17, Data!$B$2:$L$135, 11, FALSE)=1, VLOOKUP(Games!C17, Data!$B$2:$L$135, 11, FALSE)&lt;&gt;1), 1,0))*Coefficients!K$2</f>
        <v>0</v>
      </c>
      <c r="L17" t="n">
        <f>(IF(AND(VLOOKUP(Games!B17, Data!$B$2:$L$135, 11, FALSE)&lt;&gt;1, VLOOKUP(Games!C17, Data!$B$2:$L$135, 11, FALSE)=1), 1,0))*Coefficients!L$2</f>
        <v>0</v>
      </c>
      <c r="O17" t="n">
        <f t="shared" si="0"/>
        <v>9.0786434526750739</v>
      </c>
    </row>
    <row r="18">
      <c r="A18" t="n">
        <f>Coefficients!$A$2</f>
        <v>-3.7765953152866998</v>
      </c>
      <c r="B18" t="e">
        <f>(Games!D18)*(-1*Coefficients!$B$2)</f>
        <v>#VALUE!</v>
      </c>
      <c r="C18" t="e">
        <f>(VLOOKUP(Games!B18, Data!$B$2:$L$135, 4, FALSE)-VLOOKUP(Games!C18, Data!$B$2:$L$135, 4, FALSE))*Coefficients!$C$2</f>
        <v>#N/A</v>
      </c>
      <c r="D18" t="e">
        <f>(VLOOKUP(Games!B18, Data!$B$2:$L$135, 3, FALSE)-VLOOKUP(Games!C18, Data!$B$2:$L$135, 3, FALSE))*Coefficients!$D$2</f>
        <v>#N/A</v>
      </c>
      <c r="E18" t="e">
        <f>(VLOOKUP(Games!B18, Data!$B$2:$L$135, 5, FALSE)-VLOOKUP(Games!C18, Data!$B$2:$L$135, 5, FALSE))*Coefficients!$E$2</f>
        <v>#N/A</v>
      </c>
      <c r="F18" t="e">
        <f>(VLOOKUP(Games!B18, Data!$B$2:$L$135, 6, FALSE)-VLOOKUP(Games!C18, Data!$B$2:$L$135, 6, FALSE))*Coefficients!$F$2</f>
        <v>#N/A</v>
      </c>
      <c r="G18" t="e">
        <f>(VLOOKUP(Games!B18, Data!$B$2:$L$135, 7, FALSE)-VLOOKUP(Games!C18, Data!$B$2:$L$135, 7, FALSE))*Coefficients!$G$2</f>
        <v>#N/A</v>
      </c>
      <c r="H18" t="e">
        <f>(VLOOKUP(Games!B18, Data!$B$2:$L$135, 8, FALSE)-VLOOKUP(Games!C18, Data!$B$2:$L$135, 8, FALSE))*Coefficients!$H$2</f>
        <v>#N/A</v>
      </c>
      <c r="I18" t="e">
        <f>(VLOOKUP(Games!B18, Data!$B$2:$L$135, 9, FALSE)-VLOOKUP(Games!C18, Data!$B$2:$L$135, 9, FALSE))*Coefficients!$I$2</f>
        <v>#N/A</v>
      </c>
      <c r="J18" t="n">
        <f>IF(ISBLANK(Data!K18), Games!L18-Games!M18,VLOOKUP(Games!B18, Data!$B$2:$L$135, 10, FALSE)-VLOOKUP(Games!C18, Data!$B$2:$L$135, 10, FALSE))*Coefficients!$J$2</f>
        <v>11.264187525541214</v>
      </c>
      <c r="K18" t="e">
        <f>(IF(AND(VLOOKUP(Games!B18, Data!$B$2:$L$135, 11, FALSE)=1, VLOOKUP(Games!C18, Data!$B$2:$L$135, 11, FALSE)&lt;&gt;1), 1,0))*Coefficients!K$2</f>
        <v>#N/A</v>
      </c>
      <c r="L18" t="e">
        <f>(IF(AND(VLOOKUP(Games!B18, Data!$B$2:$L$135, 11, FALSE)&lt;&gt;1, VLOOKUP(Games!C18, Data!$B$2:$L$135, 11, FALSE)=1), 1,0))*Coefficients!L$2</f>
        <v>#N/A</v>
      </c>
      <c r="O18" t="e">
        <f t="shared" si="0"/>
        <v>#VALUE!</v>
      </c>
    </row>
    <row r="19">
      <c r="A19" t="n">
        <f>Coefficients!$A$2</f>
        <v>-3.7765953152866998</v>
      </c>
      <c r="B19" t="e">
        <f>(Games!D19)*(-1*Coefficients!$B$2)</f>
        <v>#VALUE!</v>
      </c>
      <c r="C19" t="e">
        <f>(VLOOKUP(Games!B19, Data!$B$2:$L$135, 4, FALSE)-VLOOKUP(Games!C19, Data!$B$2:$L$135, 4, FALSE))*Coefficients!$C$2</f>
        <v>#N/A</v>
      </c>
      <c r="D19" t="e">
        <f>(VLOOKUP(Games!B19, Data!$B$2:$L$135, 3, FALSE)-VLOOKUP(Games!C19, Data!$B$2:$L$135, 3, FALSE))*Coefficients!$D$2</f>
        <v>#N/A</v>
      </c>
      <c r="E19" t="e">
        <f>(VLOOKUP(Games!B19, Data!$B$2:$L$135, 5, FALSE)-VLOOKUP(Games!C19, Data!$B$2:$L$135, 5, FALSE))*Coefficients!$E$2</f>
        <v>#N/A</v>
      </c>
      <c r="F19" t="e">
        <f>(VLOOKUP(Games!B19, Data!$B$2:$L$135, 6, FALSE)-VLOOKUP(Games!C19, Data!$B$2:$L$135, 6, FALSE))*Coefficients!$F$2</f>
        <v>#N/A</v>
      </c>
      <c r="G19" t="e">
        <f>(VLOOKUP(Games!B19, Data!$B$2:$L$135, 7, FALSE)-VLOOKUP(Games!C19, Data!$B$2:$L$135, 7, FALSE))*Coefficients!$G$2</f>
        <v>#N/A</v>
      </c>
      <c r="H19" t="e">
        <f>(VLOOKUP(Games!B19, Data!$B$2:$L$135, 8, FALSE)-VLOOKUP(Games!C19, Data!$B$2:$L$135, 8, FALSE))*Coefficients!$H$2</f>
        <v>#N/A</v>
      </c>
      <c r="I19" t="e">
        <f>(VLOOKUP(Games!B19, Data!$B$2:$L$135, 9, FALSE)-VLOOKUP(Games!C19, Data!$B$2:$L$135, 9, FALSE))*Coefficients!$I$2</f>
        <v>#N/A</v>
      </c>
      <c r="J19" t="n">
        <f>IF(ISBLANK(Data!K19), Games!L19-Games!M19,VLOOKUP(Games!B19, Data!$B$2:$L$135, 10, FALSE)-VLOOKUP(Games!C19, Data!$B$2:$L$135, 10, FALSE))*Coefficients!$J$2</f>
        <v>12.086313910590615</v>
      </c>
      <c r="K19" t="e">
        <f>(IF(AND(VLOOKUP(Games!B19, Data!$B$2:$L$135, 11, FALSE)=1, VLOOKUP(Games!C19, Data!$B$2:$L$135, 11, FALSE)&lt;&gt;1), 1,0))*Coefficients!K$2</f>
        <v>#N/A</v>
      </c>
      <c r="L19" t="e">
        <f>(IF(AND(VLOOKUP(Games!B19, Data!$B$2:$L$135, 11, FALSE)&lt;&gt;1, VLOOKUP(Games!C19, Data!$B$2:$L$135, 11, FALSE)=1), 1,0))*Coefficients!L$2</f>
        <v>#N/A</v>
      </c>
      <c r="O19" t="e">
        <f t="shared" si="0"/>
        <v>#VALUE!</v>
      </c>
    </row>
    <row r="20">
      <c r="A20" t="n">
        <f>Coefficients!$A$2</f>
        <v>-3.7765953152866998</v>
      </c>
      <c r="B20" t="e">
        <f>(Games!D20)*(-1*Coefficients!$B$2)</f>
        <v>#VALUE!</v>
      </c>
      <c r="C20" t="e">
        <f>(VLOOKUP(Games!B20, Data!$B$2:$L$135, 4, FALSE)-VLOOKUP(Games!C20, Data!$B$2:$L$135, 4, FALSE))*Coefficients!$C$2</f>
        <v>#N/A</v>
      </c>
      <c r="D20" t="e">
        <f>(VLOOKUP(Games!B20, Data!$B$2:$L$135, 3, FALSE)-VLOOKUP(Games!C20, Data!$B$2:$L$135, 3, FALSE))*Coefficients!$D$2</f>
        <v>#N/A</v>
      </c>
      <c r="E20" t="e">
        <f>(VLOOKUP(Games!B20, Data!$B$2:$L$135, 5, FALSE)-VLOOKUP(Games!C20, Data!$B$2:$L$135, 5, FALSE))*Coefficients!$E$2</f>
        <v>#N/A</v>
      </c>
      <c r="F20" t="e">
        <f>(VLOOKUP(Games!B20, Data!$B$2:$L$135, 6, FALSE)-VLOOKUP(Games!C20, Data!$B$2:$L$135, 6, FALSE))*Coefficients!$F$2</f>
        <v>#N/A</v>
      </c>
      <c r="G20" t="e">
        <f>(VLOOKUP(Games!B20, Data!$B$2:$L$135, 7, FALSE)-VLOOKUP(Games!C20, Data!$B$2:$L$135, 7, FALSE))*Coefficients!$G$2</f>
        <v>#N/A</v>
      </c>
      <c r="H20" t="e">
        <f>(VLOOKUP(Games!B20, Data!$B$2:$L$135, 8, FALSE)-VLOOKUP(Games!C20, Data!$B$2:$L$135, 8, FALSE))*Coefficients!$H$2</f>
        <v>#N/A</v>
      </c>
      <c r="I20" t="e">
        <f>(VLOOKUP(Games!B20, Data!$B$2:$L$135, 9, FALSE)-VLOOKUP(Games!C20, Data!$B$2:$L$135, 9, FALSE))*Coefficients!$I$2</f>
        <v>#N/A</v>
      </c>
      <c r="J20" t="n">
        <f>IF(ISBLANK(Data!K20), Games!L20-Games!M20,VLOOKUP(Games!B20, Data!$B$2:$L$135, 10, FALSE)-VLOOKUP(Games!C20, Data!$B$2:$L$135, 10, FALSE))*Coefficients!$J$2</f>
        <v>12.85718336412496</v>
      </c>
      <c r="K20" t="e">
        <f>(IF(AND(VLOOKUP(Games!B20, Data!$B$2:$L$135, 11, FALSE)=1, VLOOKUP(Games!C20, Data!$B$2:$L$135, 11, FALSE)&lt;&gt;1), 1,0))*Coefficients!K$2</f>
        <v>#N/A</v>
      </c>
      <c r="L20" t="e">
        <f>(IF(AND(VLOOKUP(Games!B20, Data!$B$2:$L$135, 11, FALSE)&lt;&gt;1, VLOOKUP(Games!C20, Data!$B$2:$L$135, 11, FALSE)=1), 1,0))*Coefficients!L$2</f>
        <v>#N/A</v>
      </c>
      <c r="O20" t="e">
        <f t="shared" si="0"/>
        <v>#VALUE!</v>
      </c>
    </row>
    <row r="21">
      <c r="A21" t="n">
        <f>Coefficients!$A$2</f>
        <v>-3.7765953152866998</v>
      </c>
      <c r="B21" t="n">
        <f>(Games!D21)*(-1*Coefficients!$B$2)</f>
        <v>-9.6722889339498295</v>
      </c>
      <c r="C21" t="e">
        <f>(VLOOKUP(Games!B21, Data!$B$2:$L$135, 4, FALSE)-VLOOKUP(Games!C21, Data!$B$2:$L$135, 4, FALSE))*Coefficients!$C$2</f>
        <v>#N/A</v>
      </c>
      <c r="D21" t="e">
        <f>(VLOOKUP(Games!B21, Data!$B$2:$L$135, 3, FALSE)-VLOOKUP(Games!C21, Data!$B$2:$L$135, 3, FALSE))*Coefficients!$D$2</f>
        <v>#N/A</v>
      </c>
      <c r="E21" t="e">
        <f>(VLOOKUP(Games!B21, Data!$B$2:$L$135, 5, FALSE)-VLOOKUP(Games!C21, Data!$B$2:$L$135, 5, FALSE))*Coefficients!$E$2</f>
        <v>#N/A</v>
      </c>
      <c r="F21" t="e">
        <f>(VLOOKUP(Games!B21, Data!$B$2:$L$135, 6, FALSE)-VLOOKUP(Games!C21, Data!$B$2:$L$135, 6, FALSE))*Coefficients!$F$2</f>
        <v>#N/A</v>
      </c>
      <c r="G21" t="e">
        <f>(VLOOKUP(Games!B21, Data!$B$2:$L$135, 7, FALSE)-VLOOKUP(Games!C21, Data!$B$2:$L$135, 7, FALSE))*Coefficients!$G$2</f>
        <v>#N/A</v>
      </c>
      <c r="H21" t="e">
        <f>(VLOOKUP(Games!B21, Data!$B$2:$L$135, 8, FALSE)-VLOOKUP(Games!C21, Data!$B$2:$L$135, 8, FALSE))*Coefficients!$H$2</f>
        <v>#N/A</v>
      </c>
      <c r="I21" t="e">
        <f>(VLOOKUP(Games!B21, Data!$B$2:$L$135, 9, FALSE)-VLOOKUP(Games!C21, Data!$B$2:$L$135, 9, FALSE))*Coefficients!$I$2</f>
        <v>#N/A</v>
      </c>
      <c r="J21" t="n">
        <f>IF(ISBLANK(Data!K21), Games!L21-Games!M21,VLOOKUP(Games!B21, Data!$B$2:$L$135, 10, FALSE)-VLOOKUP(Games!C21, Data!$B$2:$L$135, 10, FALSE))*Coefficients!$J$2</f>
        <v>11.261461927483323</v>
      </c>
      <c r="K21" t="e">
        <f>(IF(AND(VLOOKUP(Games!B21, Data!$B$2:$L$135, 11, FALSE)=1, VLOOKUP(Games!C21, Data!$B$2:$L$135, 11, FALSE)&lt;&gt;1), 1,0))*Coefficients!K$2</f>
        <v>#N/A</v>
      </c>
      <c r="L21" t="e">
        <f>(IF(AND(VLOOKUP(Games!B21, Data!$B$2:$L$135, 11, FALSE)&lt;&gt;1, VLOOKUP(Games!C21, Data!$B$2:$L$135, 11, FALSE)=1), 1,0))*Coefficients!L$2</f>
        <v>#N/A</v>
      </c>
      <c r="O21" t="e">
        <f t="shared" si="0"/>
        <v>#N/A</v>
      </c>
    </row>
    <row r="22">
      <c r="A22" t="n">
        <f>Coefficients!$A$2</f>
        <v>-3.7765953152866998</v>
      </c>
      <c r="B22" t="n">
        <f>(Games!D22)*(-1*Coefficients!$B$2)</f>
        <v>-3.761445696536045</v>
      </c>
      <c r="C22" t="n">
        <f>(VLOOKUP(Games!B22, Data!$B$2:$L$135, 4, FALSE)-VLOOKUP(Games!C22, Data!$B$2:$L$135, 4, FALSE))*Coefficients!$C$2</f>
        <v>-0.47802770497944808</v>
      </c>
      <c r="D22" t="n">
        <f>(VLOOKUP(Games!B22, Data!$B$2:$L$135, 3, FALSE)-VLOOKUP(Games!C22, Data!$B$2:$L$135, 3, FALSE))*Coefficients!$D$2</f>
        <v>1.4235403490840355</v>
      </c>
      <c r="E22" t="n">
        <f>(VLOOKUP(Games!B22, Data!$B$2:$L$135, 5, FALSE)-VLOOKUP(Games!C22, Data!$B$2:$L$135, 5, FALSE))*Coefficients!$E$2</f>
        <v>-7.1259036745164517</v>
      </c>
      <c r="F22" t="n">
        <f>(VLOOKUP(Games!B22, Data!$B$2:$L$135, 6, FALSE)-VLOOKUP(Games!C22, Data!$B$2:$L$135, 6, FALSE))*Coefficients!$F$2</f>
        <v>3.2825930359387197E-2</v>
      </c>
      <c r="G22" t="n">
        <f>(VLOOKUP(Games!B22, Data!$B$2:$L$135, 7, FALSE)-VLOOKUP(Games!C22, Data!$B$2:$L$135, 7, FALSE))*Coefficients!$G$2</f>
        <v>0.27964188141987822</v>
      </c>
      <c r="H22" t="n">
        <f>(VLOOKUP(Games!B22, Data!$B$2:$L$135, 8, FALSE)-VLOOKUP(Games!C22, Data!$B$2:$L$135, 8, FALSE))*Coefficients!$H$2</f>
        <v>-7.0658971734301163E-2</v>
      </c>
      <c r="I22" t="n">
        <f>(VLOOKUP(Games!B22, Data!$B$2:$L$135, 9, FALSE)-VLOOKUP(Games!C22, Data!$B$2:$L$135, 9, FALSE))*Coefficients!$I$2</f>
        <v>-0.49795126965834102</v>
      </c>
      <c r="J22" t="n">
        <f>IF(ISBLANK(Data!K22), Games!L22-Games!M22,VLOOKUP(Games!B22, Data!$B$2:$L$135, 10, FALSE)-VLOOKUP(Games!C22, Data!$B$2:$L$135, 10, FALSE))*Coefficients!$J$2</f>
        <v>3.0852683680738444</v>
      </c>
      <c r="K22" t="n">
        <f>(IF(AND(VLOOKUP(Games!B22, Data!$B$2:$L$135, 11, FALSE)=1, VLOOKUP(Games!C22, Data!$B$2:$L$135, 11, FALSE)&lt;&gt;1), 1,0))*Coefficients!K$2</f>
        <v>0</v>
      </c>
      <c r="L22" t="n">
        <f>(IF(AND(VLOOKUP(Games!B22, Data!$B$2:$L$135, 11, FALSE)&lt;&gt;1, VLOOKUP(Games!C22, Data!$B$2:$L$135, 11, FALSE)=1), 1,0))*Coefficients!L$2</f>
        <v>0</v>
      </c>
      <c r="O22" t="n">
        <f t="shared" si="0"/>
        <v>-10.889306103774144</v>
      </c>
    </row>
    <row r="23">
      <c r="A23" t="n">
        <f>Coefficients!$A$2</f>
        <v>-3.7765953152866998</v>
      </c>
      <c r="B23" t="e">
        <f>(Games!D23)*(-1*Coefficients!$B$2)</f>
        <v>#VALUE!</v>
      </c>
      <c r="C23" t="e">
        <f>(VLOOKUP(Games!B23, Data!$B$2:$L$135, 4, FALSE)-VLOOKUP(Games!C23, Data!$B$2:$L$135, 4, FALSE))*Coefficients!$C$2</f>
        <v>#N/A</v>
      </c>
      <c r="D23" t="e">
        <f>(VLOOKUP(Games!B23, Data!$B$2:$L$135, 3, FALSE)-VLOOKUP(Games!C23, Data!$B$2:$L$135, 3, FALSE))*Coefficients!$D$2</f>
        <v>#N/A</v>
      </c>
      <c r="E23" t="e">
        <f>(VLOOKUP(Games!B23, Data!$B$2:$L$135, 5, FALSE)-VLOOKUP(Games!C23, Data!$B$2:$L$135, 5, FALSE))*Coefficients!$E$2</f>
        <v>#N/A</v>
      </c>
      <c r="F23" t="e">
        <f>(VLOOKUP(Games!B23, Data!$B$2:$L$135, 6, FALSE)-VLOOKUP(Games!C23, Data!$B$2:$L$135, 6, FALSE))*Coefficients!$F$2</f>
        <v>#N/A</v>
      </c>
      <c r="G23" t="e">
        <f>(VLOOKUP(Games!B23, Data!$B$2:$L$135, 7, FALSE)-VLOOKUP(Games!C23, Data!$B$2:$L$135, 7, FALSE))*Coefficients!$G$2</f>
        <v>#N/A</v>
      </c>
      <c r="H23" t="e">
        <f>(VLOOKUP(Games!B23, Data!$B$2:$L$135, 8, FALSE)-VLOOKUP(Games!C23, Data!$B$2:$L$135, 8, FALSE))*Coefficients!$H$2</f>
        <v>#N/A</v>
      </c>
      <c r="I23" t="e">
        <f>(VLOOKUP(Games!B23, Data!$B$2:$L$135, 9, FALSE)-VLOOKUP(Games!C23, Data!$B$2:$L$135, 9, FALSE))*Coefficients!$I$2</f>
        <v>#N/A</v>
      </c>
      <c r="J23" t="n">
        <f>IF(ISBLANK(Data!K23), Games!L23-Games!M23,VLOOKUP(Games!B23, Data!$B$2:$L$135, 10, FALSE)-VLOOKUP(Games!C23, Data!$B$2:$L$135, 10, FALSE))*Coefficients!$J$2</f>
        <v>12.575877674745032</v>
      </c>
      <c r="K23" t="e">
        <f>(IF(AND(VLOOKUP(Games!B23, Data!$B$2:$L$135, 11, FALSE)=1, VLOOKUP(Games!C23, Data!$B$2:$L$135, 11, FALSE)&lt;&gt;1), 1,0))*Coefficients!K$2</f>
        <v>#N/A</v>
      </c>
      <c r="L23" t="e">
        <f>(IF(AND(VLOOKUP(Games!B23, Data!$B$2:$L$135, 11, FALSE)&lt;&gt;1, VLOOKUP(Games!C23, Data!$B$2:$L$135, 11, FALSE)=1), 1,0))*Coefficients!L$2</f>
        <v>#N/A</v>
      </c>
      <c r="O23" t="e">
        <f t="shared" si="0"/>
        <v>#VALUE!</v>
      </c>
    </row>
    <row r="24">
      <c r="A24" t="n">
        <f>Coefficients!$A$2</f>
        <v>-3.7765953152866998</v>
      </c>
      <c r="B24" t="e">
        <f>(Games!D24)*(-1*Coefficients!$B$2)</f>
        <v>#VALUE!</v>
      </c>
      <c r="C24" t="e">
        <f>(VLOOKUP(Games!B24, Data!$B$2:$L$135, 4, FALSE)-VLOOKUP(Games!C24, Data!$B$2:$L$135, 4, FALSE))*Coefficients!$C$2</f>
        <v>#N/A</v>
      </c>
      <c r="D24" t="e">
        <f>(VLOOKUP(Games!B24, Data!$B$2:$L$135, 3, FALSE)-VLOOKUP(Games!C24, Data!$B$2:$L$135, 3, FALSE))*Coefficients!$D$2</f>
        <v>#N/A</v>
      </c>
      <c r="E24" t="e">
        <f>(VLOOKUP(Games!B24, Data!$B$2:$L$135, 5, FALSE)-VLOOKUP(Games!C24, Data!$B$2:$L$135, 5, FALSE))*Coefficients!$E$2</f>
        <v>#N/A</v>
      </c>
      <c r="F24" t="e">
        <f>(VLOOKUP(Games!B24, Data!$B$2:$L$135, 6, FALSE)-VLOOKUP(Games!C24, Data!$B$2:$L$135, 6, FALSE))*Coefficients!$F$2</f>
        <v>#N/A</v>
      </c>
      <c r="G24" t="e">
        <f>(VLOOKUP(Games!B24, Data!$B$2:$L$135, 7, FALSE)-VLOOKUP(Games!C24, Data!$B$2:$L$135, 7, FALSE))*Coefficients!$G$2</f>
        <v>#N/A</v>
      </c>
      <c r="H24" t="e">
        <f>(VLOOKUP(Games!B24, Data!$B$2:$L$135, 8, FALSE)-VLOOKUP(Games!C24, Data!$B$2:$L$135, 8, FALSE))*Coefficients!$H$2</f>
        <v>#N/A</v>
      </c>
      <c r="I24" t="e">
        <f>(VLOOKUP(Games!B24, Data!$B$2:$L$135, 9, FALSE)-VLOOKUP(Games!C24, Data!$B$2:$L$135, 9, FALSE))*Coefficients!$I$2</f>
        <v>#N/A</v>
      </c>
      <c r="J24" t="n">
        <f>IF(ISBLANK(Data!K24), Games!L24-Games!M24,VLOOKUP(Games!B24, Data!$B$2:$L$135, 10, FALSE)-VLOOKUP(Games!C24, Data!$B$2:$L$135, 10, FALSE))*Coefficients!$J$2</f>
        <v>12.013509764446113</v>
      </c>
      <c r="K24" t="e">
        <f>(IF(AND(VLOOKUP(Games!B24, Data!$B$2:$L$135, 11, FALSE)=1, VLOOKUP(Games!C24, Data!$B$2:$L$135, 11, FALSE)&lt;&gt;1), 1,0))*Coefficients!K$2</f>
        <v>#N/A</v>
      </c>
      <c r="L24" t="e">
        <f>(IF(AND(VLOOKUP(Games!B24, Data!$B$2:$L$135, 11, FALSE)&lt;&gt;1, VLOOKUP(Games!C24, Data!$B$2:$L$135, 11, FALSE)=1), 1,0))*Coefficients!L$2</f>
        <v>#N/A</v>
      </c>
      <c r="O24" t="e">
        <f t="shared" si="0"/>
        <v>#VALUE!</v>
      </c>
    </row>
    <row r="25">
      <c r="A25" t="n">
        <f>Coefficients!$A$2</f>
        <v>-3.7765953152866998</v>
      </c>
      <c r="B25" t="e">
        <f>(Games!D25)*(-1*Coefficients!$B$2)</f>
        <v>#VALUE!</v>
      </c>
      <c r="C25" t="e">
        <f>(VLOOKUP(Games!B25, Data!$B$2:$L$135, 4, FALSE)-VLOOKUP(Games!C25, Data!$B$2:$L$135, 4, FALSE))*Coefficients!$C$2</f>
        <v>#N/A</v>
      </c>
      <c r="D25" t="e">
        <f>(VLOOKUP(Games!B25, Data!$B$2:$L$135, 3, FALSE)-VLOOKUP(Games!C25, Data!$B$2:$L$135, 3, FALSE))*Coefficients!$D$2</f>
        <v>#N/A</v>
      </c>
      <c r="E25" t="e">
        <f>(VLOOKUP(Games!B25, Data!$B$2:$L$135, 5, FALSE)-VLOOKUP(Games!C25, Data!$B$2:$L$135, 5, FALSE))*Coefficients!$E$2</f>
        <v>#N/A</v>
      </c>
      <c r="F25" t="e">
        <f>(VLOOKUP(Games!B25, Data!$B$2:$L$135, 6, FALSE)-VLOOKUP(Games!C25, Data!$B$2:$L$135, 6, FALSE))*Coefficients!$F$2</f>
        <v>#N/A</v>
      </c>
      <c r="G25" t="e">
        <f>(VLOOKUP(Games!B25, Data!$B$2:$L$135, 7, FALSE)-VLOOKUP(Games!C25, Data!$B$2:$L$135, 7, FALSE))*Coefficients!$G$2</f>
        <v>#N/A</v>
      </c>
      <c r="H25" t="e">
        <f>(VLOOKUP(Games!B25, Data!$B$2:$L$135, 8, FALSE)-VLOOKUP(Games!C25, Data!$B$2:$L$135, 8, FALSE))*Coefficients!$H$2</f>
        <v>#N/A</v>
      </c>
      <c r="I25" t="e">
        <f>(VLOOKUP(Games!B25, Data!$B$2:$L$135, 9, FALSE)-VLOOKUP(Games!C25, Data!$B$2:$L$135, 9, FALSE))*Coefficients!$I$2</f>
        <v>#N/A</v>
      </c>
      <c r="J25" t="n">
        <f>IF(ISBLANK(Data!K25), Games!L25-Games!M25,VLOOKUP(Games!B25, Data!$B$2:$L$135, 10, FALSE)-VLOOKUP(Games!C25, Data!$B$2:$L$135, 10, FALSE))*Coefficients!$J$2</f>
        <v>12.336164913690951</v>
      </c>
      <c r="K25" t="e">
        <f>(IF(AND(VLOOKUP(Games!B25, Data!$B$2:$L$135, 11, FALSE)=1, VLOOKUP(Games!C25, Data!$B$2:$L$135, 11, FALSE)&lt;&gt;1), 1,0))*Coefficients!K$2</f>
        <v>#N/A</v>
      </c>
      <c r="L25" t="e">
        <f>(IF(AND(VLOOKUP(Games!B25, Data!$B$2:$L$135, 11, FALSE)&lt;&gt;1, VLOOKUP(Games!C25, Data!$B$2:$L$135, 11, FALSE)=1), 1,0))*Coefficients!L$2</f>
        <v>#N/A</v>
      </c>
      <c r="O25" t="e">
        <f t="shared" si="0"/>
        <v>#VALUE!</v>
      </c>
    </row>
    <row r="26">
      <c r="A26" t="n">
        <f>Coefficients!$A$2</f>
        <v>-3.7765953152866998</v>
      </c>
      <c r="B26" t="e">
        <f>(Games!D26)*(-1*Coefficients!$B$2)</f>
        <v>#VALUE!</v>
      </c>
      <c r="C26" t="e">
        <f>(VLOOKUP(Games!B26, Data!$B$2:$L$135, 4, FALSE)-VLOOKUP(Games!C26, Data!$B$2:$L$135, 4, FALSE))*Coefficients!$C$2</f>
        <v>#N/A</v>
      </c>
      <c r="D26" t="e">
        <f>(VLOOKUP(Games!B26, Data!$B$2:$L$135, 3, FALSE)-VLOOKUP(Games!C26, Data!$B$2:$L$135, 3, FALSE))*Coefficients!$D$2</f>
        <v>#N/A</v>
      </c>
      <c r="E26" t="e">
        <f>(VLOOKUP(Games!B26, Data!$B$2:$L$135, 5, FALSE)-VLOOKUP(Games!C26, Data!$B$2:$L$135, 5, FALSE))*Coefficients!$E$2</f>
        <v>#N/A</v>
      </c>
      <c r="F26" t="e">
        <f>(VLOOKUP(Games!B26, Data!$B$2:$L$135, 6, FALSE)-VLOOKUP(Games!C26, Data!$B$2:$L$135, 6, FALSE))*Coefficients!$F$2</f>
        <v>#N/A</v>
      </c>
      <c r="G26" t="e">
        <f>(VLOOKUP(Games!B26, Data!$B$2:$L$135, 7, FALSE)-VLOOKUP(Games!C26, Data!$B$2:$L$135, 7, FALSE))*Coefficients!$G$2</f>
        <v>#N/A</v>
      </c>
      <c r="H26" t="e">
        <f>(VLOOKUP(Games!B26, Data!$B$2:$L$135, 8, FALSE)-VLOOKUP(Games!C26, Data!$B$2:$L$135, 8, FALSE))*Coefficients!$H$2</f>
        <v>#N/A</v>
      </c>
      <c r="I26" t="e">
        <f>(VLOOKUP(Games!B26, Data!$B$2:$L$135, 9, FALSE)-VLOOKUP(Games!C26, Data!$B$2:$L$135, 9, FALSE))*Coefficients!$I$2</f>
        <v>#N/A</v>
      </c>
      <c r="J26" t="n">
        <f>IF(ISBLANK(Data!K26), Games!L26-Games!M26,VLOOKUP(Games!B26, Data!$B$2:$L$135, 10, FALSE)-VLOOKUP(Games!C26, Data!$B$2:$L$135, 10, FALSE))*Coefficients!$J$2</f>
        <v>11.803859092704958</v>
      </c>
      <c r="K26" t="e">
        <f>(IF(AND(VLOOKUP(Games!B26, Data!$B$2:$L$135, 11, FALSE)=1, VLOOKUP(Games!C26, Data!$B$2:$L$135, 11, FALSE)&lt;&gt;1), 1,0))*Coefficients!K$2</f>
        <v>#N/A</v>
      </c>
      <c r="L26" t="e">
        <f>(IF(AND(VLOOKUP(Games!B26, Data!$B$2:$L$135, 11, FALSE)&lt;&gt;1, VLOOKUP(Games!C26, Data!$B$2:$L$135, 11, FALSE)=1), 1,0))*Coefficients!L$2</f>
        <v>#N/A</v>
      </c>
      <c r="O26" t="e">
        <f t="shared" si="0"/>
        <v>#VALUE!</v>
      </c>
    </row>
    <row r="27">
      <c r="A27" t="n">
        <f>Coefficients!$A$2</f>
        <v>-3.7765953152866998</v>
      </c>
      <c r="B27" t="n">
        <f>(Games!D27)*(-1*Coefficients!$B$2)</f>
        <v>-33.853011268824403</v>
      </c>
      <c r="C27" t="e">
        <f>(VLOOKUP(Games!B27, Data!$B$2:$L$135, 4, FALSE)-VLOOKUP(Games!C27, Data!$B$2:$L$135, 4, FALSE))*Coefficients!$C$2</f>
        <v>#N/A</v>
      </c>
      <c r="D27" t="e">
        <f>(VLOOKUP(Games!B27, Data!$B$2:$L$135, 3, FALSE)-VLOOKUP(Games!C27, Data!$B$2:$L$135, 3, FALSE))*Coefficients!$D$2</f>
        <v>#N/A</v>
      </c>
      <c r="E27" t="e">
        <f>(VLOOKUP(Games!B27, Data!$B$2:$L$135, 5, FALSE)-VLOOKUP(Games!C27, Data!$B$2:$L$135, 5, FALSE))*Coefficients!$E$2</f>
        <v>#N/A</v>
      </c>
      <c r="F27" t="e">
        <f>(VLOOKUP(Games!B27, Data!$B$2:$L$135, 6, FALSE)-VLOOKUP(Games!C27, Data!$B$2:$L$135, 6, FALSE))*Coefficients!$F$2</f>
        <v>#N/A</v>
      </c>
      <c r="G27" t="e">
        <f>(VLOOKUP(Games!B27, Data!$B$2:$L$135, 7, FALSE)-VLOOKUP(Games!C27, Data!$B$2:$L$135, 7, FALSE))*Coefficients!$G$2</f>
        <v>#N/A</v>
      </c>
      <c r="H27" t="e">
        <f>(VLOOKUP(Games!B27, Data!$B$2:$L$135, 8, FALSE)-VLOOKUP(Games!C27, Data!$B$2:$L$135, 8, FALSE))*Coefficients!$H$2</f>
        <v>#N/A</v>
      </c>
      <c r="I27" t="e">
        <f>(VLOOKUP(Games!B27, Data!$B$2:$L$135, 9, FALSE)-VLOOKUP(Games!C27, Data!$B$2:$L$135, 9, FALSE))*Coefficients!$I$2</f>
        <v>#N/A</v>
      </c>
      <c r="J27" t="n">
        <f>IF(ISBLANK(Data!K27), Games!L27-Games!M27,VLOOKUP(Games!B27, Data!$B$2:$L$135, 10, FALSE)-VLOOKUP(Games!C27, Data!$B$2:$L$135, 10, FALSE))*Coefficients!$J$2</f>
        <v>10.394132022320084</v>
      </c>
      <c r="K27" t="e">
        <f>(IF(AND(VLOOKUP(Games!B27, Data!$B$2:$L$135, 11, FALSE)=1, VLOOKUP(Games!C27, Data!$B$2:$L$135, 11, FALSE)&lt;&gt;1), 1,0))*Coefficients!K$2</f>
        <v>#N/A</v>
      </c>
      <c r="L27" t="e">
        <f>(IF(AND(VLOOKUP(Games!B27, Data!$B$2:$L$135, 11, FALSE)&lt;&gt;1, VLOOKUP(Games!C27, Data!$B$2:$L$135, 11, FALSE)=1), 1,0))*Coefficients!L$2</f>
        <v>#N/A</v>
      </c>
      <c r="O27" t="e">
        <f t="shared" si="0"/>
        <v>#N/A</v>
      </c>
    </row>
    <row r="28">
      <c r="A28" t="n">
        <f>Coefficients!$A$2</f>
        <v>-3.7765953152866998</v>
      </c>
      <c r="B28" t="n">
        <f>(Games!D28)*(-1*Coefficients!$B$2)</f>
        <v>-12.359035860047005</v>
      </c>
      <c r="C28" t="n">
        <f>(VLOOKUP(Games!B28, Data!$B$2:$L$135, 4, FALSE)-VLOOKUP(Games!C28, Data!$B$2:$L$135, 4, FALSE))*Coefficients!$C$2</f>
        <v>0</v>
      </c>
      <c r="D28" t="n">
        <f>(VLOOKUP(Games!B28, Data!$B$2:$L$135, 3, FALSE)-VLOOKUP(Games!C28, Data!$B$2:$L$135, 3, FALSE))*Coefficients!$D$2</f>
        <v>9.4375452772608206</v>
      </c>
      <c r="E28" t="n">
        <f>(VLOOKUP(Games!B28, Data!$B$2:$L$135, 5, FALSE)-VLOOKUP(Games!C28, Data!$B$2:$L$135, 5, FALSE))*Coefficients!$E$2</f>
        <v>1.8862686197249414</v>
      </c>
      <c r="F28" t="n">
        <f>(VLOOKUP(Games!B28, Data!$B$2:$L$135, 6, FALSE)-VLOOKUP(Games!C28, Data!$B$2:$L$135, 6, FALSE))*Coefficients!$F$2</f>
        <v>-1.4963153255487338</v>
      </c>
      <c r="G28" t="n">
        <f>(VLOOKUP(Games!B28, Data!$B$2:$L$135, 7, FALSE)-VLOOKUP(Games!C28, Data!$B$2:$L$135, 7, FALSE))*Coefficients!$G$2</f>
        <v>-5.3131957469776818</v>
      </c>
      <c r="H28" t="n">
        <f>(VLOOKUP(Games!B28, Data!$B$2:$L$135, 8, FALSE)-VLOOKUP(Games!C28, Data!$B$2:$L$135, 8, FALSE))*Coefficients!$H$2</f>
        <v>-0.49461280214010772</v>
      </c>
      <c r="I28" t="n">
        <f>(VLOOKUP(Games!B28, Data!$B$2:$L$135, 9, FALSE)-VLOOKUP(Games!C28, Data!$B$2:$L$135, 9, FALSE))*Coefficients!$I$2</f>
        <v>1.4352713066622769</v>
      </c>
      <c r="J28" t="n">
        <f>IF(ISBLANK(Data!K28), Games!L28-Games!M28,VLOOKUP(Games!B28, Data!$B$2:$L$135, 10, FALSE)-VLOOKUP(Games!C28, Data!$B$2:$L$135, 10, FALSE))*Coefficients!$J$2</f>
        <v>3.4536552212722968</v>
      </c>
      <c r="K28" t="n">
        <f>(IF(AND(VLOOKUP(Games!B28, Data!$B$2:$L$135, 11, FALSE)=1, VLOOKUP(Games!C28, Data!$B$2:$L$135, 11, FALSE)&lt;&gt;1), 1,0))*Coefficients!K$2</f>
        <v>0</v>
      </c>
      <c r="L28" t="n">
        <f>(IF(AND(VLOOKUP(Games!B28, Data!$B$2:$L$135, 11, FALSE)&lt;&gt;1, VLOOKUP(Games!C28, Data!$B$2:$L$135, 11, FALSE)=1), 1,0))*Coefficients!L$2</f>
        <v>0</v>
      </c>
      <c r="O28" t="n">
        <f t="shared" si="0"/>
        <v>-7.2270146250798915</v>
      </c>
    </row>
    <row r="29">
      <c r="A29" t="n">
        <f>Coefficients!$A$2</f>
        <v>-3.7765953152866998</v>
      </c>
      <c r="B29" t="n">
        <f>(Games!D29)*(-1*Coefficients!$B$2)</f>
        <v>-45.674697743651976</v>
      </c>
      <c r="C29" t="n">
        <f>(VLOOKUP(Games!B29, Data!$B$2:$L$135, 4, FALSE)-VLOOKUP(Games!C29, Data!$B$2:$L$135, 4, FALSE))*Coefficients!$C$2</f>
        <v>-3.2266870086112709</v>
      </c>
      <c r="D29" t="n">
        <f>(VLOOKUP(Games!B29, Data!$B$2:$L$135, 3, FALSE)-VLOOKUP(Games!C29, Data!$B$2:$L$135, 3, FALSE))*Coefficients!$D$2</f>
        <v>30.421584497092134</v>
      </c>
      <c r="E29" t="n">
        <f>(VLOOKUP(Games!B29, Data!$B$2:$L$135, 5, FALSE)-VLOOKUP(Games!C29, Data!$B$2:$L$135, 5, FALSE))*Coefficients!$E$2</f>
        <v>-40.114645979483811</v>
      </c>
      <c r="F29" t="n">
        <f>(VLOOKUP(Games!B29, Data!$B$2:$L$135, 6, FALSE)-VLOOKUP(Games!C29, Data!$B$2:$L$135, 6, FALSE))*Coefficients!$F$2</f>
        <v>-8.2776054389588083</v>
      </c>
      <c r="G29" t="n">
        <f>(VLOOKUP(Games!B29, Data!$B$2:$L$135, 7, FALSE)-VLOOKUP(Games!C29, Data!$B$2:$L$135, 7, FALSE))*Coefficients!$G$2</f>
        <v>-48.797508307768709</v>
      </c>
      <c r="H29" t="n">
        <f>(VLOOKUP(Games!B29, Data!$B$2:$L$135, 8, FALSE)-VLOOKUP(Games!C29, Data!$B$2:$L$135, 8, FALSE))*Coefficients!$H$2</f>
        <v>-14.06113537512592</v>
      </c>
      <c r="I29" t="n">
        <f>(VLOOKUP(Games!B29, Data!$B$2:$L$135, 9, FALSE)-VLOOKUP(Games!C29, Data!$B$2:$L$135, 9, FALSE))*Coefficients!$I$2</f>
        <v>6.1072258661037706</v>
      </c>
      <c r="J29" t="n">
        <f>IF(ISBLANK(Data!K29), Games!L29-Games!M29,VLOOKUP(Games!B29, Data!$B$2:$L$135, 10, FALSE)-VLOOKUP(Games!C29, Data!$B$2:$L$135, 10, FALSE))*Coefficients!$J$2</f>
        <v>12.712222536552932</v>
      </c>
      <c r="K29" t="n">
        <f>(IF(AND(VLOOKUP(Games!B29, Data!$B$2:$L$135, 11, FALSE)=1, VLOOKUP(Games!C29, Data!$B$2:$L$135, 11, FALSE)&lt;&gt;1), 1,0))*Coefficients!K$2</f>
        <v>2.2564618572078001</v>
      </c>
      <c r="L29" t="n">
        <f>(IF(AND(VLOOKUP(Games!B29, Data!$B$2:$L$135, 11, FALSE)&lt;&gt;1, VLOOKUP(Games!C29, Data!$B$2:$L$135, 11, FALSE)=1), 1,0))*Coefficients!L$2</f>
        <v>0</v>
      </c>
      <c r="O29" t="n">
        <f t="shared" si="0"/>
        <v>-112.43138041193056</v>
      </c>
    </row>
    <row r="30">
      <c r="A30" t="n">
        <f>Coefficients!$A$2</f>
        <v>-3.7765953152866998</v>
      </c>
      <c r="B30" t="n">
        <f>(Games!D30)*(-1*Coefficients!$B$2)</f>
        <v>-26.330119875752313</v>
      </c>
      <c r="C30" t="e">
        <f>(VLOOKUP(Games!B30, Data!$B$2:$L$135, 4, FALSE)-VLOOKUP(Games!C30, Data!$B$2:$L$135, 4, FALSE))*Coefficients!$C$2</f>
        <v>#N/A</v>
      </c>
      <c r="D30" t="e">
        <f>(VLOOKUP(Games!B30, Data!$B$2:$L$135, 3, FALSE)-VLOOKUP(Games!C30, Data!$B$2:$L$135, 3, FALSE))*Coefficients!$D$2</f>
        <v>#N/A</v>
      </c>
      <c r="E30" t="e">
        <f>(VLOOKUP(Games!B30, Data!$B$2:$L$135, 5, FALSE)-VLOOKUP(Games!C30, Data!$B$2:$L$135, 5, FALSE))*Coefficients!$E$2</f>
        <v>#N/A</v>
      </c>
      <c r="F30" t="e">
        <f>(VLOOKUP(Games!B30, Data!$B$2:$L$135, 6, FALSE)-VLOOKUP(Games!C30, Data!$B$2:$L$135, 6, FALSE))*Coefficients!$F$2</f>
        <v>#N/A</v>
      </c>
      <c r="G30" t="e">
        <f>(VLOOKUP(Games!B30, Data!$B$2:$L$135, 7, FALSE)-VLOOKUP(Games!C30, Data!$B$2:$L$135, 7, FALSE))*Coefficients!$G$2</f>
        <v>#N/A</v>
      </c>
      <c r="H30" t="e">
        <f>(VLOOKUP(Games!B30, Data!$B$2:$L$135, 8, FALSE)-VLOOKUP(Games!C30, Data!$B$2:$L$135, 8, FALSE))*Coefficients!$H$2</f>
        <v>#N/A</v>
      </c>
      <c r="I30" t="e">
        <f>(VLOOKUP(Games!B30, Data!$B$2:$L$135, 9, FALSE)-VLOOKUP(Games!C30, Data!$B$2:$L$135, 9, FALSE))*Coefficients!$I$2</f>
        <v>#N/A</v>
      </c>
      <c r="J30" t="n">
        <f>IF(ISBLANK(Data!K30), Games!L30-Games!M30,VLOOKUP(Games!B30, Data!$B$2:$L$135, 10, FALSE)-VLOOKUP(Games!C30, Data!$B$2:$L$135, 10, FALSE))*Coefficients!$J$2</f>
        <v>12.395975470226773</v>
      </c>
      <c r="K30" t="e">
        <f>(IF(AND(VLOOKUP(Games!B30, Data!$B$2:$L$135, 11, FALSE)=1, VLOOKUP(Games!C30, Data!$B$2:$L$135, 11, FALSE)&lt;&gt;1), 1,0))*Coefficients!K$2</f>
        <v>#N/A</v>
      </c>
      <c r="L30" t="e">
        <f>(IF(AND(VLOOKUP(Games!B30, Data!$B$2:$L$135, 11, FALSE)&lt;&gt;1, VLOOKUP(Games!C30, Data!$B$2:$L$135, 11, FALSE)=1), 1,0))*Coefficients!L$2</f>
        <v>#N/A</v>
      </c>
      <c r="O30" t="e">
        <f t="shared" si="0"/>
        <v>#N/A</v>
      </c>
    </row>
    <row r="31">
      <c r="A31" t="n">
        <f>Coefficients!$A$2</f>
        <v>-3.7765953152866998</v>
      </c>
      <c r="B31" t="n">
        <f>(Games!D31)*(-1*Coefficients!$B$2)</f>
        <v>-25.792770490532881</v>
      </c>
      <c r="C31" t="n">
        <f>(VLOOKUP(Games!B31, Data!$B$2:$L$135, 4, FALSE)-VLOOKUP(Games!C31, Data!$B$2:$L$135, 4, FALSE))*Coefficients!$C$2</f>
        <v>-1.2747405466118598</v>
      </c>
      <c r="D31" t="n">
        <f>(VLOOKUP(Games!B31, Data!$B$2:$L$135, 3, FALSE)-VLOOKUP(Games!C31, Data!$B$2:$L$135, 3, FALSE))*Coefficients!$D$2</f>
        <v>18.875090554521634</v>
      </c>
      <c r="E31" t="n">
        <f>(VLOOKUP(Games!B31, Data!$B$2:$L$135, 5, FALSE)-VLOOKUP(Games!C31, Data!$B$2:$L$135, 5, FALSE))*Coefficients!$E$2</f>
        <v>-16.682998014456167</v>
      </c>
      <c r="F31" t="n">
        <f>(VLOOKUP(Games!B31, Data!$B$2:$L$135, 6, FALSE)-VLOOKUP(Games!C31, Data!$B$2:$L$135, 6, FALSE))*Coefficients!$F$2</f>
        <v>-4.726933971751758</v>
      </c>
      <c r="G31" t="n">
        <f>(VLOOKUP(Games!B31, Data!$B$2:$L$135, 7, FALSE)-VLOOKUP(Games!C31, Data!$B$2:$L$135, 7, FALSE))*Coefficients!$G$2</f>
        <v>-22.091708632170363</v>
      </c>
      <c r="H31" t="n">
        <f>(VLOOKUP(Games!B31, Data!$B$2:$L$135, 8, FALSE)-VLOOKUP(Games!C31, Data!$B$2:$L$135, 8, FALSE))*Coefficients!$H$2</f>
        <v>-7.701827919038819</v>
      </c>
      <c r="I31" t="n">
        <f>(VLOOKUP(Games!B31, Data!$B$2:$L$135, 9, FALSE)-VLOOKUP(Games!C31, Data!$B$2:$L$135, 9, FALSE))*Coefficients!$I$2</f>
        <v>3.778571399172117</v>
      </c>
      <c r="J31" t="n">
        <f>IF(ISBLANK(Data!K31), Games!L31-Games!M31,VLOOKUP(Games!B31, Data!$B$2:$L$135, 10, FALSE)-VLOOKUP(Games!C31, Data!$B$2:$L$135, 10, FALSE))*Coefficients!$J$2</f>
        <v>9.9608147263630347</v>
      </c>
      <c r="K31" t="n">
        <f>(IF(AND(VLOOKUP(Games!B31, Data!$B$2:$L$135, 11, FALSE)=1, VLOOKUP(Games!C31, Data!$B$2:$L$135, 11, FALSE)&lt;&gt;1), 1,0))*Coefficients!K$2</f>
        <v>0</v>
      </c>
      <c r="L31" t="n">
        <f>(IF(AND(VLOOKUP(Games!B31, Data!$B$2:$L$135, 11, FALSE)&lt;&gt;1, VLOOKUP(Games!C31, Data!$B$2:$L$135, 11, FALSE)=1), 1,0))*Coefficients!L$2</f>
        <v>0</v>
      </c>
      <c r="O31" t="n">
        <f t="shared" si="0"/>
        <v>-49.433098209791765</v>
      </c>
    </row>
    <row r="32">
      <c r="A32" t="n">
        <f>Coefficients!$A$2</f>
        <v>-3.7765953152866998</v>
      </c>
      <c r="B32" t="n">
        <f>(Games!D32)*(-1*Coefficients!$B$2)</f>
        <v>9.1349395487303955</v>
      </c>
      <c r="C32" t="n">
        <f>(VLOOKUP(Games!B32, Data!$B$2:$L$135, 4, FALSE)-VLOOKUP(Games!C32, Data!$B$2:$L$135, 4, FALSE))*Coefficients!$C$2</f>
        <v>1.035726694122139</v>
      </c>
      <c r="D32" t="n">
        <f>(VLOOKUP(Games!B32, Data!$B$2:$L$135, 3, FALSE)-VLOOKUP(Games!C32, Data!$B$2:$L$135, 3, FALSE))*Coefficients!$D$2</f>
        <v>-10.861085626344851</v>
      </c>
      <c r="E32" t="n">
        <f>(VLOOKUP(Games!B32, Data!$B$2:$L$135, 5, FALSE)-VLOOKUP(Games!C32, Data!$B$2:$L$135, 5, FALSE))*Coefficients!$E$2</f>
        <v>18.904603277687769</v>
      </c>
      <c r="F32" t="n">
        <f>(VLOOKUP(Games!B32, Data!$B$2:$L$135, 6, FALSE)-VLOOKUP(Games!C32, Data!$B$2:$L$135, 6, FALSE))*Coefficients!$F$2</f>
        <v>3.0528115234230104</v>
      </c>
      <c r="G32" t="n">
        <f>(VLOOKUP(Games!B32, Data!$B$2:$L$135, 7, FALSE)-VLOOKUP(Games!C32, Data!$B$2:$L$135, 7, FALSE))*Coefficients!$G$2</f>
        <v>8.9485402054360961</v>
      </c>
      <c r="H32" t="n">
        <f>(VLOOKUP(Games!B32, Data!$B$2:$L$135, 8, FALSE)-VLOOKUP(Games!C32, Data!$B$2:$L$135, 8, FALSE))*Coefficients!$H$2</f>
        <v>4.3808562475266681</v>
      </c>
      <c r="I32" t="n">
        <f>(VLOOKUP(Games!B32, Data!$B$2:$L$135, 9, FALSE)-VLOOKUP(Games!C32, Data!$B$2:$L$135, 9, FALSE))*Coefficients!$I$2</f>
        <v>-1.786766320538753</v>
      </c>
      <c r="J32" t="n">
        <f>IF(ISBLANK(Data!K32), Games!L32-Games!M32,VLOOKUP(Games!B32, Data!$B$2:$L$135, 10, FALSE)-VLOOKUP(Games!C32, Data!$B$2:$L$135, 10, FALSE))*Coefficients!$J$2</f>
        <v>-8.4284586035955655</v>
      </c>
      <c r="K32" t="n">
        <f>(IF(AND(VLOOKUP(Games!B32, Data!$B$2:$L$135, 11, FALSE)=1, VLOOKUP(Games!C32, Data!$B$2:$L$135, 11, FALSE)&lt;&gt;1), 1,0))*Coefficients!K$2</f>
        <v>0</v>
      </c>
      <c r="L32" t="n">
        <f>(IF(AND(VLOOKUP(Games!B32, Data!$B$2:$L$135, 11, FALSE)&lt;&gt;1, VLOOKUP(Games!C32, Data!$B$2:$L$135, 11, FALSE)=1), 1,0))*Coefficients!L$2</f>
        <v>0</v>
      </c>
      <c r="O32" t="n">
        <f t="shared" si="0"/>
        <v>20.604571631160209</v>
      </c>
    </row>
    <row r="33">
      <c r="A33" t="n">
        <f>Coefficients!$A$2</f>
        <v>-3.7765953152866998</v>
      </c>
      <c r="B33" t="e">
        <f>(Games!D33)*(-1*Coefficients!$B$2)</f>
        <v>#VALUE!</v>
      </c>
      <c r="C33" t="e">
        <f>(VLOOKUP(Games!B33, Data!$B$2:$L$135, 4, FALSE)-VLOOKUP(Games!C33, Data!$B$2:$L$135, 4, FALSE))*Coefficients!$C$2</f>
        <v>#N/A</v>
      </c>
      <c r="D33" t="e">
        <f>(VLOOKUP(Games!B33, Data!$B$2:$L$135, 3, FALSE)-VLOOKUP(Games!C33, Data!$B$2:$L$135, 3, FALSE))*Coefficients!$D$2</f>
        <v>#N/A</v>
      </c>
      <c r="E33" t="e">
        <f>(VLOOKUP(Games!B33, Data!$B$2:$L$135, 5, FALSE)-VLOOKUP(Games!C33, Data!$B$2:$L$135, 5, FALSE))*Coefficients!$E$2</f>
        <v>#N/A</v>
      </c>
      <c r="F33" t="e">
        <f>(VLOOKUP(Games!B33, Data!$B$2:$L$135, 6, FALSE)-VLOOKUP(Games!C33, Data!$B$2:$L$135, 6, FALSE))*Coefficients!$F$2</f>
        <v>#N/A</v>
      </c>
      <c r="G33" t="e">
        <f>(VLOOKUP(Games!B33, Data!$B$2:$L$135, 7, FALSE)-VLOOKUP(Games!C33, Data!$B$2:$L$135, 7, FALSE))*Coefficients!$G$2</f>
        <v>#N/A</v>
      </c>
      <c r="H33" t="e">
        <f>(VLOOKUP(Games!B33, Data!$B$2:$L$135, 8, FALSE)-VLOOKUP(Games!C33, Data!$B$2:$L$135, 8, FALSE))*Coefficients!$H$2</f>
        <v>#N/A</v>
      </c>
      <c r="I33" t="e">
        <f>(VLOOKUP(Games!B33, Data!$B$2:$L$135, 9, FALSE)-VLOOKUP(Games!C33, Data!$B$2:$L$135, 9, FALSE))*Coefficients!$I$2</f>
        <v>#N/A</v>
      </c>
      <c r="J33" t="n">
        <f>IF(ISBLANK(Data!K33), Games!L33-Games!M33,VLOOKUP(Games!B33, Data!$B$2:$L$135, 10, FALSE)-VLOOKUP(Games!C33, Data!$B$2:$L$135, 10, FALSE))*Coefficients!$J$2</f>
        <v>10.369298375577493</v>
      </c>
      <c r="K33" t="e">
        <f>(IF(AND(VLOOKUP(Games!B33, Data!$B$2:$L$135, 11, FALSE)=1, VLOOKUP(Games!C33, Data!$B$2:$L$135, 11, FALSE)&lt;&gt;1), 1,0))*Coefficients!K$2</f>
        <v>#N/A</v>
      </c>
      <c r="L33" t="e">
        <f>(IF(AND(VLOOKUP(Games!B33, Data!$B$2:$L$135, 11, FALSE)&lt;&gt;1, VLOOKUP(Games!C33, Data!$B$2:$L$135, 11, FALSE)=1), 1,0))*Coefficients!L$2</f>
        <v>#N/A</v>
      </c>
      <c r="O33" t="e">
        <f t="shared" si="0"/>
        <v>#VALUE!</v>
      </c>
    </row>
    <row r="34">
      <c r="A34" t="n">
        <f>Coefficients!$A$2</f>
        <v>-3.7765953152866998</v>
      </c>
      <c r="B34" t="e">
        <f>(Games!D34)*(-1*Coefficients!$B$2)</f>
        <v>#VALUE!</v>
      </c>
      <c r="C34" t="e">
        <f>(VLOOKUP(Games!B34, Data!$B$2:$L$135, 4, FALSE)-VLOOKUP(Games!C34, Data!$B$2:$L$135, 4, FALSE))*Coefficients!$C$2</f>
        <v>#N/A</v>
      </c>
      <c r="D34" t="e">
        <f>(VLOOKUP(Games!B34, Data!$B$2:$L$135, 3, FALSE)-VLOOKUP(Games!C34, Data!$B$2:$L$135, 3, FALSE))*Coefficients!$D$2</f>
        <v>#N/A</v>
      </c>
      <c r="E34" t="e">
        <f>(VLOOKUP(Games!B34, Data!$B$2:$L$135, 5, FALSE)-VLOOKUP(Games!C34, Data!$B$2:$L$135, 5, FALSE))*Coefficients!$E$2</f>
        <v>#N/A</v>
      </c>
      <c r="F34" t="e">
        <f>(VLOOKUP(Games!B34, Data!$B$2:$L$135, 6, FALSE)-VLOOKUP(Games!C34, Data!$B$2:$L$135, 6, FALSE))*Coefficients!$F$2</f>
        <v>#N/A</v>
      </c>
      <c r="G34" t="e">
        <f>(VLOOKUP(Games!B34, Data!$B$2:$L$135, 7, FALSE)-VLOOKUP(Games!C34, Data!$B$2:$L$135, 7, FALSE))*Coefficients!$G$2</f>
        <v>#N/A</v>
      </c>
      <c r="H34" t="e">
        <f>(VLOOKUP(Games!B34, Data!$B$2:$L$135, 8, FALSE)-VLOOKUP(Games!C34, Data!$B$2:$L$135, 8, FALSE))*Coefficients!$H$2</f>
        <v>#N/A</v>
      </c>
      <c r="I34" t="e">
        <f>(VLOOKUP(Games!B34, Data!$B$2:$L$135, 9, FALSE)-VLOOKUP(Games!C34, Data!$B$2:$L$135, 9, FALSE))*Coefficients!$I$2</f>
        <v>#N/A</v>
      </c>
      <c r="J34" t="n">
        <f>IF(ISBLANK(Data!K34), Games!L34-Games!M34,VLOOKUP(Games!B34, Data!$B$2:$L$135, 10, FALSE)-VLOOKUP(Games!C34, Data!$B$2:$L$135, 10, FALSE))*Coefficients!$J$2</f>
        <v>12.029800429491607</v>
      </c>
      <c r="K34" t="e">
        <f>(IF(AND(VLOOKUP(Games!B34, Data!$B$2:$L$135, 11, FALSE)=1, VLOOKUP(Games!C34, Data!$B$2:$L$135, 11, FALSE)&lt;&gt;1), 1,0))*Coefficients!K$2</f>
        <v>#N/A</v>
      </c>
      <c r="L34" t="e">
        <f>(IF(AND(VLOOKUP(Games!B34, Data!$B$2:$L$135, 11, FALSE)&lt;&gt;1, VLOOKUP(Games!C34, Data!$B$2:$L$135, 11, FALSE)=1), 1,0))*Coefficients!L$2</f>
        <v>#N/A</v>
      </c>
      <c r="O34" t="e">
        <f t="shared" si="0"/>
        <v>#VALUE!</v>
      </c>
    </row>
    <row r="35">
      <c r="A35" t="n">
        <f>Coefficients!$A$2</f>
        <v>-3.7765953152866998</v>
      </c>
      <c r="B35" t="e">
        <f>(Games!D35)*(-1*Coefficients!$B$2)</f>
        <v>#VALUE!</v>
      </c>
      <c r="C35" t="e">
        <f>(VLOOKUP(Games!B35, Data!$B$2:$L$135, 4, FALSE)-VLOOKUP(Games!C35, Data!$B$2:$L$135, 4, FALSE))*Coefficients!$C$2</f>
        <v>#N/A</v>
      </c>
      <c r="D35" t="e">
        <f>(VLOOKUP(Games!B35, Data!$B$2:$L$135, 3, FALSE)-VLOOKUP(Games!C35, Data!$B$2:$L$135, 3, FALSE))*Coefficients!$D$2</f>
        <v>#N/A</v>
      </c>
      <c r="E35" t="e">
        <f>(VLOOKUP(Games!B35, Data!$B$2:$L$135, 5, FALSE)-VLOOKUP(Games!C35, Data!$B$2:$L$135, 5, FALSE))*Coefficients!$E$2</f>
        <v>#N/A</v>
      </c>
      <c r="F35" t="e">
        <f>(VLOOKUP(Games!B35, Data!$B$2:$L$135, 6, FALSE)-VLOOKUP(Games!C35, Data!$B$2:$L$135, 6, FALSE))*Coefficients!$F$2</f>
        <v>#N/A</v>
      </c>
      <c r="G35" t="e">
        <f>(VLOOKUP(Games!B35, Data!$B$2:$L$135, 7, FALSE)-VLOOKUP(Games!C35, Data!$B$2:$L$135, 7, FALSE))*Coefficients!$G$2</f>
        <v>#N/A</v>
      </c>
      <c r="H35" t="e">
        <f>(VLOOKUP(Games!B35, Data!$B$2:$L$135, 8, FALSE)-VLOOKUP(Games!C35, Data!$B$2:$L$135, 8, FALSE))*Coefficients!$H$2</f>
        <v>#N/A</v>
      </c>
      <c r="I35" t="e">
        <f>(VLOOKUP(Games!B35, Data!$B$2:$L$135, 9, FALSE)-VLOOKUP(Games!C35, Data!$B$2:$L$135, 9, FALSE))*Coefficients!$I$2</f>
        <v>#N/A</v>
      </c>
      <c r="J35" t="n">
        <f>IF(ISBLANK(Data!K35), Games!L35-Games!M35,VLOOKUP(Games!B35, Data!$B$2:$L$135, 10, FALSE)-VLOOKUP(Games!C35, Data!$B$2:$L$135, 10, FALSE))*Coefficients!$J$2</f>
        <v>11.972075869629988</v>
      </c>
      <c r="K35" t="e">
        <f>(IF(AND(VLOOKUP(Games!B35, Data!$B$2:$L$135, 11, FALSE)=1, VLOOKUP(Games!C35, Data!$B$2:$L$135, 11, FALSE)&lt;&gt;1), 1,0))*Coefficients!K$2</f>
        <v>#N/A</v>
      </c>
      <c r="L35" t="e">
        <f>(IF(AND(VLOOKUP(Games!B35, Data!$B$2:$L$135, 11, FALSE)&lt;&gt;1, VLOOKUP(Games!C35, Data!$B$2:$L$135, 11, FALSE)=1), 1,0))*Coefficients!L$2</f>
        <v>#N/A</v>
      </c>
      <c r="O35" t="e">
        <f t="shared" si="0"/>
        <v>#VALUE!</v>
      </c>
    </row>
    <row r="36">
      <c r="A36" t="n">
        <f>Coefficients!$A$2</f>
        <v>-3.7765953152866998</v>
      </c>
      <c r="B36" t="n">
        <f>(Games!D36)*(-1*Coefficients!$B$2)</f>
        <v>8.060240778291524</v>
      </c>
      <c r="C36" t="n">
        <f>(VLOOKUP(Games!B36, Data!$B$2:$L$135, 4, FALSE)-VLOOKUP(Games!C36, Data!$B$2:$L$135, 4, FALSE))*Coefficients!$C$2</f>
        <v>0.4780277049794488</v>
      </c>
      <c r="D36" t="n">
        <f>(VLOOKUP(Games!B36, Data!$B$2:$L$135, 3, FALSE)-VLOOKUP(Games!C36, Data!$B$2:$L$135, 3, FALSE))*Coefficients!$D$2</f>
        <v>-4.7978582135795227</v>
      </c>
      <c r="E36" t="n">
        <f>(VLOOKUP(Games!B36, Data!$B$2:$L$135, 5, FALSE)-VLOOKUP(Games!C36, Data!$B$2:$L$135, 5, FALSE))*Coefficients!$E$2</f>
        <v>21.58729642574103</v>
      </c>
      <c r="F36" t="n">
        <f>(VLOOKUP(Games!B36, Data!$B$2:$L$135, 6, FALSE)-VLOOKUP(Games!C36, Data!$B$2:$L$135, 6, FALSE))*Coefficients!$F$2</f>
        <v>3.0637535002094731</v>
      </c>
      <c r="G36" t="n">
        <f>(VLOOKUP(Games!B36, Data!$B$2:$L$135, 7, FALSE)-VLOOKUP(Games!C36, Data!$B$2:$L$135, 7, FALSE))*Coefficients!$G$2</f>
        <v>19.295289817971582</v>
      </c>
      <c r="H36" t="n">
        <f>(VLOOKUP(Games!B36, Data!$B$2:$L$135, 8, FALSE)-VLOOKUP(Games!C36, Data!$B$2:$L$135, 8, FALSE))*Coefficients!$H$2</f>
        <v>4.5221741909952708</v>
      </c>
      <c r="I36" t="n">
        <f>(VLOOKUP(Games!B36, Data!$B$2:$L$135, 9, FALSE)-VLOOKUP(Games!C36, Data!$B$2:$L$135, 9, FALSE))*Coefficients!$I$2</f>
        <v>-2.4018825948225864</v>
      </c>
      <c r="J36" t="n">
        <f>IF(ISBLANK(Data!K36), Games!L36-Games!M36,VLOOKUP(Games!B36, Data!$B$2:$L$135, 10, FALSE)-VLOOKUP(Games!C36, Data!$B$2:$L$135, 10, FALSE))*Coefficients!$J$2</f>
        <v>-6.9966198180480728</v>
      </c>
      <c r="K36" t="n">
        <f>(IF(AND(VLOOKUP(Games!B36, Data!$B$2:$L$135, 11, FALSE)=1, VLOOKUP(Games!C36, Data!$B$2:$L$135, 11, FALSE)&lt;&gt;1), 1,0))*Coefficients!K$2</f>
        <v>0</v>
      </c>
      <c r="L36" t="n">
        <f>(IF(AND(VLOOKUP(Games!B36, Data!$B$2:$L$135, 11, FALSE)&lt;&gt;1, VLOOKUP(Games!C36, Data!$B$2:$L$135, 11, FALSE)=1), 1,0))*Coefficients!L$2</f>
        <v>-3.2373402144693899</v>
      </c>
      <c r="O36" t="n">
        <f t="shared" si="0"/>
        <v>35.796486261982054</v>
      </c>
    </row>
    <row r="37">
      <c r="A37" t="n">
        <f>Coefficients!$A$2</f>
        <v>-3.7765953152866998</v>
      </c>
      <c r="B37" t="n">
        <f>(Games!D37)*(-1*Coefficients!$B$2)</f>
        <v>-22.031324793996834</v>
      </c>
      <c r="C37" t="n">
        <f>(VLOOKUP(Games!B37, Data!$B$2:$L$135, 4, FALSE)-VLOOKUP(Games!C37, Data!$B$2:$L$135, 4, FALSE))*Coefficients!$C$2</f>
        <v>-2.2706315986523742</v>
      </c>
      <c r="D37" t="n">
        <f>(VLOOKUP(Games!B37, Data!$B$2:$L$135, 3, FALSE)-VLOOKUP(Games!C37, Data!$B$2:$L$135, 3, FALSE))*Coefficients!$D$2</f>
        <v>19.876841170543734</v>
      </c>
      <c r="E37" t="n">
        <f>(VLOOKUP(Games!B37, Data!$B$2:$L$135, 5, FALSE)-VLOOKUP(Games!C37, Data!$B$2:$L$135, 5, FALSE))*Coefficients!$E$2</f>
        <v>-23.180145482397641</v>
      </c>
      <c r="F37" t="n">
        <f>(VLOOKUP(Games!B37, Data!$B$2:$L$135, 6, FALSE)-VLOOKUP(Games!C37, Data!$B$2:$L$135, 6, FALSE))*Coefficients!$F$2</f>
        <v>-5.3779815905462716</v>
      </c>
      <c r="G37" t="n">
        <f>(VLOOKUP(Games!B37, Data!$B$2:$L$135, 7, FALSE)-VLOOKUP(Games!C37, Data!$B$2:$L$135, 7, FALSE))*Coefficients!$G$2</f>
        <v>-18.736006055131828</v>
      </c>
      <c r="H37" t="n">
        <f>(VLOOKUP(Games!B37, Data!$B$2:$L$135, 8, FALSE)-VLOOKUP(Games!C37, Data!$B$2:$L$135, 8, FALSE))*Coefficients!$H$2</f>
        <v>-9.6802791275992508</v>
      </c>
      <c r="I37" t="n">
        <f>(VLOOKUP(Games!B37, Data!$B$2:$L$135, 9, FALSE)-VLOOKUP(Games!C37, Data!$B$2:$L$135, 9, FALSE))*Coefficients!$I$2</f>
        <v>3.3831395085610811</v>
      </c>
      <c r="J37" t="n">
        <f>IF(ISBLANK(Data!K37), Games!L37-Games!M37,VLOOKUP(Games!B37, Data!$B$2:$L$135, 10, FALSE)-VLOOKUP(Games!C37, Data!$B$2:$L$135, 10, FALSE))*Coefficients!$J$2</f>
        <v>11.73871100569205</v>
      </c>
      <c r="K37" t="n">
        <f>(IF(AND(VLOOKUP(Games!B37, Data!$B$2:$L$135, 11, FALSE)=1, VLOOKUP(Games!C37, Data!$B$2:$L$135, 11, FALSE)&lt;&gt;1), 1,0))*Coefficients!K$2</f>
        <v>0</v>
      </c>
      <c r="L37" t="n">
        <f>(IF(AND(VLOOKUP(Games!B37, Data!$B$2:$L$135, 11, FALSE)&lt;&gt;1, VLOOKUP(Games!C37, Data!$B$2:$L$135, 11, FALSE)=1), 1,0))*Coefficients!L$2</f>
        <v>0</v>
      </c>
      <c r="O37" t="n">
        <f t="shared" si="0"/>
        <v>-50.05427227881404</v>
      </c>
    </row>
    <row r="38">
      <c r="A38" t="n">
        <f>Coefficients!$A$2</f>
        <v>-3.7765953152866998</v>
      </c>
      <c r="B38" t="n">
        <f>(Games!D38)*(-1*Coefficients!$B$2)</f>
        <v>-25.255421105313445</v>
      </c>
      <c r="C38" t="n">
        <f>(VLOOKUP(Games!B38, Data!$B$2:$L$135, 4, FALSE)-VLOOKUP(Games!C38, Data!$B$2:$L$135, 4, FALSE))*Coefficients!$C$2</f>
        <v>-1.0357266941221368</v>
      </c>
      <c r="D38" t="n">
        <f>(VLOOKUP(Games!B38, Data!$B$2:$L$135, 3, FALSE)-VLOOKUP(Games!C38, Data!$B$2:$L$135, 3, FALSE))*Coefficients!$D$2</f>
        <v>13.286376591450981</v>
      </c>
      <c r="E38" t="n">
        <f>(VLOOKUP(Games!B38, Data!$B$2:$L$135, 5, FALSE)-VLOOKUP(Games!C38, Data!$B$2:$L$135, 5, FALSE))*Coefficients!$E$2</f>
        <v>-17.479422542784484</v>
      </c>
      <c r="F38" t="n">
        <f>(VLOOKUP(Games!B38, Data!$B$2:$L$135, 6, FALSE)-VLOOKUP(Games!C38, Data!$B$2:$L$135, 6, FALSE))*Coefficients!$F$2</f>
        <v>-5.2111164445527187</v>
      </c>
      <c r="G38" t="n">
        <f>(VLOOKUP(Games!B38, Data!$B$2:$L$135, 7, FALSE)-VLOOKUP(Games!C38, Data!$B$2:$L$135, 7, FALSE))*Coefficients!$G$2</f>
        <v>-29.082755667667314</v>
      </c>
      <c r="H38" t="n">
        <f>(VLOOKUP(Games!B38, Data!$B$2:$L$135, 8, FALSE)-VLOOKUP(Games!C38, Data!$B$2:$L$135, 8, FALSE))*Coefficients!$H$2</f>
        <v>-9.2563252971934435</v>
      </c>
      <c r="I38" t="n">
        <f>(VLOOKUP(Games!B38, Data!$B$2:$L$135, 9, FALSE)-VLOOKUP(Games!C38, Data!$B$2:$L$135, 9, FALSE))*Coefficients!$I$2</f>
        <v>2.9437707412154861</v>
      </c>
      <c r="J38" t="n">
        <f>IF(ISBLANK(Data!K38), Games!L38-Games!M38,VLOOKUP(Games!B38, Data!$B$2:$L$135, 10, FALSE)-VLOOKUP(Games!C38, Data!$B$2:$L$135, 10, FALSE))*Coefficients!$J$2</f>
        <v>10.538870369231587</v>
      </c>
      <c r="K38" t="n">
        <f>(IF(AND(VLOOKUP(Games!B38, Data!$B$2:$L$135, 11, FALSE)=1, VLOOKUP(Games!C38, Data!$B$2:$L$135, 11, FALSE)&lt;&gt;1), 1,0))*Coefficients!K$2</f>
        <v>0</v>
      </c>
      <c r="L38" t="n">
        <f>(IF(AND(VLOOKUP(Games!B38, Data!$B$2:$L$135, 11, FALSE)&lt;&gt;1, VLOOKUP(Games!C38, Data!$B$2:$L$135, 11, FALSE)=1), 1,0))*Coefficients!L$2</f>
        <v>0</v>
      </c>
      <c r="O38" t="n">
        <f t="shared" si="0"/>
        <v>-64.328345365022173</v>
      </c>
    </row>
    <row r="39">
      <c r="A39" t="n">
        <f>Coefficients!$A$2</f>
        <v>-3.7765953152866998</v>
      </c>
      <c r="B39" t="n">
        <f>(Games!D39)*(-1*Coefficients!$B$2)</f>
        <v>-12.359035860047005</v>
      </c>
      <c r="C39" t="n">
        <f>(VLOOKUP(Games!B39, Data!$B$2:$L$135, 4, FALSE)-VLOOKUP(Games!C39, Data!$B$2:$L$135, 4, FALSE))*Coefficients!$C$2</f>
        <v>-1.4682279510083089</v>
      </c>
      <c r="D39" t="n">
        <f>(VLOOKUP(Games!B39, Data!$B$2:$L$135, 3, FALSE)-VLOOKUP(Games!C39, Data!$B$2:$L$135, 3, FALSE))*Coefficients!$D$2</f>
        <v>2.6361858316370999</v>
      </c>
      <c r="E39" t="n">
        <f>(VLOOKUP(Games!B39, Data!$B$2:$L$135, 5, FALSE)-VLOOKUP(Games!C39, Data!$B$2:$L$135, 5, FALSE))*Coefficients!$E$2</f>
        <v>-14.335641509909577</v>
      </c>
      <c r="F39" t="n">
        <f>(VLOOKUP(Games!B39, Data!$B$2:$L$135, 6, FALSE)-VLOOKUP(Games!C39, Data!$B$2:$L$135, 6, FALSE))*Coefficients!$F$2</f>
        <v>-2.7847330921546818</v>
      </c>
      <c r="G39" t="n">
        <f>(VLOOKUP(Games!B39, Data!$B$2:$L$135, 7, FALSE)-VLOOKUP(Games!C39, Data!$B$2:$L$135, 7, FALSE))*Coefficients!$G$2</f>
        <v>-20.413857343651095</v>
      </c>
      <c r="H39" t="n">
        <f>(VLOOKUP(Games!B39, Data!$B$2:$L$135, 8, FALSE)-VLOOKUP(Games!C39, Data!$B$2:$L$135, 8, FALSE))*Coefficients!$H$2</f>
        <v>-6.5006253995557008</v>
      </c>
      <c r="I39" t="n">
        <f>(VLOOKUP(Games!B39, Data!$B$2:$L$135, 9, FALSE)-VLOOKUP(Games!C39, Data!$B$2:$L$135, 9, FALSE))*Coefficients!$I$2</f>
        <v>2.2554263390407212</v>
      </c>
      <c r="J39" t="n">
        <f>IF(ISBLANK(Data!K39), Games!L39-Games!M39,VLOOKUP(Games!B39, Data!$B$2:$L$135, 10, FALSE)-VLOOKUP(Games!C39, Data!$B$2:$L$135, 10, FALSE))*Coefficients!$J$2</f>
        <v>10.490575310457828</v>
      </c>
      <c r="K39" t="n">
        <f>(IF(AND(VLOOKUP(Games!B39, Data!$B$2:$L$135, 11, FALSE)=1, VLOOKUP(Games!C39, Data!$B$2:$L$135, 11, FALSE)&lt;&gt;1), 1,0))*Coefficients!K$2</f>
        <v>0</v>
      </c>
      <c r="L39" t="n">
        <f>(IF(AND(VLOOKUP(Games!B39, Data!$B$2:$L$135, 11, FALSE)&lt;&gt;1, VLOOKUP(Games!C39, Data!$B$2:$L$135, 11, FALSE)=1), 1,0))*Coefficients!L$2</f>
        <v>0</v>
      </c>
      <c r="O39" t="n">
        <f t="shared" si="0"/>
        <v>-46.256528990477413</v>
      </c>
    </row>
    <row r="40">
      <c r="A40" t="n">
        <f>Coefficients!$A$2</f>
        <v>-3.7765953152866998</v>
      </c>
      <c r="B40" t="n">
        <f>(Games!D40)*(-1*Coefficients!$B$2)</f>
        <v>14.508433400924744</v>
      </c>
      <c r="C40" t="n">
        <f>(VLOOKUP(Games!B40, Data!$B$2:$L$135, 4, FALSE)-VLOOKUP(Games!C40, Data!$B$2:$L$135, 4, FALSE))*Coefficients!$C$2</f>
        <v>2.3104672407339923</v>
      </c>
      <c r="D40" t="n">
        <f>(VLOOKUP(Games!B40, Data!$B$2:$L$135, 3, FALSE)-VLOOKUP(Games!C40, Data!$B$2:$L$135, 3, FALSE))*Coefficients!$D$2</f>
        <v>-12.653691991858082</v>
      </c>
      <c r="E40" t="n">
        <f>(VLOOKUP(Games!B40, Data!$B$2:$L$135, 5, FALSE)-VLOOKUP(Games!C40, Data!$B$2:$L$135, 5, FALSE))*Coefficients!$E$2</f>
        <v>18.066261668921129</v>
      </c>
      <c r="F40" t="n">
        <f>(VLOOKUP(Games!B40, Data!$B$2:$L$135, 6, FALSE)-VLOOKUP(Games!C40, Data!$B$2:$L$135, 6, FALSE))*Coefficients!$F$2</f>
        <v>4.1305962368895575</v>
      </c>
      <c r="G40" t="n">
        <f>(VLOOKUP(Games!B40, Data!$B$2:$L$135, 7, FALSE)-VLOOKUP(Games!C40, Data!$B$2:$L$135, 7, FALSE))*Coefficients!$G$2</f>
        <v>7.2706889169168285</v>
      </c>
      <c r="H40" t="n">
        <f>(VLOOKUP(Games!B40, Data!$B$2:$L$135, 8, FALSE)-VLOOKUP(Games!C40, Data!$B$2:$L$135, 8, FALSE))*Coefficients!$H$2</f>
        <v>4.5221741909952708</v>
      </c>
      <c r="I40" t="n">
        <f>(VLOOKUP(Games!B40, Data!$B$2:$L$135, 9, FALSE)-VLOOKUP(Games!C40, Data!$B$2:$L$135, 9, FALSE))*Coefficients!$I$2</f>
        <v>-2.4458194715571455</v>
      </c>
      <c r="J40" t="n">
        <f>IF(ISBLANK(Data!K40), Games!L40-Games!M40,VLOOKUP(Games!B40, Data!$B$2:$L$135, 10, FALSE)-VLOOKUP(Games!C40, Data!$B$2:$L$135, 10, FALSE))*Coefficients!$J$2</f>
        <v>-10.113145747832471</v>
      </c>
      <c r="K40" t="n">
        <f>(IF(AND(VLOOKUP(Games!B40, Data!$B$2:$L$135, 11, FALSE)=1, VLOOKUP(Games!C40, Data!$B$2:$L$135, 11, FALSE)&lt;&gt;1), 1,0))*Coefficients!K$2</f>
        <v>0</v>
      </c>
      <c r="L40" t="n">
        <f>(IF(AND(VLOOKUP(Games!B40, Data!$B$2:$L$135, 11, FALSE)&lt;&gt;1, VLOOKUP(Games!C40, Data!$B$2:$L$135, 11, FALSE)=1), 1,0))*Coefficients!L$2</f>
        <v>0</v>
      </c>
      <c r="O40" t="n">
        <f t="shared" si="0"/>
        <v>21.819369128847129</v>
      </c>
    </row>
    <row r="41">
      <c r="A41" t="n">
        <f>Coefficients!$A$2</f>
        <v>-3.7765953152866998</v>
      </c>
      <c r="B41" t="n">
        <f>(Games!D41)*(-1*Coefficients!$B$2)</f>
        <v>-40.301203891457625</v>
      </c>
      <c r="C41" t="e">
        <f>(VLOOKUP(Games!B41, Data!$B$2:$L$135, 4, FALSE)-VLOOKUP(Games!C41, Data!$B$2:$L$135, 4, FALSE))*Coefficients!$C$2</f>
        <v>#N/A</v>
      </c>
      <c r="D41" t="e">
        <f>(VLOOKUP(Games!B41, Data!$B$2:$L$135, 3, FALSE)-VLOOKUP(Games!C41, Data!$B$2:$L$135, 3, FALSE))*Coefficients!$D$2</f>
        <v>#N/A</v>
      </c>
      <c r="E41" t="e">
        <f>(VLOOKUP(Games!B41, Data!$B$2:$L$135, 5, FALSE)-VLOOKUP(Games!C41, Data!$B$2:$L$135, 5, FALSE))*Coefficients!$E$2</f>
        <v>#N/A</v>
      </c>
      <c r="F41" t="e">
        <f>(VLOOKUP(Games!B41, Data!$B$2:$L$135, 6, FALSE)-VLOOKUP(Games!C41, Data!$B$2:$L$135, 6, FALSE))*Coefficients!$F$2</f>
        <v>#N/A</v>
      </c>
      <c r="G41" t="e">
        <f>(VLOOKUP(Games!B41, Data!$B$2:$L$135, 7, FALSE)-VLOOKUP(Games!C41, Data!$B$2:$L$135, 7, FALSE))*Coefficients!$G$2</f>
        <v>#N/A</v>
      </c>
      <c r="H41" t="e">
        <f>(VLOOKUP(Games!B41, Data!$B$2:$L$135, 8, FALSE)-VLOOKUP(Games!C41, Data!$B$2:$L$135, 8, FALSE))*Coefficients!$H$2</f>
        <v>#N/A</v>
      </c>
      <c r="I41" t="e">
        <f>(VLOOKUP(Games!B41, Data!$B$2:$L$135, 9, FALSE)-VLOOKUP(Games!C41, Data!$B$2:$L$135, 9, FALSE))*Coefficients!$I$2</f>
        <v>#N/A</v>
      </c>
      <c r="J41" t="n">
        <f>IF(ISBLANK(Data!K41), Games!L41-Games!M41,VLOOKUP(Games!B41, Data!$B$2:$L$135, 10, FALSE)-VLOOKUP(Games!C41, Data!$B$2:$L$135, 10, FALSE))*Coefficients!$J$2</f>
        <v>12.346093538715651</v>
      </c>
      <c r="K41" t="e">
        <f>(IF(AND(VLOOKUP(Games!B41, Data!$B$2:$L$135, 11, FALSE)=1, VLOOKUP(Games!C41, Data!$B$2:$L$135, 11, FALSE)&lt;&gt;1), 1,0))*Coefficients!K$2</f>
        <v>#N/A</v>
      </c>
      <c r="L41" t="e">
        <f>(IF(AND(VLOOKUP(Games!B41, Data!$B$2:$L$135, 11, FALSE)&lt;&gt;1, VLOOKUP(Games!C41, Data!$B$2:$L$135, 11, FALSE)=1), 1,0))*Coefficients!L$2</f>
        <v>#N/A</v>
      </c>
      <c r="O41" t="e">
        <f t="shared" si="0"/>
        <v>#N/A</v>
      </c>
    </row>
    <row r="42">
      <c r="A42" t="n">
        <f>Coefficients!$A$2</f>
        <v>-3.7765953152866998</v>
      </c>
      <c r="B42" t="n">
        <f>(Games!D42)*(-1*Coefficients!$B$2)</f>
        <v>-33.853011268824403</v>
      </c>
      <c r="C42" t="e">
        <f>(VLOOKUP(Games!B42, Data!$B$2:$L$135, 4, FALSE)-VLOOKUP(Games!C42, Data!$B$2:$L$135, 4, FALSE))*Coefficients!$C$2</f>
        <v>#N/A</v>
      </c>
      <c r="D42" t="e">
        <f>(VLOOKUP(Games!B42, Data!$B$2:$L$135, 3, FALSE)-VLOOKUP(Games!C42, Data!$B$2:$L$135, 3, FALSE))*Coefficients!$D$2</f>
        <v>#N/A</v>
      </c>
      <c r="E42" t="e">
        <f>(VLOOKUP(Games!B42, Data!$B$2:$L$135, 5, FALSE)-VLOOKUP(Games!C42, Data!$B$2:$L$135, 5, FALSE))*Coefficients!$E$2</f>
        <v>#N/A</v>
      </c>
      <c r="F42" t="e">
        <f>(VLOOKUP(Games!B42, Data!$B$2:$L$135, 6, FALSE)-VLOOKUP(Games!C42, Data!$B$2:$L$135, 6, FALSE))*Coefficients!$F$2</f>
        <v>#N/A</v>
      </c>
      <c r="G42" t="e">
        <f>(VLOOKUP(Games!B42, Data!$B$2:$L$135, 7, FALSE)-VLOOKUP(Games!C42, Data!$B$2:$L$135, 7, FALSE))*Coefficients!$G$2</f>
        <v>#N/A</v>
      </c>
      <c r="H42" t="e">
        <f>(VLOOKUP(Games!B42, Data!$B$2:$L$135, 8, FALSE)-VLOOKUP(Games!C42, Data!$B$2:$L$135, 8, FALSE))*Coefficients!$H$2</f>
        <v>#N/A</v>
      </c>
      <c r="I42" t="e">
        <f>(VLOOKUP(Games!B42, Data!$B$2:$L$135, 9, FALSE)-VLOOKUP(Games!C42, Data!$B$2:$L$135, 9, FALSE))*Coefficients!$I$2</f>
        <v>#N/A</v>
      </c>
      <c r="J42" t="n">
        <f>IF(ISBLANK(Data!K42), Games!L42-Games!M42,VLOOKUP(Games!B42, Data!$B$2:$L$135, 10, FALSE)-VLOOKUP(Games!C42, Data!$B$2:$L$135, 10, FALSE))*Coefficients!$J$2</f>
        <v>9.0458402797316193</v>
      </c>
      <c r="K42" t="e">
        <f>(IF(AND(VLOOKUP(Games!B42, Data!$B$2:$L$135, 11, FALSE)=1, VLOOKUP(Games!C42, Data!$B$2:$L$135, 11, FALSE)&lt;&gt;1), 1,0))*Coefficients!K$2</f>
        <v>#N/A</v>
      </c>
      <c r="L42" t="e">
        <f>(IF(AND(VLOOKUP(Games!B42, Data!$B$2:$L$135, 11, FALSE)&lt;&gt;1, VLOOKUP(Games!C42, Data!$B$2:$L$135, 11, FALSE)=1), 1,0))*Coefficients!L$2</f>
        <v>#N/A</v>
      </c>
      <c r="O42" t="e">
        <f t="shared" si="0"/>
        <v>#N/A</v>
      </c>
    </row>
    <row r="43">
      <c r="A43" t="n">
        <f>Coefficients!$A$2</f>
        <v>-3.7765953152866998</v>
      </c>
      <c r="B43" t="n">
        <f>(Games!D43)*(-1*Coefficients!$B$2)</f>
        <v>-41.375902661896497</v>
      </c>
      <c r="C43" t="e">
        <f>(VLOOKUP(Games!B43, Data!$B$2:$L$135, 4, FALSE)-VLOOKUP(Games!C43, Data!$B$2:$L$135, 4, FALSE))*Coefficients!$C$2</f>
        <v>#N/A</v>
      </c>
      <c r="D43" t="e">
        <f>(VLOOKUP(Games!B43, Data!$B$2:$L$135, 3, FALSE)-VLOOKUP(Games!C43, Data!$B$2:$L$135, 3, FALSE))*Coefficients!$D$2</f>
        <v>#N/A</v>
      </c>
      <c r="E43" t="e">
        <f>(VLOOKUP(Games!B43, Data!$B$2:$L$135, 5, FALSE)-VLOOKUP(Games!C43, Data!$B$2:$L$135, 5, FALSE))*Coefficients!$E$2</f>
        <v>#N/A</v>
      </c>
      <c r="F43" t="e">
        <f>(VLOOKUP(Games!B43, Data!$B$2:$L$135, 6, FALSE)-VLOOKUP(Games!C43, Data!$B$2:$L$135, 6, FALSE))*Coefficients!$F$2</f>
        <v>#N/A</v>
      </c>
      <c r="G43" t="e">
        <f>(VLOOKUP(Games!B43, Data!$B$2:$L$135, 7, FALSE)-VLOOKUP(Games!C43, Data!$B$2:$L$135, 7, FALSE))*Coefficients!$G$2</f>
        <v>#N/A</v>
      </c>
      <c r="H43" t="e">
        <f>(VLOOKUP(Games!B43, Data!$B$2:$L$135, 8, FALSE)-VLOOKUP(Games!C43, Data!$B$2:$L$135, 8, FALSE))*Coefficients!$H$2</f>
        <v>#N/A</v>
      </c>
      <c r="I43" t="e">
        <f>(VLOOKUP(Games!B43, Data!$B$2:$L$135, 9, FALSE)-VLOOKUP(Games!C43, Data!$B$2:$L$135, 9, FALSE))*Coefficients!$I$2</f>
        <v>#N/A</v>
      </c>
      <c r="J43" t="n">
        <f>IF(ISBLANK(Data!K43), Games!L43-Games!M43,VLOOKUP(Games!B43, Data!$B$2:$L$135, 10, FALSE)-VLOOKUP(Games!C43, Data!$B$2:$L$135, 10, FALSE))*Coefficients!$J$2</f>
        <v>12.738907079164619</v>
      </c>
      <c r="K43" t="e">
        <f>(IF(AND(VLOOKUP(Games!B43, Data!$B$2:$L$135, 11, FALSE)=1, VLOOKUP(Games!C43, Data!$B$2:$L$135, 11, FALSE)&lt;&gt;1), 1,0))*Coefficients!K$2</f>
        <v>#N/A</v>
      </c>
      <c r="L43" t="e">
        <f>(IF(AND(VLOOKUP(Games!B43, Data!$B$2:$L$135, 11, FALSE)&lt;&gt;1, VLOOKUP(Games!C43, Data!$B$2:$L$135, 11, FALSE)=1), 1,0))*Coefficients!L$2</f>
        <v>#N/A</v>
      </c>
      <c r="O43" t="e">
        <f t="shared" si="0"/>
        <v>#N/A</v>
      </c>
    </row>
    <row r="44">
      <c r="A44" t="n">
        <f>Coefficients!$A$2</f>
        <v>-3.7765953152866998</v>
      </c>
      <c r="B44" t="n">
        <f>(Games!D44)*(-1*Coefficients!$B$2)</f>
        <v>-13.433734630485874</v>
      </c>
      <c r="C44" t="e">
        <f>(VLOOKUP(Games!B44, Data!$B$2:$L$135, 4, FALSE)-VLOOKUP(Games!C44, Data!$B$2:$L$135, 4, FALSE))*Coefficients!$C$2</f>
        <v>#N/A</v>
      </c>
      <c r="D44" t="e">
        <f>(VLOOKUP(Games!B44, Data!$B$2:$L$135, 3, FALSE)-VLOOKUP(Games!C44, Data!$B$2:$L$135, 3, FALSE))*Coefficients!$D$2</f>
        <v>#N/A</v>
      </c>
      <c r="E44" t="e">
        <f>(VLOOKUP(Games!B44, Data!$B$2:$L$135, 5, FALSE)-VLOOKUP(Games!C44, Data!$B$2:$L$135, 5, FALSE))*Coefficients!$E$2</f>
        <v>#N/A</v>
      </c>
      <c r="F44" t="e">
        <f>(VLOOKUP(Games!B44, Data!$B$2:$L$135, 6, FALSE)-VLOOKUP(Games!C44, Data!$B$2:$L$135, 6, FALSE))*Coefficients!$F$2</f>
        <v>#N/A</v>
      </c>
      <c r="G44" t="e">
        <f>(VLOOKUP(Games!B44, Data!$B$2:$L$135, 7, FALSE)-VLOOKUP(Games!C44, Data!$B$2:$L$135, 7, FALSE))*Coefficients!$G$2</f>
        <v>#N/A</v>
      </c>
      <c r="H44" t="e">
        <f>(VLOOKUP(Games!B44, Data!$B$2:$L$135, 8, FALSE)-VLOOKUP(Games!C44, Data!$B$2:$L$135, 8, FALSE))*Coefficients!$H$2</f>
        <v>#N/A</v>
      </c>
      <c r="I44" t="e">
        <f>(VLOOKUP(Games!B44, Data!$B$2:$L$135, 9, FALSE)-VLOOKUP(Games!C44, Data!$B$2:$L$135, 9, FALSE))*Coefficients!$I$2</f>
        <v>#N/A</v>
      </c>
      <c r="J44" t="n">
        <f>IF(ISBLANK(Data!K44), Games!L44-Games!M44,VLOOKUP(Games!B44, Data!$B$2:$L$135, 10, FALSE)-VLOOKUP(Games!C44, Data!$B$2:$L$135, 10, FALSE))*Coefficients!$J$2</f>
        <v>12.509355063605801</v>
      </c>
      <c r="K44" t="e">
        <f>(IF(AND(VLOOKUP(Games!B44, Data!$B$2:$L$135, 11, FALSE)=1, VLOOKUP(Games!C44, Data!$B$2:$L$135, 11, FALSE)&lt;&gt;1), 1,0))*Coefficients!K$2</f>
        <v>#N/A</v>
      </c>
      <c r="L44" t="e">
        <f>(IF(AND(VLOOKUP(Games!B44, Data!$B$2:$L$135, 11, FALSE)&lt;&gt;1, VLOOKUP(Games!C44, Data!$B$2:$L$135, 11, FALSE)=1), 1,0))*Coefficients!L$2</f>
        <v>#N/A</v>
      </c>
      <c r="O44" t="e">
        <f t="shared" si="0"/>
        <v>#N/A</v>
      </c>
    </row>
    <row r="45">
      <c r="A45" t="n">
        <f>Coefficients!$A$2</f>
        <v>-3.7765953152866998</v>
      </c>
      <c r="B45" t="n">
        <f>(Games!D45)*(-1*Coefficients!$B$2)</f>
        <v>-33.853011268824403</v>
      </c>
      <c r="C45" t="e">
        <f>(VLOOKUP(Games!B45, Data!$B$2:$L$135, 4, FALSE)-VLOOKUP(Games!C45, Data!$B$2:$L$135, 4, FALSE))*Coefficients!$C$2</f>
        <v>#N/A</v>
      </c>
      <c r="D45" t="e">
        <f>(VLOOKUP(Games!B45, Data!$B$2:$L$135, 3, FALSE)-VLOOKUP(Games!C45, Data!$B$2:$L$135, 3, FALSE))*Coefficients!$D$2</f>
        <v>#N/A</v>
      </c>
      <c r="E45" t="e">
        <f>(VLOOKUP(Games!B45, Data!$B$2:$L$135, 5, FALSE)-VLOOKUP(Games!C45, Data!$B$2:$L$135, 5, FALSE))*Coefficients!$E$2</f>
        <v>#N/A</v>
      </c>
      <c r="F45" t="e">
        <f>(VLOOKUP(Games!B45, Data!$B$2:$L$135, 6, FALSE)-VLOOKUP(Games!C45, Data!$B$2:$L$135, 6, FALSE))*Coefficients!$F$2</f>
        <v>#N/A</v>
      </c>
      <c r="G45" t="e">
        <f>(VLOOKUP(Games!B45, Data!$B$2:$L$135, 7, FALSE)-VLOOKUP(Games!C45, Data!$B$2:$L$135, 7, FALSE))*Coefficients!$G$2</f>
        <v>#N/A</v>
      </c>
      <c r="H45" t="e">
        <f>(VLOOKUP(Games!B45, Data!$B$2:$L$135, 8, FALSE)-VLOOKUP(Games!C45, Data!$B$2:$L$135, 8, FALSE))*Coefficients!$H$2</f>
        <v>#N/A</v>
      </c>
      <c r="I45" t="e">
        <f>(VLOOKUP(Games!B45, Data!$B$2:$L$135, 9, FALSE)-VLOOKUP(Games!C45, Data!$B$2:$L$135, 9, FALSE))*Coefficients!$I$2</f>
        <v>#N/A</v>
      </c>
      <c r="J45" t="n">
        <f>IF(ISBLANK(Data!K45), Games!L45-Games!M45,VLOOKUP(Games!B45, Data!$B$2:$L$135, 10, FALSE)-VLOOKUP(Games!C45, Data!$B$2:$L$135, 10, FALSE))*Coefficients!$J$2</f>
        <v>11.180408661554576</v>
      </c>
      <c r="K45" t="e">
        <f>(IF(AND(VLOOKUP(Games!B45, Data!$B$2:$L$135, 11, FALSE)=1, VLOOKUP(Games!C45, Data!$B$2:$L$135, 11, FALSE)&lt;&gt;1), 1,0))*Coefficients!K$2</f>
        <v>#N/A</v>
      </c>
      <c r="L45" t="e">
        <f>(IF(AND(VLOOKUP(Games!B45, Data!$B$2:$L$135, 11, FALSE)&lt;&gt;1, VLOOKUP(Games!C45, Data!$B$2:$L$135, 11, FALSE)=1), 1,0))*Coefficients!L$2</f>
        <v>#N/A</v>
      </c>
      <c r="O45" t="e">
        <f t="shared" si="0"/>
        <v>#N/A</v>
      </c>
    </row>
    <row r="46">
      <c r="A46" t="n">
        <f>Coefficients!$A$2</f>
        <v>-3.7765953152866998</v>
      </c>
      <c r="B46" t="n">
        <f>(Games!D46)*(-1*Coefficients!$B$2)</f>
        <v>-29.554216187068924</v>
      </c>
      <c r="C46" t="e">
        <f>(VLOOKUP(Games!B46, Data!$B$2:$L$135, 4, FALSE)-VLOOKUP(Games!C46, Data!$B$2:$L$135, 4, FALSE))*Coefficients!$C$2</f>
        <v>#N/A</v>
      </c>
      <c r="D46" t="e">
        <f>(VLOOKUP(Games!B46, Data!$B$2:$L$135, 3, FALSE)-VLOOKUP(Games!C46, Data!$B$2:$L$135, 3, FALSE))*Coefficients!$D$2</f>
        <v>#N/A</v>
      </c>
      <c r="E46" t="e">
        <f>(VLOOKUP(Games!B46, Data!$B$2:$L$135, 5, FALSE)-VLOOKUP(Games!C46, Data!$B$2:$L$135, 5, FALSE))*Coefficients!$E$2</f>
        <v>#N/A</v>
      </c>
      <c r="F46" t="e">
        <f>(VLOOKUP(Games!B46, Data!$B$2:$L$135, 6, FALSE)-VLOOKUP(Games!C46, Data!$B$2:$L$135, 6, FALSE))*Coefficients!$F$2</f>
        <v>#N/A</v>
      </c>
      <c r="G46" t="e">
        <f>(VLOOKUP(Games!B46, Data!$B$2:$L$135, 7, FALSE)-VLOOKUP(Games!C46, Data!$B$2:$L$135, 7, FALSE))*Coefficients!$G$2</f>
        <v>#N/A</v>
      </c>
      <c r="H46" t="e">
        <f>(VLOOKUP(Games!B46, Data!$B$2:$L$135, 8, FALSE)-VLOOKUP(Games!C46, Data!$B$2:$L$135, 8, FALSE))*Coefficients!$H$2</f>
        <v>#N/A</v>
      </c>
      <c r="I46" t="e">
        <f>(VLOOKUP(Games!B46, Data!$B$2:$L$135, 9, FALSE)-VLOOKUP(Games!C46, Data!$B$2:$L$135, 9, FALSE))*Coefficients!$I$2</f>
        <v>#N/A</v>
      </c>
      <c r="J46" t="n">
        <f>IF(ISBLANK(Data!K46), Games!L46-Games!M46,VLOOKUP(Games!B46, Data!$B$2:$L$135, 10, FALSE)-VLOOKUP(Games!C46, Data!$B$2:$L$135, 10, FALSE))*Coefficients!$J$2</f>
        <v>12.030945380848543</v>
      </c>
      <c r="K46" t="e">
        <f>(IF(AND(VLOOKUP(Games!B46, Data!$B$2:$L$135, 11, FALSE)=1, VLOOKUP(Games!C46, Data!$B$2:$L$135, 11, FALSE)&lt;&gt;1), 1,0))*Coefficients!K$2</f>
        <v>#N/A</v>
      </c>
      <c r="L46" t="e">
        <f>(IF(AND(VLOOKUP(Games!B46, Data!$B$2:$L$135, 11, FALSE)&lt;&gt;1, VLOOKUP(Games!C46, Data!$B$2:$L$135, 11, FALSE)=1), 1,0))*Coefficients!L$2</f>
        <v>#N/A</v>
      </c>
      <c r="O46" t="e">
        <f t="shared" si="0"/>
        <v>#N/A</v>
      </c>
    </row>
    <row r="47">
      <c r="A47" t="n">
        <f>Coefficients!$A$2</f>
        <v>-3.7765953152866998</v>
      </c>
      <c r="B47" t="n">
        <f>(Games!D47)*(-1*Coefficients!$B$2)</f>
        <v>-22.031324793996834</v>
      </c>
      <c r="C47" t="n">
        <f>(VLOOKUP(Games!B47, Data!$B$2:$L$135, 4, FALSE)-VLOOKUP(Games!C47, Data!$B$2:$L$135, 4, FALSE))*Coefficients!$C$2</f>
        <v>0.51786334706106618</v>
      </c>
      <c r="D47" t="n">
        <f>(VLOOKUP(Games!B47, Data!$B$2:$L$135, 3, FALSE)-VLOOKUP(Games!C47, Data!$B$2:$L$135, 3, FALSE))*Coefficients!$D$2</f>
        <v>14.129956057574855</v>
      </c>
      <c r="E47" t="n">
        <f>(VLOOKUP(Games!B47, Data!$B$2:$L$135, 5, FALSE)-VLOOKUP(Games!C47, Data!$B$2:$L$135, 5, FALSE))*Coefficients!$E$2</f>
        <v>-14.503309831662902</v>
      </c>
      <c r="F47" t="n">
        <f>(VLOOKUP(Games!B47, Data!$B$2:$L$135, 6, FALSE)-VLOOKUP(Games!C47, Data!$B$2:$L$135, 6, FALSE))*Coefficients!$F$2</f>
        <v>-3.5041680658645848</v>
      </c>
      <c r="G47" t="n">
        <f>(VLOOKUP(Games!B47, Data!$B$2:$L$135, 7, FALSE)-VLOOKUP(Games!C47, Data!$B$2:$L$135, 7, FALSE))*Coefficients!$G$2</f>
        <v>-19.714752640101398</v>
      </c>
      <c r="H47" t="n">
        <f>(VLOOKUP(Games!B47, Data!$B$2:$L$135, 8, FALSE)-VLOOKUP(Games!C47, Data!$B$2:$L$135, 8, FALSE))*Coefficients!$H$2</f>
        <v>-4.5928331627295718</v>
      </c>
      <c r="I47" t="n">
        <f>(VLOOKUP(Games!B47, Data!$B$2:$L$135, 9, FALSE)-VLOOKUP(Games!C47, Data!$B$2:$L$135, 9, FALSE))*Coefficients!$I$2</f>
        <v>2.1236157088370424</v>
      </c>
      <c r="J47" t="n">
        <f>IF(ISBLANK(Data!K47), Games!L47-Games!M47,VLOOKUP(Games!B47, Data!$B$2:$L$135, 10, FALSE)-VLOOKUP(Games!C47, Data!$B$2:$L$135, 10, FALSE))*Coefficients!$J$2</f>
        <v>8.7519774607021876</v>
      </c>
      <c r="K47" t="n">
        <f>(IF(AND(VLOOKUP(Games!B47, Data!$B$2:$L$135, 11, FALSE)=1, VLOOKUP(Games!C47, Data!$B$2:$L$135, 11, FALSE)&lt;&gt;1), 1,0))*Coefficients!K$2</f>
        <v>0</v>
      </c>
      <c r="L47" t="n">
        <f>(IF(AND(VLOOKUP(Games!B47, Data!$B$2:$L$135, 11, FALSE)&lt;&gt;1, VLOOKUP(Games!C47, Data!$B$2:$L$135, 11, FALSE)=1), 1,0))*Coefficients!L$2</f>
        <v>0</v>
      </c>
      <c r="O47" t="n">
        <f t="shared" si="0"/>
        <v>-42.599571235466833</v>
      </c>
    </row>
    <row r="48">
      <c r="A48" t="n">
        <f>Coefficients!$A$2</f>
        <v>-3.7765953152866998</v>
      </c>
      <c r="B48" t="n">
        <f>(Games!D48)*(-1*Coefficients!$B$2)</f>
        <v>-2.6867469260971748</v>
      </c>
      <c r="C48" t="n">
        <f>(VLOOKUP(Games!B48, Data!$B$2:$L$135, 4, FALSE)-VLOOKUP(Games!C48, Data!$B$2:$L$135, 4, FALSE))*Coefficients!$C$2</f>
        <v>1.3145761886934841</v>
      </c>
      <c r="D48" t="n">
        <f>(VLOOKUP(Games!B48, Data!$B$2:$L$135, 3, FALSE)-VLOOKUP(Games!C48, Data!$B$2:$L$135, 3, FALSE))*Coefficients!$D$2</f>
        <v>-0.52723716632742001</v>
      </c>
      <c r="E48" t="n">
        <f>(VLOOKUP(Games!B48, Data!$B$2:$L$135, 5, FALSE)-VLOOKUP(Games!C48, Data!$B$2:$L$135, 5, FALSE))*Coefficients!$E$2</f>
        <v>13.53921698158126</v>
      </c>
      <c r="F48" t="n">
        <f>(VLOOKUP(Games!B48, Data!$B$2:$L$135, 6, FALSE)-VLOOKUP(Games!C48, Data!$B$2:$L$135, 6, FALSE))*Coefficients!$F$2</f>
        <v>-0.43494357726188065</v>
      </c>
      <c r="G48" t="n">
        <f>(VLOOKUP(Games!B48, Data!$B$2:$L$135, 7, FALSE)-VLOOKUP(Games!C48, Data!$B$2:$L$135, 7, FALSE))*Coefficients!$G$2</f>
        <v>-0.69910470354969501</v>
      </c>
      <c r="H48" t="n">
        <f>(VLOOKUP(Games!B48, Data!$B$2:$L$135, 8, FALSE)-VLOOKUP(Games!C48, Data!$B$2:$L$135, 8, FALSE))*Coefficients!$H$2</f>
        <v>-0.70658971734301157</v>
      </c>
      <c r="I48" t="n">
        <f>(VLOOKUP(Games!B48, Data!$B$2:$L$135, 9, FALSE)-VLOOKUP(Games!C48, Data!$B$2:$L$135, 9, FALSE))*Coefficients!$I$2</f>
        <v>-0.6151162742838332</v>
      </c>
      <c r="J48" t="n">
        <f>IF(ISBLANK(Data!K48), Games!L48-Games!M48,VLOOKUP(Games!B48, Data!$B$2:$L$135, 10, FALSE)-VLOOKUP(Games!C48, Data!$B$2:$L$135, 10, FALSE))*Coefficients!$J$2</f>
        <v>-1.6635171357099661</v>
      </c>
      <c r="K48" t="n">
        <f>(IF(AND(VLOOKUP(Games!B48, Data!$B$2:$L$135, 11, FALSE)=1, VLOOKUP(Games!C48, Data!$B$2:$L$135, 11, FALSE)&lt;&gt;1), 1,0))*Coefficients!K$2</f>
        <v>0</v>
      </c>
      <c r="L48" t="n">
        <f>(IF(AND(VLOOKUP(Games!B48, Data!$B$2:$L$135, 11, FALSE)&lt;&gt;1, VLOOKUP(Games!C48, Data!$B$2:$L$135, 11, FALSE)=1), 1,0))*Coefficients!L$2</f>
        <v>0</v>
      </c>
      <c r="O48" t="n">
        <f t="shared" si="0"/>
        <v>3.7439423544150627</v>
      </c>
    </row>
    <row r="49">
      <c r="A49" t="n">
        <f>Coefficients!$A$2</f>
        <v>-3.7765953152866998</v>
      </c>
      <c r="B49" t="n">
        <f>(Games!D49)*(-1*Coefficients!$B$2)</f>
        <v>-39.226505121018754</v>
      </c>
      <c r="C49" t="n">
        <f>(VLOOKUP(Games!B49, Data!$B$2:$L$135, 4, FALSE)-VLOOKUP(Games!C49, Data!$B$2:$L$135, 4, FALSE))*Coefficients!$C$2</f>
        <v>-2.7372776916085009</v>
      </c>
      <c r="D49" t="n">
        <f>(VLOOKUP(Games!B49, Data!$B$2:$L$135, 3, FALSE)-VLOOKUP(Games!C49, Data!$B$2:$L$135, 3, FALSE))*Coefficients!$D$2</f>
        <v>18.716919404623411</v>
      </c>
      <c r="E49" t="n">
        <f>(VLOOKUP(Games!B49, Data!$B$2:$L$135, 5, FALSE)-VLOOKUP(Games!C49, Data!$B$2:$L$135, 5, FALSE))*Coefficients!$E$2</f>
        <v>-32.443820259269032</v>
      </c>
      <c r="F49" t="n">
        <f>(VLOOKUP(Games!B49, Data!$B$2:$L$135, 6, FALSE)-VLOOKUP(Games!C49, Data!$B$2:$L$135, 6, FALSE))*Coefficients!$F$2</f>
        <v>-7.5691124420353679</v>
      </c>
      <c r="G49" t="n">
        <f>(VLOOKUP(Games!B49, Data!$B$2:$L$135, 7, FALSE)-VLOOKUP(Games!C49, Data!$B$2:$L$135, 7, FALSE))*Coefficients!$G$2</f>
        <v>-43.763954442210903</v>
      </c>
      <c r="H49" t="n">
        <f>(VLOOKUP(Games!B49, Data!$B$2:$L$135, 8, FALSE)-VLOOKUP(Games!C49, Data!$B$2:$L$135, 8, FALSE))*Coefficients!$H$2</f>
        <v>-11.164117534019574</v>
      </c>
      <c r="I49" t="n">
        <f>(VLOOKUP(Games!B49, Data!$B$2:$L$135, 9, FALSE)-VLOOKUP(Games!C49, Data!$B$2:$L$135, 9, FALSE))*Coefficients!$I$2</f>
        <v>5.6092745964454291</v>
      </c>
      <c r="J49" t="n">
        <f>IF(ISBLANK(Data!K49), Games!L49-Games!M49,VLOOKUP(Games!B49, Data!$B$2:$L$135, 10, FALSE)-VLOOKUP(Games!C49, Data!$B$2:$L$135, 10, FALSE))*Coefficients!$J$2</f>
        <v>12.061978001265572</v>
      </c>
      <c r="K49" t="n">
        <f>(IF(AND(VLOOKUP(Games!B49, Data!$B$2:$L$135, 11, FALSE)=1, VLOOKUP(Games!C49, Data!$B$2:$L$135, 11, FALSE)&lt;&gt;1), 1,0))*Coefficients!K$2</f>
        <v>2.2564618572078001</v>
      </c>
      <c r="L49" t="n">
        <f>(IF(AND(VLOOKUP(Games!B49, Data!$B$2:$L$135, 11, FALSE)&lt;&gt;1, VLOOKUP(Games!C49, Data!$B$2:$L$135, 11, FALSE)=1), 1,0))*Coefficients!L$2</f>
        <v>0</v>
      </c>
      <c r="O49" t="n">
        <f t="shared" si="0"/>
        <v>-102.03674894590662</v>
      </c>
    </row>
    <row r="50">
      <c r="A50" t="n">
        <f>Coefficients!$A$2</f>
        <v>-3.7765953152866998</v>
      </c>
      <c r="B50" t="n">
        <f>(Games!D50)*(-1*Coefficients!$B$2)</f>
        <v>-30.628914957507796</v>
      </c>
      <c r="C50" t="e">
        <f>(VLOOKUP(Games!B50, Data!$B$2:$L$135, 4, FALSE)-VLOOKUP(Games!C50, Data!$B$2:$L$135, 4, FALSE))*Coefficients!$C$2</f>
        <v>#N/A</v>
      </c>
      <c r="D50" t="e">
        <f>(VLOOKUP(Games!B50, Data!$B$2:$L$135, 3, FALSE)-VLOOKUP(Games!C50, Data!$B$2:$L$135, 3, FALSE))*Coefficients!$D$2</f>
        <v>#N/A</v>
      </c>
      <c r="E50" t="e">
        <f>(VLOOKUP(Games!B50, Data!$B$2:$L$135, 5, FALSE)-VLOOKUP(Games!C50, Data!$B$2:$L$135, 5, FALSE))*Coefficients!$E$2</f>
        <v>#N/A</v>
      </c>
      <c r="F50" t="e">
        <f>(VLOOKUP(Games!B50, Data!$B$2:$L$135, 6, FALSE)-VLOOKUP(Games!C50, Data!$B$2:$L$135, 6, FALSE))*Coefficients!$F$2</f>
        <v>#N/A</v>
      </c>
      <c r="G50" t="e">
        <f>(VLOOKUP(Games!B50, Data!$B$2:$L$135, 7, FALSE)-VLOOKUP(Games!C50, Data!$B$2:$L$135, 7, FALSE))*Coefficients!$G$2</f>
        <v>#N/A</v>
      </c>
      <c r="H50" t="e">
        <f>(VLOOKUP(Games!B50, Data!$B$2:$L$135, 8, FALSE)-VLOOKUP(Games!C50, Data!$B$2:$L$135, 8, FALSE))*Coefficients!$H$2</f>
        <v>#N/A</v>
      </c>
      <c r="I50" t="e">
        <f>(VLOOKUP(Games!B50, Data!$B$2:$L$135, 9, FALSE)-VLOOKUP(Games!C50, Data!$B$2:$L$135, 9, FALSE))*Coefficients!$I$2</f>
        <v>#N/A</v>
      </c>
      <c r="J50" t="n">
        <f>IF(ISBLANK(Data!K50), Games!L50-Games!M50,VLOOKUP(Games!B50, Data!$B$2:$L$135, 10, FALSE)-VLOOKUP(Games!C50, Data!$B$2:$L$135, 10, FALSE))*Coefficients!$J$2</f>
        <v>12.652912594667171</v>
      </c>
      <c r="K50" t="e">
        <f>(IF(AND(VLOOKUP(Games!B50, Data!$B$2:$L$135, 11, FALSE)=1, VLOOKUP(Games!C50, Data!$B$2:$L$135, 11, FALSE)&lt;&gt;1), 1,0))*Coefficients!K$2</f>
        <v>#N/A</v>
      </c>
      <c r="L50" t="e">
        <f>(IF(AND(VLOOKUP(Games!B50, Data!$B$2:$L$135, 11, FALSE)&lt;&gt;1, VLOOKUP(Games!C50, Data!$B$2:$L$135, 11, FALSE)=1), 1,0))*Coefficients!L$2</f>
        <v>#N/A</v>
      </c>
      <c r="O50" t="e">
        <f t="shared" si="0"/>
        <v>#N/A</v>
      </c>
    </row>
    <row r="51">
      <c r="A51" t="n">
        <f>Coefficients!$A$2</f>
        <v>-3.7765953152866998</v>
      </c>
      <c r="B51" t="n">
        <f>(Games!D51)*(-1*Coefficients!$B$2)</f>
        <v>-29.554216187068924</v>
      </c>
      <c r="C51" t="n">
        <f>(VLOOKUP(Games!B51, Data!$B$2:$L$135, 4, FALSE)-VLOOKUP(Games!C51, Data!$B$2:$L$135, 4, FALSE))*Coefficients!$C$2</f>
        <v>-1.035726694122139</v>
      </c>
      <c r="D51" t="n">
        <f>(VLOOKUP(Games!B51, Data!$B$2:$L$135, 3, FALSE)-VLOOKUP(Games!C51, Data!$B$2:$L$135, 3, FALSE))*Coefficients!$D$2</f>
        <v>21.142210369729543</v>
      </c>
      <c r="E51" t="n">
        <f>(VLOOKUP(Games!B51, Data!$B$2:$L$135, 5, FALSE)-VLOOKUP(Games!C51, Data!$B$2:$L$135, 5, FALSE))*Coefficients!$E$2</f>
        <v>-13.245797418512943</v>
      </c>
      <c r="F51" t="n">
        <f>(VLOOKUP(Games!B51, Data!$B$2:$L$135, 6, FALSE)-VLOOKUP(Games!C51, Data!$B$2:$L$135, 6, FALSE))*Coefficients!$F$2</f>
        <v>-3.5999103627461309</v>
      </c>
      <c r="G51" t="n">
        <f>(VLOOKUP(Games!B51, Data!$B$2:$L$135, 7, FALSE)-VLOOKUP(Games!C51, Data!$B$2:$L$135, 7, FALSE))*Coefficients!$G$2</f>
        <v>-20.413857343651095</v>
      </c>
      <c r="H51" t="n">
        <f>(VLOOKUP(Games!B51, Data!$B$2:$L$135, 8, FALSE)-VLOOKUP(Games!C51, Data!$B$2:$L$135, 8, FALSE))*Coefficients!$H$2</f>
        <v>-5.5820587670097872</v>
      </c>
      <c r="I51" t="n">
        <f>(VLOOKUP(Games!B51, Data!$B$2:$L$135, 9, FALSE)-VLOOKUP(Games!C51, Data!$B$2:$L$135, 9, FALSE))*Coefficients!$I$2</f>
        <v>3.6906976457029983</v>
      </c>
      <c r="J51" t="n">
        <f>IF(ISBLANK(Data!K51), Games!L51-Games!M51,VLOOKUP(Games!B51, Data!$B$2:$L$135, 10, FALSE)-VLOOKUP(Games!C51, Data!$B$2:$L$135, 10, FALSE))*Coefficients!$J$2</f>
        <v>9.6389257577530127</v>
      </c>
      <c r="K51" t="n">
        <f>(IF(AND(VLOOKUP(Games!B51, Data!$B$2:$L$135, 11, FALSE)=1, VLOOKUP(Games!C51, Data!$B$2:$L$135, 11, FALSE)&lt;&gt;1), 1,0))*Coefficients!K$2</f>
        <v>0</v>
      </c>
      <c r="L51" t="n">
        <f>(IF(AND(VLOOKUP(Games!B51, Data!$B$2:$L$135, 11, FALSE)&lt;&gt;1, VLOOKUP(Games!C51, Data!$B$2:$L$135, 11, FALSE)=1), 1,0))*Coefficients!L$2</f>
        <v>0</v>
      </c>
      <c r="O51" t="n">
        <f t="shared" si="0"/>
        <v>-42.736328315212162</v>
      </c>
    </row>
    <row r="52">
      <c r="A52" t="n">
        <f>Coefficients!$A$2</f>
        <v>-3.7765953152866998</v>
      </c>
      <c r="B52" t="n">
        <f>(Games!D52)*(-1*Coefficients!$B$2)</f>
        <v>-54.272287907162934</v>
      </c>
      <c r="C52" t="n">
        <f>(VLOOKUP(Games!B52, Data!$B$2:$L$135, 4, FALSE)-VLOOKUP(Games!C52, Data!$B$2:$L$135, 4, FALSE))*Coefficients!$C$2</f>
        <v>-4.2225780606517853</v>
      </c>
      <c r="D52" t="n">
        <f>(VLOOKUP(Games!B52, Data!$B$2:$L$135, 3, FALSE)-VLOOKUP(Games!C52, Data!$B$2:$L$135, 3, FALSE))*Coefficients!$D$2</f>
        <v>25.307383983716161</v>
      </c>
      <c r="E52" t="n">
        <f>(VLOOKUP(Games!B52, Data!$B$2:$L$135, 5, FALSE)-VLOOKUP(Games!C52, Data!$B$2:$L$135, 5, FALSE))*Coefficients!$E$2</f>
        <v>-43.593763655865359</v>
      </c>
      <c r="F52" t="n">
        <f>(VLOOKUP(Games!B52, Data!$B$2:$L$135, 6, FALSE)-VLOOKUP(Games!C52, Data!$B$2:$L$135, 6, FALSE))*Coefficients!$F$2</f>
        <v>-10.641072424834688</v>
      </c>
      <c r="G52" t="n">
        <f>(VLOOKUP(Games!B52, Data!$B$2:$L$135, 7, FALSE)-VLOOKUP(Games!C52, Data!$B$2:$L$135, 7, FALSE))*Coefficients!$G$2</f>
        <v>-50.615180536997926</v>
      </c>
      <c r="H52" t="n">
        <f>(VLOOKUP(Games!B52, Data!$B$2:$L$135, 8, FALSE)-VLOOKUP(Games!C52, Data!$B$2:$L$135, 8, FALSE))*Coefficients!$H$2</f>
        <v>-16.463540414092158</v>
      </c>
      <c r="I52" t="n">
        <f>(VLOOKUP(Games!B52, Data!$B$2:$L$135, 9, FALSE)-VLOOKUP(Games!C52, Data!$B$2:$L$135, 9, FALSE))*Coefficients!$I$2</f>
        <v>7.7621815564388452</v>
      </c>
      <c r="J52" t="n">
        <f>IF(ISBLANK(Data!K52), Games!L52-Games!M52,VLOOKUP(Games!B52, Data!$B$2:$L$135, 10, FALSE)-VLOOKUP(Games!C52, Data!$B$2:$L$135, 10, FALSE))*Coefficients!$J$2</f>
        <v>12.655291095561847</v>
      </c>
      <c r="K52" t="n">
        <f>(IF(AND(VLOOKUP(Games!B52, Data!$B$2:$L$135, 11, FALSE)=1, VLOOKUP(Games!C52, Data!$B$2:$L$135, 11, FALSE)&lt;&gt;1), 1,0))*Coefficients!K$2</f>
        <v>2.2564618572078001</v>
      </c>
      <c r="L52" t="n">
        <f>(IF(AND(VLOOKUP(Games!B52, Data!$B$2:$L$135, 11, FALSE)&lt;&gt;1, VLOOKUP(Games!C52, Data!$B$2:$L$135, 11, FALSE)=1), 1,0))*Coefficients!L$2</f>
        <v>0</v>
      </c>
      <c r="O52" t="n">
        <f t="shared" si="0"/>
        <v>-135.60369982196693</v>
      </c>
    </row>
    <row r="53">
      <c r="A53" t="n">
        <f>Coefficients!$A$2</f>
        <v>-3.7765953152866998</v>
      </c>
      <c r="B53" t="n">
        <f>(Games!D53)*(-1*Coefficients!$B$2)</f>
        <v>-38.151806350579882</v>
      </c>
      <c r="C53" t="e">
        <f>(VLOOKUP(Games!B53, Data!$B$2:$L$135, 4, FALSE)-VLOOKUP(Games!C53, Data!$B$2:$L$135, 4, FALSE))*Coefficients!$C$2</f>
        <v>#N/A</v>
      </c>
      <c r="D53" t="e">
        <f>(VLOOKUP(Games!B53, Data!$B$2:$L$135, 3, FALSE)-VLOOKUP(Games!C53, Data!$B$2:$L$135, 3, FALSE))*Coefficients!$D$2</f>
        <v>#N/A</v>
      </c>
      <c r="E53" t="e">
        <f>(VLOOKUP(Games!B53, Data!$B$2:$L$135, 5, FALSE)-VLOOKUP(Games!C53, Data!$B$2:$L$135, 5, FALSE))*Coefficients!$E$2</f>
        <v>#N/A</v>
      </c>
      <c r="F53" t="e">
        <f>(VLOOKUP(Games!B53, Data!$B$2:$L$135, 6, FALSE)-VLOOKUP(Games!C53, Data!$B$2:$L$135, 6, FALSE))*Coefficients!$F$2</f>
        <v>#N/A</v>
      </c>
      <c r="G53" t="e">
        <f>(VLOOKUP(Games!B53, Data!$B$2:$L$135, 7, FALSE)-VLOOKUP(Games!C53, Data!$B$2:$L$135, 7, FALSE))*Coefficients!$G$2</f>
        <v>#N/A</v>
      </c>
      <c r="H53" t="e">
        <f>(VLOOKUP(Games!B53, Data!$B$2:$L$135, 8, FALSE)-VLOOKUP(Games!C53, Data!$B$2:$L$135, 8, FALSE))*Coefficients!$H$2</f>
        <v>#N/A</v>
      </c>
      <c r="I53" t="e">
        <f>(VLOOKUP(Games!B53, Data!$B$2:$L$135, 9, FALSE)-VLOOKUP(Games!C53, Data!$B$2:$L$135, 9, FALSE))*Coefficients!$I$2</f>
        <v>#N/A</v>
      </c>
      <c r="J53" t="n">
        <f>IF(ISBLANK(Data!K53), Games!L53-Games!M53,VLOOKUP(Games!B53, Data!$B$2:$L$135, 10, FALSE)-VLOOKUP(Games!C53, Data!$B$2:$L$135, 10, FALSE))*Coefficients!$J$2</f>
        <v>11.409936244759693</v>
      </c>
      <c r="K53" t="e">
        <f>(IF(AND(VLOOKUP(Games!B53, Data!$B$2:$L$135, 11, FALSE)=1, VLOOKUP(Games!C53, Data!$B$2:$L$135, 11, FALSE)&lt;&gt;1), 1,0))*Coefficients!K$2</f>
        <v>#N/A</v>
      </c>
      <c r="L53" t="e">
        <f>(IF(AND(VLOOKUP(Games!B53, Data!$B$2:$L$135, 11, FALSE)&lt;&gt;1, VLOOKUP(Games!C53, Data!$B$2:$L$135, 11, FALSE)=1), 1,0))*Coefficients!L$2</f>
        <v>#N/A</v>
      </c>
      <c r="O53" t="e">
        <f t="shared" si="0"/>
        <v>#N/A</v>
      </c>
    </row>
    <row r="54">
      <c r="A54" t="n">
        <f>Coefficients!$A$2</f>
        <v>-3.7765953152866998</v>
      </c>
      <c r="B54" t="n">
        <f>(Games!D54)*(-1*Coefficients!$B$2)</f>
        <v>-4.2987950817554799</v>
      </c>
      <c r="C54" t="n">
        <f>(VLOOKUP(Games!B54, Data!$B$2:$L$135, 4, FALSE)-VLOOKUP(Games!C54, Data!$B$2:$L$135, 4, FALSE))*Coefficients!$C$2</f>
        <v>1.0584899181687817</v>
      </c>
      <c r="D54" t="n">
        <f>(VLOOKUP(Games!B54, Data!$B$2:$L$135, 3, FALSE)-VLOOKUP(Games!C54, Data!$B$2:$L$135, 3, FALSE))*Coefficients!$D$2</f>
        <v>1.1071980492875828</v>
      </c>
      <c r="E54" t="n">
        <f>(VLOOKUP(Games!B54, Data!$B$2:$L$135, 5, FALSE)-VLOOKUP(Games!C54, Data!$B$2:$L$135, 5, FALSE))*Coefficients!$E$2</f>
        <v>2.0539369414782742</v>
      </c>
      <c r="F54" t="n">
        <f>(VLOOKUP(Games!B54, Data!$B$2:$L$135, 6, FALSE)-VLOOKUP(Games!C54, Data!$B$2:$L$135, 6, FALSE))*Coefficients!$F$2</f>
        <v>-0.21336854733601684</v>
      </c>
      <c r="G54" t="n">
        <f>(VLOOKUP(Games!B54, Data!$B$2:$L$135, 7, FALSE)-VLOOKUP(Games!C54, Data!$B$2:$L$135, 7, FALSE))*Coefficients!$G$2</f>
        <v>-9.6476449089857912</v>
      </c>
      <c r="H54" t="n">
        <f>(VLOOKUP(Games!B54, Data!$B$2:$L$135, 8, FALSE)-VLOOKUP(Games!C54, Data!$B$2:$L$135, 8, FALSE))*Coefficients!$H$2</f>
        <v>-2.1904281237633341</v>
      </c>
      <c r="I54" t="n">
        <f>(VLOOKUP(Games!B54, Data!$B$2:$L$135, 9, FALSE)-VLOOKUP(Games!C54, Data!$B$2:$L$135, 9, FALSE))*Coefficients!$I$2</f>
        <v>0.17574750693823801</v>
      </c>
      <c r="J54" t="n">
        <f>IF(ISBLANK(Data!K54), Games!L54-Games!M54,VLOOKUP(Games!B54, Data!$B$2:$L$135, 10, FALSE)-VLOOKUP(Games!C54, Data!$B$2:$L$135, 10, FALSE))*Coefficients!$J$2</f>
        <v>-0.79357792789686954</v>
      </c>
      <c r="K54" t="n">
        <f>(IF(AND(VLOOKUP(Games!B54, Data!$B$2:$L$135, 11, FALSE)=1, VLOOKUP(Games!C54, Data!$B$2:$L$135, 11, FALSE)&lt;&gt;1), 1,0))*Coefficients!K$2</f>
        <v>0</v>
      </c>
      <c r="L54" t="n">
        <f>(IF(AND(VLOOKUP(Games!B54, Data!$B$2:$L$135, 11, FALSE)&lt;&gt;1, VLOOKUP(Games!C54, Data!$B$2:$L$135, 11, FALSE)=1), 1,0))*Coefficients!L$2</f>
        <v>0</v>
      </c>
      <c r="O54" t="n">
        <f t="shared" si="0"/>
        <v>-16.525037489151316</v>
      </c>
    </row>
    <row r="55">
      <c r="A55" t="n">
        <f>Coefficients!$A$2</f>
        <v>-3.7765953152866998</v>
      </c>
      <c r="B55" t="n">
        <f>(Games!D55)*(-1*Coefficients!$B$2)</f>
        <v>-25.792770490532881</v>
      </c>
      <c r="C55" t="n">
        <f>(VLOOKUP(Games!B55, Data!$B$2:$L$135, 4, FALSE)-VLOOKUP(Games!C55, Data!$B$2:$L$135, 4, FALSE))*Coefficients!$C$2</f>
        <v>-4.302249344815027</v>
      </c>
      <c r="D55" t="n">
        <f>(VLOOKUP(Games!B55, Data!$B$2:$L$135, 3, FALSE)-VLOOKUP(Games!C55, Data!$B$2:$L$135, 3, FALSE))*Coefficients!$D$2</f>
        <v>-16.607970739313732</v>
      </c>
      <c r="E55" t="n">
        <f>(VLOOKUP(Games!B55, Data!$B$2:$L$135, 5, FALSE)-VLOOKUP(Games!C55, Data!$B$2:$L$135, 5, FALSE))*Coefficients!$E$2</f>
        <v>-68.57634359711129</v>
      </c>
      <c r="F55" t="n">
        <f>(VLOOKUP(Games!B55, Data!$B$2:$L$135, 6, FALSE)-VLOOKUP(Games!C55, Data!$B$2:$L$135, 6, FALSE))*Coefficients!$F$2</f>
        <v>-0.93553901524253547</v>
      </c>
      <c r="G55" t="n">
        <f>(VLOOKUP(Games!B55, Data!$B$2:$L$135, 7, FALSE)-VLOOKUP(Games!C55, Data!$B$2:$L$135, 7, FALSE))*Coefficients!$G$2</f>
        <v>-23.210276157849876</v>
      </c>
      <c r="H55" t="n">
        <f>(VLOOKUP(Games!B55, Data!$B$2:$L$135, 8, FALSE)-VLOOKUP(Games!C55, Data!$B$2:$L$135, 8, FALSE))*Coefficients!$H$2</f>
        <v>0.21197691520290329</v>
      </c>
      <c r="I55" t="n">
        <f>(VLOOKUP(Games!B55, Data!$B$2:$L$135, 9, FALSE)-VLOOKUP(Games!C55, Data!$B$2:$L$135, 9, FALSE))*Coefficients!$I$2</f>
        <v>3.236683252779216</v>
      </c>
      <c r="J55" t="n">
        <f>IF(ISBLANK(Data!K55), Games!L55-Games!M55,VLOOKUP(Games!B55, Data!$B$2:$L$135, 10, FALSE)-VLOOKUP(Games!C55, Data!$B$2:$L$135, 10, FALSE))*Coefficients!$J$2</f>
        <v>11.632254667955262</v>
      </c>
      <c r="K55" t="n">
        <f>(IF(AND(VLOOKUP(Games!B55, Data!$B$2:$L$135, 11, FALSE)=1, VLOOKUP(Games!C55, Data!$B$2:$L$135, 11, FALSE)&lt;&gt;1), 1,0))*Coefficients!K$2</f>
        <v>0</v>
      </c>
      <c r="L55" t="n">
        <f>(IF(AND(VLOOKUP(Games!B55, Data!$B$2:$L$135, 11, FALSE)&lt;&gt;1, VLOOKUP(Games!C55, Data!$B$2:$L$135, 11, FALSE)=1), 1,0))*Coefficients!L$2</f>
        <v>0</v>
      </c>
      <c r="O55" t="n">
        <f t="shared" si="0"/>
        <v>-128.12082982421464</v>
      </c>
    </row>
    <row r="56">
      <c r="A56" t="n">
        <f>Coefficients!$A$2</f>
        <v>-3.7765953152866998</v>
      </c>
      <c r="B56" t="n">
        <f>(Games!D56)*(-1*Coefficients!$B$2)</f>
        <v>-18.807228482680223</v>
      </c>
      <c r="C56" t="n">
        <f>(VLOOKUP(Games!B56, Data!$B$2:$L$135, 4, FALSE)-VLOOKUP(Games!C56, Data!$B$2:$L$135, 4, FALSE))*Coefficients!$C$2</f>
        <v>1.9121108199177868</v>
      </c>
      <c r="D56" t="n">
        <f>(VLOOKUP(Games!B56, Data!$B$2:$L$135, 3, FALSE)-VLOOKUP(Games!C56, Data!$B$2:$L$135, 3, FALSE))*Coefficients!$D$2</f>
        <v>14.235403490840341</v>
      </c>
      <c r="E56" t="n">
        <f>(VLOOKUP(Games!B56, Data!$B$2:$L$135, 5, FALSE)-VLOOKUP(Games!C56, Data!$B$2:$L$135, 5, FALSE))*Coefficients!$E$2</f>
        <v>3.8563714003265552</v>
      </c>
      <c r="F56" t="n">
        <f>(VLOOKUP(Games!B56, Data!$B$2:$L$135, 6, FALSE)-VLOOKUP(Games!C56, Data!$B$2:$L$135, 6, FALSE))*Coefficients!$F$2</f>
        <v>0.62095718263174138</v>
      </c>
      <c r="G56" t="n">
        <f>(VLOOKUP(Games!B56, Data!$B$2:$L$135, 7, FALSE)-VLOOKUP(Games!C56, Data!$B$2:$L$135, 7, FALSE))*Coefficients!$G$2</f>
        <v>-12.164421841764694</v>
      </c>
      <c r="H56" t="n">
        <f>(VLOOKUP(Games!B56, Data!$B$2:$L$135, 8, FALSE)-VLOOKUP(Games!C56, Data!$B$2:$L$135, 8, FALSE))*Coefficients!$H$2</f>
        <v>1.2012025194831186</v>
      </c>
      <c r="I56" t="n">
        <f>(VLOOKUP(Games!B56, Data!$B$2:$L$135, 9, FALSE)-VLOOKUP(Games!C56, Data!$B$2:$L$135, 9, FALSE))*Coefficients!$I$2</f>
        <v>1.611018813600515</v>
      </c>
      <c r="J56" t="n">
        <f>IF(ISBLANK(Data!K56), Games!L56-Games!M56,VLOOKUP(Games!B56, Data!$B$2:$L$135, 10, FALSE)-VLOOKUP(Games!C56, Data!$B$2:$L$135, 10, FALSE))*Coefficients!$J$2</f>
        <v>-1.194876502976385</v>
      </c>
      <c r="K56" t="n">
        <f>(IF(AND(VLOOKUP(Games!B56, Data!$B$2:$L$135, 11, FALSE)=1, VLOOKUP(Games!C56, Data!$B$2:$L$135, 11, FALSE)&lt;&gt;1), 1,0))*Coefficients!K$2</f>
        <v>0</v>
      </c>
      <c r="L56" t="n">
        <f>(IF(AND(VLOOKUP(Games!B56, Data!$B$2:$L$135, 11, FALSE)&lt;&gt;1, VLOOKUP(Games!C56, Data!$B$2:$L$135, 11, FALSE)=1), 1,0))*Coefficients!L$2</f>
        <v>0</v>
      </c>
      <c r="O56" t="n">
        <f t="shared" si="0"/>
        <v>-12.506057915907945</v>
      </c>
    </row>
    <row r="57">
      <c r="A57" t="n">
        <f>Coefficients!$A$2</f>
        <v>-3.7765953152866998</v>
      </c>
      <c r="B57" t="n">
        <f>(Games!D57)*(-1*Coefficients!$B$2)</f>
        <v>2.6867469260971748</v>
      </c>
      <c r="C57" t="n">
        <f>(VLOOKUP(Games!B57, Data!$B$2:$L$135, 4, FALSE)-VLOOKUP(Games!C57, Data!$B$2:$L$135, 4, FALSE))*Coefficients!$C$2</f>
        <v>0.75687719955078714</v>
      </c>
      <c r="D57" t="n">
        <f>(VLOOKUP(Games!B57, Data!$B$2:$L$135, 3, FALSE)-VLOOKUP(Games!C57, Data!$B$2:$L$135, 3, FALSE))*Coefficients!$D$2</f>
        <v>-5.2723716632741814E-2</v>
      </c>
      <c r="E57" t="n">
        <f>(VLOOKUP(Games!B57, Data!$B$2:$L$135, 5, FALSE)-VLOOKUP(Games!C57, Data!$B$2:$L$135, 5, FALSE))*Coefficients!$E$2</f>
        <v>0.25150248262999297</v>
      </c>
      <c r="F57" t="n">
        <f>(VLOOKUP(Games!B57, Data!$B$2:$L$135, 6, FALSE)-VLOOKUP(Games!C57, Data!$B$2:$L$135, 6, FALSE))*Coefficients!$F$2</f>
        <v>1.2747402956228702</v>
      </c>
      <c r="G57" t="n">
        <f>(VLOOKUP(Games!B57, Data!$B$2:$L$135, 7, FALSE)-VLOOKUP(Games!C57, Data!$B$2:$L$135, 7, FALSE))*Coefficients!$G$2</f>
        <v>-0.69910470354969501</v>
      </c>
      <c r="H57" t="n">
        <f>(VLOOKUP(Games!B57, Data!$B$2:$L$135, 8, FALSE)-VLOOKUP(Games!C57, Data!$B$2:$L$135, 8, FALSE))*Coefficients!$H$2</f>
        <v>1.4131794346860218</v>
      </c>
      <c r="I57" t="n">
        <f>(VLOOKUP(Games!B57, Data!$B$2:$L$135, 9, FALSE)-VLOOKUP(Games!C57, Data!$B$2:$L$135, 9, FALSE))*Coefficients!$I$2</f>
        <v>-0.33684938829828959</v>
      </c>
      <c r="J57" t="n">
        <f>IF(ISBLANK(Data!K57), Games!L57-Games!M57,VLOOKUP(Games!B57, Data!$B$2:$L$135, 10, FALSE)-VLOOKUP(Games!C57, Data!$B$2:$L$135, 10, FALSE))*Coefficients!$J$2</f>
        <v>2.4547345241244827</v>
      </c>
      <c r="K57" t="n">
        <f>(IF(AND(VLOOKUP(Games!B57, Data!$B$2:$L$135, 11, FALSE)=1, VLOOKUP(Games!C57, Data!$B$2:$L$135, 11, FALSE)&lt;&gt;1), 1,0))*Coefficients!K$2</f>
        <v>0</v>
      </c>
      <c r="L57" t="n">
        <f>(IF(AND(VLOOKUP(Games!B57, Data!$B$2:$L$135, 11, FALSE)&lt;&gt;1, VLOOKUP(Games!C57, Data!$B$2:$L$135, 11, FALSE)=1), 1,0))*Coefficients!L$2</f>
        <v>-3.2373402144693899</v>
      </c>
      <c r="O57" t="n">
        <f t="shared" si="0"/>
        <v>0.73516752447451372</v>
      </c>
    </row>
    <row r="58">
      <c r="A58" t="n">
        <f>Coefficients!$A$2</f>
        <v>-3.7765953152866998</v>
      </c>
      <c r="B58" t="n">
        <f>(Games!D58)*(-1*Coefficients!$B$2)</f>
        <v>-37.077107580141011</v>
      </c>
      <c r="C58" t="e">
        <f>(VLOOKUP(Games!B58, Data!$B$2:$L$135, 4, FALSE)-VLOOKUP(Games!C58, Data!$B$2:$L$135, 4, FALSE))*Coefficients!$C$2</f>
        <v>#N/A</v>
      </c>
      <c r="D58" t="e">
        <f>(VLOOKUP(Games!B58, Data!$B$2:$L$135, 3, FALSE)-VLOOKUP(Games!C58, Data!$B$2:$L$135, 3, FALSE))*Coefficients!$D$2</f>
        <v>#N/A</v>
      </c>
      <c r="E58" t="e">
        <f>(VLOOKUP(Games!B58, Data!$B$2:$L$135, 5, FALSE)-VLOOKUP(Games!C58, Data!$B$2:$L$135, 5, FALSE))*Coefficients!$E$2</f>
        <v>#N/A</v>
      </c>
      <c r="F58" t="e">
        <f>(VLOOKUP(Games!B58, Data!$B$2:$L$135, 6, FALSE)-VLOOKUP(Games!C58, Data!$B$2:$L$135, 6, FALSE))*Coefficients!$F$2</f>
        <v>#N/A</v>
      </c>
      <c r="G58" t="e">
        <f>(VLOOKUP(Games!B58, Data!$B$2:$L$135, 7, FALSE)-VLOOKUP(Games!C58, Data!$B$2:$L$135, 7, FALSE))*Coefficients!$G$2</f>
        <v>#N/A</v>
      </c>
      <c r="H58" t="e">
        <f>(VLOOKUP(Games!B58, Data!$B$2:$L$135, 8, FALSE)-VLOOKUP(Games!C58, Data!$B$2:$L$135, 8, FALSE))*Coefficients!$H$2</f>
        <v>#N/A</v>
      </c>
      <c r="I58" t="e">
        <f>(VLOOKUP(Games!B58, Data!$B$2:$L$135, 9, FALSE)-VLOOKUP(Games!C58, Data!$B$2:$L$135, 9, FALSE))*Coefficients!$I$2</f>
        <v>#N/A</v>
      </c>
      <c r="J58" t="n">
        <f>IF(ISBLANK(Data!K58), Games!L58-Games!M58,VLOOKUP(Games!B58, Data!$B$2:$L$135, 10, FALSE)-VLOOKUP(Games!C58, Data!$B$2:$L$135, 10, FALSE))*Coefficients!$J$2</f>
        <v>12.609466985446748</v>
      </c>
      <c r="K58" t="e">
        <f>(IF(AND(VLOOKUP(Games!B58, Data!$B$2:$L$135, 11, FALSE)=1, VLOOKUP(Games!C58, Data!$B$2:$L$135, 11, FALSE)&lt;&gt;1), 1,0))*Coefficients!K$2</f>
        <v>#N/A</v>
      </c>
      <c r="L58" t="e">
        <f>(IF(AND(VLOOKUP(Games!B58, Data!$B$2:$L$135, 11, FALSE)&lt;&gt;1, VLOOKUP(Games!C58, Data!$B$2:$L$135, 11, FALSE)=1), 1,0))*Coefficients!L$2</f>
        <v>#N/A</v>
      </c>
      <c r="O58" t="e">
        <f t="shared" si="0"/>
        <v>#N/A</v>
      </c>
    </row>
    <row r="59">
      <c r="A59" t="n">
        <f>Coefficients!$A$2</f>
        <v>-3.7765953152866998</v>
      </c>
      <c r="B59" t="n">
        <f>(Games!D59)*(-1*Coefficients!$B$2)</f>
        <v>-31.703613727946664</v>
      </c>
      <c r="C59" t="e">
        <f>(VLOOKUP(Games!B59, Data!$B$2:$L$135, 4, FALSE)-VLOOKUP(Games!C59, Data!$B$2:$L$135, 4, FALSE))*Coefficients!$C$2</f>
        <v>#N/A</v>
      </c>
      <c r="D59" t="e">
        <f>(VLOOKUP(Games!B59, Data!$B$2:$L$135, 3, FALSE)-VLOOKUP(Games!C59, Data!$B$2:$L$135, 3, FALSE))*Coefficients!$D$2</f>
        <v>#N/A</v>
      </c>
      <c r="E59" t="e">
        <f>(VLOOKUP(Games!B59, Data!$B$2:$L$135, 5, FALSE)-VLOOKUP(Games!C59, Data!$B$2:$L$135, 5, FALSE))*Coefficients!$E$2</f>
        <v>#N/A</v>
      </c>
      <c r="F59" t="e">
        <f>(VLOOKUP(Games!B59, Data!$B$2:$L$135, 6, FALSE)-VLOOKUP(Games!C59, Data!$B$2:$L$135, 6, FALSE))*Coefficients!$F$2</f>
        <v>#N/A</v>
      </c>
      <c r="G59" t="e">
        <f>(VLOOKUP(Games!B59, Data!$B$2:$L$135, 7, FALSE)-VLOOKUP(Games!C59, Data!$B$2:$L$135, 7, FALSE))*Coefficients!$G$2</f>
        <v>#N/A</v>
      </c>
      <c r="H59" t="e">
        <f>(VLOOKUP(Games!B59, Data!$B$2:$L$135, 8, FALSE)-VLOOKUP(Games!C59, Data!$B$2:$L$135, 8, FALSE))*Coefficients!$H$2</f>
        <v>#N/A</v>
      </c>
      <c r="I59" t="e">
        <f>(VLOOKUP(Games!B59, Data!$B$2:$L$135, 9, FALSE)-VLOOKUP(Games!C59, Data!$B$2:$L$135, 9, FALSE))*Coefficients!$I$2</f>
        <v>#N/A</v>
      </c>
      <c r="J59" t="n">
        <f>IF(ISBLANK(Data!K59), Games!L59-Games!M59,VLOOKUP(Games!B59, Data!$B$2:$L$135, 10, FALSE)-VLOOKUP(Games!C59, Data!$B$2:$L$135, 10, FALSE))*Coefficients!$J$2</f>
        <v>11.585036557955286</v>
      </c>
      <c r="K59" t="e">
        <f>(IF(AND(VLOOKUP(Games!B59, Data!$B$2:$L$135, 11, FALSE)=1, VLOOKUP(Games!C59, Data!$B$2:$L$135, 11, FALSE)&lt;&gt;1), 1,0))*Coefficients!K$2</f>
        <v>#N/A</v>
      </c>
      <c r="L59" t="e">
        <f>(IF(AND(VLOOKUP(Games!B59, Data!$B$2:$L$135, 11, FALSE)&lt;&gt;1, VLOOKUP(Games!C59, Data!$B$2:$L$135, 11, FALSE)=1), 1,0))*Coefficients!L$2</f>
        <v>#N/A</v>
      </c>
      <c r="O59" t="e">
        <f t="shared" si="0"/>
        <v>#N/A</v>
      </c>
    </row>
    <row r="60">
      <c r="A60" t="n">
        <f>Coefficients!$A$2</f>
        <v>-3.7765953152866998</v>
      </c>
      <c r="B60" t="n">
        <f>(Games!D60)*(-1*Coefficients!$B$2)</f>
        <v>12.89638524526644</v>
      </c>
      <c r="C60" t="n">
        <f>(VLOOKUP(Games!B60, Data!$B$2:$L$135, 4, FALSE)-VLOOKUP(Games!C60, Data!$B$2:$L$135, 4, FALSE))*Coefficients!$C$2</f>
        <v>0.68289672139920521</v>
      </c>
      <c r="D60" t="n">
        <f>(VLOOKUP(Games!B60, Data!$B$2:$L$135, 3, FALSE)-VLOOKUP(Games!C60, Data!$B$2:$L$135, 3, FALSE))*Coefficients!$D$2</f>
        <v>-13.655442607880179</v>
      </c>
      <c r="E60" t="n">
        <f>(VLOOKUP(Games!B60, Data!$B$2:$L$135, 5, FALSE)-VLOOKUP(Games!C60, Data!$B$2:$L$135, 5, FALSE))*Coefficients!$E$2</f>
        <v>15.048231877361212</v>
      </c>
      <c r="F60" t="n">
        <f>(VLOOKUP(Games!B60, Data!$B$2:$L$135, 6, FALSE)-VLOOKUP(Games!C60, Data!$B$2:$L$135, 6, FALSE))*Coefficients!$F$2</f>
        <v>2.8750044006429967</v>
      </c>
      <c r="G60" t="n">
        <f>(VLOOKUP(Games!B60, Data!$B$2:$L$135, 7, FALSE)-VLOOKUP(Games!C60, Data!$B$2:$L$135, 7, FALSE))*Coefficients!$G$2</f>
        <v>14.541377833833657</v>
      </c>
      <c r="H60" t="n">
        <f>(VLOOKUP(Games!B60, Data!$B$2:$L$135, 8, FALSE)-VLOOKUP(Games!C60, Data!$B$2:$L$135, 8, FALSE))*Coefficients!$H$2</f>
        <v>4.7341511061981736</v>
      </c>
      <c r="I60" t="n">
        <f>(VLOOKUP(Games!B60, Data!$B$2:$L$135, 9, FALSE)-VLOOKUP(Games!C60, Data!$B$2:$L$135, 9, FALSE))*Coefficients!$I$2</f>
        <v>-2.6655038552299435</v>
      </c>
      <c r="J60" t="n">
        <f>IF(ISBLANK(Data!K60), Games!L60-Games!M60,VLOOKUP(Games!B60, Data!$B$2:$L$135, 10, FALSE)-VLOOKUP(Games!C60, Data!$B$2:$L$135, 10, FALSE))*Coefficients!$J$2</f>
        <v>-6.9881464241190194</v>
      </c>
      <c r="K60" t="n">
        <f>(IF(AND(VLOOKUP(Games!B60, Data!$B$2:$L$135, 11, FALSE)=1, VLOOKUP(Games!C60, Data!$B$2:$L$135, 11, FALSE)&lt;&gt;1), 1,0))*Coefficients!K$2</f>
        <v>0</v>
      </c>
      <c r="L60" t="n">
        <f>(IF(AND(VLOOKUP(Games!B60, Data!$B$2:$L$135, 11, FALSE)&lt;&gt;1, VLOOKUP(Games!C60, Data!$B$2:$L$135, 11, FALSE)=1), 1,0))*Coefficients!L$2</f>
        <v>0</v>
      </c>
      <c r="O60" t="n">
        <f t="shared" si="0"/>
        <v>23.692358982185848</v>
      </c>
    </row>
    <row r="61">
      <c r="A61" t="n">
        <f>Coefficients!$A$2</f>
        <v>-3.7765953152866998</v>
      </c>
      <c r="B61" t="n">
        <f>(Games!D61)*(-1*Coefficients!$B$2)</f>
        <v>-21.493975408777398</v>
      </c>
      <c r="C61" t="n">
        <f>(VLOOKUP(Games!B61, Data!$B$2:$L$135, 4, FALSE)-VLOOKUP(Games!C61, Data!$B$2:$L$135, 4, FALSE))*Coefficients!$C$2</f>
        <v>0.27884949457134522</v>
      </c>
      <c r="D61" t="n">
        <f>(VLOOKUP(Games!B61, Data!$B$2:$L$135, 3, FALSE)-VLOOKUP(Games!C61, Data!$B$2:$L$135, 3, FALSE))*Coefficients!$D$2</f>
        <v>13.549995174614695</v>
      </c>
      <c r="E61" t="n">
        <f>(VLOOKUP(Games!B61, Data!$B$2:$L$135, 5, FALSE)-VLOOKUP(Games!C61, Data!$B$2:$L$135, 5, FALSE))*Coefficients!$E$2</f>
        <v>-10.018182224761365</v>
      </c>
      <c r="F61" t="n">
        <f>(VLOOKUP(Games!B61, Data!$B$2:$L$135, 6, FALSE)-VLOOKUP(Games!C61, Data!$B$2:$L$135, 6, FALSE))*Coefficients!$F$2</f>
        <v>-1.8327811117324526</v>
      </c>
      <c r="G61" t="n">
        <f>(VLOOKUP(Games!B61, Data!$B$2:$L$135, 7, FALSE)-VLOOKUP(Games!C61, Data!$B$2:$L$135, 7, FALSE))*Coefficients!$G$2</f>
        <v>-21.39260392862067</v>
      </c>
      <c r="H61" t="n">
        <f>(VLOOKUP(Games!B61, Data!$B$2:$L$135, 8, FALSE)-VLOOKUP(Games!C61, Data!$B$2:$L$135, 8, FALSE))*Coefficients!$H$2</f>
        <v>-3.8862434453865609</v>
      </c>
      <c r="I61" t="n">
        <f>(VLOOKUP(Games!B61, Data!$B$2:$L$135, 9, FALSE)-VLOOKUP(Games!C61, Data!$B$2:$L$135, 9, FALSE))*Coefficients!$I$2</f>
        <v>3.3099113806701492</v>
      </c>
      <c r="J61" t="n">
        <f>IF(ISBLANK(Data!K61), Games!L61-Games!M61,VLOOKUP(Games!B61, Data!$B$2:$L$135, 10, FALSE)-VLOOKUP(Games!C61, Data!$B$2:$L$135, 10, FALSE))*Coefficients!$J$2</f>
        <v>7.5511130140366616</v>
      </c>
      <c r="K61" t="n">
        <f>(IF(AND(VLOOKUP(Games!B61, Data!$B$2:$L$135, 11, FALSE)=1, VLOOKUP(Games!C61, Data!$B$2:$L$135, 11, FALSE)&lt;&gt;1), 1,0))*Coefficients!K$2</f>
        <v>0</v>
      </c>
      <c r="L61" t="n">
        <f>(IF(AND(VLOOKUP(Games!B61, Data!$B$2:$L$135, 11, FALSE)&lt;&gt;1, VLOOKUP(Games!C61, Data!$B$2:$L$135, 11, FALSE)=1), 1,0))*Coefficients!L$2</f>
        <v>0</v>
      </c>
      <c r="O61" t="n">
        <f t="shared" si="0"/>
        <v>-37.710512370672291</v>
      </c>
    </row>
    <row r="62">
      <c r="A62" t="n">
        <f>Coefficients!$A$2</f>
        <v>-3.7765953152866998</v>
      </c>
      <c r="B62" t="n">
        <f>(Games!D62)*(-1*Coefficients!$B$2)</f>
        <v>-6.4481926226332202</v>
      </c>
      <c r="C62" t="n">
        <f>(VLOOKUP(Games!B62, Data!$B$2:$L$135, 4, FALSE)-VLOOKUP(Games!C62, Data!$B$2:$L$135, 4, FALSE))*Coefficients!$C$2</f>
        <v>-0.75687719955078714</v>
      </c>
      <c r="D62" t="n">
        <f>(VLOOKUP(Games!B62, Data!$B$2:$L$135, 3, FALSE)-VLOOKUP(Games!C62, Data!$B$2:$L$135, 3, FALSE))*Coefficients!$D$2</f>
        <v>2.4780146817388755</v>
      </c>
      <c r="E62" t="n">
        <f>(VLOOKUP(Games!B62, Data!$B$2:$L$135, 5, FALSE)-VLOOKUP(Games!C62, Data!$B$2:$L$135, 5, FALSE))*Coefficients!$E$2</f>
        <v>-10.56310427045968</v>
      </c>
      <c r="F62" t="n">
        <f>(VLOOKUP(Games!B62, Data!$B$2:$L$135, 6, FALSE)-VLOOKUP(Games!C62, Data!$B$2:$L$135, 6, FALSE))*Coefficients!$F$2</f>
        <v>-2.3908219278420351</v>
      </c>
      <c r="G62" t="n">
        <f>(VLOOKUP(Games!B62, Data!$B$2:$L$135, 7, FALSE)-VLOOKUP(Games!C62, Data!$B$2:$L$135, 7, FALSE))*Coefficients!$G$2</f>
        <v>-4.8937329248478649</v>
      </c>
      <c r="H62" t="n">
        <f>(VLOOKUP(Games!B62, Data!$B$2:$L$135, 8, FALSE)-VLOOKUP(Games!C62, Data!$B$2:$L$135, 8, FALSE))*Coefficients!$H$2</f>
        <v>-4.8754690496667754</v>
      </c>
      <c r="I62" t="n">
        <f>(VLOOKUP(Games!B62, Data!$B$2:$L$135, 9, FALSE)-VLOOKUP(Games!C62, Data!$B$2:$L$135, 9, FALSE))*Coefficients!$I$2</f>
        <v>0.71763565333113855</v>
      </c>
      <c r="J62" t="n">
        <f>IF(ISBLANK(Data!K62), Games!L62-Games!M62,VLOOKUP(Games!B62, Data!$B$2:$L$135, 10, FALSE)-VLOOKUP(Games!C62, Data!$B$2:$L$135, 10, FALSE))*Coefficients!$J$2</f>
        <v>9.3009381613229447</v>
      </c>
      <c r="K62" t="n">
        <f>(IF(AND(VLOOKUP(Games!B62, Data!$B$2:$L$135, 11, FALSE)=1, VLOOKUP(Games!C62, Data!$B$2:$L$135, 11, FALSE)&lt;&gt;1), 1,0))*Coefficients!K$2</f>
        <v>0</v>
      </c>
      <c r="L62" t="n">
        <f>(IF(AND(VLOOKUP(Games!B62, Data!$B$2:$L$135, 11, FALSE)&lt;&gt;1, VLOOKUP(Games!C62, Data!$B$2:$L$135, 11, FALSE)=1), 1,0))*Coefficients!L$2</f>
        <v>0</v>
      </c>
      <c r="O62" t="n">
        <f t="shared" si="0"/>
        <v>-21.208204813894099</v>
      </c>
    </row>
    <row r="63">
      <c r="A63" t="n">
        <f>Coefficients!$A$2</f>
        <v>-3.7765953152866998</v>
      </c>
      <c r="B63" t="n">
        <f>(Games!D63)*(-1*Coefficients!$B$2)</f>
        <v>-22.031324793996834</v>
      </c>
      <c r="C63" t="e">
        <f>(VLOOKUP(Games!B63, Data!$B$2:$L$135, 4, FALSE)-VLOOKUP(Games!C63, Data!$B$2:$L$135, 4, FALSE))*Coefficients!$C$2</f>
        <v>#N/A</v>
      </c>
      <c r="D63" t="e">
        <f>(VLOOKUP(Games!B63, Data!$B$2:$L$135, 3, FALSE)-VLOOKUP(Games!C63, Data!$B$2:$L$135, 3, FALSE))*Coefficients!$D$2</f>
        <v>#N/A</v>
      </c>
      <c r="E63" t="e">
        <f>(VLOOKUP(Games!B63, Data!$B$2:$L$135, 5, FALSE)-VLOOKUP(Games!C63, Data!$B$2:$L$135, 5, FALSE))*Coefficients!$E$2</f>
        <v>#N/A</v>
      </c>
      <c r="F63" t="e">
        <f>(VLOOKUP(Games!B63, Data!$B$2:$L$135, 6, FALSE)-VLOOKUP(Games!C63, Data!$B$2:$L$135, 6, FALSE))*Coefficients!$F$2</f>
        <v>#N/A</v>
      </c>
      <c r="G63" t="e">
        <f>(VLOOKUP(Games!B63, Data!$B$2:$L$135, 7, FALSE)-VLOOKUP(Games!C63, Data!$B$2:$L$135, 7, FALSE))*Coefficients!$G$2</f>
        <v>#N/A</v>
      </c>
      <c r="H63" t="e">
        <f>(VLOOKUP(Games!B63, Data!$B$2:$L$135, 8, FALSE)-VLOOKUP(Games!C63, Data!$B$2:$L$135, 8, FALSE))*Coefficients!$H$2</f>
        <v>#N/A</v>
      </c>
      <c r="I63" t="e">
        <f>(VLOOKUP(Games!B63, Data!$B$2:$L$135, 9, FALSE)-VLOOKUP(Games!C63, Data!$B$2:$L$135, 9, FALSE))*Coefficients!$I$2</f>
        <v>#N/A</v>
      </c>
      <c r="J63" t="n">
        <f>IF(ISBLANK(Data!K63), Games!L63-Games!M63,VLOOKUP(Games!B63, Data!$B$2:$L$135, 10, FALSE)-VLOOKUP(Games!C63, Data!$B$2:$L$135, 10, FALSE))*Coefficients!$J$2</f>
        <v>12.04887131765499</v>
      </c>
      <c r="K63" t="e">
        <f>(IF(AND(VLOOKUP(Games!B63, Data!$B$2:$L$135, 11, FALSE)=1, VLOOKUP(Games!C63, Data!$B$2:$L$135, 11, FALSE)&lt;&gt;1), 1,0))*Coefficients!K$2</f>
        <v>#N/A</v>
      </c>
      <c r="L63" t="e">
        <f>(IF(AND(VLOOKUP(Games!B63, Data!$B$2:$L$135, 11, FALSE)&lt;&gt;1, VLOOKUP(Games!C63, Data!$B$2:$L$135, 11, FALSE)=1), 1,0))*Coefficients!L$2</f>
        <v>#N/A</v>
      </c>
      <c r="O63" t="e">
        <f t="shared" si="0"/>
        <v>#N/A</v>
      </c>
    </row>
    <row r="64">
      <c r="A64" t="n">
        <f>Coefficients!$A$2</f>
        <v>-3.7765953152866998</v>
      </c>
      <c r="B64" t="n">
        <f>(Games!D64)*(-1*Coefficients!$B$2)</f>
        <v>-34.927710039263275</v>
      </c>
      <c r="C64" t="e">
        <f>(VLOOKUP(Games!B64, Data!$B$2:$L$135, 4, FALSE)-VLOOKUP(Games!C64, Data!$B$2:$L$135, 4, FALSE))*Coefficients!$C$2</f>
        <v>#N/A</v>
      </c>
      <c r="D64" t="e">
        <f>(VLOOKUP(Games!B64, Data!$B$2:$L$135, 3, FALSE)-VLOOKUP(Games!C64, Data!$B$2:$L$135, 3, FALSE))*Coefficients!$D$2</f>
        <v>#N/A</v>
      </c>
      <c r="E64" t="e">
        <f>(VLOOKUP(Games!B64, Data!$B$2:$L$135, 5, FALSE)-VLOOKUP(Games!C64, Data!$B$2:$L$135, 5, FALSE))*Coefficients!$E$2</f>
        <v>#N/A</v>
      </c>
      <c r="F64" t="e">
        <f>(VLOOKUP(Games!B64, Data!$B$2:$L$135, 6, FALSE)-VLOOKUP(Games!C64, Data!$B$2:$L$135, 6, FALSE))*Coefficients!$F$2</f>
        <v>#N/A</v>
      </c>
      <c r="G64" t="e">
        <f>(VLOOKUP(Games!B64, Data!$B$2:$L$135, 7, FALSE)-VLOOKUP(Games!C64, Data!$B$2:$L$135, 7, FALSE))*Coefficients!$G$2</f>
        <v>#N/A</v>
      </c>
      <c r="H64" t="e">
        <f>(VLOOKUP(Games!B64, Data!$B$2:$L$135, 8, FALSE)-VLOOKUP(Games!C64, Data!$B$2:$L$135, 8, FALSE))*Coefficients!$H$2</f>
        <v>#N/A</v>
      </c>
      <c r="I64" t="e">
        <f>(VLOOKUP(Games!B64, Data!$B$2:$L$135, 9, FALSE)-VLOOKUP(Games!C64, Data!$B$2:$L$135, 9, FALSE))*Coefficients!$I$2</f>
        <v>#N/A</v>
      </c>
      <c r="J64" t="n">
        <f>IF(ISBLANK(Data!K64), Games!L64-Games!M64,VLOOKUP(Games!B64, Data!$B$2:$L$135, 10, FALSE)-VLOOKUP(Games!C64, Data!$B$2:$L$135, 10, FALSE))*Coefficients!$J$2</f>
        <v>10.594750673117922</v>
      </c>
      <c r="K64" t="e">
        <f>(IF(AND(VLOOKUP(Games!B64, Data!$B$2:$L$135, 11, FALSE)=1, VLOOKUP(Games!C64, Data!$B$2:$L$135, 11, FALSE)&lt;&gt;1), 1,0))*Coefficients!K$2</f>
        <v>#N/A</v>
      </c>
      <c r="L64" t="e">
        <f>(IF(AND(VLOOKUP(Games!B64, Data!$B$2:$L$135, 11, FALSE)&lt;&gt;1, VLOOKUP(Games!C64, Data!$B$2:$L$135, 11, FALSE)=1), 1,0))*Coefficients!L$2</f>
        <v>#N/A</v>
      </c>
      <c r="O64" t="e">
        <f t="shared" si="0"/>
        <v>#N/A</v>
      </c>
    </row>
    <row r="65">
      <c r="A65" t="n">
        <f>Coefficients!$A$2</f>
        <v>-3.7765953152866998</v>
      </c>
      <c r="B65" t="n">
        <f>(Games!D65)*(-1*Coefficients!$B$2)</f>
        <v>-20.956626023557963</v>
      </c>
      <c r="C65" t="e">
        <f>(VLOOKUP(Games!B65, Data!$B$2:$L$135, 4, FALSE)-VLOOKUP(Games!C65, Data!$B$2:$L$135, 4, FALSE))*Coefficients!$C$2</f>
        <v>#N/A</v>
      </c>
      <c r="D65" t="e">
        <f>(VLOOKUP(Games!B65, Data!$B$2:$L$135, 3, FALSE)-VLOOKUP(Games!C65, Data!$B$2:$L$135, 3, FALSE))*Coefficients!$D$2</f>
        <v>#N/A</v>
      </c>
      <c r="E65" t="e">
        <f>(VLOOKUP(Games!B65, Data!$B$2:$L$135, 5, FALSE)-VLOOKUP(Games!C65, Data!$B$2:$L$135, 5, FALSE))*Coefficients!$E$2</f>
        <v>#N/A</v>
      </c>
      <c r="F65" t="e">
        <f>(VLOOKUP(Games!B65, Data!$B$2:$L$135, 6, FALSE)-VLOOKUP(Games!C65, Data!$B$2:$L$135, 6, FALSE))*Coefficients!$F$2</f>
        <v>#N/A</v>
      </c>
      <c r="G65" t="e">
        <f>(VLOOKUP(Games!B65, Data!$B$2:$L$135, 7, FALSE)-VLOOKUP(Games!C65, Data!$B$2:$L$135, 7, FALSE))*Coefficients!$G$2</f>
        <v>#N/A</v>
      </c>
      <c r="H65" t="e">
        <f>(VLOOKUP(Games!B65, Data!$B$2:$L$135, 8, FALSE)-VLOOKUP(Games!C65, Data!$B$2:$L$135, 8, FALSE))*Coefficients!$H$2</f>
        <v>#N/A</v>
      </c>
      <c r="I65" t="e">
        <f>(VLOOKUP(Games!B65, Data!$B$2:$L$135, 9, FALSE)-VLOOKUP(Games!C65, Data!$B$2:$L$135, 9, FALSE))*Coefficients!$I$2</f>
        <v>#N/A</v>
      </c>
      <c r="J65" t="n">
        <f>IF(ISBLANK(Data!K65), Games!L65-Games!M65,VLOOKUP(Games!B65, Data!$B$2:$L$135, 10, FALSE)-VLOOKUP(Games!C65, Data!$B$2:$L$135, 10, FALSE))*Coefficients!$J$2</f>
        <v>10.747299527058056</v>
      </c>
      <c r="K65" t="e">
        <f>(IF(AND(VLOOKUP(Games!B65, Data!$B$2:$L$135, 11, FALSE)=1, VLOOKUP(Games!C65, Data!$B$2:$L$135, 11, FALSE)&lt;&gt;1), 1,0))*Coefficients!K$2</f>
        <v>#N/A</v>
      </c>
      <c r="L65" t="e">
        <f>(IF(AND(VLOOKUP(Games!B65, Data!$B$2:$L$135, 11, FALSE)&lt;&gt;1, VLOOKUP(Games!C65, Data!$B$2:$L$135, 11, FALSE)=1), 1,0))*Coefficients!L$2</f>
        <v>#N/A</v>
      </c>
      <c r="O65" t="e">
        <f t="shared" si="0"/>
        <v>#N/A</v>
      </c>
    </row>
    <row r="66">
      <c r="A66" t="n">
        <f>Coefficients!$A$2</f>
        <v>-3.7765953152866998</v>
      </c>
      <c r="B66" t="n">
        <f>(Games!D66)*(-1*Coefficients!$B$2)</f>
        <v>-42.450601432335361</v>
      </c>
      <c r="C66" t="e">
        <f>(VLOOKUP(Games!B66, Data!$B$2:$L$135, 4, FALSE)-VLOOKUP(Games!C66, Data!$B$2:$L$135, 4, FALSE))*Coefficients!$C$2</f>
        <v>#N/A</v>
      </c>
      <c r="D66" t="e">
        <f>(VLOOKUP(Games!B66, Data!$B$2:$L$135, 3, FALSE)-VLOOKUP(Games!C66, Data!$B$2:$L$135, 3, FALSE))*Coefficients!$D$2</f>
        <v>#N/A</v>
      </c>
      <c r="E66" t="e">
        <f>(VLOOKUP(Games!B66, Data!$B$2:$L$135, 5, FALSE)-VLOOKUP(Games!C66, Data!$B$2:$L$135, 5, FALSE))*Coefficients!$E$2</f>
        <v>#N/A</v>
      </c>
      <c r="F66" t="e">
        <f>(VLOOKUP(Games!B66, Data!$B$2:$L$135, 6, FALSE)-VLOOKUP(Games!C66, Data!$B$2:$L$135, 6, FALSE))*Coefficients!$F$2</f>
        <v>#N/A</v>
      </c>
      <c r="G66" t="e">
        <f>(VLOOKUP(Games!B66, Data!$B$2:$L$135, 7, FALSE)-VLOOKUP(Games!C66, Data!$B$2:$L$135, 7, FALSE))*Coefficients!$G$2</f>
        <v>#N/A</v>
      </c>
      <c r="H66" t="e">
        <f>(VLOOKUP(Games!B66, Data!$B$2:$L$135, 8, FALSE)-VLOOKUP(Games!C66, Data!$B$2:$L$135, 8, FALSE))*Coefficients!$H$2</f>
        <v>#N/A</v>
      </c>
      <c r="I66" t="e">
        <f>(VLOOKUP(Games!B66, Data!$B$2:$L$135, 9, FALSE)-VLOOKUP(Games!C66, Data!$B$2:$L$135, 9, FALSE))*Coefficients!$I$2</f>
        <v>#N/A</v>
      </c>
      <c r="J66" t="n">
        <f>IF(ISBLANK(Data!K66), Games!L66-Games!M66,VLOOKUP(Games!B66, Data!$B$2:$L$135, 10, FALSE)-VLOOKUP(Games!C66, Data!$B$2:$L$135, 10, FALSE))*Coefficients!$J$2</f>
        <v>12.595803684626148</v>
      </c>
      <c r="K66" t="e">
        <f>(IF(AND(VLOOKUP(Games!B66, Data!$B$2:$L$135, 11, FALSE)=1, VLOOKUP(Games!C66, Data!$B$2:$L$135, 11, FALSE)&lt;&gt;1), 1,0))*Coefficients!K$2</f>
        <v>#N/A</v>
      </c>
      <c r="L66" t="e">
        <f>(IF(AND(VLOOKUP(Games!B66, Data!$B$2:$L$135, 11, FALSE)&lt;&gt;1, VLOOKUP(Games!C66, Data!$B$2:$L$135, 11, FALSE)=1), 1,0))*Coefficients!L$2</f>
        <v>#N/A</v>
      </c>
      <c r="O66" t="e">
        <f t="shared" si="0"/>
        <v>#N/A</v>
      </c>
    </row>
    <row r="67">
      <c r="A67" t="n">
        <f>Coefficients!$A$2</f>
        <v>-3.7765953152866998</v>
      </c>
      <c r="B67" t="n">
        <f>(Games!D67)*(-1*Coefficients!$B$2)</f>
        <v>-36.002408809702146</v>
      </c>
      <c r="C67" t="e">
        <f>(VLOOKUP(Games!B67, Data!$B$2:$L$135, 4, FALSE)-VLOOKUP(Games!C67, Data!$B$2:$L$135, 4, FALSE))*Coefficients!$C$2</f>
        <v>#N/A</v>
      </c>
      <c r="D67" t="e">
        <f>(VLOOKUP(Games!B67, Data!$B$2:$L$135, 3, FALSE)-VLOOKUP(Games!C67, Data!$B$2:$L$135, 3, FALSE))*Coefficients!$D$2</f>
        <v>#N/A</v>
      </c>
      <c r="E67" t="e">
        <f>(VLOOKUP(Games!B67, Data!$B$2:$L$135, 5, FALSE)-VLOOKUP(Games!C67, Data!$B$2:$L$135, 5, FALSE))*Coefficients!$E$2</f>
        <v>#N/A</v>
      </c>
      <c r="F67" t="e">
        <f>(VLOOKUP(Games!B67, Data!$B$2:$L$135, 6, FALSE)-VLOOKUP(Games!C67, Data!$B$2:$L$135, 6, FALSE))*Coefficients!$F$2</f>
        <v>#N/A</v>
      </c>
      <c r="G67" t="e">
        <f>(VLOOKUP(Games!B67, Data!$B$2:$L$135, 7, FALSE)-VLOOKUP(Games!C67, Data!$B$2:$L$135, 7, FALSE))*Coefficients!$G$2</f>
        <v>#N/A</v>
      </c>
      <c r="H67" t="e">
        <f>(VLOOKUP(Games!B67, Data!$B$2:$L$135, 8, FALSE)-VLOOKUP(Games!C67, Data!$B$2:$L$135, 8, FALSE))*Coefficients!$H$2</f>
        <v>#N/A</v>
      </c>
      <c r="I67" t="e">
        <f>(VLOOKUP(Games!B67, Data!$B$2:$L$135, 9, FALSE)-VLOOKUP(Games!C67, Data!$B$2:$L$135, 9, FALSE))*Coefficients!$I$2</f>
        <v>#N/A</v>
      </c>
      <c r="J67" t="n">
        <f>IF(ISBLANK(Data!K67), Games!L67-Games!M67,VLOOKUP(Games!B67, Data!$B$2:$L$135, 10, FALSE)-VLOOKUP(Games!C67, Data!$B$2:$L$135, 10, FALSE))*Coefficients!$J$2</f>
        <v>10.471373265317702</v>
      </c>
      <c r="K67" t="e">
        <f>(IF(AND(VLOOKUP(Games!B67, Data!$B$2:$L$135, 11, FALSE)=1, VLOOKUP(Games!C67, Data!$B$2:$L$135, 11, FALSE)&lt;&gt;1), 1,0))*Coefficients!K$2</f>
        <v>#N/A</v>
      </c>
      <c r="L67" t="e">
        <f>(IF(AND(VLOOKUP(Games!B67, Data!$B$2:$L$135, 11, FALSE)&lt;&gt;1, VLOOKUP(Games!C67, Data!$B$2:$L$135, 11, FALSE)=1), 1,0))*Coefficients!L$2</f>
        <v>#N/A</v>
      </c>
      <c r="O67" t="e">
        <f t="shared" ref="O67:O130" si="1">SUM(A67:L67)</f>
        <v>#N/A</v>
      </c>
    </row>
    <row r="68">
      <c r="A68" t="n">
        <f>Coefficients!$A$2</f>
        <v>-3.7765953152866998</v>
      </c>
      <c r="B68" t="n">
        <f>(Games!D68)*(-1*Coefficients!$B$2)</f>
        <v>-26.330119875752313</v>
      </c>
      <c r="C68" t="e">
        <f>(VLOOKUP(Games!B68, Data!$B$2:$L$135, 4, FALSE)-VLOOKUP(Games!C68, Data!$B$2:$L$135, 4, FALSE))*Coefficients!$C$2</f>
        <v>#N/A</v>
      </c>
      <c r="D68" t="e">
        <f>(VLOOKUP(Games!B68, Data!$B$2:$L$135, 3, FALSE)-VLOOKUP(Games!C68, Data!$B$2:$L$135, 3, FALSE))*Coefficients!$D$2</f>
        <v>#N/A</v>
      </c>
      <c r="E68" t="e">
        <f>(VLOOKUP(Games!B68, Data!$B$2:$L$135, 5, FALSE)-VLOOKUP(Games!C68, Data!$B$2:$L$135, 5, FALSE))*Coefficients!$E$2</f>
        <v>#N/A</v>
      </c>
      <c r="F68" t="e">
        <f>(VLOOKUP(Games!B68, Data!$B$2:$L$135, 6, FALSE)-VLOOKUP(Games!C68, Data!$B$2:$L$135, 6, FALSE))*Coefficients!$F$2</f>
        <v>#N/A</v>
      </c>
      <c r="G68" t="e">
        <f>(VLOOKUP(Games!B68, Data!$B$2:$L$135, 7, FALSE)-VLOOKUP(Games!C68, Data!$B$2:$L$135, 7, FALSE))*Coefficients!$G$2</f>
        <v>#N/A</v>
      </c>
      <c r="H68" t="e">
        <f>(VLOOKUP(Games!B68, Data!$B$2:$L$135, 8, FALSE)-VLOOKUP(Games!C68, Data!$B$2:$L$135, 8, FALSE))*Coefficients!$H$2</f>
        <v>#N/A</v>
      </c>
      <c r="I68" t="e">
        <f>(VLOOKUP(Games!B68, Data!$B$2:$L$135, 9, FALSE)-VLOOKUP(Games!C68, Data!$B$2:$L$135, 9, FALSE))*Coefficients!$I$2</f>
        <v>#N/A</v>
      </c>
      <c r="J68" t="n">
        <f>IF(ISBLANK(Data!K68), Games!L68-Games!M68,VLOOKUP(Games!B68, Data!$B$2:$L$135, 10, FALSE)-VLOOKUP(Games!C68, Data!$B$2:$L$135, 10, FALSE))*Coefficients!$J$2</f>
        <v>11.390785214751679</v>
      </c>
      <c r="K68" t="e">
        <f>(IF(AND(VLOOKUP(Games!B68, Data!$B$2:$L$135, 11, FALSE)=1, VLOOKUP(Games!C68, Data!$B$2:$L$135, 11, FALSE)&lt;&gt;1), 1,0))*Coefficients!K$2</f>
        <v>#N/A</v>
      </c>
      <c r="L68" t="e">
        <f>(IF(AND(VLOOKUP(Games!B68, Data!$B$2:$L$135, 11, FALSE)&lt;&gt;1, VLOOKUP(Games!C68, Data!$B$2:$L$135, 11, FALSE)=1), 1,0))*Coefficients!L$2</f>
        <v>#N/A</v>
      </c>
      <c r="O68" t="e">
        <f t="shared" si="1"/>
        <v>#N/A</v>
      </c>
    </row>
    <row r="69">
      <c r="A69" t="n">
        <f>Coefficients!$A$2</f>
        <v>-3.7765953152866998</v>
      </c>
      <c r="B69" t="n">
        <f>(Games!D69)*(-1*Coefficients!$B$2)</f>
        <v>-29.554216187068924</v>
      </c>
      <c r="C69" t="e">
        <f>(VLOOKUP(Games!B69, Data!$B$2:$L$135, 4, FALSE)-VLOOKUP(Games!C69, Data!$B$2:$L$135, 4, FALSE))*Coefficients!$C$2</f>
        <v>#N/A</v>
      </c>
      <c r="D69" t="e">
        <f>(VLOOKUP(Games!B69, Data!$B$2:$L$135, 3, FALSE)-VLOOKUP(Games!C69, Data!$B$2:$L$135, 3, FALSE))*Coefficients!$D$2</f>
        <v>#N/A</v>
      </c>
      <c r="E69" t="e">
        <f>(VLOOKUP(Games!B69, Data!$B$2:$L$135, 5, FALSE)-VLOOKUP(Games!C69, Data!$B$2:$L$135, 5, FALSE))*Coefficients!$E$2</f>
        <v>#N/A</v>
      </c>
      <c r="F69" t="e">
        <f>(VLOOKUP(Games!B69, Data!$B$2:$L$135, 6, FALSE)-VLOOKUP(Games!C69, Data!$B$2:$L$135, 6, FALSE))*Coefficients!$F$2</f>
        <v>#N/A</v>
      </c>
      <c r="G69" t="e">
        <f>(VLOOKUP(Games!B69, Data!$B$2:$L$135, 7, FALSE)-VLOOKUP(Games!C69, Data!$B$2:$L$135, 7, FALSE))*Coefficients!$G$2</f>
        <v>#N/A</v>
      </c>
      <c r="H69" t="e">
        <f>(VLOOKUP(Games!B69, Data!$B$2:$L$135, 8, FALSE)-VLOOKUP(Games!C69, Data!$B$2:$L$135, 8, FALSE))*Coefficients!$H$2</f>
        <v>#N/A</v>
      </c>
      <c r="I69" t="e">
        <f>(VLOOKUP(Games!B69, Data!$B$2:$L$135, 9, FALSE)-VLOOKUP(Games!C69, Data!$B$2:$L$135, 9, FALSE))*Coefficients!$I$2</f>
        <v>#N/A</v>
      </c>
      <c r="J69" t="n">
        <f>IF(ISBLANK(Data!K69), Games!L69-Games!M69,VLOOKUP(Games!B69, Data!$B$2:$L$135, 10, FALSE)-VLOOKUP(Games!C69, Data!$B$2:$L$135, 10, FALSE))*Coefficients!$J$2</f>
        <v>12.328644464674587</v>
      </c>
      <c r="K69" t="e">
        <f>(IF(AND(VLOOKUP(Games!B69, Data!$B$2:$L$135, 11, FALSE)=1, VLOOKUP(Games!C69, Data!$B$2:$L$135, 11, FALSE)&lt;&gt;1), 1,0))*Coefficients!K$2</f>
        <v>#N/A</v>
      </c>
      <c r="L69" t="e">
        <f>(IF(AND(VLOOKUP(Games!B69, Data!$B$2:$L$135, 11, FALSE)&lt;&gt;1, VLOOKUP(Games!C69, Data!$B$2:$L$135, 11, FALSE)=1), 1,0))*Coefficients!L$2</f>
        <v>#N/A</v>
      </c>
      <c r="O69" t="e">
        <f t="shared" si="1"/>
        <v>#N/A</v>
      </c>
    </row>
    <row r="70">
      <c r="A70" t="n">
        <f>Coefficients!$A$2</f>
        <v>-3.7765953152866998</v>
      </c>
      <c r="B70" t="n">
        <f>(Games!D70)*(-1*Coefficients!$B$2)</f>
        <v>-13.433734630485874</v>
      </c>
      <c r="C70" t="e">
        <f>(VLOOKUP(Games!B70, Data!$B$2:$L$135, 4, FALSE)-VLOOKUP(Games!C70, Data!$B$2:$L$135, 4, FALSE))*Coefficients!$C$2</f>
        <v>#N/A</v>
      </c>
      <c r="D70" t="e">
        <f>(VLOOKUP(Games!B70, Data!$B$2:$L$135, 3, FALSE)-VLOOKUP(Games!C70, Data!$B$2:$L$135, 3, FALSE))*Coefficients!$D$2</f>
        <v>#N/A</v>
      </c>
      <c r="E70" t="e">
        <f>(VLOOKUP(Games!B70, Data!$B$2:$L$135, 5, FALSE)-VLOOKUP(Games!C70, Data!$B$2:$L$135, 5, FALSE))*Coefficients!$E$2</f>
        <v>#N/A</v>
      </c>
      <c r="F70" t="e">
        <f>(VLOOKUP(Games!B70, Data!$B$2:$L$135, 6, FALSE)-VLOOKUP(Games!C70, Data!$B$2:$L$135, 6, FALSE))*Coefficients!$F$2</f>
        <v>#N/A</v>
      </c>
      <c r="G70" t="e">
        <f>(VLOOKUP(Games!B70, Data!$B$2:$L$135, 7, FALSE)-VLOOKUP(Games!C70, Data!$B$2:$L$135, 7, FALSE))*Coefficients!$G$2</f>
        <v>#N/A</v>
      </c>
      <c r="H70" t="e">
        <f>(VLOOKUP(Games!B70, Data!$B$2:$L$135, 8, FALSE)-VLOOKUP(Games!C70, Data!$B$2:$L$135, 8, FALSE))*Coefficients!$H$2</f>
        <v>#N/A</v>
      </c>
      <c r="I70" t="e">
        <f>(VLOOKUP(Games!B70, Data!$B$2:$L$135, 9, FALSE)-VLOOKUP(Games!C70, Data!$B$2:$L$135, 9, FALSE))*Coefficients!$I$2</f>
        <v>#N/A</v>
      </c>
      <c r="J70" t="n">
        <f>IF(ISBLANK(Data!K70), Games!L70-Games!M70,VLOOKUP(Games!B70, Data!$B$2:$L$135, 10, FALSE)-VLOOKUP(Games!C70, Data!$B$2:$L$135, 10, FALSE))*Coefficients!$J$2</f>
        <v>11.676863944056594</v>
      </c>
      <c r="K70" t="e">
        <f>(IF(AND(VLOOKUP(Games!B70, Data!$B$2:$L$135, 11, FALSE)=1, VLOOKUP(Games!C70, Data!$B$2:$L$135, 11, FALSE)&lt;&gt;1), 1,0))*Coefficients!K$2</f>
        <v>#N/A</v>
      </c>
      <c r="L70" t="e">
        <f>(IF(AND(VLOOKUP(Games!B70, Data!$B$2:$L$135, 11, FALSE)&lt;&gt;1, VLOOKUP(Games!C70, Data!$B$2:$L$135, 11, FALSE)=1), 1,0))*Coefficients!L$2</f>
        <v>#N/A</v>
      </c>
      <c r="O70" t="e">
        <f t="shared" si="1"/>
        <v>#N/A</v>
      </c>
    </row>
    <row r="71">
      <c r="A71" t="n">
        <f>Coefficients!$A$2</f>
        <v>-3.7765953152866998</v>
      </c>
      <c r="B71" t="n">
        <f>(Games!D71)*(-1*Coefficients!$B$2)</f>
        <v>-45.674697743651976</v>
      </c>
      <c r="C71" t="e">
        <f>(VLOOKUP(Games!B71, Data!$B$2:$L$135, 4, FALSE)-VLOOKUP(Games!C71, Data!$B$2:$L$135, 4, FALSE))*Coefficients!$C$2</f>
        <v>#N/A</v>
      </c>
      <c r="D71" t="e">
        <f>(VLOOKUP(Games!B71, Data!$B$2:$L$135, 3, FALSE)-VLOOKUP(Games!C71, Data!$B$2:$L$135, 3, FALSE))*Coefficients!$D$2</f>
        <v>#N/A</v>
      </c>
      <c r="E71" t="e">
        <f>(VLOOKUP(Games!B71, Data!$B$2:$L$135, 5, FALSE)-VLOOKUP(Games!C71, Data!$B$2:$L$135, 5, FALSE))*Coefficients!$E$2</f>
        <v>#N/A</v>
      </c>
      <c r="F71" t="e">
        <f>(VLOOKUP(Games!B71, Data!$B$2:$L$135, 6, FALSE)-VLOOKUP(Games!C71, Data!$B$2:$L$135, 6, FALSE))*Coefficients!$F$2</f>
        <v>#N/A</v>
      </c>
      <c r="G71" t="e">
        <f>(VLOOKUP(Games!B71, Data!$B$2:$L$135, 7, FALSE)-VLOOKUP(Games!C71, Data!$B$2:$L$135, 7, FALSE))*Coefficients!$G$2</f>
        <v>#N/A</v>
      </c>
      <c r="H71" t="e">
        <f>(VLOOKUP(Games!B71, Data!$B$2:$L$135, 8, FALSE)-VLOOKUP(Games!C71, Data!$B$2:$L$135, 8, FALSE))*Coefficients!$H$2</f>
        <v>#N/A</v>
      </c>
      <c r="I71" t="e">
        <f>(VLOOKUP(Games!B71, Data!$B$2:$L$135, 9, FALSE)-VLOOKUP(Games!C71, Data!$B$2:$L$135, 9, FALSE))*Coefficients!$I$2</f>
        <v>#N/A</v>
      </c>
      <c r="J71" t="n">
        <f>IF(ISBLANK(Data!K71), Games!L71-Games!M71,VLOOKUP(Games!B71, Data!$B$2:$L$135, 10, FALSE)-VLOOKUP(Games!C71, Data!$B$2:$L$135, 10, FALSE))*Coefficients!$J$2</f>
        <v>12.801186194360271</v>
      </c>
      <c r="K71" t="e">
        <f>(IF(AND(VLOOKUP(Games!B71, Data!$B$2:$L$135, 11, FALSE)=1, VLOOKUP(Games!C71, Data!$B$2:$L$135, 11, FALSE)&lt;&gt;1), 1,0))*Coefficients!K$2</f>
        <v>#N/A</v>
      </c>
      <c r="L71" t="e">
        <f>(IF(AND(VLOOKUP(Games!B71, Data!$B$2:$L$135, 11, FALSE)&lt;&gt;1, VLOOKUP(Games!C71, Data!$B$2:$L$135, 11, FALSE)=1), 1,0))*Coefficients!L$2</f>
        <v>#N/A</v>
      </c>
      <c r="O71" t="e">
        <f t="shared" si="1"/>
        <v>#N/A</v>
      </c>
    </row>
    <row r="72">
      <c r="A72" t="n">
        <f>Coefficients!$A$2</f>
        <v>-3.7765953152866998</v>
      </c>
      <c r="B72" t="n">
        <f>(Games!D72)*(-1*Coefficients!$B$2)</f>
        <v>-39.226505121018754</v>
      </c>
      <c r="C72" t="e">
        <f>(VLOOKUP(Games!B72, Data!$B$2:$L$135, 4, FALSE)-VLOOKUP(Games!C72, Data!$B$2:$L$135, 4, FALSE))*Coefficients!$C$2</f>
        <v>#N/A</v>
      </c>
      <c r="D72" t="e">
        <f>(VLOOKUP(Games!B72, Data!$B$2:$L$135, 3, FALSE)-VLOOKUP(Games!C72, Data!$B$2:$L$135, 3, FALSE))*Coefficients!$D$2</f>
        <v>#N/A</v>
      </c>
      <c r="E72" t="e">
        <f>(VLOOKUP(Games!B72, Data!$B$2:$L$135, 5, FALSE)-VLOOKUP(Games!C72, Data!$B$2:$L$135, 5, FALSE))*Coefficients!$E$2</f>
        <v>#N/A</v>
      </c>
      <c r="F72" t="e">
        <f>(VLOOKUP(Games!B72, Data!$B$2:$L$135, 6, FALSE)-VLOOKUP(Games!C72, Data!$B$2:$L$135, 6, FALSE))*Coefficients!$F$2</f>
        <v>#N/A</v>
      </c>
      <c r="G72" t="e">
        <f>(VLOOKUP(Games!B72, Data!$B$2:$L$135, 7, FALSE)-VLOOKUP(Games!C72, Data!$B$2:$L$135, 7, FALSE))*Coefficients!$G$2</f>
        <v>#N/A</v>
      </c>
      <c r="H72" t="e">
        <f>(VLOOKUP(Games!B72, Data!$B$2:$L$135, 8, FALSE)-VLOOKUP(Games!C72, Data!$B$2:$L$135, 8, FALSE))*Coefficients!$H$2</f>
        <v>#N/A</v>
      </c>
      <c r="I72" t="e">
        <f>(VLOOKUP(Games!B72, Data!$B$2:$L$135, 9, FALSE)-VLOOKUP(Games!C72, Data!$B$2:$L$135, 9, FALSE))*Coefficients!$I$2</f>
        <v>#N/A</v>
      </c>
      <c r="J72" t="n">
        <f>IF(ISBLANK(Data!K72), Games!L72-Games!M72,VLOOKUP(Games!B72, Data!$B$2:$L$135, 10, FALSE)-VLOOKUP(Games!C72, Data!$B$2:$L$135, 10, FALSE))*Coefficients!$J$2</f>
        <v>12.636893244011089</v>
      </c>
      <c r="K72" t="e">
        <f>(IF(AND(VLOOKUP(Games!B72, Data!$B$2:$L$135, 11, FALSE)=1, VLOOKUP(Games!C72, Data!$B$2:$L$135, 11, FALSE)&lt;&gt;1), 1,0))*Coefficients!K$2</f>
        <v>#N/A</v>
      </c>
      <c r="L72" t="e">
        <f>(IF(AND(VLOOKUP(Games!B72, Data!$B$2:$L$135, 11, FALSE)&lt;&gt;1, VLOOKUP(Games!C72, Data!$B$2:$L$135, 11, FALSE)=1), 1,0))*Coefficients!L$2</f>
        <v>#N/A</v>
      </c>
      <c r="O72" t="e">
        <f t="shared" si="1"/>
        <v>#N/A</v>
      </c>
    </row>
    <row r="73">
      <c r="A73" t="n">
        <f>Coefficients!$A$2</f>
        <v>-3.7765953152866998</v>
      </c>
      <c r="B73" t="n">
        <f>(Games!D73)*(-1*Coefficients!$B$2)</f>
        <v>-26.330119875752313</v>
      </c>
      <c r="C73" t="e">
        <f>(VLOOKUP(Games!B73, Data!$B$2:$L$135, 4, FALSE)-VLOOKUP(Games!C73, Data!$B$2:$L$135, 4, FALSE))*Coefficients!$C$2</f>
        <v>#N/A</v>
      </c>
      <c r="D73" t="e">
        <f>(VLOOKUP(Games!B73, Data!$B$2:$L$135, 3, FALSE)-VLOOKUP(Games!C73, Data!$B$2:$L$135, 3, FALSE))*Coefficients!$D$2</f>
        <v>#N/A</v>
      </c>
      <c r="E73" t="e">
        <f>(VLOOKUP(Games!B73, Data!$B$2:$L$135, 5, FALSE)-VLOOKUP(Games!C73, Data!$B$2:$L$135, 5, FALSE))*Coefficients!$E$2</f>
        <v>#N/A</v>
      </c>
      <c r="F73" t="e">
        <f>(VLOOKUP(Games!B73, Data!$B$2:$L$135, 6, FALSE)-VLOOKUP(Games!C73, Data!$B$2:$L$135, 6, FALSE))*Coefficients!$F$2</f>
        <v>#N/A</v>
      </c>
      <c r="G73" t="e">
        <f>(VLOOKUP(Games!B73, Data!$B$2:$L$135, 7, FALSE)-VLOOKUP(Games!C73, Data!$B$2:$L$135, 7, FALSE))*Coefficients!$G$2</f>
        <v>#N/A</v>
      </c>
      <c r="H73" t="e">
        <f>(VLOOKUP(Games!B73, Data!$B$2:$L$135, 8, FALSE)-VLOOKUP(Games!C73, Data!$B$2:$L$135, 8, FALSE))*Coefficients!$H$2</f>
        <v>#N/A</v>
      </c>
      <c r="I73" t="e">
        <f>(VLOOKUP(Games!B73, Data!$B$2:$L$135, 9, FALSE)-VLOOKUP(Games!C73, Data!$B$2:$L$135, 9, FALSE))*Coefficients!$I$2</f>
        <v>#N/A</v>
      </c>
      <c r="J73" t="n">
        <f>IF(ISBLANK(Data!K73), Games!L73-Games!M73,VLOOKUP(Games!B73, Data!$B$2:$L$135, 10, FALSE)-VLOOKUP(Games!C73, Data!$B$2:$L$135, 10, FALSE))*Coefficients!$J$2</f>
        <v>11.008463754439648</v>
      </c>
      <c r="K73" t="e">
        <f>(IF(AND(VLOOKUP(Games!B73, Data!$B$2:$L$135, 11, FALSE)=1, VLOOKUP(Games!C73, Data!$B$2:$L$135, 11, FALSE)&lt;&gt;1), 1,0))*Coefficients!K$2</f>
        <v>#N/A</v>
      </c>
      <c r="L73" t="e">
        <f>(IF(AND(VLOOKUP(Games!B73, Data!$B$2:$L$135, 11, FALSE)&lt;&gt;1, VLOOKUP(Games!C73, Data!$B$2:$L$135, 11, FALSE)=1), 1,0))*Coefficients!L$2</f>
        <v>#N/A</v>
      </c>
      <c r="O73" t="e">
        <f t="shared" si="1"/>
        <v>#N/A</v>
      </c>
    </row>
    <row r="74">
      <c r="A74" t="n">
        <f>Coefficients!$A$2</f>
        <v>-3.7765953152866998</v>
      </c>
      <c r="B74" t="n">
        <f>(Games!D74)*(-1*Coefficients!$B$2)</f>
        <v>-34.927710039263275</v>
      </c>
      <c r="C74" t="n">
        <f>(VLOOKUP(Games!B74, Data!$B$2:$L$135, 4, FALSE)-VLOOKUP(Games!C74, Data!$B$2:$L$135, 4, FALSE))*Coefficients!$C$2</f>
        <v>-1.5023727870782659</v>
      </c>
      <c r="D74" t="n">
        <f>(VLOOKUP(Games!B74, Data!$B$2:$L$135, 3, FALSE)-VLOOKUP(Games!C74, Data!$B$2:$L$135, 3, FALSE))*Coefficients!$D$2</f>
        <v>20.035012320441961</v>
      </c>
      <c r="E74" t="n">
        <f>(VLOOKUP(Games!B74, Data!$B$2:$L$135, 5, FALSE)-VLOOKUP(Games!C74, Data!$B$2:$L$135, 5, FALSE))*Coefficients!$E$2</f>
        <v>-24.563409136862603</v>
      </c>
      <c r="F74" t="n">
        <f>(VLOOKUP(Games!B74, Data!$B$2:$L$135, 6, FALSE)-VLOOKUP(Games!C74, Data!$B$2:$L$135, 6, FALSE))*Coefficients!$F$2</f>
        <v>-4.943038013284391</v>
      </c>
      <c r="G74" t="n">
        <f>(VLOOKUP(Games!B74, Data!$B$2:$L$135, 7, FALSE)-VLOOKUP(Games!C74, Data!$B$2:$L$135, 7, FALSE))*Coefficients!$G$2</f>
        <v>-43.624133501500964</v>
      </c>
      <c r="H74" t="n">
        <f>(VLOOKUP(Games!B74, Data!$B$2:$L$135, 8, FALSE)-VLOOKUP(Games!C74, Data!$B$2:$L$135, 8, FALSE))*Coefficients!$H$2</f>
        <v>-9.4683022123963472</v>
      </c>
      <c r="I74" t="n">
        <f>(VLOOKUP(Games!B74, Data!$B$2:$L$135, 9, FALSE)-VLOOKUP(Games!C74, Data!$B$2:$L$135, 9, FALSE))*Coefficients!$I$2</f>
        <v>4.3058139199868313</v>
      </c>
      <c r="J74" t="n">
        <f>IF(ISBLANK(Data!K74), Games!L74-Games!M74,VLOOKUP(Games!B74, Data!$B$2:$L$135, 10, FALSE)-VLOOKUP(Games!C74, Data!$B$2:$L$135, 10, FALSE))*Coefficients!$J$2</f>
        <v>12.075335721420924</v>
      </c>
      <c r="K74" t="n">
        <f>(IF(AND(VLOOKUP(Games!B74, Data!$B$2:$L$135, 11, FALSE)=1, VLOOKUP(Games!C74, Data!$B$2:$L$135, 11, FALSE)&lt;&gt;1), 1,0))*Coefficients!K$2</f>
        <v>2.2564618572078001</v>
      </c>
      <c r="L74" t="n">
        <f>(IF(AND(VLOOKUP(Games!B74, Data!$B$2:$L$135, 11, FALSE)&lt;&gt;1, VLOOKUP(Games!C74, Data!$B$2:$L$135, 11, FALSE)=1), 1,0))*Coefficients!L$2</f>
        <v>0</v>
      </c>
      <c r="O74" t="n">
        <f t="shared" si="1"/>
        <v>-84.132937186615038</v>
      </c>
    </row>
    <row r="75">
      <c r="A75" t="n">
        <f>Coefficients!$A$2</f>
        <v>-3.7765953152866998</v>
      </c>
      <c r="B75" t="n">
        <f>(Games!D75)*(-1*Coefficients!$B$2)</f>
        <v>-1.6120481556583051</v>
      </c>
      <c r="C75" t="n">
        <f>(VLOOKUP(Games!B75, Data!$B$2:$L$135, 4, FALSE)-VLOOKUP(Games!C75, Data!$B$2:$L$135, 4, FALSE))*Coefficients!$C$2</f>
        <v>1.9234924319411142</v>
      </c>
      <c r="D75" t="n">
        <f>(VLOOKUP(Games!B75, Data!$B$2:$L$135, 3, FALSE)-VLOOKUP(Games!C75, Data!$B$2:$L$135, 3, FALSE))*Coefficients!$D$2</f>
        <v>5.0614767967432313</v>
      </c>
      <c r="E75" t="n">
        <f>(VLOOKUP(Games!B75, Data!$B$2:$L$135, 5, FALSE)-VLOOKUP(Games!C75, Data!$B$2:$L$135, 5, FALSE))*Coefficients!$E$2</f>
        <v>3.3952835155048993</v>
      </c>
      <c r="F75" t="n">
        <f>(VLOOKUP(Games!B75, Data!$B$2:$L$135, 6, FALSE)-VLOOKUP(Games!C75, Data!$B$2:$L$135, 6, FALSE))*Coefficients!$F$2</f>
        <v>1.3485986389314912</v>
      </c>
      <c r="G75" t="n">
        <f>(VLOOKUP(Games!B75, Data!$B$2:$L$135, 7, FALSE)-VLOOKUP(Games!C75, Data!$B$2:$L$135, 7, FALSE))*Coefficients!$G$2</f>
        <v>-3.7751653991683534</v>
      </c>
      <c r="H75" t="n">
        <f>(VLOOKUP(Games!B75, Data!$B$2:$L$135, 8, FALSE)-VLOOKUP(Games!C75, Data!$B$2:$L$135, 8, FALSE))*Coefficients!$H$2</f>
        <v>0.84790766081161317</v>
      </c>
      <c r="I75" t="n">
        <f>(VLOOKUP(Games!B75, Data!$B$2:$L$135, 9, FALSE)-VLOOKUP(Games!C75, Data!$B$2:$L$135, 9, FALSE))*Coefficients!$I$2</f>
        <v>0.27826688598554356</v>
      </c>
      <c r="J75" t="n">
        <f>IF(ISBLANK(Data!K75), Games!L75-Games!M75,VLOOKUP(Games!B75, Data!$B$2:$L$135, 10, FALSE)-VLOOKUP(Games!C75, Data!$B$2:$L$135, 10, FALSE))*Coefficients!$J$2</f>
        <v>0.64213854643045165</v>
      </c>
      <c r="K75" t="n">
        <f>(IF(AND(VLOOKUP(Games!B75, Data!$B$2:$L$135, 11, FALSE)=1, VLOOKUP(Games!C75, Data!$B$2:$L$135, 11, FALSE)&lt;&gt;1), 1,0))*Coefficients!K$2</f>
        <v>0</v>
      </c>
      <c r="L75" t="n">
        <f>(IF(AND(VLOOKUP(Games!B75, Data!$B$2:$L$135, 11, FALSE)&lt;&gt;1, VLOOKUP(Games!C75, Data!$B$2:$L$135, 11, FALSE)=1), 1,0))*Coefficients!L$2</f>
        <v>0</v>
      </c>
      <c r="O75" t="n">
        <f t="shared" si="1"/>
        <v>4.3333556062349867</v>
      </c>
    </row>
    <row r="76">
      <c r="A76" t="n">
        <f>Coefficients!$A$2</f>
        <v>-3.7765953152866998</v>
      </c>
      <c r="B76" t="n">
        <f>(Games!D76)*(-1*Coefficients!$B$2)</f>
        <v>-32.778312498385532</v>
      </c>
      <c r="C76" t="e">
        <f>(VLOOKUP(Games!B76, Data!$B$2:$L$135, 4, FALSE)-VLOOKUP(Games!C76, Data!$B$2:$L$135, 4, FALSE))*Coefficients!$C$2</f>
        <v>#N/A</v>
      </c>
      <c r="D76" t="e">
        <f>(VLOOKUP(Games!B76, Data!$B$2:$L$135, 3, FALSE)-VLOOKUP(Games!C76, Data!$B$2:$L$135, 3, FALSE))*Coefficients!$D$2</f>
        <v>#N/A</v>
      </c>
      <c r="E76" t="e">
        <f>(VLOOKUP(Games!B76, Data!$B$2:$L$135, 5, FALSE)-VLOOKUP(Games!C76, Data!$B$2:$L$135, 5, FALSE))*Coefficients!$E$2</f>
        <v>#N/A</v>
      </c>
      <c r="F76" t="e">
        <f>(VLOOKUP(Games!B76, Data!$B$2:$L$135, 6, FALSE)-VLOOKUP(Games!C76, Data!$B$2:$L$135, 6, FALSE))*Coefficients!$F$2</f>
        <v>#N/A</v>
      </c>
      <c r="G76" t="e">
        <f>(VLOOKUP(Games!B76, Data!$B$2:$L$135, 7, FALSE)-VLOOKUP(Games!C76, Data!$B$2:$L$135, 7, FALSE))*Coefficients!$G$2</f>
        <v>#N/A</v>
      </c>
      <c r="H76" t="e">
        <f>(VLOOKUP(Games!B76, Data!$B$2:$L$135, 8, FALSE)-VLOOKUP(Games!C76, Data!$B$2:$L$135, 8, FALSE))*Coefficients!$H$2</f>
        <v>#N/A</v>
      </c>
      <c r="I76" t="e">
        <f>(VLOOKUP(Games!B76, Data!$B$2:$L$135, 9, FALSE)-VLOOKUP(Games!C76, Data!$B$2:$L$135, 9, FALSE))*Coefficients!$I$2</f>
        <v>#N/A</v>
      </c>
      <c r="J76" t="n">
        <f>IF(ISBLANK(Data!K76), Games!L76-Games!M76,VLOOKUP(Games!B76, Data!$B$2:$L$135, 10, FALSE)-VLOOKUP(Games!C76, Data!$B$2:$L$135, 10, FALSE))*Coefficients!$J$2</f>
        <v>11.449689843532326</v>
      </c>
      <c r="K76" t="e">
        <f>(IF(AND(VLOOKUP(Games!B76, Data!$B$2:$L$135, 11, FALSE)=1, VLOOKUP(Games!C76, Data!$B$2:$L$135, 11, FALSE)&lt;&gt;1), 1,0))*Coefficients!K$2</f>
        <v>#N/A</v>
      </c>
      <c r="L76" t="e">
        <f>(IF(AND(VLOOKUP(Games!B76, Data!$B$2:$L$135, 11, FALSE)&lt;&gt;1, VLOOKUP(Games!C76, Data!$B$2:$L$135, 11, FALSE)=1), 1,0))*Coefficients!L$2</f>
        <v>#N/A</v>
      </c>
      <c r="O76" t="e">
        <f t="shared" si="1"/>
        <v>#N/A</v>
      </c>
    </row>
    <row r="77">
      <c r="A77" t="n">
        <f>Coefficients!$A$2</f>
        <v>-3.7765953152866998</v>
      </c>
      <c r="B77" t="n">
        <f>(Games!D77)*(-1*Coefficients!$B$2)</f>
        <v>-11.284337089608135</v>
      </c>
      <c r="C77" t="n">
        <f>(VLOOKUP(Games!B77, Data!$B$2:$L$135, 4, FALSE)-VLOOKUP(Games!C77, Data!$B$2:$L$135, 4, FALSE))*Coefficients!$C$2</f>
        <v>-1.3145761886934841</v>
      </c>
      <c r="D77" t="n">
        <f>(VLOOKUP(Games!B77, Data!$B$2:$L$135, 3, FALSE)-VLOOKUP(Games!C77, Data!$B$2:$L$135, 3, FALSE))*Coefficients!$D$2</f>
        <v>10.122953593486466</v>
      </c>
      <c r="E77" t="n">
        <f>(VLOOKUP(Games!B77, Data!$B$2:$L$135, 5, FALSE)-VLOOKUP(Games!C77, Data!$B$2:$L$135, 5, FALSE))*Coefficients!$E$2</f>
        <v>-1.0898440913966323</v>
      </c>
      <c r="F77" t="n">
        <f>(VLOOKUP(Games!B77, Data!$B$2:$L$135, 6, FALSE)-VLOOKUP(Games!C77, Data!$B$2:$L$135, 6, FALSE))*Coefficients!$F$2</f>
        <v>-1.7042128844915194</v>
      </c>
      <c r="G77" t="n">
        <f>(VLOOKUP(Games!B77, Data!$B$2:$L$135, 7, FALSE)-VLOOKUP(Games!C77, Data!$B$2:$L$135, 7, FALSE))*Coefficients!$G$2</f>
        <v>-10.766212434665304</v>
      </c>
      <c r="H77" t="n">
        <f>(VLOOKUP(Games!B77, Data!$B$2:$L$135, 8, FALSE)-VLOOKUP(Games!C77, Data!$B$2:$L$135, 8, FALSE))*Coefficients!$H$2</f>
        <v>-0.84790766081161317</v>
      </c>
      <c r="I77" t="n">
        <f>(VLOOKUP(Games!B77, Data!$B$2:$L$135, 9, FALSE)-VLOOKUP(Games!C77, Data!$B$2:$L$135, 9, FALSE))*Coefficients!$I$2</f>
        <v>0.76157253006569792</v>
      </c>
      <c r="J77" t="n">
        <f>IF(ISBLANK(Data!K77), Games!L77-Games!M77,VLOOKUP(Games!B77, Data!$B$2:$L$135, 10, FALSE)-VLOOKUP(Games!C77, Data!$B$2:$L$135, 10, FALSE))*Coefficients!$J$2</f>
        <v>4.1896563982602295</v>
      </c>
      <c r="K77" t="n">
        <f>(IF(AND(VLOOKUP(Games!B77, Data!$B$2:$L$135, 11, FALSE)=1, VLOOKUP(Games!C77, Data!$B$2:$L$135, 11, FALSE)&lt;&gt;1), 1,0))*Coefficients!K$2</f>
        <v>0</v>
      </c>
      <c r="L77" t="n">
        <f>(IF(AND(VLOOKUP(Games!B77, Data!$B$2:$L$135, 11, FALSE)&lt;&gt;1, VLOOKUP(Games!C77, Data!$B$2:$L$135, 11, FALSE)=1), 1,0))*Coefficients!L$2</f>
        <v>0</v>
      </c>
      <c r="O77" t="n">
        <f t="shared" si="1"/>
        <v>-15.709503143140996</v>
      </c>
    </row>
    <row r="78">
      <c r="A78" t="n">
        <f>Coefficients!$A$2</f>
        <v>-3.7765953152866998</v>
      </c>
      <c r="B78" t="n">
        <f>(Games!D78)*(-1*Coefficients!$B$2)</f>
        <v>-16.657830941802484</v>
      </c>
      <c r="C78" t="n">
        <f>(VLOOKUP(Games!B78, Data!$B$2:$L$135, 4, FALSE)-VLOOKUP(Games!C78, Data!$B$2:$L$135, 4, FALSE))*Coefficients!$C$2</f>
        <v>-3.8469848638822222</v>
      </c>
      <c r="D78" t="n">
        <f>(VLOOKUP(Games!B78, Data!$B$2:$L$135, 3, FALSE)-VLOOKUP(Games!C78, Data!$B$2:$L$135, 3, FALSE))*Coefficients!$D$2</f>
        <v>9.5429927105263026</v>
      </c>
      <c r="E78" t="n">
        <f>(VLOOKUP(Games!B78, Data!$B$2:$L$135, 5, FALSE)-VLOOKUP(Games!C78, Data!$B$2:$L$135, 5, FALSE))*Coefficients!$E$2</f>
        <v>-28.419780537189155</v>
      </c>
      <c r="F78" t="n">
        <f>(VLOOKUP(Games!B78, Data!$B$2:$L$135, 6, FALSE)-VLOOKUP(Games!C78, Data!$B$2:$L$135, 6, FALSE))*Coefficients!$F$2</f>
        <v>-7.1369043589701029</v>
      </c>
      <c r="G78" t="n">
        <f>(VLOOKUP(Games!B78, Data!$B$2:$L$135, 7, FALSE)-VLOOKUP(Games!C78, Data!$B$2:$L$135, 7, FALSE))*Coefficients!$G$2</f>
        <v>-9.6476449089857912</v>
      </c>
      <c r="H78" t="n">
        <f>(VLOOKUP(Games!B78, Data!$B$2:$L$135, 8, FALSE)-VLOOKUP(Games!C78, Data!$B$2:$L$135, 8, FALSE))*Coefficients!$H$2</f>
        <v>-9.2563252971934435</v>
      </c>
      <c r="I78" t="n">
        <f>(VLOOKUP(Games!B78, Data!$B$2:$L$135, 9, FALSE)-VLOOKUP(Games!C78, Data!$B$2:$L$135, 9, FALSE))*Coefficients!$I$2</f>
        <v>2.3433000925098399</v>
      </c>
      <c r="J78" t="n">
        <f>IF(ISBLANK(Data!K78), Games!L78-Games!M78,VLOOKUP(Games!B78, Data!$B$2:$L$135, 10, FALSE)-VLOOKUP(Games!C78, Data!$B$2:$L$135, 10, FALSE))*Coefficients!$J$2</f>
        <v>11.543121911071422</v>
      </c>
      <c r="K78" t="n">
        <f>(IF(AND(VLOOKUP(Games!B78, Data!$B$2:$L$135, 11, FALSE)=1, VLOOKUP(Games!C78, Data!$B$2:$L$135, 11, FALSE)&lt;&gt;1), 1,0))*Coefficients!K$2</f>
        <v>0</v>
      </c>
      <c r="L78" t="n">
        <f>(IF(AND(VLOOKUP(Games!B78, Data!$B$2:$L$135, 11, FALSE)&lt;&gt;1, VLOOKUP(Games!C78, Data!$B$2:$L$135, 11, FALSE)=1), 1,0))*Coefficients!L$2</f>
        <v>0</v>
      </c>
      <c r="O78" t="n">
        <f t="shared" si="1"/>
        <v>-55.31265150920234</v>
      </c>
    </row>
    <row r="79">
      <c r="A79" t="n">
        <f>Coefficients!$A$2</f>
        <v>-3.7765953152866998</v>
      </c>
      <c r="B79" t="n">
        <f>(Games!D79)*(-1*Coefficients!$B$2)</f>
        <v>-39.226505121018754</v>
      </c>
      <c r="C79" t="e">
        <f>(VLOOKUP(Games!B79, Data!$B$2:$L$135, 4, FALSE)-VLOOKUP(Games!C79, Data!$B$2:$L$135, 4, FALSE))*Coefficients!$C$2</f>
        <v>#N/A</v>
      </c>
      <c r="D79" t="e">
        <f>(VLOOKUP(Games!B79, Data!$B$2:$L$135, 3, FALSE)-VLOOKUP(Games!C79, Data!$B$2:$L$135, 3, FALSE))*Coefficients!$D$2</f>
        <v>#N/A</v>
      </c>
      <c r="E79" t="e">
        <f>(VLOOKUP(Games!B79, Data!$B$2:$L$135, 5, FALSE)-VLOOKUP(Games!C79, Data!$B$2:$L$135, 5, FALSE))*Coefficients!$E$2</f>
        <v>#N/A</v>
      </c>
      <c r="F79" t="e">
        <f>(VLOOKUP(Games!B79, Data!$B$2:$L$135, 6, FALSE)-VLOOKUP(Games!C79, Data!$B$2:$L$135, 6, FALSE))*Coefficients!$F$2</f>
        <v>#N/A</v>
      </c>
      <c r="G79" t="e">
        <f>(VLOOKUP(Games!B79, Data!$B$2:$L$135, 7, FALSE)-VLOOKUP(Games!C79, Data!$B$2:$L$135, 7, FALSE))*Coefficients!$G$2</f>
        <v>#N/A</v>
      </c>
      <c r="H79" t="e">
        <f>(VLOOKUP(Games!B79, Data!$B$2:$L$135, 8, FALSE)-VLOOKUP(Games!C79, Data!$B$2:$L$135, 8, FALSE))*Coefficients!$H$2</f>
        <v>#N/A</v>
      </c>
      <c r="I79" t="e">
        <f>(VLOOKUP(Games!B79, Data!$B$2:$L$135, 9, FALSE)-VLOOKUP(Games!C79, Data!$B$2:$L$135, 9, FALSE))*Coefficients!$I$2</f>
        <v>#N/A</v>
      </c>
      <c r="J79" t="n">
        <f>IF(ISBLANK(Data!K79), Games!L79-Games!M79,VLOOKUP(Games!B79, Data!$B$2:$L$135, 10, FALSE)-VLOOKUP(Games!C79, Data!$B$2:$L$135, 10, FALSE))*Coefficients!$J$2</f>
        <v>12.780695513826428</v>
      </c>
      <c r="K79" t="e">
        <f>(IF(AND(VLOOKUP(Games!B79, Data!$B$2:$L$135, 11, FALSE)=1, VLOOKUP(Games!C79, Data!$B$2:$L$135, 11, FALSE)&lt;&gt;1), 1,0))*Coefficients!K$2</f>
        <v>#N/A</v>
      </c>
      <c r="L79" t="e">
        <f>(IF(AND(VLOOKUP(Games!B79, Data!$B$2:$L$135, 11, FALSE)&lt;&gt;1, VLOOKUP(Games!C79, Data!$B$2:$L$135, 11, FALSE)=1), 1,0))*Coefficients!L$2</f>
        <v>#N/A</v>
      </c>
      <c r="O79" t="e">
        <f t="shared" si="1"/>
        <v>#N/A</v>
      </c>
    </row>
    <row r="80">
      <c r="A80" t="n">
        <f>Coefficients!$A$2</f>
        <v>-3.7765953152866998</v>
      </c>
      <c r="B80" t="e">
        <f>(Games!D80)*(-1*Coefficients!$B$2)</f>
        <v>#VALUE!</v>
      </c>
      <c r="C80" t="e">
        <f>(VLOOKUP(Games!B80, Data!$B$2:$L$135, 4, FALSE)-VLOOKUP(Games!C80, Data!$B$2:$L$135, 4, FALSE))*Coefficients!$C$2</f>
        <v>#N/A</v>
      </c>
      <c r="D80" t="e">
        <f>(VLOOKUP(Games!B80, Data!$B$2:$L$135, 3, FALSE)-VLOOKUP(Games!C80, Data!$B$2:$L$135, 3, FALSE))*Coefficients!$D$2</f>
        <v>#N/A</v>
      </c>
      <c r="E80" t="e">
        <f>(VLOOKUP(Games!B80, Data!$B$2:$L$135, 5, FALSE)-VLOOKUP(Games!C80, Data!$B$2:$L$135, 5, FALSE))*Coefficients!$E$2</f>
        <v>#N/A</v>
      </c>
      <c r="F80" t="e">
        <f>(VLOOKUP(Games!B80, Data!$B$2:$L$135, 6, FALSE)-VLOOKUP(Games!C80, Data!$B$2:$L$135, 6, FALSE))*Coefficients!$F$2</f>
        <v>#N/A</v>
      </c>
      <c r="G80" t="e">
        <f>(VLOOKUP(Games!B80, Data!$B$2:$L$135, 7, FALSE)-VLOOKUP(Games!C80, Data!$B$2:$L$135, 7, FALSE))*Coefficients!$G$2</f>
        <v>#N/A</v>
      </c>
      <c r="H80" t="e">
        <f>(VLOOKUP(Games!B80, Data!$B$2:$L$135, 8, FALSE)-VLOOKUP(Games!C80, Data!$B$2:$L$135, 8, FALSE))*Coefficients!$H$2</f>
        <v>#N/A</v>
      </c>
      <c r="I80" t="e">
        <f>(VLOOKUP(Games!B80, Data!$B$2:$L$135, 9, FALSE)-VLOOKUP(Games!C80, Data!$B$2:$L$135, 9, FALSE))*Coefficients!$I$2</f>
        <v>#N/A</v>
      </c>
      <c r="J80" t="n">
        <f>IF(ISBLANK(Data!K80), Games!L80-Games!M80,VLOOKUP(Games!B80, Data!$B$2:$L$135, 10, FALSE)-VLOOKUP(Games!C80, Data!$B$2:$L$135, 10, FALSE))*Coefficients!$J$2</f>
        <v>12.088570844859163</v>
      </c>
      <c r="K80" t="e">
        <f>(IF(AND(VLOOKUP(Games!B80, Data!$B$2:$L$135, 11, FALSE)=1, VLOOKUP(Games!C80, Data!$B$2:$L$135, 11, FALSE)&lt;&gt;1), 1,0))*Coefficients!K$2</f>
        <v>#N/A</v>
      </c>
      <c r="L80" t="e">
        <f>(IF(AND(VLOOKUP(Games!B80, Data!$B$2:$L$135, 11, FALSE)&lt;&gt;1, VLOOKUP(Games!C80, Data!$B$2:$L$135, 11, FALSE)=1), 1,0))*Coefficients!L$2</f>
        <v>#N/A</v>
      </c>
      <c r="O80" t="e">
        <f t="shared" si="1"/>
        <v>#VALUE!</v>
      </c>
    </row>
    <row r="81">
      <c r="A81" t="n">
        <f>Coefficients!$A$2</f>
        <v>-3.7765953152866998</v>
      </c>
      <c r="B81" t="n">
        <f>(Games!D81)*(-1*Coefficients!$B$2)</f>
        <v>-47.824095284529712</v>
      </c>
      <c r="C81" t="e">
        <f>(VLOOKUP(Games!B81, Data!$B$2:$L$135, 4, FALSE)-VLOOKUP(Games!C81, Data!$B$2:$L$135, 4, FALSE))*Coefficients!$C$2</f>
        <v>#N/A</v>
      </c>
      <c r="D81" t="e">
        <f>(VLOOKUP(Games!B81, Data!$B$2:$L$135, 3, FALSE)-VLOOKUP(Games!C81, Data!$B$2:$L$135, 3, FALSE))*Coefficients!$D$2</f>
        <v>#N/A</v>
      </c>
      <c r="E81" t="e">
        <f>(VLOOKUP(Games!B81, Data!$B$2:$L$135, 5, FALSE)-VLOOKUP(Games!C81, Data!$B$2:$L$135, 5, FALSE))*Coefficients!$E$2</f>
        <v>#N/A</v>
      </c>
      <c r="F81" t="e">
        <f>(VLOOKUP(Games!B81, Data!$B$2:$L$135, 6, FALSE)-VLOOKUP(Games!C81, Data!$B$2:$L$135, 6, FALSE))*Coefficients!$F$2</f>
        <v>#N/A</v>
      </c>
      <c r="G81" t="e">
        <f>(VLOOKUP(Games!B81, Data!$B$2:$L$135, 7, FALSE)-VLOOKUP(Games!C81, Data!$B$2:$L$135, 7, FALSE))*Coefficients!$G$2</f>
        <v>#N/A</v>
      </c>
      <c r="H81" t="e">
        <f>(VLOOKUP(Games!B81, Data!$B$2:$L$135, 8, FALSE)-VLOOKUP(Games!C81, Data!$B$2:$L$135, 8, FALSE))*Coefficients!$H$2</f>
        <v>#N/A</v>
      </c>
      <c r="I81" t="e">
        <f>(VLOOKUP(Games!B81, Data!$B$2:$L$135, 9, FALSE)-VLOOKUP(Games!C81, Data!$B$2:$L$135, 9, FALSE))*Coefficients!$I$2</f>
        <v>#N/A</v>
      </c>
      <c r="J81" t="n">
        <f>IF(ISBLANK(Data!K81), Games!L81-Games!M81,VLOOKUP(Games!B81, Data!$B$2:$L$135, 10, FALSE)-VLOOKUP(Games!C81, Data!$B$2:$L$135, 10, FALSE))*Coefficients!$J$2</f>
        <v>12.90482541753852</v>
      </c>
      <c r="K81" t="e">
        <f>(IF(AND(VLOOKUP(Games!B81, Data!$B$2:$L$135, 11, FALSE)=1, VLOOKUP(Games!C81, Data!$B$2:$L$135, 11, FALSE)&lt;&gt;1), 1,0))*Coefficients!K$2</f>
        <v>#N/A</v>
      </c>
      <c r="L81" t="e">
        <f>(IF(AND(VLOOKUP(Games!B81, Data!$B$2:$L$135, 11, FALSE)&lt;&gt;1, VLOOKUP(Games!C81, Data!$B$2:$L$135, 11, FALSE)=1), 1,0))*Coefficients!L$2</f>
        <v>#N/A</v>
      </c>
      <c r="O81" t="e">
        <f t="shared" si="1"/>
        <v>#N/A</v>
      </c>
    </row>
    <row r="82">
      <c r="A82" t="n">
        <f>Coefficients!$A$2</f>
        <v>-3.7765953152866998</v>
      </c>
      <c r="B82" t="n">
        <f>(Games!D82)*(-1*Coefficients!$B$2)</f>
        <v>-22.56867417921627</v>
      </c>
      <c r="C82" t="n">
        <f>(VLOOKUP(Games!B82, Data!$B$2:$L$135, 4, FALSE)-VLOOKUP(Games!C82, Data!$B$2:$L$135, 4, FALSE))*Coefficients!$C$2</f>
        <v>-1.912110819917793</v>
      </c>
      <c r="D82" t="n">
        <f>(VLOOKUP(Games!B82, Data!$B$2:$L$135, 3, FALSE)-VLOOKUP(Games!C82, Data!$B$2:$L$135, 3, FALSE))*Coefficients!$D$2</f>
        <v>12.231902258796145</v>
      </c>
      <c r="E82" t="n">
        <f>(VLOOKUP(Games!B82, Data!$B$2:$L$135, 5, FALSE)-VLOOKUP(Games!C82, Data!$B$2:$L$135, 5, FALSE))*Coefficients!$E$2</f>
        <v>-27.66527308929918</v>
      </c>
      <c r="F82" t="n">
        <f>(VLOOKUP(Games!B82, Data!$B$2:$L$135, 6, FALSE)-VLOOKUP(Games!C82, Data!$B$2:$L$135, 6, FALSE))*Coefficients!$F$2</f>
        <v>-6.9891876723528616</v>
      </c>
      <c r="G82" t="n">
        <f>(VLOOKUP(Games!B82, Data!$B$2:$L$135, 7, FALSE)-VLOOKUP(Games!C82, Data!$B$2:$L$135, 7, FALSE))*Coefficients!$G$2</f>
        <v>-23.070455217139934</v>
      </c>
      <c r="H82" t="n">
        <f>(VLOOKUP(Games!B82, Data!$B$2:$L$135, 8, FALSE)-VLOOKUP(Games!C82, Data!$B$2:$L$135, 8, FALSE))*Coefficients!$H$2</f>
        <v>-11.022799590550973</v>
      </c>
      <c r="I82" t="n">
        <f>(VLOOKUP(Games!B82, Data!$B$2:$L$135, 9, FALSE)-VLOOKUP(Games!C82, Data!$B$2:$L$135, 9, FALSE))*Coefficients!$I$2</f>
        <v>3.6760520201248115</v>
      </c>
      <c r="J82" t="n">
        <f>IF(ISBLANK(Data!K82), Games!L82-Games!M82,VLOOKUP(Games!B82, Data!$B$2:$L$135, 10, FALSE)-VLOOKUP(Games!C82, Data!$B$2:$L$135, 10, FALSE))*Coefficients!$J$2</f>
        <v>11.070344446323583</v>
      </c>
      <c r="K82" t="n">
        <f>(IF(AND(VLOOKUP(Games!B82, Data!$B$2:$L$135, 11, FALSE)=1, VLOOKUP(Games!C82, Data!$B$2:$L$135, 11, FALSE)&lt;&gt;1), 1,0))*Coefficients!K$2</f>
        <v>2.2564618572078001</v>
      </c>
      <c r="L82" t="n">
        <f>(IF(AND(VLOOKUP(Games!B82, Data!$B$2:$L$135, 11, FALSE)&lt;&gt;1, VLOOKUP(Games!C82, Data!$B$2:$L$135, 11, FALSE)=1), 1,0))*Coefficients!L$2</f>
        <v>0</v>
      </c>
      <c r="O82" t="n">
        <f t="shared" si="1"/>
        <v>-67.770335301311363</v>
      </c>
    </row>
    <row r="83">
      <c r="A83" t="n">
        <f>Coefficients!$A$2</f>
        <v>-3.7765953152866998</v>
      </c>
      <c r="B83" t="n">
        <f>(Games!D83)*(-1*Coefficients!$B$2)</f>
        <v>-52.122890366285191</v>
      </c>
      <c r="C83" t="e">
        <f>(VLOOKUP(Games!B83, Data!$B$2:$L$135, 4, FALSE)-VLOOKUP(Games!C83, Data!$B$2:$L$135, 4, FALSE))*Coefficients!$C$2</f>
        <v>#N/A</v>
      </c>
      <c r="D83" t="e">
        <f>(VLOOKUP(Games!B83, Data!$B$2:$L$135, 3, FALSE)-VLOOKUP(Games!C83, Data!$B$2:$L$135, 3, FALSE))*Coefficients!$D$2</f>
        <v>#N/A</v>
      </c>
      <c r="E83" t="e">
        <f>(VLOOKUP(Games!B83, Data!$B$2:$L$135, 5, FALSE)-VLOOKUP(Games!C83, Data!$B$2:$L$135, 5, FALSE))*Coefficients!$E$2</f>
        <v>#N/A</v>
      </c>
      <c r="F83" t="e">
        <f>(VLOOKUP(Games!B83, Data!$B$2:$L$135, 6, FALSE)-VLOOKUP(Games!C83, Data!$B$2:$L$135, 6, FALSE))*Coefficients!$F$2</f>
        <v>#N/A</v>
      </c>
      <c r="G83" t="e">
        <f>(VLOOKUP(Games!B83, Data!$B$2:$L$135, 7, FALSE)-VLOOKUP(Games!C83, Data!$B$2:$L$135, 7, FALSE))*Coefficients!$G$2</f>
        <v>#N/A</v>
      </c>
      <c r="H83" t="e">
        <f>(VLOOKUP(Games!B83, Data!$B$2:$L$135, 8, FALSE)-VLOOKUP(Games!C83, Data!$B$2:$L$135, 8, FALSE))*Coefficients!$H$2</f>
        <v>#N/A</v>
      </c>
      <c r="I83" t="e">
        <f>(VLOOKUP(Games!B83, Data!$B$2:$L$135, 9, FALSE)-VLOOKUP(Games!C83, Data!$B$2:$L$135, 9, FALSE))*Coefficients!$I$2</f>
        <v>#N/A</v>
      </c>
      <c r="J83" t="n">
        <f>IF(ISBLANK(Data!K83), Games!L83-Games!M83,VLOOKUP(Games!B83, Data!$B$2:$L$135, 10, FALSE)-VLOOKUP(Games!C83, Data!$B$2:$L$135, 10, FALSE))*Coefficients!$J$2</f>
        <v>12.475142840314792</v>
      </c>
      <c r="K83" t="e">
        <f>(IF(AND(VLOOKUP(Games!B83, Data!$B$2:$L$135, 11, FALSE)=1, VLOOKUP(Games!C83, Data!$B$2:$L$135, 11, FALSE)&lt;&gt;1), 1,0))*Coefficients!K$2</f>
        <v>#N/A</v>
      </c>
      <c r="L83" t="e">
        <f>(IF(AND(VLOOKUP(Games!B83, Data!$B$2:$L$135, 11, FALSE)&lt;&gt;1, VLOOKUP(Games!C83, Data!$B$2:$L$135, 11, FALSE)=1), 1,0))*Coefficients!L$2</f>
        <v>#N/A</v>
      </c>
      <c r="O83" t="e">
        <f t="shared" si="1"/>
        <v>#N/A</v>
      </c>
    </row>
    <row r="84">
      <c r="A84" t="n">
        <f>Coefficients!$A$2</f>
        <v>-3.7765953152866998</v>
      </c>
      <c r="B84" t="n">
        <f>(Games!D84)*(-1*Coefficients!$B$2)</f>
        <v>-33.853011268824403</v>
      </c>
      <c r="C84" t="e">
        <f>(VLOOKUP(Games!B84, Data!$B$2:$L$135, 4, FALSE)-VLOOKUP(Games!C84, Data!$B$2:$L$135, 4, FALSE))*Coefficients!$C$2</f>
        <v>#N/A</v>
      </c>
      <c r="D84" t="e">
        <f>(VLOOKUP(Games!B84, Data!$B$2:$L$135, 3, FALSE)-VLOOKUP(Games!C84, Data!$B$2:$L$135, 3, FALSE))*Coefficients!$D$2</f>
        <v>#N/A</v>
      </c>
      <c r="E84" t="e">
        <f>(VLOOKUP(Games!B84, Data!$B$2:$L$135, 5, FALSE)-VLOOKUP(Games!C84, Data!$B$2:$L$135, 5, FALSE))*Coefficients!$E$2</f>
        <v>#N/A</v>
      </c>
      <c r="F84" t="e">
        <f>(VLOOKUP(Games!B84, Data!$B$2:$L$135, 6, FALSE)-VLOOKUP(Games!C84, Data!$B$2:$L$135, 6, FALSE))*Coefficients!$F$2</f>
        <v>#N/A</v>
      </c>
      <c r="G84" t="e">
        <f>(VLOOKUP(Games!B84, Data!$B$2:$L$135, 7, FALSE)-VLOOKUP(Games!C84, Data!$B$2:$L$135, 7, FALSE))*Coefficients!$G$2</f>
        <v>#N/A</v>
      </c>
      <c r="H84" t="e">
        <f>(VLOOKUP(Games!B84, Data!$B$2:$L$135, 8, FALSE)-VLOOKUP(Games!C84, Data!$B$2:$L$135, 8, FALSE))*Coefficients!$H$2</f>
        <v>#N/A</v>
      </c>
      <c r="I84" t="e">
        <f>(VLOOKUP(Games!B84, Data!$B$2:$L$135, 9, FALSE)-VLOOKUP(Games!C84, Data!$B$2:$L$135, 9, FALSE))*Coefficients!$I$2</f>
        <v>#N/A</v>
      </c>
      <c r="J84" t="n">
        <f>IF(ISBLANK(Data!K84), Games!L84-Games!M84,VLOOKUP(Games!B84, Data!$B$2:$L$135, 10, FALSE)-VLOOKUP(Games!C84, Data!$B$2:$L$135, 10, FALSE))*Coefficients!$J$2</f>
        <v>12.394970710754333</v>
      </c>
      <c r="K84" t="e">
        <f>(IF(AND(VLOOKUP(Games!B84, Data!$B$2:$L$135, 11, FALSE)=1, VLOOKUP(Games!C84, Data!$B$2:$L$135, 11, FALSE)&lt;&gt;1), 1,0))*Coefficients!K$2</f>
        <v>#N/A</v>
      </c>
      <c r="L84" t="e">
        <f>(IF(AND(VLOOKUP(Games!B84, Data!$B$2:$L$135, 11, FALSE)&lt;&gt;1, VLOOKUP(Games!C84, Data!$B$2:$L$135, 11, FALSE)=1), 1,0))*Coefficients!L$2</f>
        <v>#N/A</v>
      </c>
      <c r="O84" t="e">
        <f t="shared" si="1"/>
        <v>#N/A</v>
      </c>
    </row>
    <row r="85">
      <c r="A85" t="n">
        <f>Coefficients!$A$2</f>
        <v>-3.7765953152866998</v>
      </c>
      <c r="B85" t="n">
        <f>(Games!D85)*(-1*Coefficients!$B$2)</f>
        <v>15.583132171363614</v>
      </c>
      <c r="C85" t="n">
        <f>(VLOOKUP(Games!B85, Data!$B$2:$L$135, 4, FALSE)-VLOOKUP(Games!C85, Data!$B$2:$L$135, 4, FALSE))*Coefficients!$C$2</f>
        <v>1.4340831149383382</v>
      </c>
      <c r="D85" t="n">
        <f>(VLOOKUP(Games!B85, Data!$B$2:$L$135, 3, FALSE)-VLOOKUP(Games!C85, Data!$B$2:$L$135, 3, FALSE))*Coefficients!$D$2</f>
        <v>-22.354855852282608</v>
      </c>
      <c r="E85" t="n">
        <f>(VLOOKUP(Games!B85, Data!$B$2:$L$135, 5, FALSE)-VLOOKUP(Games!C85, Data!$B$2:$L$135, 5, FALSE))*Coefficients!$E$2</f>
        <v>19.868696127769404</v>
      </c>
      <c r="F85" t="n">
        <f>(VLOOKUP(Games!B85, Data!$B$2:$L$135, 6, FALSE)-VLOOKUP(Games!C85, Data!$B$2:$L$135, 6, FALSE))*Coefficients!$F$2</f>
        <v>4.6941080413923713</v>
      </c>
      <c r="G85" t="n">
        <f>(VLOOKUP(Games!B85, Data!$B$2:$L$135, 7, FALSE)-VLOOKUP(Games!C85, Data!$B$2:$L$135, 7, FALSE))*Coefficients!$G$2</f>
        <v>26.146515912758598</v>
      </c>
      <c r="H85" t="n">
        <f>(VLOOKUP(Games!B85, Data!$B$2:$L$135, 8, FALSE)-VLOOKUP(Games!C85, Data!$B$2:$L$135, 8, FALSE))*Coefficients!$H$2</f>
        <v>8.8323714667876381</v>
      </c>
      <c r="I85" t="n">
        <f>(VLOOKUP(Games!B85, Data!$B$2:$L$135, 9, FALSE)-VLOOKUP(Games!C85, Data!$B$2:$L$135, 9, FALSE))*Coefficients!$I$2</f>
        <v>-3.1341638737319109</v>
      </c>
      <c r="J85" t="n">
        <f>IF(ISBLANK(Data!K85), Games!L85-Games!M85,VLOOKUP(Games!B85, Data!$B$2:$L$135, 10, FALSE)-VLOOKUP(Games!C85, Data!$B$2:$L$135, 10, FALSE))*Coefficients!$J$2</f>
        <v>-7.6608577972620715</v>
      </c>
      <c r="K85" t="n">
        <f>(IF(AND(VLOOKUP(Games!B85, Data!$B$2:$L$135, 11, FALSE)=1, VLOOKUP(Games!C85, Data!$B$2:$L$135, 11, FALSE)&lt;&gt;1), 1,0))*Coefficients!K$2</f>
        <v>0</v>
      </c>
      <c r="L85" t="n">
        <f>(IF(AND(VLOOKUP(Games!B85, Data!$B$2:$L$135, 11, FALSE)&lt;&gt;1, VLOOKUP(Games!C85, Data!$B$2:$L$135, 11, FALSE)=1), 1,0))*Coefficients!L$2</f>
        <v>0</v>
      </c>
      <c r="O85" t="n">
        <f t="shared" si="1"/>
        <v>39.632433996446679</v>
      </c>
    </row>
    <row r="86">
      <c r="A86" t="n">
        <f>Coefficients!$A$2</f>
        <v>-3.7765953152866998</v>
      </c>
      <c r="B86" t="n">
        <f>(Games!D86)*(-1*Coefficients!$B$2)</f>
        <v>-2.6867469260971748</v>
      </c>
      <c r="C86" t="n">
        <f>(VLOOKUP(Games!B86, Data!$B$2:$L$135, 4, FALSE)-VLOOKUP(Games!C86, Data!$B$2:$L$135, 4, FALSE))*Coefficients!$C$2</f>
        <v>1.4340831149383451</v>
      </c>
      <c r="D86" t="n">
        <f>(VLOOKUP(Games!B86, Data!$B$2:$L$135, 3, FALSE)-VLOOKUP(Games!C86, Data!$B$2:$L$135, 3, FALSE))*Coefficients!$D$2</f>
        <v>-1.2653691991858083</v>
      </c>
      <c r="E86" t="n">
        <f>(VLOOKUP(Games!B86, Data!$B$2:$L$135, 5, FALSE)-VLOOKUP(Games!C86, Data!$B$2:$L$135, 5, FALSE))*Coefficients!$E$2</f>
        <v>8.0480794441597521</v>
      </c>
      <c r="F86" t="n">
        <f>(VLOOKUP(Games!B86, Data!$B$2:$L$135, 6, FALSE)-VLOOKUP(Games!C86, Data!$B$2:$L$135, 6, FALSE))*Coefficients!$F$2</f>
        <v>2.1364209675567847</v>
      </c>
      <c r="G86" t="n">
        <f>(VLOOKUP(Games!B86, Data!$B$2:$L$135, 7, FALSE)-VLOOKUP(Games!C86, Data!$B$2:$L$135, 7, FALSE))*Coefficients!$G$2</f>
        <v>7.5503307983367067</v>
      </c>
      <c r="H86" t="n">
        <f>(VLOOKUP(Games!B86, Data!$B$2:$L$135, 8, FALSE)-VLOOKUP(Games!C86, Data!$B$2:$L$135, 8, FALSE))*Coefficients!$H$2</f>
        <v>2.7556998976377431</v>
      </c>
      <c r="I86" t="n">
        <f>(VLOOKUP(Games!B86, Data!$B$2:$L$135, 9, FALSE)-VLOOKUP(Games!C86, Data!$B$2:$L$135, 9, FALSE))*Coefficients!$I$2</f>
        <v>-0.61511627428383286</v>
      </c>
      <c r="J86" t="n">
        <f>IF(ISBLANK(Data!K86), Games!L86-Games!M86,VLOOKUP(Games!B86, Data!$B$2:$L$135, 10, FALSE)-VLOOKUP(Games!C86, Data!$B$2:$L$135, 10, FALSE))*Coefficients!$J$2</f>
        <v>-3.9625937823270641</v>
      </c>
      <c r="K86" t="n">
        <f>(IF(AND(VLOOKUP(Games!B86, Data!$B$2:$L$135, 11, FALSE)=1, VLOOKUP(Games!C86, Data!$B$2:$L$135, 11, FALSE)&lt;&gt;1), 1,0))*Coefficients!K$2</f>
        <v>0</v>
      </c>
      <c r="L86" t="n">
        <f>(IF(AND(VLOOKUP(Games!B86, Data!$B$2:$L$135, 11, FALSE)&lt;&gt;1, VLOOKUP(Games!C86, Data!$B$2:$L$135, 11, FALSE)=1), 1,0))*Coefficients!L$2</f>
        <v>0</v>
      </c>
      <c r="O86" t="n">
        <f t="shared" si="1"/>
        <v>9.6181927254487523</v>
      </c>
    </row>
    <row r="87">
      <c r="A87" t="n">
        <f>Coefficients!$A$2</f>
        <v>-3.7765953152866998</v>
      </c>
      <c r="B87" t="n">
        <f>(Games!D87)*(-1*Coefficients!$B$2)</f>
        <v>-27.404818646191185</v>
      </c>
      <c r="C87" t="n">
        <f>(VLOOKUP(Games!B87, Data!$B$2:$L$135, 4, FALSE)-VLOOKUP(Games!C87, Data!$B$2:$L$135, 4, FALSE))*Coefficients!$C$2</f>
        <v>-1.7926038936729261</v>
      </c>
      <c r="D87" t="n">
        <f>(VLOOKUP(Games!B87, Data!$B$2:$L$135, 3, FALSE)-VLOOKUP(Games!C87, Data!$B$2:$L$135, 3, FALSE))*Coefficients!$D$2</f>
        <v>18.611471971357929</v>
      </c>
      <c r="E87" t="n">
        <f>(VLOOKUP(Games!B87, Data!$B$2:$L$135, 5, FALSE)-VLOOKUP(Games!C87, Data!$B$2:$L$135, 5, FALSE))*Coefficients!$E$2</f>
        <v>-19.784861966892748</v>
      </c>
      <c r="F87" t="n">
        <f>(VLOOKUP(Games!B87, Data!$B$2:$L$135, 6, FALSE)-VLOOKUP(Games!C87, Data!$B$2:$L$135, 6, FALSE))*Coefficients!$F$2</f>
        <v>-3.8050724274923007</v>
      </c>
      <c r="G87" t="n">
        <f>(VLOOKUP(Games!B87, Data!$B$2:$L$135, 7, FALSE)-VLOOKUP(Games!C87, Data!$B$2:$L$135, 7, FALSE))*Coefficients!$G$2</f>
        <v>-19.854573580811337</v>
      </c>
      <c r="H87" t="n">
        <f>(VLOOKUP(Games!B87, Data!$B$2:$L$135, 8, FALSE)-VLOOKUP(Games!C87, Data!$B$2:$L$135, 8, FALSE))*Coefficients!$H$2</f>
        <v>-7.5605099755702163</v>
      </c>
      <c r="I87" t="n">
        <f>(VLOOKUP(Games!B87, Data!$B$2:$L$135, 9, FALSE)-VLOOKUP(Games!C87, Data!$B$2:$L$135, 9, FALSE))*Coefficients!$I$2</f>
        <v>4.3790420478777641</v>
      </c>
      <c r="J87" t="n">
        <f>IF(ISBLANK(Data!K87), Games!L87-Games!M87,VLOOKUP(Games!B87, Data!$B$2:$L$135, 10, FALSE)-VLOOKUP(Games!C87, Data!$B$2:$L$135, 10, FALSE))*Coefficients!$J$2</f>
        <v>10.978020613440878</v>
      </c>
      <c r="K87" t="n">
        <f>(IF(AND(VLOOKUP(Games!B87, Data!$B$2:$L$135, 11, FALSE)=1, VLOOKUP(Games!C87, Data!$B$2:$L$135, 11, FALSE)&lt;&gt;1), 1,0))*Coefficients!K$2</f>
        <v>0</v>
      </c>
      <c r="L87" t="n">
        <f>(IF(AND(VLOOKUP(Games!B87, Data!$B$2:$L$135, 11, FALSE)&lt;&gt;1, VLOOKUP(Games!C87, Data!$B$2:$L$135, 11, FALSE)=1), 1,0))*Coefficients!L$2</f>
        <v>0</v>
      </c>
      <c r="O87" t="n">
        <f t="shared" si="1"/>
        <v>-50.01050117324084</v>
      </c>
    </row>
    <row r="88">
      <c r="A88" t="n">
        <f>Coefficients!$A$2</f>
        <v>-3.7765953152866998</v>
      </c>
      <c r="B88" t="n">
        <f>(Games!D88)*(-1*Coefficients!$B$2)</f>
        <v>8.060240778291524</v>
      </c>
      <c r="C88" t="n">
        <f>(VLOOKUP(Games!B88, Data!$B$2:$L$135, 4, FALSE)-VLOOKUP(Games!C88, Data!$B$2:$L$135, 4, FALSE))*Coefficients!$C$2</f>
        <v>3.704714713590719</v>
      </c>
      <c r="D88" t="n">
        <f>(VLOOKUP(Games!B88, Data!$B$2:$L$135, 3, FALSE)-VLOOKUP(Games!C88, Data!$B$2:$L$135, 3, FALSE))*Coefficients!$D$2</f>
        <v>-5.166924230008715</v>
      </c>
      <c r="E88" t="n">
        <f>(VLOOKUP(Games!B88, Data!$B$2:$L$135, 5, FALSE)-VLOOKUP(Games!C88, Data!$B$2:$L$135, 5, FALSE))*Coefficients!$E$2</f>
        <v>32.695322741899027</v>
      </c>
      <c r="F88" t="n">
        <f>(VLOOKUP(Games!B88, Data!$B$2:$L$135, 6, FALSE)-VLOOKUP(Games!C88, Data!$B$2:$L$135, 6, FALSE))*Coefficients!$F$2</f>
        <v>5.8648995575438478</v>
      </c>
      <c r="G88" t="n">
        <f>(VLOOKUP(Games!B88, Data!$B$2:$L$135, 7, FALSE)-VLOOKUP(Games!C88, Data!$B$2:$L$135, 7, FALSE))*Coefficients!$G$2</f>
        <v>18.456364173711947</v>
      </c>
      <c r="H88" t="n">
        <f>(VLOOKUP(Games!B88, Data!$B$2:$L$135, 8, FALSE)-VLOOKUP(Games!C88, Data!$B$2:$L$135, 8, FALSE))*Coefficients!$H$2</f>
        <v>8.1964407211789272</v>
      </c>
      <c r="I88" t="n">
        <f>(VLOOKUP(Games!B88, Data!$B$2:$L$135, 9, FALSE)-VLOOKUP(Games!C88, Data!$B$2:$L$135, 9, FALSE))*Coefficients!$I$2</f>
        <v>-2.7533776086990622</v>
      </c>
      <c r="J88" t="n">
        <f>IF(ISBLANK(Data!K88), Games!L88-Games!M88,VLOOKUP(Games!B88, Data!$B$2:$L$135, 10, FALSE)-VLOOKUP(Games!C88, Data!$B$2:$L$135, 10, FALSE))*Coefficients!$J$2</f>
        <v>-9.5036536444916688</v>
      </c>
      <c r="K88" t="n">
        <f>(IF(AND(VLOOKUP(Games!B88, Data!$B$2:$L$135, 11, FALSE)=1, VLOOKUP(Games!C88, Data!$B$2:$L$135, 11, FALSE)&lt;&gt;1), 1,0))*Coefficients!K$2</f>
        <v>0</v>
      </c>
      <c r="L88" t="n">
        <f>(IF(AND(VLOOKUP(Games!B88, Data!$B$2:$L$135, 11, FALSE)&lt;&gt;1, VLOOKUP(Games!C88, Data!$B$2:$L$135, 11, FALSE)=1), 1,0))*Coefficients!L$2</f>
        <v>0</v>
      </c>
      <c r="O88" t="n">
        <f t="shared" si="1"/>
        <v>55.77743188772984</v>
      </c>
    </row>
    <row r="89">
      <c r="A89" t="n">
        <f>Coefficients!$A$2</f>
        <v>-3.7765953152866998</v>
      </c>
      <c r="B89" t="n">
        <f>(Games!D89)*(-1*Coefficients!$B$2)</f>
        <v>-22.031324793996834</v>
      </c>
      <c r="C89" t="n">
        <f>(VLOOKUP(Games!B89, Data!$B$2:$L$135, 4, FALSE)-VLOOKUP(Games!C89, Data!$B$2:$L$135, 4, FALSE))*Coefficients!$C$2</f>
        <v>0</v>
      </c>
      <c r="D89" t="n">
        <f>(VLOOKUP(Games!B89, Data!$B$2:$L$135, 3, FALSE)-VLOOKUP(Games!C89, Data!$B$2:$L$135, 3, FALSE))*Coefficients!$D$2</f>
        <v>24.516528234225031</v>
      </c>
      <c r="E89" t="n">
        <f>(VLOOKUP(Games!B89, Data!$B$2:$L$135, 5, FALSE)-VLOOKUP(Games!C89, Data!$B$2:$L$135, 5, FALSE))*Coefficients!$E$2</f>
        <v>-5.5330546178598334</v>
      </c>
      <c r="F89" t="n">
        <f>(VLOOKUP(Games!B89, Data!$B$2:$L$135, 6, FALSE)-VLOOKUP(Games!C89, Data!$B$2:$L$135, 6, FALSE))*Coefficients!$F$2</f>
        <v>-1.9011684666478428</v>
      </c>
      <c r="G89" t="n">
        <f>(VLOOKUP(Games!B89, Data!$B$2:$L$135, 7, FALSE)-VLOOKUP(Games!C89, Data!$B$2:$L$135, 7, FALSE))*Coefficients!$G$2</f>
        <v>-15.659945359513166</v>
      </c>
      <c r="H89" t="n">
        <f>(VLOOKUP(Games!B89, Data!$B$2:$L$135, 8, FALSE)-VLOOKUP(Games!C89, Data!$B$2:$L$135, 8, FALSE))*Coefficients!$H$2</f>
        <v>-3.7449255019179586</v>
      </c>
      <c r="I89" t="n">
        <f>(VLOOKUP(Games!B89, Data!$B$2:$L$135, 9, FALSE)-VLOOKUP(Games!C89, Data!$B$2:$L$135, 9, FALSE))*Coefficients!$I$2</f>
        <v>1.7428294438041936</v>
      </c>
      <c r="J89" t="n">
        <f>IF(ISBLANK(Data!K89), Games!L89-Games!M89,VLOOKUP(Games!B89, Data!$B$2:$L$135, 10, FALSE)-VLOOKUP(Games!C89, Data!$B$2:$L$135, 10, FALSE))*Coefficients!$J$2</f>
        <v>8.3551079474737762</v>
      </c>
      <c r="K89" t="n">
        <f>(IF(AND(VLOOKUP(Games!B89, Data!$B$2:$L$135, 11, FALSE)=1, VLOOKUP(Games!C89, Data!$B$2:$L$135, 11, FALSE)&lt;&gt;1), 1,0))*Coefficients!K$2</f>
        <v>0</v>
      </c>
      <c r="L89" t="n">
        <f>(IF(AND(VLOOKUP(Games!B89, Data!$B$2:$L$135, 11, FALSE)&lt;&gt;1, VLOOKUP(Games!C89, Data!$B$2:$L$135, 11, FALSE)=1), 1,0))*Coefficients!L$2</f>
        <v>0</v>
      </c>
      <c r="O89" t="n">
        <f t="shared" si="1"/>
        <v>-18.032548429719334</v>
      </c>
    </row>
    <row r="90">
      <c r="A90" t="n">
        <f>Coefficients!$A$2</f>
        <v>-3.7765953152866998</v>
      </c>
      <c r="B90" t="n">
        <f>(Games!D90)*(-1*Coefficients!$B$2)</f>
        <v>-47.824095284529712</v>
      </c>
      <c r="C90" t="e">
        <f>(VLOOKUP(Games!B90, Data!$B$2:$L$135, 4, FALSE)-VLOOKUP(Games!C90, Data!$B$2:$L$135, 4, FALSE))*Coefficients!$C$2</f>
        <v>#N/A</v>
      </c>
      <c r="D90" t="e">
        <f>(VLOOKUP(Games!B90, Data!$B$2:$L$135, 3, FALSE)-VLOOKUP(Games!C90, Data!$B$2:$L$135, 3, FALSE))*Coefficients!$D$2</f>
        <v>#N/A</v>
      </c>
      <c r="E90" t="e">
        <f>(VLOOKUP(Games!B90, Data!$B$2:$L$135, 5, FALSE)-VLOOKUP(Games!C90, Data!$B$2:$L$135, 5, FALSE))*Coefficients!$E$2</f>
        <v>#N/A</v>
      </c>
      <c r="F90" t="e">
        <f>(VLOOKUP(Games!B90, Data!$B$2:$L$135, 6, FALSE)-VLOOKUP(Games!C90, Data!$B$2:$L$135, 6, FALSE))*Coefficients!$F$2</f>
        <v>#N/A</v>
      </c>
      <c r="G90" t="e">
        <f>(VLOOKUP(Games!B90, Data!$B$2:$L$135, 7, FALSE)-VLOOKUP(Games!C90, Data!$B$2:$L$135, 7, FALSE))*Coefficients!$G$2</f>
        <v>#N/A</v>
      </c>
      <c r="H90" t="e">
        <f>(VLOOKUP(Games!B90, Data!$B$2:$L$135, 8, FALSE)-VLOOKUP(Games!C90, Data!$B$2:$L$135, 8, FALSE))*Coefficients!$H$2</f>
        <v>#N/A</v>
      </c>
      <c r="I90" t="e">
        <f>(VLOOKUP(Games!B90, Data!$B$2:$L$135, 9, FALSE)-VLOOKUP(Games!C90, Data!$B$2:$L$135, 9, FALSE))*Coefficients!$I$2</f>
        <v>#N/A</v>
      </c>
      <c r="J90" t="n">
        <f>IF(ISBLANK(Data!K90), Games!L90-Games!M90,VLOOKUP(Games!B90, Data!$B$2:$L$135, 10, FALSE)-VLOOKUP(Games!C90, Data!$B$2:$L$135, 10, FALSE))*Coefficients!$J$2</f>
        <v>12.823551595783842</v>
      </c>
      <c r="K90" t="e">
        <f>(IF(AND(VLOOKUP(Games!B90, Data!$B$2:$L$135, 11, FALSE)=1, VLOOKUP(Games!C90, Data!$B$2:$L$135, 11, FALSE)&lt;&gt;1), 1,0))*Coefficients!K$2</f>
        <v>#N/A</v>
      </c>
      <c r="L90" t="e">
        <f>(IF(AND(VLOOKUP(Games!B90, Data!$B$2:$L$135, 11, FALSE)&lt;&gt;1, VLOOKUP(Games!C90, Data!$B$2:$L$135, 11, FALSE)=1), 1,0))*Coefficients!L$2</f>
        <v>#N/A</v>
      </c>
      <c r="O90" t="e">
        <f t="shared" si="1"/>
        <v>#N/A</v>
      </c>
    </row>
    <row r="91">
      <c r="A91" t="n">
        <f>Coefficients!$A$2</f>
        <v>-3.7765953152866998</v>
      </c>
      <c r="B91" t="e">
        <f>(Games!D91)*(-1*Coefficients!$B$2)</f>
        <v>#VALUE!</v>
      </c>
      <c r="C91" t="e">
        <f>(VLOOKUP(Games!B91, Data!$B$2:$L$135, 4, FALSE)-VLOOKUP(Games!C91, Data!$B$2:$L$135, 4, FALSE))*Coefficients!$C$2</f>
        <v>#N/A</v>
      </c>
      <c r="D91" t="e">
        <f>(VLOOKUP(Games!B91, Data!$B$2:$L$135, 3, FALSE)-VLOOKUP(Games!C91, Data!$B$2:$L$135, 3, FALSE))*Coefficients!$D$2</f>
        <v>#N/A</v>
      </c>
      <c r="E91" t="e">
        <f>(VLOOKUP(Games!B91, Data!$B$2:$L$135, 5, FALSE)-VLOOKUP(Games!C91, Data!$B$2:$L$135, 5, FALSE))*Coefficients!$E$2</f>
        <v>#N/A</v>
      </c>
      <c r="F91" t="e">
        <f>(VLOOKUP(Games!B91, Data!$B$2:$L$135, 6, FALSE)-VLOOKUP(Games!C91, Data!$B$2:$L$135, 6, FALSE))*Coefficients!$F$2</f>
        <v>#N/A</v>
      </c>
      <c r="G91" t="e">
        <f>(VLOOKUP(Games!B91, Data!$B$2:$L$135, 7, FALSE)-VLOOKUP(Games!C91, Data!$B$2:$L$135, 7, FALSE))*Coefficients!$G$2</f>
        <v>#N/A</v>
      </c>
      <c r="H91" t="e">
        <f>(VLOOKUP(Games!B91, Data!$B$2:$L$135, 8, FALSE)-VLOOKUP(Games!C91, Data!$B$2:$L$135, 8, FALSE))*Coefficients!$H$2</f>
        <v>#N/A</v>
      </c>
      <c r="I91" t="e">
        <f>(VLOOKUP(Games!B91, Data!$B$2:$L$135, 9, FALSE)-VLOOKUP(Games!C91, Data!$B$2:$L$135, 9, FALSE))*Coefficients!$I$2</f>
        <v>#N/A</v>
      </c>
      <c r="J91" t="n">
        <f>IF(ISBLANK(Data!K91), Games!L91-Games!M91,VLOOKUP(Games!B91, Data!$B$2:$L$135, 10, FALSE)-VLOOKUP(Games!C91, Data!$B$2:$L$135, 10, FALSE))*Coefficients!$J$2</f>
        <v>11.705071874996477</v>
      </c>
      <c r="K91" t="e">
        <f>(IF(AND(VLOOKUP(Games!B91, Data!$B$2:$L$135, 11, FALSE)=1, VLOOKUP(Games!C91, Data!$B$2:$L$135, 11, FALSE)&lt;&gt;1), 1,0))*Coefficients!K$2</f>
        <v>#N/A</v>
      </c>
      <c r="L91" t="e">
        <f>(IF(AND(VLOOKUP(Games!B91, Data!$B$2:$L$135, 11, FALSE)&lt;&gt;1, VLOOKUP(Games!C91, Data!$B$2:$L$135, 11, FALSE)=1), 1,0))*Coefficients!L$2</f>
        <v>#N/A</v>
      </c>
      <c r="O91" t="e">
        <f t="shared" si="1"/>
        <v>#VALUE!</v>
      </c>
    </row>
    <row r="92">
      <c r="A92" t="n">
        <f>Coefficients!$A$2</f>
        <v>-3.7765953152866998</v>
      </c>
      <c r="B92" t="e">
        <f>(Games!D92)*(-1*Coefficients!$B$2)</f>
        <v>#VALUE!</v>
      </c>
      <c r="C92" t="e">
        <f>(VLOOKUP(Games!B92, Data!$B$2:$L$135, 4, FALSE)-VLOOKUP(Games!C92, Data!$B$2:$L$135, 4, FALSE))*Coefficients!$C$2</f>
        <v>#N/A</v>
      </c>
      <c r="D92" t="e">
        <f>(VLOOKUP(Games!B92, Data!$B$2:$L$135, 3, FALSE)-VLOOKUP(Games!C92, Data!$B$2:$L$135, 3, FALSE))*Coefficients!$D$2</f>
        <v>#N/A</v>
      </c>
      <c r="E92" t="e">
        <f>(VLOOKUP(Games!B92, Data!$B$2:$L$135, 5, FALSE)-VLOOKUP(Games!C92, Data!$B$2:$L$135, 5, FALSE))*Coefficients!$E$2</f>
        <v>#N/A</v>
      </c>
      <c r="F92" t="e">
        <f>(VLOOKUP(Games!B92, Data!$B$2:$L$135, 6, FALSE)-VLOOKUP(Games!C92, Data!$B$2:$L$135, 6, FALSE))*Coefficients!$F$2</f>
        <v>#N/A</v>
      </c>
      <c r="G92" t="e">
        <f>(VLOOKUP(Games!B92, Data!$B$2:$L$135, 7, FALSE)-VLOOKUP(Games!C92, Data!$B$2:$L$135, 7, FALSE))*Coefficients!$G$2</f>
        <v>#N/A</v>
      </c>
      <c r="H92" t="e">
        <f>(VLOOKUP(Games!B92, Data!$B$2:$L$135, 8, FALSE)-VLOOKUP(Games!C92, Data!$B$2:$L$135, 8, FALSE))*Coefficients!$H$2</f>
        <v>#N/A</v>
      </c>
      <c r="I92" t="e">
        <f>(VLOOKUP(Games!B92, Data!$B$2:$L$135, 9, FALSE)-VLOOKUP(Games!C92, Data!$B$2:$L$135, 9, FALSE))*Coefficients!$I$2</f>
        <v>#N/A</v>
      </c>
      <c r="J92" t="n">
        <f>IF(ISBLANK(Data!K92), Games!L92-Games!M92,VLOOKUP(Games!B92, Data!$B$2:$L$135, 10, FALSE)-VLOOKUP(Games!C92, Data!$B$2:$L$135, 10, FALSE))*Coefficients!$J$2</f>
        <v>7.940698863439513</v>
      </c>
      <c r="K92" t="e">
        <f>(IF(AND(VLOOKUP(Games!B92, Data!$B$2:$L$135, 11, FALSE)=1, VLOOKUP(Games!C92, Data!$B$2:$L$135, 11, FALSE)&lt;&gt;1), 1,0))*Coefficients!K$2</f>
        <v>#N/A</v>
      </c>
      <c r="L92" t="e">
        <f>(IF(AND(VLOOKUP(Games!B92, Data!$B$2:$L$135, 11, FALSE)&lt;&gt;1, VLOOKUP(Games!C92, Data!$B$2:$L$135, 11, FALSE)=1), 1,0))*Coefficients!L$2</f>
        <v>#N/A</v>
      </c>
      <c r="O92" t="e">
        <f t="shared" si="1"/>
        <v>#VALUE!</v>
      </c>
    </row>
    <row r="93">
      <c r="A93" t="n">
        <f>Coefficients!$A$2</f>
        <v>-3.7765953152866998</v>
      </c>
      <c r="B93" t="e">
        <f>(Games!D93)*(-1*Coefficients!$B$2)</f>
        <v>#VALUE!</v>
      </c>
      <c r="C93" t="e">
        <f>(VLOOKUP(Games!B93, Data!$B$2:$L$135, 4, FALSE)-VLOOKUP(Games!C93, Data!$B$2:$L$135, 4, FALSE))*Coefficients!$C$2</f>
        <v>#N/A</v>
      </c>
      <c r="D93" t="e">
        <f>(VLOOKUP(Games!B93, Data!$B$2:$L$135, 3, FALSE)-VLOOKUP(Games!C93, Data!$B$2:$L$135, 3, FALSE))*Coefficients!$D$2</f>
        <v>#N/A</v>
      </c>
      <c r="E93" t="e">
        <f>(VLOOKUP(Games!B93, Data!$B$2:$L$135, 5, FALSE)-VLOOKUP(Games!C93, Data!$B$2:$L$135, 5, FALSE))*Coefficients!$E$2</f>
        <v>#N/A</v>
      </c>
      <c r="F93" t="e">
        <f>(VLOOKUP(Games!B93, Data!$B$2:$L$135, 6, FALSE)-VLOOKUP(Games!C93, Data!$B$2:$L$135, 6, FALSE))*Coefficients!$F$2</f>
        <v>#N/A</v>
      </c>
      <c r="G93" t="e">
        <f>(VLOOKUP(Games!B93, Data!$B$2:$L$135, 7, FALSE)-VLOOKUP(Games!C93, Data!$B$2:$L$135, 7, FALSE))*Coefficients!$G$2</f>
        <v>#N/A</v>
      </c>
      <c r="H93" t="e">
        <f>(VLOOKUP(Games!B93, Data!$B$2:$L$135, 8, FALSE)-VLOOKUP(Games!C93, Data!$B$2:$L$135, 8, FALSE))*Coefficients!$H$2</f>
        <v>#N/A</v>
      </c>
      <c r="I93" t="e">
        <f>(VLOOKUP(Games!B93, Data!$B$2:$L$135, 9, FALSE)-VLOOKUP(Games!C93, Data!$B$2:$L$135, 9, FALSE))*Coefficients!$I$2</f>
        <v>#N/A</v>
      </c>
      <c r="J93" t="n">
        <f>IF(ISBLANK(Data!K93), Games!L93-Games!M93,VLOOKUP(Games!B93, Data!$B$2:$L$135, 10, FALSE)-VLOOKUP(Games!C93, Data!$B$2:$L$135, 10, FALSE))*Coefficients!$J$2</f>
        <v>11.262308327588016</v>
      </c>
      <c r="K93" t="e">
        <f>(IF(AND(VLOOKUP(Games!B93, Data!$B$2:$L$135, 11, FALSE)=1, VLOOKUP(Games!C93, Data!$B$2:$L$135, 11, FALSE)&lt;&gt;1), 1,0))*Coefficients!K$2</f>
        <v>#N/A</v>
      </c>
      <c r="L93" t="e">
        <f>(IF(AND(VLOOKUP(Games!B93, Data!$B$2:$L$135, 11, FALSE)&lt;&gt;1, VLOOKUP(Games!C93, Data!$B$2:$L$135, 11, FALSE)=1), 1,0))*Coefficients!L$2</f>
        <v>#N/A</v>
      </c>
      <c r="O93" t="e">
        <f t="shared" si="1"/>
        <v>#VALUE!</v>
      </c>
    </row>
    <row r="94">
      <c r="A94" t="n">
        <f>Coefficients!$A$2</f>
        <v>-3.7765953152866998</v>
      </c>
      <c r="B94" t="e">
        <f>(Games!D94)*(-1*Coefficients!$B$2)</f>
        <v>#VALUE!</v>
      </c>
      <c r="C94" t="e">
        <f>(VLOOKUP(Games!B94, Data!$B$2:$L$135, 4, FALSE)-VLOOKUP(Games!C94, Data!$B$2:$L$135, 4, FALSE))*Coefficients!$C$2</f>
        <v>#N/A</v>
      </c>
      <c r="D94" t="e">
        <f>(VLOOKUP(Games!B94, Data!$B$2:$L$135, 3, FALSE)-VLOOKUP(Games!C94, Data!$B$2:$L$135, 3, FALSE))*Coefficients!$D$2</f>
        <v>#N/A</v>
      </c>
      <c r="E94" t="e">
        <f>(VLOOKUP(Games!B94, Data!$B$2:$L$135, 5, FALSE)-VLOOKUP(Games!C94, Data!$B$2:$L$135, 5, FALSE))*Coefficients!$E$2</f>
        <v>#N/A</v>
      </c>
      <c r="F94" t="e">
        <f>(VLOOKUP(Games!B94, Data!$B$2:$L$135, 6, FALSE)-VLOOKUP(Games!C94, Data!$B$2:$L$135, 6, FALSE))*Coefficients!$F$2</f>
        <v>#N/A</v>
      </c>
      <c r="G94" t="e">
        <f>(VLOOKUP(Games!B94, Data!$B$2:$L$135, 7, FALSE)-VLOOKUP(Games!C94, Data!$B$2:$L$135, 7, FALSE))*Coefficients!$G$2</f>
        <v>#N/A</v>
      </c>
      <c r="H94" t="e">
        <f>(VLOOKUP(Games!B94, Data!$B$2:$L$135, 8, FALSE)-VLOOKUP(Games!C94, Data!$B$2:$L$135, 8, FALSE))*Coefficients!$H$2</f>
        <v>#N/A</v>
      </c>
      <c r="I94" t="e">
        <f>(VLOOKUP(Games!B94, Data!$B$2:$L$135, 9, FALSE)-VLOOKUP(Games!C94, Data!$B$2:$L$135, 9, FALSE))*Coefficients!$I$2</f>
        <v>#N/A</v>
      </c>
      <c r="J94" t="n">
        <f>IF(ISBLANK(Data!K94), Games!L94-Games!M94,VLOOKUP(Games!B94, Data!$B$2:$L$135, 10, FALSE)-VLOOKUP(Games!C94, Data!$B$2:$L$135, 10, FALSE))*Coefficients!$J$2</f>
        <v>11.272175478906235</v>
      </c>
      <c r="K94" t="e">
        <f>(IF(AND(VLOOKUP(Games!B94, Data!$B$2:$L$135, 11, FALSE)=1, VLOOKUP(Games!C94, Data!$B$2:$L$135, 11, FALSE)&lt;&gt;1), 1,0))*Coefficients!K$2</f>
        <v>#N/A</v>
      </c>
      <c r="L94" t="e">
        <f>(IF(AND(VLOOKUP(Games!B94, Data!$B$2:$L$135, 11, FALSE)&lt;&gt;1, VLOOKUP(Games!C94, Data!$B$2:$L$135, 11, FALSE)=1), 1,0))*Coefficients!L$2</f>
        <v>#N/A</v>
      </c>
      <c r="O94" t="e">
        <f t="shared" si="1"/>
        <v>#VALUE!</v>
      </c>
    </row>
    <row r="95">
      <c r="A95" t="n">
        <f>Coefficients!$A$2</f>
        <v>-3.7765953152866998</v>
      </c>
      <c r="B95" t="e">
        <f>(Games!D95)*(-1*Coefficients!$B$2)</f>
        <v>#VALUE!</v>
      </c>
      <c r="C95" t="e">
        <f>(VLOOKUP(Games!B95, Data!$B$2:$L$135, 4, FALSE)-VLOOKUP(Games!C95, Data!$B$2:$L$135, 4, FALSE))*Coefficients!$C$2</f>
        <v>#N/A</v>
      </c>
      <c r="D95" t="e">
        <f>(VLOOKUP(Games!B95, Data!$B$2:$L$135, 3, FALSE)-VLOOKUP(Games!C95, Data!$B$2:$L$135, 3, FALSE))*Coefficients!$D$2</f>
        <v>#N/A</v>
      </c>
      <c r="E95" t="e">
        <f>(VLOOKUP(Games!B95, Data!$B$2:$L$135, 5, FALSE)-VLOOKUP(Games!C95, Data!$B$2:$L$135, 5, FALSE))*Coefficients!$E$2</f>
        <v>#N/A</v>
      </c>
      <c r="F95" t="e">
        <f>(VLOOKUP(Games!B95, Data!$B$2:$L$135, 6, FALSE)-VLOOKUP(Games!C95, Data!$B$2:$L$135, 6, FALSE))*Coefficients!$F$2</f>
        <v>#N/A</v>
      </c>
      <c r="G95" t="e">
        <f>(VLOOKUP(Games!B95, Data!$B$2:$L$135, 7, FALSE)-VLOOKUP(Games!C95, Data!$B$2:$L$135, 7, FALSE))*Coefficients!$G$2</f>
        <v>#N/A</v>
      </c>
      <c r="H95" t="e">
        <f>(VLOOKUP(Games!B95, Data!$B$2:$L$135, 8, FALSE)-VLOOKUP(Games!C95, Data!$B$2:$L$135, 8, FALSE))*Coefficients!$H$2</f>
        <v>#N/A</v>
      </c>
      <c r="I95" t="e">
        <f>(VLOOKUP(Games!B95, Data!$B$2:$L$135, 9, FALSE)-VLOOKUP(Games!C95, Data!$B$2:$L$135, 9, FALSE))*Coefficients!$I$2</f>
        <v>#N/A</v>
      </c>
      <c r="J95" t="n">
        <f>IF(ISBLANK(Data!K95), Games!L95-Games!M95,VLOOKUP(Games!B95, Data!$B$2:$L$135, 10, FALSE)-VLOOKUP(Games!C95, Data!$B$2:$L$135, 10, FALSE))*Coefficients!$J$2</f>
        <v>10.597152969010018</v>
      </c>
      <c r="K95" t="e">
        <f>(IF(AND(VLOOKUP(Games!B95, Data!$B$2:$L$135, 11, FALSE)=1, VLOOKUP(Games!C95, Data!$B$2:$L$135, 11, FALSE)&lt;&gt;1), 1,0))*Coefficients!K$2</f>
        <v>#N/A</v>
      </c>
      <c r="L95" t="e">
        <f>(IF(AND(VLOOKUP(Games!B95, Data!$B$2:$L$135, 11, FALSE)&lt;&gt;1, VLOOKUP(Games!C95, Data!$B$2:$L$135, 11, FALSE)=1), 1,0))*Coefficients!L$2</f>
        <v>#N/A</v>
      </c>
      <c r="O95" t="e">
        <f t="shared" si="1"/>
        <v>#VALUE!</v>
      </c>
    </row>
    <row r="96">
      <c r="A96" t="n">
        <f>Coefficients!$A$2</f>
        <v>-3.7765953152866998</v>
      </c>
      <c r="B96" t="n">
        <f>(Games!D96)*(-1*Coefficients!$B$2)</f>
        <v>-10.209638319169265</v>
      </c>
      <c r="C96" t="e">
        <f>(VLOOKUP(Games!B96, Data!$B$2:$L$135, 4, FALSE)-VLOOKUP(Games!C96, Data!$B$2:$L$135, 4, FALSE))*Coefficients!$C$2</f>
        <v>#N/A</v>
      </c>
      <c r="D96" t="e">
        <f>(VLOOKUP(Games!B96, Data!$B$2:$L$135, 3, FALSE)-VLOOKUP(Games!C96, Data!$B$2:$L$135, 3, FALSE))*Coefficients!$D$2</f>
        <v>#N/A</v>
      </c>
      <c r="E96" t="e">
        <f>(VLOOKUP(Games!B96, Data!$B$2:$L$135, 5, FALSE)-VLOOKUP(Games!C96, Data!$B$2:$L$135, 5, FALSE))*Coefficients!$E$2</f>
        <v>#N/A</v>
      </c>
      <c r="F96" t="e">
        <f>(VLOOKUP(Games!B96, Data!$B$2:$L$135, 6, FALSE)-VLOOKUP(Games!C96, Data!$B$2:$L$135, 6, FALSE))*Coefficients!$F$2</f>
        <v>#N/A</v>
      </c>
      <c r="G96" t="e">
        <f>(VLOOKUP(Games!B96, Data!$B$2:$L$135, 7, FALSE)-VLOOKUP(Games!C96, Data!$B$2:$L$135, 7, FALSE))*Coefficients!$G$2</f>
        <v>#N/A</v>
      </c>
      <c r="H96" t="e">
        <f>(VLOOKUP(Games!B96, Data!$B$2:$L$135, 8, FALSE)-VLOOKUP(Games!C96, Data!$B$2:$L$135, 8, FALSE))*Coefficients!$H$2</f>
        <v>#N/A</v>
      </c>
      <c r="I96" t="e">
        <f>(VLOOKUP(Games!B96, Data!$B$2:$L$135, 9, FALSE)-VLOOKUP(Games!C96, Data!$B$2:$L$135, 9, FALSE))*Coefficients!$I$2</f>
        <v>#N/A</v>
      </c>
      <c r="J96" t="n">
        <f>IF(ISBLANK(Data!K96), Games!L96-Games!M96,VLOOKUP(Games!B96, Data!$B$2:$L$135, 10, FALSE)-VLOOKUP(Games!C96, Data!$B$2:$L$135, 10, FALSE))*Coefficients!$J$2</f>
        <v>10.291493108625334</v>
      </c>
      <c r="K96" t="e">
        <f>(IF(AND(VLOOKUP(Games!B96, Data!$B$2:$L$135, 11, FALSE)=1, VLOOKUP(Games!C96, Data!$B$2:$L$135, 11, FALSE)&lt;&gt;1), 1,0))*Coefficients!K$2</f>
        <v>#N/A</v>
      </c>
      <c r="L96" t="e">
        <f>(IF(AND(VLOOKUP(Games!B96, Data!$B$2:$L$135, 11, FALSE)&lt;&gt;1, VLOOKUP(Games!C96, Data!$B$2:$L$135, 11, FALSE)=1), 1,0))*Coefficients!L$2</f>
        <v>#N/A</v>
      </c>
      <c r="O96" t="e">
        <f t="shared" si="1"/>
        <v>#N/A</v>
      </c>
    </row>
    <row r="97">
      <c r="A97" t="n">
        <f>Coefficients!$A$2</f>
        <v>-3.7765953152866998</v>
      </c>
      <c r="B97" t="n">
        <f>(Games!D97)*(-1*Coefficients!$B$2)</f>
        <v>7.52289139307209</v>
      </c>
      <c r="C97" t="n">
        <f>(VLOOKUP(Games!B97, Data!$B$2:$L$135, 4, FALSE)-VLOOKUP(Games!C97, Data!$B$2:$L$135, 4, FALSE))*Coefficients!$C$2</f>
        <v>2.7486593036318223</v>
      </c>
      <c r="D97" t="n">
        <f>(VLOOKUP(Games!B97, Data!$B$2:$L$135, 3, FALSE)-VLOOKUP(Games!C97, Data!$B$2:$L$135, 3, FALSE))*Coefficients!$D$2</f>
        <v>2.3198435318406472</v>
      </c>
      <c r="E97" t="n">
        <f>(VLOOKUP(Games!B97, Data!$B$2:$L$135, 5, FALSE)-VLOOKUP(Games!C97, Data!$B$2:$L$135, 5, FALSE))*Coefficients!$E$2</f>
        <v>8.7187527311730761</v>
      </c>
      <c r="F97" t="n">
        <f>(VLOOKUP(Games!B97, Data!$B$2:$L$135, 6, FALSE)-VLOOKUP(Games!C97, Data!$B$2:$L$135, 6, FALSE))*Coefficients!$F$2</f>
        <v>1.4115150054536503</v>
      </c>
      <c r="G97" t="n">
        <f>(VLOOKUP(Games!B97, Data!$B$2:$L$135, 7, FALSE)-VLOOKUP(Games!C97, Data!$B$2:$L$135, 7, FALSE))*Coefficients!$G$2</f>
        <v>-9.3680030275659139</v>
      </c>
      <c r="H97" t="n">
        <f>(VLOOKUP(Games!B97, Data!$B$2:$L$135, 8, FALSE)-VLOOKUP(Games!C97, Data!$B$2:$L$135, 8, FALSE))*Coefficients!$H$2</f>
        <v>1.27186149121742</v>
      </c>
      <c r="I97" t="n">
        <f>(VLOOKUP(Games!B97, Data!$B$2:$L$135, 9, FALSE)-VLOOKUP(Games!C97, Data!$B$2:$L$135, 9, FALSE))*Coefficients!$I$2</f>
        <v>0.58582502312745999</v>
      </c>
      <c r="J97" t="n">
        <f>IF(ISBLANK(Data!K97), Games!L97-Games!M97,VLOOKUP(Games!B97, Data!$B$2:$L$135, 10, FALSE)-VLOOKUP(Games!C97, Data!$B$2:$L$135, 10, FALSE))*Coefficients!$J$2</f>
        <v>-0.74082037302392889</v>
      </c>
      <c r="K97" t="n">
        <f>(IF(AND(VLOOKUP(Games!B97, Data!$B$2:$L$135, 11, FALSE)=1, VLOOKUP(Games!C97, Data!$B$2:$L$135, 11, FALSE)&lt;&gt;1), 1,0))*Coefficients!K$2</f>
        <v>0</v>
      </c>
      <c r="L97" t="n">
        <f>(IF(AND(VLOOKUP(Games!B97, Data!$B$2:$L$135, 11, FALSE)&lt;&gt;1, VLOOKUP(Games!C97, Data!$B$2:$L$135, 11, FALSE)=1), 1,0))*Coefficients!L$2</f>
        <v>0</v>
      </c>
      <c r="O97" t="n">
        <f t="shared" si="1"/>
        <v>10.693929763639625</v>
      </c>
    </row>
    <row r="98">
      <c r="A98" t="n">
        <f>Coefficients!$A$2</f>
        <v>-3.7765953152866998</v>
      </c>
      <c r="B98" t="n">
        <f>(Games!D98)*(-1*Coefficients!$B$2)</f>
        <v>-32.778312498385532</v>
      </c>
      <c r="C98" t="n">
        <f>(VLOOKUP(Games!B98, Data!$B$2:$L$135, 4, FALSE)-VLOOKUP(Games!C98, Data!$B$2:$L$135, 4, FALSE))*Coefficients!$C$2</f>
        <v>-2.708823661550205</v>
      </c>
      <c r="D98" t="n">
        <f>(VLOOKUP(Games!B98, Data!$B$2:$L$135, 3, FALSE)-VLOOKUP(Games!C98, Data!$B$2:$L$135, 3, FALSE))*Coefficients!$D$2</f>
        <v>26.889095482698419</v>
      </c>
      <c r="E98" t="n">
        <f>(VLOOKUP(Games!B98, Data!$B$2:$L$135, 5, FALSE)-VLOOKUP(Games!C98, Data!$B$2:$L$135, 5, FALSE))*Coefficients!$E$2</f>
        <v>-28.335946376312481</v>
      </c>
      <c r="F98" t="n">
        <f>(VLOOKUP(Games!B98, Data!$B$2:$L$135, 6, FALSE)-VLOOKUP(Games!C98, Data!$B$2:$L$135, 6, FALSE))*Coefficients!$F$2</f>
        <v>-6.5022697053552836</v>
      </c>
      <c r="G98" t="n">
        <f>(VLOOKUP(Games!B98, Data!$B$2:$L$135, 7, FALSE)-VLOOKUP(Games!C98, Data!$B$2:$L$135, 7, FALSE))*Coefficients!$G$2</f>
        <v>-30.90042789689652</v>
      </c>
      <c r="H98" t="n">
        <f>(VLOOKUP(Games!B98, Data!$B$2:$L$135, 8, FALSE)-VLOOKUP(Games!C98, Data!$B$2:$L$135, 8, FALSE))*Coefficients!$H$2</f>
        <v>-12.082684166565487</v>
      </c>
      <c r="I98" t="n">
        <f>(VLOOKUP(Games!B98, Data!$B$2:$L$135, 9, FALSE)-VLOOKUP(Games!C98, Data!$B$2:$L$135, 9, FALSE))*Coefficients!$I$2</f>
        <v>4.8330564408015446</v>
      </c>
      <c r="J98" t="n">
        <f>IF(ISBLANK(Data!K98), Games!L98-Games!M98,VLOOKUP(Games!B98, Data!$B$2:$L$135, 10, FALSE)-VLOOKUP(Games!C98, Data!$B$2:$L$135, 10, FALSE))*Coefficients!$J$2</f>
        <v>12.288935859056187</v>
      </c>
      <c r="K98" t="n">
        <f>(IF(AND(VLOOKUP(Games!B98, Data!$B$2:$L$135, 11, FALSE)=1, VLOOKUP(Games!C98, Data!$B$2:$L$135, 11, FALSE)&lt;&gt;1), 1,0))*Coefficients!K$2</f>
        <v>2.2564618572078001</v>
      </c>
      <c r="L98" t="n">
        <f>(IF(AND(VLOOKUP(Games!B98, Data!$B$2:$L$135, 11, FALSE)&lt;&gt;1, VLOOKUP(Games!C98, Data!$B$2:$L$135, 11, FALSE)=1), 1,0))*Coefficients!L$2</f>
        <v>0</v>
      </c>
      <c r="O98" t="n">
        <f t="shared" si="1"/>
        <v>-70.81750998058827</v>
      </c>
    </row>
    <row r="99">
      <c r="A99" t="n">
        <f>Coefficients!$A$2</f>
        <v>-3.7765953152866998</v>
      </c>
      <c r="B99" t="n">
        <f>(Games!D99)*(-1*Coefficients!$B$2)</f>
        <v>-31.166264342727228</v>
      </c>
      <c r="C99" t="e">
        <f>(VLOOKUP(Games!B99, Data!$B$2:$L$135, 4, FALSE)-VLOOKUP(Games!C99, Data!$B$2:$L$135, 4, FALSE))*Coefficients!$C$2</f>
        <v>#N/A</v>
      </c>
      <c r="D99" t="e">
        <f>(VLOOKUP(Games!B99, Data!$B$2:$L$135, 3, FALSE)-VLOOKUP(Games!C99, Data!$B$2:$L$135, 3, FALSE))*Coefficients!$D$2</f>
        <v>#N/A</v>
      </c>
      <c r="E99" t="e">
        <f>(VLOOKUP(Games!B99, Data!$B$2:$L$135, 5, FALSE)-VLOOKUP(Games!C99, Data!$B$2:$L$135, 5, FALSE))*Coefficients!$E$2</f>
        <v>#N/A</v>
      </c>
      <c r="F99" t="e">
        <f>(VLOOKUP(Games!B99, Data!$B$2:$L$135, 6, FALSE)-VLOOKUP(Games!C99, Data!$B$2:$L$135, 6, FALSE))*Coefficients!$F$2</f>
        <v>#N/A</v>
      </c>
      <c r="G99" t="e">
        <f>(VLOOKUP(Games!B99, Data!$B$2:$L$135, 7, FALSE)-VLOOKUP(Games!C99, Data!$B$2:$L$135, 7, FALSE))*Coefficients!$G$2</f>
        <v>#N/A</v>
      </c>
      <c r="H99" t="e">
        <f>(VLOOKUP(Games!B99, Data!$B$2:$L$135, 8, FALSE)-VLOOKUP(Games!C99, Data!$B$2:$L$135, 8, FALSE))*Coefficients!$H$2</f>
        <v>#N/A</v>
      </c>
      <c r="I99" t="e">
        <f>(VLOOKUP(Games!B99, Data!$B$2:$L$135, 9, FALSE)-VLOOKUP(Games!C99, Data!$B$2:$L$135, 9, FALSE))*Coefficients!$I$2</f>
        <v>#N/A</v>
      </c>
      <c r="J99" t="n">
        <f>IF(ISBLANK(Data!K99), Games!L99-Games!M99,VLOOKUP(Games!B99, Data!$B$2:$L$135, 10, FALSE)-VLOOKUP(Games!C99, Data!$B$2:$L$135, 10, FALSE))*Coefficients!$J$2</f>
        <v>12.610042500315705</v>
      </c>
      <c r="K99" t="e">
        <f>(IF(AND(VLOOKUP(Games!B99, Data!$B$2:$L$135, 11, FALSE)=1, VLOOKUP(Games!C99, Data!$B$2:$L$135, 11, FALSE)&lt;&gt;1), 1,0))*Coefficients!K$2</f>
        <v>#N/A</v>
      </c>
      <c r="L99" t="e">
        <f>(IF(AND(VLOOKUP(Games!B99, Data!$B$2:$L$135, 11, FALSE)&lt;&gt;1, VLOOKUP(Games!C99, Data!$B$2:$L$135, 11, FALSE)=1), 1,0))*Coefficients!L$2</f>
        <v>#N/A</v>
      </c>
      <c r="O99" t="e">
        <f t="shared" si="1"/>
        <v>#N/A</v>
      </c>
    </row>
    <row r="100">
      <c r="A100" t="n">
        <f>Coefficients!$A$2</f>
        <v>-3.7765953152866998</v>
      </c>
      <c r="B100" t="n">
        <f>(Games!D100)*(-1*Coefficients!$B$2)</f>
        <v>4.2987950817554799</v>
      </c>
      <c r="C100" t="n">
        <f>(VLOOKUP(Games!B100, Data!$B$2:$L$135, 4, FALSE)-VLOOKUP(Games!C100, Data!$B$2:$L$135, 4, FALSE))*Coefficients!$C$2</f>
        <v>-0.95605540995889693</v>
      </c>
      <c r="D100" t="n">
        <f>(VLOOKUP(Games!B100, Data!$B$2:$L$135, 3, FALSE)-VLOOKUP(Games!C100, Data!$B$2:$L$135, 3, FALSE))*Coefficients!$D$2</f>
        <v>-0.94902689938935547</v>
      </c>
      <c r="E100" t="n">
        <f>(VLOOKUP(Games!B100, Data!$B$2:$L$135, 5, FALSE)-VLOOKUP(Games!C100, Data!$B$2:$L$135, 5, FALSE))*Coefficients!$E$2</f>
        <v>-13.078129096759611</v>
      </c>
      <c r="F100" t="n">
        <f>(VLOOKUP(Games!B100, Data!$B$2:$L$135, 6, FALSE)-VLOOKUP(Games!C100, Data!$B$2:$L$135, 6, FALSE))*Coefficients!$F$2</f>
        <v>-1.3868955576841098</v>
      </c>
      <c r="G100" t="n">
        <f>(VLOOKUP(Games!B100, Data!$B$2:$L$135, 7, FALSE)-VLOOKUP(Games!C100, Data!$B$2:$L$135, 7, FALSE))*Coefficients!$G$2</f>
        <v>-4.8937329248478649</v>
      </c>
      <c r="H100" t="n">
        <f>(VLOOKUP(Games!B100, Data!$B$2:$L$135, 8, FALSE)-VLOOKUP(Games!C100, Data!$B$2:$L$135, 8, FALSE))*Coefficients!$H$2</f>
        <v>-1.6251563498889259</v>
      </c>
      <c r="I100" t="n">
        <f>(VLOOKUP(Games!B100, Data!$B$2:$L$135, 9, FALSE)-VLOOKUP(Games!C100, Data!$B$2:$L$135, 9, FALSE))*Coefficients!$I$2</f>
        <v>1.3473975531931581</v>
      </c>
      <c r="J100" t="n">
        <f>IF(ISBLANK(Data!K100), Games!L100-Games!M100,VLOOKUP(Games!B100, Data!$B$2:$L$135, 10, FALSE)-VLOOKUP(Games!C100, Data!$B$2:$L$135, 10, FALSE))*Coefficients!$J$2</f>
        <v>5.5977067765708233</v>
      </c>
      <c r="K100" t="n">
        <f>(IF(AND(VLOOKUP(Games!B100, Data!$B$2:$L$135, 11, FALSE)=1, VLOOKUP(Games!C100, Data!$B$2:$L$135, 11, FALSE)&lt;&gt;1), 1,0))*Coefficients!K$2</f>
        <v>0</v>
      </c>
      <c r="L100" t="n">
        <f>(IF(AND(VLOOKUP(Games!B100, Data!$B$2:$L$135, 11, FALSE)&lt;&gt;1, VLOOKUP(Games!C100, Data!$B$2:$L$135, 11, FALSE)=1), 1,0))*Coefficients!L$2</f>
        <v>0</v>
      </c>
      <c r="O100" t="n">
        <f t="shared" si="1"/>
        <v>-15.421692142295999</v>
      </c>
    </row>
    <row r="101">
      <c r="A101" t="n">
        <f>Coefficients!$A$2</f>
        <v>-3.7765953152866998</v>
      </c>
      <c r="B101" t="n">
        <f>(Games!D101)*(-1*Coefficients!$B$2)</f>
        <v>-18.269879097460791</v>
      </c>
      <c r="C101" t="n">
        <f>(VLOOKUP(Games!B101, Data!$B$2:$L$135, 4, FALSE)-VLOOKUP(Games!C101, Data!$B$2:$L$135, 4, FALSE))*Coefficients!$C$2</f>
        <v>-2.424283360967205</v>
      </c>
      <c r="D101" t="n">
        <f>(VLOOKUP(Games!B101, Data!$B$2:$L$135, 3, FALSE)-VLOOKUP(Games!C101, Data!$B$2:$L$135, 3, FALSE))*Coefficients!$D$2</f>
        <v>12.917310575021791</v>
      </c>
      <c r="E101" t="n">
        <f>(VLOOKUP(Games!B101, Data!$B$2:$L$135, 5, FALSE)-VLOOKUP(Games!C101, Data!$B$2:$L$135, 5, FALSE))*Coefficients!$E$2</f>
        <v>-28.58744885894248</v>
      </c>
      <c r="F101" t="n">
        <f>(VLOOKUP(Games!B101, Data!$B$2:$L$135, 6, FALSE)-VLOOKUP(Games!C101, Data!$B$2:$L$135, 6, FALSE))*Coefficients!$F$2</f>
        <v>-5.2138519387493352</v>
      </c>
      <c r="G101" t="n">
        <f>(VLOOKUP(Games!B101, Data!$B$2:$L$135, 7, FALSE)-VLOOKUP(Games!C101, Data!$B$2:$L$135, 7, FALSE))*Coefficients!$G$2</f>
        <v>-14.681198774543596</v>
      </c>
      <c r="H101" t="n">
        <f>(VLOOKUP(Games!B101, Data!$B$2:$L$135, 8, FALSE)-VLOOKUP(Games!C101, Data!$B$2:$L$135, 8, FALSE))*Coefficients!$H$2</f>
        <v>-7.2072151168987126</v>
      </c>
      <c r="I101" t="n">
        <f>(VLOOKUP(Games!B101, Data!$B$2:$L$135, 9, FALSE)-VLOOKUP(Games!C101, Data!$B$2:$L$135, 9, FALSE))*Coefficients!$I$2</f>
        <v>3.2659745039355892</v>
      </c>
      <c r="J101" t="n">
        <f>IF(ISBLANK(Data!K101), Games!L101-Games!M101,VLOOKUP(Games!B101, Data!$B$2:$L$135, 10, FALSE)-VLOOKUP(Games!C101, Data!$B$2:$L$135, 10, FALSE))*Coefficients!$J$2</f>
        <v>8.2891092749361075</v>
      </c>
      <c r="K101" t="n">
        <f>(IF(AND(VLOOKUP(Games!B101, Data!$B$2:$L$135, 11, FALSE)=1, VLOOKUP(Games!C101, Data!$B$2:$L$135, 11, FALSE)&lt;&gt;1), 1,0))*Coefficients!K$2</f>
        <v>2.2564618572078001</v>
      </c>
      <c r="L101" t="n">
        <f>(IF(AND(VLOOKUP(Games!B101, Data!$B$2:$L$135, 11, FALSE)&lt;&gt;1, VLOOKUP(Games!C101, Data!$B$2:$L$135, 11, FALSE)=1), 1,0))*Coefficients!L$2</f>
        <v>0</v>
      </c>
      <c r="O101" t="n">
        <f t="shared" si="1"/>
        <v>-53.431616251747528</v>
      </c>
    </row>
    <row r="102">
      <c r="A102" t="n">
        <f>Coefficients!$A$2</f>
        <v>-3.7765953152866998</v>
      </c>
      <c r="B102" t="e">
        <f>(Games!#REF!)*(-1*Coefficients!$B$2)</f>
        <v>#REF!</v>
      </c>
      <c r="C102" t="e">
        <f>(VLOOKUP(Games!#REF!, Data!$B$2:$L$135, 4, FALSE)-VLOOKUP(Games!#REF!, Data!$B$2:$L$135, 4, FALSE))*Coefficients!$C$2</f>
        <v>#REF!</v>
      </c>
      <c r="D102" t="e">
        <f>(VLOOKUP(Games!#REF!, Data!$B$2:$L$135, 3, FALSE)-VLOOKUP(Games!#REF!, Data!$B$2:$L$135, 3, FALSE))*Coefficients!$D$2</f>
        <v>#REF!</v>
      </c>
      <c r="E102" t="e">
        <f>(VLOOKUP(Games!#REF!, Data!$B$2:$L$135, 5, FALSE)-VLOOKUP(Games!#REF!, Data!$B$2:$L$135, 5, FALSE))*Coefficients!$E$2</f>
        <v>#REF!</v>
      </c>
      <c r="F102" t="e">
        <f>(VLOOKUP(Games!#REF!, Data!$B$2:$L$135, 6, FALSE)-VLOOKUP(Games!#REF!, Data!$B$2:$L$135, 6, FALSE))*Coefficients!$F$2</f>
        <v>#REF!</v>
      </c>
      <c r="G102" t="e">
        <f>(VLOOKUP(Games!#REF!, Data!$B$2:$L$135, 7, FALSE)-VLOOKUP(Games!#REF!, Data!$B$2:$L$135, 7, FALSE))*Coefficients!$G$2</f>
        <v>#REF!</v>
      </c>
      <c r="H102" t="e">
        <f>(VLOOKUP(Games!#REF!, Data!$B$2:$L$135, 8, FALSE)-VLOOKUP(Games!#REF!, Data!$B$2:$L$135, 8, FALSE))*Coefficients!$H$2</f>
        <v>#REF!</v>
      </c>
      <c r="I102" t="e">
        <f>(VLOOKUP(Games!#REF!, Data!$B$2:$L$135, 9, FALSE)-VLOOKUP(Games!#REF!, Data!$B$2:$L$135, 9, FALSE))*Coefficients!$I$2</f>
        <v>#REF!</v>
      </c>
      <c r="J102" t="e">
        <f>IF(ISBLANK(Data!K102), Games!#REF!-Games!#REF!,VLOOKUP(Games!#REF!, Data!$B$2:$L$135, 10, FALSE)-VLOOKUP(Games!#REF!, Data!$B$2:$L$135, 10, FALSE))*Coefficients!$J$2</f>
        <v>#REF!</v>
      </c>
      <c r="K102" t="e">
        <f>(IF(AND(VLOOKUP(Games!#REF!, Data!$B$2:$L$135, 11, FALSE)=1, VLOOKUP(Games!#REF!, Data!$B$2:$L$135, 11, FALSE)&lt;&gt;1), 1,0))*Coefficients!K$2</f>
        <v>#REF!</v>
      </c>
      <c r="L102" t="e">
        <f>(IF(AND(VLOOKUP(Games!#REF!, Data!$B$2:$L$135, 11, FALSE)&lt;&gt;1, VLOOKUP(Games!#REF!, Data!$B$2:$L$135, 11, FALSE)=1), 1,0))*Coefficients!L$2</f>
        <v>#REF!</v>
      </c>
      <c r="O102" t="e">
        <f t="shared" si="1"/>
        <v>#REF!</v>
      </c>
    </row>
    <row r="103">
      <c r="A103" t="n">
        <f>Coefficients!$A$2</f>
        <v>-3.7765953152866998</v>
      </c>
      <c r="B103" t="e">
        <f>(Games!#REF!)*(-1*Coefficients!$B$2)</f>
        <v>#REF!</v>
      </c>
      <c r="C103" t="e">
        <f>(VLOOKUP(Games!#REF!, Data!$B$2:$L$135, 4, FALSE)-VLOOKUP(Games!#REF!, Data!$B$2:$L$135, 4, FALSE))*Coefficients!$C$2</f>
        <v>#REF!</v>
      </c>
      <c r="D103" t="e">
        <f>(VLOOKUP(Games!#REF!, Data!$B$2:$L$135, 3, FALSE)-VLOOKUP(Games!#REF!, Data!$B$2:$L$135, 3, FALSE))*Coefficients!$D$2</f>
        <v>#REF!</v>
      </c>
      <c r="E103" t="e">
        <f>(VLOOKUP(Games!#REF!, Data!$B$2:$L$135, 5, FALSE)-VLOOKUP(Games!#REF!, Data!$B$2:$L$135, 5, FALSE))*Coefficients!$E$2</f>
        <v>#REF!</v>
      </c>
      <c r="F103" t="e">
        <f>(VLOOKUP(Games!#REF!, Data!$B$2:$L$135, 6, FALSE)-VLOOKUP(Games!#REF!, Data!$B$2:$L$135, 6, FALSE))*Coefficients!$F$2</f>
        <v>#REF!</v>
      </c>
      <c r="G103" t="e">
        <f>(VLOOKUP(Games!#REF!, Data!$B$2:$L$135, 7, FALSE)-VLOOKUP(Games!#REF!, Data!$B$2:$L$135, 7, FALSE))*Coefficients!$G$2</f>
        <v>#REF!</v>
      </c>
      <c r="H103" t="e">
        <f>(VLOOKUP(Games!#REF!, Data!$B$2:$L$135, 8, FALSE)-VLOOKUP(Games!#REF!, Data!$B$2:$L$135, 8, FALSE))*Coefficients!$H$2</f>
        <v>#REF!</v>
      </c>
      <c r="I103" t="e">
        <f>(VLOOKUP(Games!#REF!, Data!$B$2:$L$135, 9, FALSE)-VLOOKUP(Games!#REF!, Data!$B$2:$L$135, 9, FALSE))*Coefficients!$I$2</f>
        <v>#REF!</v>
      </c>
      <c r="J103" t="e">
        <f>IF(ISBLANK(Data!K103), Games!#REF!-Games!#REF!,VLOOKUP(Games!#REF!, Data!$B$2:$L$135, 10, FALSE)-VLOOKUP(Games!#REF!, Data!$B$2:$L$135, 10, FALSE))*Coefficients!$J$2</f>
        <v>#REF!</v>
      </c>
      <c r="K103" t="e">
        <f>(IF(AND(VLOOKUP(Games!#REF!, Data!$B$2:$L$135, 11, FALSE)=1, VLOOKUP(Games!#REF!, Data!$B$2:$L$135, 11, FALSE)&lt;&gt;1), 1,0))*Coefficients!K$2</f>
        <v>#REF!</v>
      </c>
      <c r="L103" t="e">
        <f>(IF(AND(VLOOKUP(Games!#REF!, Data!$B$2:$L$135, 11, FALSE)&lt;&gt;1, VLOOKUP(Games!#REF!, Data!$B$2:$L$135, 11, FALSE)=1), 1,0))*Coefficients!L$2</f>
        <v>#REF!</v>
      </c>
      <c r="O103" t="e">
        <f t="shared" si="1"/>
        <v>#REF!</v>
      </c>
    </row>
    <row r="104">
      <c r="A104" t="n">
        <f>Coefficients!$A$2</f>
        <v>-3.7765953152866998</v>
      </c>
      <c r="B104" t="e">
        <f>(Games!#REF!)*(-1*Coefficients!$B$2)</f>
        <v>#REF!</v>
      </c>
      <c r="C104" t="e">
        <f>(VLOOKUP(Games!#REF!, Data!$B$2:$L$135, 4, FALSE)-VLOOKUP(Games!#REF!, Data!$B$2:$L$135, 4, FALSE))*Coefficients!$C$2</f>
        <v>#REF!</v>
      </c>
      <c r="D104" t="e">
        <f>(VLOOKUP(Games!#REF!, Data!$B$2:$L$135, 3, FALSE)-VLOOKUP(Games!#REF!, Data!$B$2:$L$135, 3, FALSE))*Coefficients!$D$2</f>
        <v>#REF!</v>
      </c>
      <c r="E104" t="e">
        <f>(VLOOKUP(Games!#REF!, Data!$B$2:$L$135, 5, FALSE)-VLOOKUP(Games!#REF!, Data!$B$2:$L$135, 5, FALSE))*Coefficients!$E$2</f>
        <v>#REF!</v>
      </c>
      <c r="F104" t="e">
        <f>(VLOOKUP(Games!#REF!, Data!$B$2:$L$135, 6, FALSE)-VLOOKUP(Games!#REF!, Data!$B$2:$L$135, 6, FALSE))*Coefficients!$F$2</f>
        <v>#REF!</v>
      </c>
      <c r="G104" t="e">
        <f>(VLOOKUP(Games!#REF!, Data!$B$2:$L$135, 7, FALSE)-VLOOKUP(Games!#REF!, Data!$B$2:$L$135, 7, FALSE))*Coefficients!$G$2</f>
        <v>#REF!</v>
      </c>
      <c r="H104" t="e">
        <f>(VLOOKUP(Games!#REF!, Data!$B$2:$L$135, 8, FALSE)-VLOOKUP(Games!#REF!, Data!$B$2:$L$135, 8, FALSE))*Coefficients!$H$2</f>
        <v>#REF!</v>
      </c>
      <c r="I104" t="e">
        <f>(VLOOKUP(Games!#REF!, Data!$B$2:$L$135, 9, FALSE)-VLOOKUP(Games!#REF!, Data!$B$2:$L$135, 9, FALSE))*Coefficients!$I$2</f>
        <v>#REF!</v>
      </c>
      <c r="J104" t="e">
        <f>IF(ISBLANK(Data!K104), Games!#REF!-Games!#REF!,VLOOKUP(Games!#REF!, Data!$B$2:$L$135, 10, FALSE)-VLOOKUP(Games!#REF!, Data!$B$2:$L$135, 10, FALSE))*Coefficients!$J$2</f>
        <v>#REF!</v>
      </c>
      <c r="K104" t="e">
        <f>(IF(AND(VLOOKUP(Games!#REF!, Data!$B$2:$L$135, 11, FALSE)=1, VLOOKUP(Games!#REF!, Data!$B$2:$L$135, 11, FALSE)&lt;&gt;1), 1,0))*Coefficients!K$2</f>
        <v>#REF!</v>
      </c>
      <c r="L104" t="e">
        <f>(IF(AND(VLOOKUP(Games!#REF!, Data!$B$2:$L$135, 11, FALSE)&lt;&gt;1, VLOOKUP(Games!#REF!, Data!$B$2:$L$135, 11, FALSE)=1), 1,0))*Coefficients!L$2</f>
        <v>#REF!</v>
      </c>
      <c r="O104" t="e">
        <f t="shared" si="1"/>
        <v>#REF!</v>
      </c>
    </row>
    <row r="105">
      <c r="A105" t="n">
        <f>Coefficients!$A$2</f>
        <v>-3.7765953152866998</v>
      </c>
      <c r="B105" t="e">
        <f>(Games!#REF!)*(-1*Coefficients!$B$2)</f>
        <v>#REF!</v>
      </c>
      <c r="C105" t="e">
        <f>(VLOOKUP(Games!#REF!, Data!$B$2:$L$135, 4, FALSE)-VLOOKUP(Games!#REF!, Data!$B$2:$L$135, 4, FALSE))*Coefficients!$C$2</f>
        <v>#REF!</v>
      </c>
      <c r="D105" t="e">
        <f>(VLOOKUP(Games!#REF!, Data!$B$2:$L$135, 3, FALSE)-VLOOKUP(Games!#REF!, Data!$B$2:$L$135, 3, FALSE))*Coefficients!$D$2</f>
        <v>#REF!</v>
      </c>
      <c r="E105" t="e">
        <f>(VLOOKUP(Games!#REF!, Data!$B$2:$L$135, 5, FALSE)-VLOOKUP(Games!#REF!, Data!$B$2:$L$135, 5, FALSE))*Coefficients!$E$2</f>
        <v>#REF!</v>
      </c>
      <c r="F105" t="e">
        <f>(VLOOKUP(Games!#REF!, Data!$B$2:$L$135, 6, FALSE)-VLOOKUP(Games!#REF!, Data!$B$2:$L$135, 6, FALSE))*Coefficients!$F$2</f>
        <v>#REF!</v>
      </c>
      <c r="G105" t="e">
        <f>(VLOOKUP(Games!#REF!, Data!$B$2:$L$135, 7, FALSE)-VLOOKUP(Games!#REF!, Data!$B$2:$L$135, 7, FALSE))*Coefficients!$G$2</f>
        <v>#REF!</v>
      </c>
      <c r="H105" t="e">
        <f>(VLOOKUP(Games!#REF!, Data!$B$2:$L$135, 8, FALSE)-VLOOKUP(Games!#REF!, Data!$B$2:$L$135, 8, FALSE))*Coefficients!$H$2</f>
        <v>#REF!</v>
      </c>
      <c r="I105" t="e">
        <f>(VLOOKUP(Games!#REF!, Data!$B$2:$L$135, 9, FALSE)-VLOOKUP(Games!#REF!, Data!$B$2:$L$135, 9, FALSE))*Coefficients!$I$2</f>
        <v>#REF!</v>
      </c>
      <c r="J105" t="e">
        <f>IF(ISBLANK(Data!K105), Games!#REF!-Games!#REF!,VLOOKUP(Games!#REF!, Data!$B$2:$L$135, 10, FALSE)-VLOOKUP(Games!#REF!, Data!$B$2:$L$135, 10, FALSE))*Coefficients!$J$2</f>
        <v>#REF!</v>
      </c>
      <c r="K105" t="e">
        <f>(IF(AND(VLOOKUP(Games!#REF!, Data!$B$2:$L$135, 11, FALSE)=1, VLOOKUP(Games!#REF!, Data!$B$2:$L$135, 11, FALSE)&lt;&gt;1), 1,0))*Coefficients!K$2</f>
        <v>#REF!</v>
      </c>
      <c r="L105" t="e">
        <f>(IF(AND(VLOOKUP(Games!#REF!, Data!$B$2:$L$135, 11, FALSE)&lt;&gt;1, VLOOKUP(Games!#REF!, Data!$B$2:$L$135, 11, FALSE)=1), 1,0))*Coefficients!L$2</f>
        <v>#REF!</v>
      </c>
      <c r="O105" t="e">
        <f t="shared" si="1"/>
        <v>#REF!</v>
      </c>
    </row>
    <row r="106">
      <c r="A106" t="n">
        <f>Coefficients!$A$2</f>
        <v>-3.7765953152866998</v>
      </c>
      <c r="B106" t="e">
        <f>(Games!#REF!)*(-1*Coefficients!$B$2)</f>
        <v>#REF!</v>
      </c>
      <c r="C106" t="e">
        <f>(VLOOKUP(Games!#REF!, Data!$B$2:$L$135, 4, FALSE)-VLOOKUP(Games!#REF!, Data!$B$2:$L$135, 4, FALSE))*Coefficients!$C$2</f>
        <v>#REF!</v>
      </c>
      <c r="D106" t="e">
        <f>(VLOOKUP(Games!#REF!, Data!$B$2:$L$135, 3, FALSE)-VLOOKUP(Games!#REF!, Data!$B$2:$L$135, 3, FALSE))*Coefficients!$D$2</f>
        <v>#REF!</v>
      </c>
      <c r="E106" t="e">
        <f>(VLOOKUP(Games!#REF!, Data!$B$2:$L$135, 5, FALSE)-VLOOKUP(Games!#REF!, Data!$B$2:$L$135, 5, FALSE))*Coefficients!$E$2</f>
        <v>#REF!</v>
      </c>
      <c r="F106" t="e">
        <f>(VLOOKUP(Games!#REF!, Data!$B$2:$L$135, 6, FALSE)-VLOOKUP(Games!#REF!, Data!$B$2:$L$135, 6, FALSE))*Coefficients!$F$2</f>
        <v>#REF!</v>
      </c>
      <c r="G106" t="e">
        <f>(VLOOKUP(Games!#REF!, Data!$B$2:$L$135, 7, FALSE)-VLOOKUP(Games!#REF!, Data!$B$2:$L$135, 7, FALSE))*Coefficients!$G$2</f>
        <v>#REF!</v>
      </c>
      <c r="H106" t="e">
        <f>(VLOOKUP(Games!#REF!, Data!$B$2:$L$135, 8, FALSE)-VLOOKUP(Games!#REF!, Data!$B$2:$L$135, 8, FALSE))*Coefficients!$H$2</f>
        <v>#REF!</v>
      </c>
      <c r="I106" t="e">
        <f>(VLOOKUP(Games!#REF!, Data!$B$2:$L$135, 9, FALSE)-VLOOKUP(Games!#REF!, Data!$B$2:$L$135, 9, FALSE))*Coefficients!$I$2</f>
        <v>#REF!</v>
      </c>
      <c r="J106" t="e">
        <f>IF(ISBLANK(Data!K106), Games!#REF!-Games!#REF!,VLOOKUP(Games!#REF!, Data!$B$2:$L$135, 10, FALSE)-VLOOKUP(Games!#REF!, Data!$B$2:$L$135, 10, FALSE))*Coefficients!$J$2</f>
        <v>#REF!</v>
      </c>
      <c r="K106" t="e">
        <f>(IF(AND(VLOOKUP(Games!#REF!, Data!$B$2:$L$135, 11, FALSE)=1, VLOOKUP(Games!#REF!, Data!$B$2:$L$135, 11, FALSE)&lt;&gt;1), 1,0))*Coefficients!K$2</f>
        <v>#REF!</v>
      </c>
      <c r="L106" t="e">
        <f>(IF(AND(VLOOKUP(Games!#REF!, Data!$B$2:$L$135, 11, FALSE)&lt;&gt;1, VLOOKUP(Games!#REF!, Data!$B$2:$L$135, 11, FALSE)=1), 1,0))*Coefficients!L$2</f>
        <v>#REF!</v>
      </c>
      <c r="O106" t="e">
        <f t="shared" si="1"/>
        <v>#REF!</v>
      </c>
    </row>
    <row r="107">
      <c r="A107" t="n">
        <f>Coefficients!$A$2</f>
        <v>-3.7765953152866998</v>
      </c>
      <c r="B107" t="e">
        <f>(Games!#REF!)*(-1*Coefficients!$B$2)</f>
        <v>#REF!</v>
      </c>
      <c r="C107" t="e">
        <f>(VLOOKUP(Games!#REF!, Data!$B$2:$L$135, 4, FALSE)-VLOOKUP(Games!#REF!, Data!$B$2:$L$135, 4, FALSE))*Coefficients!$C$2</f>
        <v>#REF!</v>
      </c>
      <c r="D107" t="e">
        <f>(VLOOKUP(Games!#REF!, Data!$B$2:$L$135, 3, FALSE)-VLOOKUP(Games!#REF!, Data!$B$2:$L$135, 3, FALSE))*Coefficients!$D$2</f>
        <v>#REF!</v>
      </c>
      <c r="E107" t="e">
        <f>(VLOOKUP(Games!#REF!, Data!$B$2:$L$135, 5, FALSE)-VLOOKUP(Games!#REF!, Data!$B$2:$L$135, 5, FALSE))*Coefficients!$E$2</f>
        <v>#REF!</v>
      </c>
      <c r="F107" t="e">
        <f>(VLOOKUP(Games!#REF!, Data!$B$2:$L$135, 6, FALSE)-VLOOKUP(Games!#REF!, Data!$B$2:$L$135, 6, FALSE))*Coefficients!$F$2</f>
        <v>#REF!</v>
      </c>
      <c r="G107" t="e">
        <f>(VLOOKUP(Games!#REF!, Data!$B$2:$L$135, 7, FALSE)-VLOOKUP(Games!#REF!, Data!$B$2:$L$135, 7, FALSE))*Coefficients!$G$2</f>
        <v>#REF!</v>
      </c>
      <c r="H107" t="e">
        <f>(VLOOKUP(Games!#REF!, Data!$B$2:$L$135, 8, FALSE)-VLOOKUP(Games!#REF!, Data!$B$2:$L$135, 8, FALSE))*Coefficients!$H$2</f>
        <v>#REF!</v>
      </c>
      <c r="I107" t="e">
        <f>(VLOOKUP(Games!#REF!, Data!$B$2:$L$135, 9, FALSE)-VLOOKUP(Games!#REF!, Data!$B$2:$L$135, 9, FALSE))*Coefficients!$I$2</f>
        <v>#REF!</v>
      </c>
      <c r="J107" t="e">
        <f>IF(ISBLANK(Data!K107), Games!#REF!-Games!#REF!,VLOOKUP(Games!#REF!, Data!$B$2:$L$135, 10, FALSE)-VLOOKUP(Games!#REF!, Data!$B$2:$L$135, 10, FALSE))*Coefficients!$J$2</f>
        <v>#REF!</v>
      </c>
      <c r="K107" t="e">
        <f>(IF(AND(VLOOKUP(Games!#REF!, Data!$B$2:$L$135, 11, FALSE)=1, VLOOKUP(Games!#REF!, Data!$B$2:$L$135, 11, FALSE)&lt;&gt;1), 1,0))*Coefficients!K$2</f>
        <v>#REF!</v>
      </c>
      <c r="L107" t="e">
        <f>(IF(AND(VLOOKUP(Games!#REF!, Data!$B$2:$L$135, 11, FALSE)&lt;&gt;1, VLOOKUP(Games!#REF!, Data!$B$2:$L$135, 11, FALSE)=1), 1,0))*Coefficients!L$2</f>
        <v>#REF!</v>
      </c>
      <c r="O107" t="e">
        <f t="shared" si="1"/>
        <v>#REF!</v>
      </c>
    </row>
    <row r="108">
      <c r="A108" t="n">
        <f>Coefficients!$A$2</f>
        <v>-3.7765953152866998</v>
      </c>
      <c r="B108" t="e">
        <f>(Games!#REF!)*(-1*Coefficients!$B$2)</f>
        <v>#REF!</v>
      </c>
      <c r="C108" t="e">
        <f>(VLOOKUP(Games!#REF!, Data!$B$2:$L$135, 4, FALSE)-VLOOKUP(Games!#REF!, Data!$B$2:$L$135, 4, FALSE))*Coefficients!$C$2</f>
        <v>#REF!</v>
      </c>
      <c r="D108" t="e">
        <f>(VLOOKUP(Games!#REF!, Data!$B$2:$L$135, 3, FALSE)-VLOOKUP(Games!#REF!, Data!$B$2:$L$135, 3, FALSE))*Coefficients!$D$2</f>
        <v>#REF!</v>
      </c>
      <c r="E108" t="e">
        <f>(VLOOKUP(Games!#REF!, Data!$B$2:$L$135, 5, FALSE)-VLOOKUP(Games!#REF!, Data!$B$2:$L$135, 5, FALSE))*Coefficients!$E$2</f>
        <v>#REF!</v>
      </c>
      <c r="F108" t="e">
        <f>(VLOOKUP(Games!#REF!, Data!$B$2:$L$135, 6, FALSE)-VLOOKUP(Games!#REF!, Data!$B$2:$L$135, 6, FALSE))*Coefficients!$F$2</f>
        <v>#REF!</v>
      </c>
      <c r="G108" t="e">
        <f>(VLOOKUP(Games!#REF!, Data!$B$2:$L$135, 7, FALSE)-VLOOKUP(Games!#REF!, Data!$B$2:$L$135, 7, FALSE))*Coefficients!$G$2</f>
        <v>#REF!</v>
      </c>
      <c r="H108" t="e">
        <f>(VLOOKUP(Games!#REF!, Data!$B$2:$L$135, 8, FALSE)-VLOOKUP(Games!#REF!, Data!$B$2:$L$135, 8, FALSE))*Coefficients!$H$2</f>
        <v>#REF!</v>
      </c>
      <c r="I108" t="e">
        <f>(VLOOKUP(Games!#REF!, Data!$B$2:$L$135, 9, FALSE)-VLOOKUP(Games!#REF!, Data!$B$2:$L$135, 9, FALSE))*Coefficients!$I$2</f>
        <v>#REF!</v>
      </c>
      <c r="J108" t="e">
        <f>IF(ISBLANK(Data!K108), Games!#REF!-Games!#REF!,VLOOKUP(Games!#REF!, Data!$B$2:$L$135, 10, FALSE)-VLOOKUP(Games!#REF!, Data!$B$2:$L$135, 10, FALSE))*Coefficients!$J$2</f>
        <v>#REF!</v>
      </c>
      <c r="K108" t="e">
        <f>(IF(AND(VLOOKUP(Games!#REF!, Data!$B$2:$L$135, 11, FALSE)=1, VLOOKUP(Games!#REF!, Data!$B$2:$L$135, 11, FALSE)&lt;&gt;1), 1,0))*Coefficients!K$2</f>
        <v>#REF!</v>
      </c>
      <c r="L108" t="e">
        <f>(IF(AND(VLOOKUP(Games!#REF!, Data!$B$2:$L$135, 11, FALSE)&lt;&gt;1, VLOOKUP(Games!#REF!, Data!$B$2:$L$135, 11, FALSE)=1), 1,0))*Coefficients!L$2</f>
        <v>#REF!</v>
      </c>
      <c r="O108" t="e">
        <f t="shared" si="1"/>
        <v>#REF!</v>
      </c>
    </row>
    <row r="109">
      <c r="A109" t="n">
        <f>Coefficients!$A$2</f>
        <v>-3.7765953152866998</v>
      </c>
      <c r="B109" t="e">
        <f>(Games!#REF!)*(-1*Coefficients!$B$2)</f>
        <v>#REF!</v>
      </c>
      <c r="C109" t="e">
        <f>(VLOOKUP(Games!#REF!, Data!$B$2:$L$135, 4, FALSE)-VLOOKUP(Games!#REF!, Data!$B$2:$L$135, 4, FALSE))*Coefficients!$C$2</f>
        <v>#REF!</v>
      </c>
      <c r="D109" t="e">
        <f>(VLOOKUP(Games!#REF!, Data!$B$2:$L$135, 3, FALSE)-VLOOKUP(Games!#REF!, Data!$B$2:$L$135, 3, FALSE))*Coefficients!$D$2</f>
        <v>#REF!</v>
      </c>
      <c r="E109" t="e">
        <f>(VLOOKUP(Games!#REF!, Data!$B$2:$L$135, 5, FALSE)-VLOOKUP(Games!#REF!, Data!$B$2:$L$135, 5, FALSE))*Coefficients!$E$2</f>
        <v>#REF!</v>
      </c>
      <c r="F109" t="e">
        <f>(VLOOKUP(Games!#REF!, Data!$B$2:$L$135, 6, FALSE)-VLOOKUP(Games!#REF!, Data!$B$2:$L$135, 6, FALSE))*Coefficients!$F$2</f>
        <v>#REF!</v>
      </c>
      <c r="G109" t="e">
        <f>(VLOOKUP(Games!#REF!, Data!$B$2:$L$135, 7, FALSE)-VLOOKUP(Games!#REF!, Data!$B$2:$L$135, 7, FALSE))*Coefficients!$G$2</f>
        <v>#REF!</v>
      </c>
      <c r="H109" t="e">
        <f>(VLOOKUP(Games!#REF!, Data!$B$2:$L$135, 8, FALSE)-VLOOKUP(Games!#REF!, Data!$B$2:$L$135, 8, FALSE))*Coefficients!$H$2</f>
        <v>#REF!</v>
      </c>
      <c r="I109" t="e">
        <f>(VLOOKUP(Games!#REF!, Data!$B$2:$L$135, 9, FALSE)-VLOOKUP(Games!#REF!, Data!$B$2:$L$135, 9, FALSE))*Coefficients!$I$2</f>
        <v>#REF!</v>
      </c>
      <c r="J109" t="e">
        <f>IF(ISBLANK(Data!K109), Games!#REF!-Games!#REF!,VLOOKUP(Games!#REF!, Data!$B$2:$L$135, 10, FALSE)-VLOOKUP(Games!#REF!, Data!$B$2:$L$135, 10, FALSE))*Coefficients!$J$2</f>
        <v>#REF!</v>
      </c>
      <c r="K109" t="e">
        <f>(IF(AND(VLOOKUP(Games!#REF!, Data!$B$2:$L$135, 11, FALSE)=1, VLOOKUP(Games!#REF!, Data!$B$2:$L$135, 11, FALSE)&lt;&gt;1), 1,0))*Coefficients!K$2</f>
        <v>#REF!</v>
      </c>
      <c r="L109" t="e">
        <f>(IF(AND(VLOOKUP(Games!#REF!, Data!$B$2:$L$135, 11, FALSE)&lt;&gt;1, VLOOKUP(Games!#REF!, Data!$B$2:$L$135, 11, FALSE)=1), 1,0))*Coefficients!L$2</f>
        <v>#REF!</v>
      </c>
      <c r="O109" t="e">
        <f t="shared" si="1"/>
        <v>#REF!</v>
      </c>
    </row>
    <row r="110">
      <c r="A110" t="n">
        <f>Coefficients!$A$2</f>
        <v>-3.7765953152866998</v>
      </c>
      <c r="B110" t="e">
        <f>(Games!#REF!)*(-1*Coefficients!$B$2)</f>
        <v>#REF!</v>
      </c>
      <c r="C110" t="e">
        <f>(VLOOKUP(Games!#REF!, Data!$B$2:$L$135, 4, FALSE)-VLOOKUP(Games!#REF!, Data!$B$2:$L$135, 4, FALSE))*Coefficients!$C$2</f>
        <v>#REF!</v>
      </c>
      <c r="D110" t="e">
        <f>(VLOOKUP(Games!#REF!, Data!$B$2:$L$135, 3, FALSE)-VLOOKUP(Games!#REF!, Data!$B$2:$L$135, 3, FALSE))*Coefficients!$D$2</f>
        <v>#REF!</v>
      </c>
      <c r="E110" t="e">
        <f>(VLOOKUP(Games!#REF!, Data!$B$2:$L$135, 5, FALSE)-VLOOKUP(Games!#REF!, Data!$B$2:$L$135, 5, FALSE))*Coefficients!$E$2</f>
        <v>#REF!</v>
      </c>
      <c r="F110" t="e">
        <f>(VLOOKUP(Games!#REF!, Data!$B$2:$L$135, 6, FALSE)-VLOOKUP(Games!#REF!, Data!$B$2:$L$135, 6, FALSE))*Coefficients!$F$2</f>
        <v>#REF!</v>
      </c>
      <c r="G110" t="e">
        <f>(VLOOKUP(Games!#REF!, Data!$B$2:$L$135, 7, FALSE)-VLOOKUP(Games!#REF!, Data!$B$2:$L$135, 7, FALSE))*Coefficients!$G$2</f>
        <v>#REF!</v>
      </c>
      <c r="H110" t="e">
        <f>(VLOOKUP(Games!#REF!, Data!$B$2:$L$135, 8, FALSE)-VLOOKUP(Games!#REF!, Data!$B$2:$L$135, 8, FALSE))*Coefficients!$H$2</f>
        <v>#REF!</v>
      </c>
      <c r="I110" t="e">
        <f>(VLOOKUP(Games!#REF!, Data!$B$2:$L$135, 9, FALSE)-VLOOKUP(Games!#REF!, Data!$B$2:$L$135, 9, FALSE))*Coefficients!$I$2</f>
        <v>#REF!</v>
      </c>
      <c r="J110" t="e">
        <f>IF(ISBLANK(Data!K110), Games!#REF!-Games!#REF!,VLOOKUP(Games!#REF!, Data!$B$2:$L$135, 10, FALSE)-VLOOKUP(Games!#REF!, Data!$B$2:$L$135, 10, FALSE))*Coefficients!$J$2</f>
        <v>#REF!</v>
      </c>
      <c r="K110" t="e">
        <f>(IF(AND(VLOOKUP(Games!#REF!, Data!$B$2:$L$135, 11, FALSE)=1, VLOOKUP(Games!#REF!, Data!$B$2:$L$135, 11, FALSE)&lt;&gt;1), 1,0))*Coefficients!K$2</f>
        <v>#REF!</v>
      </c>
      <c r="L110" t="e">
        <f>(IF(AND(VLOOKUP(Games!#REF!, Data!$B$2:$L$135, 11, FALSE)&lt;&gt;1, VLOOKUP(Games!#REF!, Data!$B$2:$L$135, 11, FALSE)=1), 1,0))*Coefficients!L$2</f>
        <v>#REF!</v>
      </c>
      <c r="O110" t="e">
        <f t="shared" si="1"/>
        <v>#REF!</v>
      </c>
    </row>
    <row r="111">
      <c r="A111" t="n">
        <f>Coefficients!$A$2</f>
        <v>-3.7765953152866998</v>
      </c>
      <c r="B111" t="e">
        <f>(Games!#REF!)*(-1*Coefficients!$B$2)</f>
        <v>#REF!</v>
      </c>
      <c r="C111" t="e">
        <f>(VLOOKUP(Games!#REF!, Data!$B$2:$L$135, 4, FALSE)-VLOOKUP(Games!#REF!, Data!$B$2:$L$135, 4, FALSE))*Coefficients!$C$2</f>
        <v>#REF!</v>
      </c>
      <c r="D111" t="e">
        <f>(VLOOKUP(Games!#REF!, Data!$B$2:$L$135, 3, FALSE)-VLOOKUP(Games!#REF!, Data!$B$2:$L$135, 3, FALSE))*Coefficients!$D$2</f>
        <v>#REF!</v>
      </c>
      <c r="E111" t="e">
        <f>(VLOOKUP(Games!#REF!, Data!$B$2:$L$135, 5, FALSE)-VLOOKUP(Games!#REF!, Data!$B$2:$L$135, 5, FALSE))*Coefficients!$E$2</f>
        <v>#REF!</v>
      </c>
      <c r="F111" t="e">
        <f>(VLOOKUP(Games!#REF!, Data!$B$2:$L$135, 6, FALSE)-VLOOKUP(Games!#REF!, Data!$B$2:$L$135, 6, FALSE))*Coefficients!$F$2</f>
        <v>#REF!</v>
      </c>
      <c r="G111" t="e">
        <f>(VLOOKUP(Games!#REF!, Data!$B$2:$L$135, 7, FALSE)-VLOOKUP(Games!#REF!, Data!$B$2:$L$135, 7, FALSE))*Coefficients!$G$2</f>
        <v>#REF!</v>
      </c>
      <c r="H111" t="e">
        <f>(VLOOKUP(Games!#REF!, Data!$B$2:$L$135, 8, FALSE)-VLOOKUP(Games!#REF!, Data!$B$2:$L$135, 8, FALSE))*Coefficients!$H$2</f>
        <v>#REF!</v>
      </c>
      <c r="I111" t="e">
        <f>(VLOOKUP(Games!#REF!, Data!$B$2:$L$135, 9, FALSE)-VLOOKUP(Games!#REF!, Data!$B$2:$L$135, 9, FALSE))*Coefficients!$I$2</f>
        <v>#REF!</v>
      </c>
      <c r="J111" t="e">
        <f>IF(ISBLANK(Data!K111), Games!#REF!-Games!#REF!,VLOOKUP(Games!#REF!, Data!$B$2:$L$135, 10, FALSE)-VLOOKUP(Games!#REF!, Data!$B$2:$L$135, 10, FALSE))*Coefficients!$J$2</f>
        <v>#REF!</v>
      </c>
      <c r="K111" t="e">
        <f>(IF(AND(VLOOKUP(Games!#REF!, Data!$B$2:$L$135, 11, FALSE)=1, VLOOKUP(Games!#REF!, Data!$B$2:$L$135, 11, FALSE)&lt;&gt;1), 1,0))*Coefficients!K$2</f>
        <v>#REF!</v>
      </c>
      <c r="L111" t="e">
        <f>(IF(AND(VLOOKUP(Games!#REF!, Data!$B$2:$L$135, 11, FALSE)&lt;&gt;1, VLOOKUP(Games!#REF!, Data!$B$2:$L$135, 11, FALSE)=1), 1,0))*Coefficients!L$2</f>
        <v>#REF!</v>
      </c>
      <c r="O111" t="e">
        <f t="shared" si="1"/>
        <v>#REF!</v>
      </c>
    </row>
    <row r="112">
      <c r="A112" t="n">
        <f>Coefficients!$A$2</f>
        <v>-3.7765953152866998</v>
      </c>
      <c r="B112" t="e">
        <f>(Games!#REF!)*(-1*Coefficients!$B$2)</f>
        <v>#REF!</v>
      </c>
      <c r="C112" t="e">
        <f>(VLOOKUP(Games!#REF!, Data!$B$2:$L$135, 4, FALSE)-VLOOKUP(Games!#REF!, Data!$B$2:$L$135, 4, FALSE))*Coefficients!$C$2</f>
        <v>#REF!</v>
      </c>
      <c r="D112" t="e">
        <f>(VLOOKUP(Games!#REF!, Data!$B$2:$L$135, 3, FALSE)-VLOOKUP(Games!#REF!, Data!$B$2:$L$135, 3, FALSE))*Coefficients!$D$2</f>
        <v>#REF!</v>
      </c>
      <c r="E112" t="e">
        <f>(VLOOKUP(Games!#REF!, Data!$B$2:$L$135, 5, FALSE)-VLOOKUP(Games!#REF!, Data!$B$2:$L$135, 5, FALSE))*Coefficients!$E$2</f>
        <v>#REF!</v>
      </c>
      <c r="F112" t="e">
        <f>(VLOOKUP(Games!#REF!, Data!$B$2:$L$135, 6, FALSE)-VLOOKUP(Games!#REF!, Data!$B$2:$L$135, 6, FALSE))*Coefficients!$F$2</f>
        <v>#REF!</v>
      </c>
      <c r="G112" t="e">
        <f>(VLOOKUP(Games!#REF!, Data!$B$2:$L$135, 7, FALSE)-VLOOKUP(Games!#REF!, Data!$B$2:$L$135, 7, FALSE))*Coefficients!$G$2</f>
        <v>#REF!</v>
      </c>
      <c r="H112" t="e">
        <f>(VLOOKUP(Games!#REF!, Data!$B$2:$L$135, 8, FALSE)-VLOOKUP(Games!#REF!, Data!$B$2:$L$135, 8, FALSE))*Coefficients!$H$2</f>
        <v>#REF!</v>
      </c>
      <c r="I112" t="e">
        <f>(VLOOKUP(Games!#REF!, Data!$B$2:$L$135, 9, FALSE)-VLOOKUP(Games!#REF!, Data!$B$2:$L$135, 9, FALSE))*Coefficients!$I$2</f>
        <v>#REF!</v>
      </c>
      <c r="J112" t="e">
        <f>IF(ISBLANK(Data!K112), Games!#REF!-Games!#REF!,VLOOKUP(Games!#REF!, Data!$B$2:$L$135, 10, FALSE)-VLOOKUP(Games!#REF!, Data!$B$2:$L$135, 10, FALSE))*Coefficients!$J$2</f>
        <v>#REF!</v>
      </c>
      <c r="K112" t="e">
        <f>(IF(AND(VLOOKUP(Games!#REF!, Data!$B$2:$L$135, 11, FALSE)=1, VLOOKUP(Games!#REF!, Data!$B$2:$L$135, 11, FALSE)&lt;&gt;1), 1,0))*Coefficients!K$2</f>
        <v>#REF!</v>
      </c>
      <c r="L112" t="e">
        <f>(IF(AND(VLOOKUP(Games!#REF!, Data!$B$2:$L$135, 11, FALSE)&lt;&gt;1, VLOOKUP(Games!#REF!, Data!$B$2:$L$135, 11, FALSE)=1), 1,0))*Coefficients!L$2</f>
        <v>#REF!</v>
      </c>
      <c r="O112" t="e">
        <f t="shared" si="1"/>
        <v>#REF!</v>
      </c>
    </row>
    <row r="113">
      <c r="A113" t="n">
        <f>Coefficients!$A$2</f>
        <v>-3.7765953152866998</v>
      </c>
      <c r="B113" t="e">
        <f>(Games!#REF!)*(-1*Coefficients!$B$2)</f>
        <v>#REF!</v>
      </c>
      <c r="C113" t="e">
        <f>(VLOOKUP(Games!#REF!, Data!$B$2:$L$135, 4, FALSE)-VLOOKUP(Games!#REF!, Data!$B$2:$L$135, 4, FALSE))*Coefficients!$C$2</f>
        <v>#REF!</v>
      </c>
      <c r="D113" t="e">
        <f>(VLOOKUP(Games!#REF!, Data!$B$2:$L$135, 3, FALSE)-VLOOKUP(Games!#REF!, Data!$B$2:$L$135, 3, FALSE))*Coefficients!$D$2</f>
        <v>#REF!</v>
      </c>
      <c r="E113" t="e">
        <f>(VLOOKUP(Games!#REF!, Data!$B$2:$L$135, 5, FALSE)-VLOOKUP(Games!#REF!, Data!$B$2:$L$135, 5, FALSE))*Coefficients!$E$2</f>
        <v>#REF!</v>
      </c>
      <c r="F113" t="e">
        <f>(VLOOKUP(Games!#REF!, Data!$B$2:$L$135, 6, FALSE)-VLOOKUP(Games!#REF!, Data!$B$2:$L$135, 6, FALSE))*Coefficients!$F$2</f>
        <v>#REF!</v>
      </c>
      <c r="G113" t="e">
        <f>(VLOOKUP(Games!#REF!, Data!$B$2:$L$135, 7, FALSE)-VLOOKUP(Games!#REF!, Data!$B$2:$L$135, 7, FALSE))*Coefficients!$G$2</f>
        <v>#REF!</v>
      </c>
      <c r="H113" t="e">
        <f>(VLOOKUP(Games!#REF!, Data!$B$2:$L$135, 8, FALSE)-VLOOKUP(Games!#REF!, Data!$B$2:$L$135, 8, FALSE))*Coefficients!$H$2</f>
        <v>#REF!</v>
      </c>
      <c r="I113" t="e">
        <f>(VLOOKUP(Games!#REF!, Data!$B$2:$L$135, 9, FALSE)-VLOOKUP(Games!#REF!, Data!$B$2:$L$135, 9, FALSE))*Coefficients!$I$2</f>
        <v>#REF!</v>
      </c>
      <c r="J113" t="e">
        <f>IF(ISBLANK(Data!K113), Games!#REF!-Games!#REF!,VLOOKUP(Games!#REF!, Data!$B$2:$L$135, 10, FALSE)-VLOOKUP(Games!#REF!, Data!$B$2:$L$135, 10, FALSE))*Coefficients!$J$2</f>
        <v>#REF!</v>
      </c>
      <c r="K113" t="e">
        <f>(IF(AND(VLOOKUP(Games!#REF!, Data!$B$2:$L$135, 11, FALSE)=1, VLOOKUP(Games!#REF!, Data!$B$2:$L$135, 11, FALSE)&lt;&gt;1), 1,0))*Coefficients!K$2</f>
        <v>#REF!</v>
      </c>
      <c r="L113" t="e">
        <f>(IF(AND(VLOOKUP(Games!#REF!, Data!$B$2:$L$135, 11, FALSE)&lt;&gt;1, VLOOKUP(Games!#REF!, Data!$B$2:$L$135, 11, FALSE)=1), 1,0))*Coefficients!L$2</f>
        <v>#REF!</v>
      </c>
      <c r="O113" t="e">
        <f t="shared" si="1"/>
        <v>#REF!</v>
      </c>
    </row>
    <row r="114">
      <c r="A114" t="n">
        <f>Coefficients!$A$2</f>
        <v>-3.7765953152866998</v>
      </c>
      <c r="B114" t="e">
        <f>(Games!#REF!)*(-1*Coefficients!$B$2)</f>
        <v>#REF!</v>
      </c>
      <c r="C114" t="e">
        <f>(VLOOKUP(Games!#REF!, Data!$B$2:$L$135, 4, FALSE)-VLOOKUP(Games!#REF!, Data!$B$2:$L$135, 4, FALSE))*Coefficients!$C$2</f>
        <v>#REF!</v>
      </c>
      <c r="D114" t="e">
        <f>(VLOOKUP(Games!#REF!, Data!$B$2:$L$135, 3, FALSE)-VLOOKUP(Games!#REF!, Data!$B$2:$L$135, 3, FALSE))*Coefficients!$D$2</f>
        <v>#REF!</v>
      </c>
      <c r="E114" t="e">
        <f>(VLOOKUP(Games!#REF!, Data!$B$2:$L$135, 5, FALSE)-VLOOKUP(Games!#REF!, Data!$B$2:$L$135, 5, FALSE))*Coefficients!$E$2</f>
        <v>#REF!</v>
      </c>
      <c r="F114" t="e">
        <f>(VLOOKUP(Games!#REF!, Data!$B$2:$L$135, 6, FALSE)-VLOOKUP(Games!#REF!, Data!$B$2:$L$135, 6, FALSE))*Coefficients!$F$2</f>
        <v>#REF!</v>
      </c>
      <c r="G114" t="e">
        <f>(VLOOKUP(Games!#REF!, Data!$B$2:$L$135, 7, FALSE)-VLOOKUP(Games!#REF!, Data!$B$2:$L$135, 7, FALSE))*Coefficients!$G$2</f>
        <v>#REF!</v>
      </c>
      <c r="H114" t="e">
        <f>(VLOOKUP(Games!#REF!, Data!$B$2:$L$135, 8, FALSE)-VLOOKUP(Games!#REF!, Data!$B$2:$L$135, 8, FALSE))*Coefficients!$H$2</f>
        <v>#REF!</v>
      </c>
      <c r="I114" t="e">
        <f>(VLOOKUP(Games!#REF!, Data!$B$2:$L$135, 9, FALSE)-VLOOKUP(Games!#REF!, Data!$B$2:$L$135, 9, FALSE))*Coefficients!$I$2</f>
        <v>#REF!</v>
      </c>
      <c r="J114" t="e">
        <f>IF(ISBLANK(Data!K114), Games!#REF!-Games!#REF!,VLOOKUP(Games!#REF!, Data!$B$2:$L$135, 10, FALSE)-VLOOKUP(Games!#REF!, Data!$B$2:$L$135, 10, FALSE))*Coefficients!$J$2</f>
        <v>#REF!</v>
      </c>
      <c r="K114" t="e">
        <f>(IF(AND(VLOOKUP(Games!#REF!, Data!$B$2:$L$135, 11, FALSE)=1, VLOOKUP(Games!#REF!, Data!$B$2:$L$135, 11, FALSE)&lt;&gt;1), 1,0))*Coefficients!K$2</f>
        <v>#REF!</v>
      </c>
      <c r="L114" t="e">
        <f>(IF(AND(VLOOKUP(Games!#REF!, Data!$B$2:$L$135, 11, FALSE)&lt;&gt;1, VLOOKUP(Games!#REF!, Data!$B$2:$L$135, 11, FALSE)=1), 1,0))*Coefficients!L$2</f>
        <v>#REF!</v>
      </c>
      <c r="O114" t="e">
        <f t="shared" si="1"/>
        <v>#REF!</v>
      </c>
    </row>
    <row r="115">
      <c r="A115" t="n">
        <f>Coefficients!$A$2</f>
        <v>-3.7765953152866998</v>
      </c>
      <c r="B115" t="e">
        <f>(Games!#REF!)*(-1*Coefficients!$B$2)</f>
        <v>#REF!</v>
      </c>
      <c r="C115" t="e">
        <f>(VLOOKUP(Games!#REF!, Data!$B$2:$L$135, 4, FALSE)-VLOOKUP(Games!#REF!, Data!$B$2:$L$135, 4, FALSE))*Coefficients!$C$2</f>
        <v>#REF!</v>
      </c>
      <c r="D115" t="e">
        <f>(VLOOKUP(Games!#REF!, Data!$B$2:$L$135, 3, FALSE)-VLOOKUP(Games!#REF!, Data!$B$2:$L$135, 3, FALSE))*Coefficients!$D$2</f>
        <v>#REF!</v>
      </c>
      <c r="E115" t="e">
        <f>(VLOOKUP(Games!#REF!, Data!$B$2:$L$135, 5, FALSE)-VLOOKUP(Games!#REF!, Data!$B$2:$L$135, 5, FALSE))*Coefficients!$E$2</f>
        <v>#REF!</v>
      </c>
      <c r="F115" t="e">
        <f>(VLOOKUP(Games!#REF!, Data!$B$2:$L$135, 6, FALSE)-VLOOKUP(Games!#REF!, Data!$B$2:$L$135, 6, FALSE))*Coefficients!$F$2</f>
        <v>#REF!</v>
      </c>
      <c r="G115" t="e">
        <f>(VLOOKUP(Games!#REF!, Data!$B$2:$L$135, 7, FALSE)-VLOOKUP(Games!#REF!, Data!$B$2:$L$135, 7, FALSE))*Coefficients!$G$2</f>
        <v>#REF!</v>
      </c>
      <c r="H115" t="e">
        <f>(VLOOKUP(Games!#REF!, Data!$B$2:$L$135, 8, FALSE)-VLOOKUP(Games!#REF!, Data!$B$2:$L$135, 8, FALSE))*Coefficients!$H$2</f>
        <v>#REF!</v>
      </c>
      <c r="I115" t="e">
        <f>(VLOOKUP(Games!#REF!, Data!$B$2:$L$135, 9, FALSE)-VLOOKUP(Games!#REF!, Data!$B$2:$L$135, 9, FALSE))*Coefficients!$I$2</f>
        <v>#REF!</v>
      </c>
      <c r="J115" t="e">
        <f>IF(ISBLANK(Data!K115), Games!#REF!-Games!#REF!,VLOOKUP(Games!#REF!, Data!$B$2:$L$135, 10, FALSE)-VLOOKUP(Games!#REF!, Data!$B$2:$L$135, 10, FALSE))*Coefficients!$J$2</f>
        <v>#REF!</v>
      </c>
      <c r="K115" t="e">
        <f>(IF(AND(VLOOKUP(Games!#REF!, Data!$B$2:$L$135, 11, FALSE)=1, VLOOKUP(Games!#REF!, Data!$B$2:$L$135, 11, FALSE)&lt;&gt;1), 1,0))*Coefficients!K$2</f>
        <v>#REF!</v>
      </c>
      <c r="L115" t="e">
        <f>(IF(AND(VLOOKUP(Games!#REF!, Data!$B$2:$L$135, 11, FALSE)&lt;&gt;1, VLOOKUP(Games!#REF!, Data!$B$2:$L$135, 11, FALSE)=1), 1,0))*Coefficients!L$2</f>
        <v>#REF!</v>
      </c>
      <c r="O115" t="e">
        <f t="shared" si="1"/>
        <v>#REF!</v>
      </c>
    </row>
    <row r="116">
      <c r="A116" t="n">
        <f>Coefficients!$A$2</f>
        <v>-3.7765953152866998</v>
      </c>
      <c r="B116" t="e">
        <f>(Games!#REF!)*(-1*Coefficients!$B$2)</f>
        <v>#REF!</v>
      </c>
      <c r="C116" t="e">
        <f>(VLOOKUP(Games!#REF!, Data!$B$2:$L$135, 4, FALSE)-VLOOKUP(Games!#REF!, Data!$B$2:$L$135, 4, FALSE))*Coefficients!$C$2</f>
        <v>#REF!</v>
      </c>
      <c r="D116" t="e">
        <f>(VLOOKUP(Games!#REF!, Data!$B$2:$L$135, 3, FALSE)-VLOOKUP(Games!#REF!, Data!$B$2:$L$135, 3, FALSE))*Coefficients!$D$2</f>
        <v>#REF!</v>
      </c>
      <c r="E116" t="e">
        <f>(VLOOKUP(Games!#REF!, Data!$B$2:$L$135, 5, FALSE)-VLOOKUP(Games!#REF!, Data!$B$2:$L$135, 5, FALSE))*Coefficients!$E$2</f>
        <v>#REF!</v>
      </c>
      <c r="F116" t="e">
        <f>(VLOOKUP(Games!#REF!, Data!$B$2:$L$135, 6, FALSE)-VLOOKUP(Games!#REF!, Data!$B$2:$L$135, 6, FALSE))*Coefficients!$F$2</f>
        <v>#REF!</v>
      </c>
      <c r="G116" t="e">
        <f>(VLOOKUP(Games!#REF!, Data!$B$2:$L$135, 7, FALSE)-VLOOKUP(Games!#REF!, Data!$B$2:$L$135, 7, FALSE))*Coefficients!$G$2</f>
        <v>#REF!</v>
      </c>
      <c r="H116" t="e">
        <f>(VLOOKUP(Games!#REF!, Data!$B$2:$L$135, 8, FALSE)-VLOOKUP(Games!#REF!, Data!$B$2:$L$135, 8, FALSE))*Coefficients!$H$2</f>
        <v>#REF!</v>
      </c>
      <c r="I116" t="e">
        <f>(VLOOKUP(Games!#REF!, Data!$B$2:$L$135, 9, FALSE)-VLOOKUP(Games!#REF!, Data!$B$2:$L$135, 9, FALSE))*Coefficients!$I$2</f>
        <v>#REF!</v>
      </c>
      <c r="J116" t="e">
        <f>IF(ISBLANK(Data!K116), Games!#REF!-Games!#REF!,VLOOKUP(Games!#REF!, Data!$B$2:$L$135, 10, FALSE)-VLOOKUP(Games!#REF!, Data!$B$2:$L$135, 10, FALSE))*Coefficients!$J$2</f>
        <v>#REF!</v>
      </c>
      <c r="K116" t="e">
        <f>(IF(AND(VLOOKUP(Games!#REF!, Data!$B$2:$L$135, 11, FALSE)=1, VLOOKUP(Games!#REF!, Data!$B$2:$L$135, 11, FALSE)&lt;&gt;1), 1,0))*Coefficients!K$2</f>
        <v>#REF!</v>
      </c>
      <c r="L116" t="e">
        <f>(IF(AND(VLOOKUP(Games!#REF!, Data!$B$2:$L$135, 11, FALSE)&lt;&gt;1, VLOOKUP(Games!#REF!, Data!$B$2:$L$135, 11, FALSE)=1), 1,0))*Coefficients!L$2</f>
        <v>#REF!</v>
      </c>
      <c r="O116" t="e">
        <f t="shared" si="1"/>
        <v>#REF!</v>
      </c>
    </row>
    <row r="117">
      <c r="A117" t="n">
        <f>Coefficients!$A$2</f>
        <v>-3.7765953152866998</v>
      </c>
      <c r="B117" t="e">
        <f>(Games!#REF!)*(-1*Coefficients!$B$2)</f>
        <v>#REF!</v>
      </c>
      <c r="C117" t="e">
        <f>(VLOOKUP(Games!#REF!, Data!$B$2:$L$135, 4, FALSE)-VLOOKUP(Games!#REF!, Data!$B$2:$L$135, 4, FALSE))*Coefficients!$C$2</f>
        <v>#REF!</v>
      </c>
      <c r="D117" t="e">
        <f>(VLOOKUP(Games!#REF!, Data!$B$2:$L$135, 3, FALSE)-VLOOKUP(Games!#REF!, Data!$B$2:$L$135, 3, FALSE))*Coefficients!$D$2</f>
        <v>#REF!</v>
      </c>
      <c r="E117" t="e">
        <f>(VLOOKUP(Games!#REF!, Data!$B$2:$L$135, 5, FALSE)-VLOOKUP(Games!#REF!, Data!$B$2:$L$135, 5, FALSE))*Coefficients!$E$2</f>
        <v>#REF!</v>
      </c>
      <c r="F117" t="e">
        <f>(VLOOKUP(Games!#REF!, Data!$B$2:$L$135, 6, FALSE)-VLOOKUP(Games!#REF!, Data!$B$2:$L$135, 6, FALSE))*Coefficients!$F$2</f>
        <v>#REF!</v>
      </c>
      <c r="G117" t="e">
        <f>(VLOOKUP(Games!#REF!, Data!$B$2:$L$135, 7, FALSE)-VLOOKUP(Games!#REF!, Data!$B$2:$L$135, 7, FALSE))*Coefficients!$G$2</f>
        <v>#REF!</v>
      </c>
      <c r="H117" t="e">
        <f>(VLOOKUP(Games!#REF!, Data!$B$2:$L$135, 8, FALSE)-VLOOKUP(Games!#REF!, Data!$B$2:$L$135, 8, FALSE))*Coefficients!$H$2</f>
        <v>#REF!</v>
      </c>
      <c r="I117" t="e">
        <f>(VLOOKUP(Games!#REF!, Data!$B$2:$L$135, 9, FALSE)-VLOOKUP(Games!#REF!, Data!$B$2:$L$135, 9, FALSE))*Coefficients!$I$2</f>
        <v>#REF!</v>
      </c>
      <c r="J117" t="e">
        <f>IF(ISBLANK(Data!K117), Games!#REF!-Games!#REF!,VLOOKUP(Games!#REF!, Data!$B$2:$L$135, 10, FALSE)-VLOOKUP(Games!#REF!, Data!$B$2:$L$135, 10, FALSE))*Coefficients!$J$2</f>
        <v>#REF!</v>
      </c>
      <c r="K117" t="e">
        <f>(IF(AND(VLOOKUP(Games!#REF!, Data!$B$2:$L$135, 11, FALSE)=1, VLOOKUP(Games!#REF!, Data!$B$2:$L$135, 11, FALSE)&lt;&gt;1), 1,0))*Coefficients!K$2</f>
        <v>#REF!</v>
      </c>
      <c r="L117" t="e">
        <f>(IF(AND(VLOOKUP(Games!#REF!, Data!$B$2:$L$135, 11, FALSE)&lt;&gt;1, VLOOKUP(Games!#REF!, Data!$B$2:$L$135, 11, FALSE)=1), 1,0))*Coefficients!L$2</f>
        <v>#REF!</v>
      </c>
      <c r="O117" t="e">
        <f t="shared" si="1"/>
        <v>#REF!</v>
      </c>
    </row>
    <row r="118">
      <c r="A118" t="n">
        <f>Coefficients!$A$2</f>
        <v>-3.7765953152866998</v>
      </c>
      <c r="B118" t="e">
        <f>(Games!#REF!)*(-1*Coefficients!$B$2)</f>
        <v>#REF!</v>
      </c>
      <c r="C118" t="e">
        <f>(VLOOKUP(Games!#REF!, Data!$B$2:$L$135, 4, FALSE)-VLOOKUP(Games!#REF!, Data!$B$2:$L$135, 4, FALSE))*Coefficients!$C$2</f>
        <v>#REF!</v>
      </c>
      <c r="D118" t="e">
        <f>(VLOOKUP(Games!#REF!, Data!$B$2:$L$135, 3, FALSE)-VLOOKUP(Games!#REF!, Data!$B$2:$L$135, 3, FALSE))*Coefficients!$D$2</f>
        <v>#REF!</v>
      </c>
      <c r="E118" t="e">
        <f>(VLOOKUP(Games!#REF!, Data!$B$2:$L$135, 5, FALSE)-VLOOKUP(Games!#REF!, Data!$B$2:$L$135, 5, FALSE))*Coefficients!$E$2</f>
        <v>#REF!</v>
      </c>
      <c r="F118" t="e">
        <f>(VLOOKUP(Games!#REF!, Data!$B$2:$L$135, 6, FALSE)-VLOOKUP(Games!#REF!, Data!$B$2:$L$135, 6, FALSE))*Coefficients!$F$2</f>
        <v>#REF!</v>
      </c>
      <c r="G118" t="e">
        <f>(VLOOKUP(Games!#REF!, Data!$B$2:$L$135, 7, FALSE)-VLOOKUP(Games!#REF!, Data!$B$2:$L$135, 7, FALSE))*Coefficients!$G$2</f>
        <v>#REF!</v>
      </c>
      <c r="H118" t="e">
        <f>(VLOOKUP(Games!#REF!, Data!$B$2:$L$135, 8, FALSE)-VLOOKUP(Games!#REF!, Data!$B$2:$L$135, 8, FALSE))*Coefficients!$H$2</f>
        <v>#REF!</v>
      </c>
      <c r="I118" t="e">
        <f>(VLOOKUP(Games!#REF!, Data!$B$2:$L$135, 9, FALSE)-VLOOKUP(Games!#REF!, Data!$B$2:$L$135, 9, FALSE))*Coefficients!$I$2</f>
        <v>#REF!</v>
      </c>
      <c r="J118" t="e">
        <f>IF(ISBLANK(Data!K118), Games!#REF!-Games!#REF!,VLOOKUP(Games!#REF!, Data!$B$2:$L$135, 10, FALSE)-VLOOKUP(Games!#REF!, Data!$B$2:$L$135, 10, FALSE))*Coefficients!$J$2</f>
        <v>#REF!</v>
      </c>
      <c r="K118" t="e">
        <f>(IF(AND(VLOOKUP(Games!#REF!, Data!$B$2:$L$135, 11, FALSE)=1, VLOOKUP(Games!#REF!, Data!$B$2:$L$135, 11, FALSE)&lt;&gt;1), 1,0))*Coefficients!K$2</f>
        <v>#REF!</v>
      </c>
      <c r="L118" t="e">
        <f>(IF(AND(VLOOKUP(Games!#REF!, Data!$B$2:$L$135, 11, FALSE)&lt;&gt;1, VLOOKUP(Games!#REF!, Data!$B$2:$L$135, 11, FALSE)=1), 1,0))*Coefficients!L$2</f>
        <v>#REF!</v>
      </c>
      <c r="O118" t="e">
        <f t="shared" si="1"/>
        <v>#REF!</v>
      </c>
    </row>
    <row r="119">
      <c r="A119" t="n">
        <f>Coefficients!$A$2</f>
        <v>-3.7765953152866998</v>
      </c>
      <c r="B119" t="e">
        <f>(Games!#REF!)*(-1*Coefficients!$B$2)</f>
        <v>#REF!</v>
      </c>
      <c r="C119" t="e">
        <f>(VLOOKUP(Games!#REF!, Data!$B$2:$L$135, 4, FALSE)-VLOOKUP(Games!#REF!, Data!$B$2:$L$135, 4, FALSE))*Coefficients!$C$2</f>
        <v>#REF!</v>
      </c>
      <c r="D119" t="e">
        <f>(VLOOKUP(Games!#REF!, Data!$B$2:$L$135, 3, FALSE)-VLOOKUP(Games!#REF!, Data!$B$2:$L$135, 3, FALSE))*Coefficients!$D$2</f>
        <v>#REF!</v>
      </c>
      <c r="E119" t="e">
        <f>(VLOOKUP(Games!#REF!, Data!$B$2:$L$135, 5, FALSE)-VLOOKUP(Games!#REF!, Data!$B$2:$L$135, 5, FALSE))*Coefficients!$E$2</f>
        <v>#REF!</v>
      </c>
      <c r="F119" t="e">
        <f>(VLOOKUP(Games!#REF!, Data!$B$2:$L$135, 6, FALSE)-VLOOKUP(Games!#REF!, Data!$B$2:$L$135, 6, FALSE))*Coefficients!$F$2</f>
        <v>#REF!</v>
      </c>
      <c r="G119" t="e">
        <f>(VLOOKUP(Games!#REF!, Data!$B$2:$L$135, 7, FALSE)-VLOOKUP(Games!#REF!, Data!$B$2:$L$135, 7, FALSE))*Coefficients!$G$2</f>
        <v>#REF!</v>
      </c>
      <c r="H119" t="e">
        <f>(VLOOKUP(Games!#REF!, Data!$B$2:$L$135, 8, FALSE)-VLOOKUP(Games!#REF!, Data!$B$2:$L$135, 8, FALSE))*Coefficients!$H$2</f>
        <v>#REF!</v>
      </c>
      <c r="I119" t="e">
        <f>(VLOOKUP(Games!#REF!, Data!$B$2:$L$135, 9, FALSE)-VLOOKUP(Games!#REF!, Data!$B$2:$L$135, 9, FALSE))*Coefficients!$I$2</f>
        <v>#REF!</v>
      </c>
      <c r="J119" t="e">
        <f>IF(ISBLANK(Data!K119), Games!#REF!-Games!#REF!,VLOOKUP(Games!#REF!, Data!$B$2:$L$135, 10, FALSE)-VLOOKUP(Games!#REF!, Data!$B$2:$L$135, 10, FALSE))*Coefficients!$J$2</f>
        <v>#REF!</v>
      </c>
      <c r="K119" t="e">
        <f>(IF(AND(VLOOKUP(Games!#REF!, Data!$B$2:$L$135, 11, FALSE)=1, VLOOKUP(Games!#REF!, Data!$B$2:$L$135, 11, FALSE)&lt;&gt;1), 1,0))*Coefficients!K$2</f>
        <v>#REF!</v>
      </c>
      <c r="L119" t="e">
        <f>(IF(AND(VLOOKUP(Games!#REF!, Data!$B$2:$L$135, 11, FALSE)&lt;&gt;1, VLOOKUP(Games!#REF!, Data!$B$2:$L$135, 11, FALSE)=1), 1,0))*Coefficients!L$2</f>
        <v>#REF!</v>
      </c>
      <c r="O119" t="e">
        <f t="shared" si="1"/>
        <v>#REF!</v>
      </c>
    </row>
    <row r="120">
      <c r="A120" t="n">
        <f>Coefficients!$A$2</f>
        <v>-3.7765953152866998</v>
      </c>
      <c r="B120" t="e">
        <f>(Games!#REF!)*(-1*Coefficients!$B$2)</f>
        <v>#REF!</v>
      </c>
      <c r="C120" t="e">
        <f>(VLOOKUP(Games!#REF!, Data!$B$2:$L$135, 4, FALSE)-VLOOKUP(Games!#REF!, Data!$B$2:$L$135, 4, FALSE))*Coefficients!$C$2</f>
        <v>#REF!</v>
      </c>
      <c r="D120" t="e">
        <f>(VLOOKUP(Games!#REF!, Data!$B$2:$L$135, 3, FALSE)-VLOOKUP(Games!#REF!, Data!$B$2:$L$135, 3, FALSE))*Coefficients!$D$2</f>
        <v>#REF!</v>
      </c>
      <c r="E120" t="e">
        <f>(VLOOKUP(Games!#REF!, Data!$B$2:$L$135, 5, FALSE)-VLOOKUP(Games!#REF!, Data!$B$2:$L$135, 5, FALSE))*Coefficients!$E$2</f>
        <v>#REF!</v>
      </c>
      <c r="F120" t="e">
        <f>(VLOOKUP(Games!#REF!, Data!$B$2:$L$135, 6, FALSE)-VLOOKUP(Games!#REF!, Data!$B$2:$L$135, 6, FALSE))*Coefficients!$F$2</f>
        <v>#REF!</v>
      </c>
      <c r="G120" t="e">
        <f>(VLOOKUP(Games!#REF!, Data!$B$2:$L$135, 7, FALSE)-VLOOKUP(Games!#REF!, Data!$B$2:$L$135, 7, FALSE))*Coefficients!$G$2</f>
        <v>#REF!</v>
      </c>
      <c r="H120" t="e">
        <f>(VLOOKUP(Games!#REF!, Data!$B$2:$L$135, 8, FALSE)-VLOOKUP(Games!#REF!, Data!$B$2:$L$135, 8, FALSE))*Coefficients!$H$2</f>
        <v>#REF!</v>
      </c>
      <c r="I120" t="e">
        <f>(VLOOKUP(Games!#REF!, Data!$B$2:$L$135, 9, FALSE)-VLOOKUP(Games!#REF!, Data!$B$2:$L$135, 9, FALSE))*Coefficients!$I$2</f>
        <v>#REF!</v>
      </c>
      <c r="J120" t="e">
        <f>IF(ISBLANK(Data!K120), Games!#REF!-Games!#REF!,VLOOKUP(Games!#REF!, Data!$B$2:$L$135, 10, FALSE)-VLOOKUP(Games!#REF!, Data!$B$2:$L$135, 10, FALSE))*Coefficients!$J$2</f>
        <v>#REF!</v>
      </c>
      <c r="K120" t="e">
        <f>(IF(AND(VLOOKUP(Games!#REF!, Data!$B$2:$L$135, 11, FALSE)=1, VLOOKUP(Games!#REF!, Data!$B$2:$L$135, 11, FALSE)&lt;&gt;1), 1,0))*Coefficients!K$2</f>
        <v>#REF!</v>
      </c>
      <c r="L120" t="e">
        <f>(IF(AND(VLOOKUP(Games!#REF!, Data!$B$2:$L$135, 11, FALSE)&lt;&gt;1, VLOOKUP(Games!#REF!, Data!$B$2:$L$135, 11, FALSE)=1), 1,0))*Coefficients!L$2</f>
        <v>#REF!</v>
      </c>
      <c r="O120" t="e">
        <f t="shared" si="1"/>
        <v>#REF!</v>
      </c>
    </row>
    <row r="121">
      <c r="A121" t="n">
        <f>Coefficients!$A$2</f>
        <v>-3.7765953152866998</v>
      </c>
      <c r="B121" t="e">
        <f>(Games!#REF!)*(-1*Coefficients!$B$2)</f>
        <v>#REF!</v>
      </c>
      <c r="C121" t="e">
        <f>(VLOOKUP(Games!#REF!, Data!$B$2:$L$135, 4, FALSE)-VLOOKUP(Games!#REF!, Data!$B$2:$L$135, 4, FALSE))*Coefficients!$C$2</f>
        <v>#REF!</v>
      </c>
      <c r="D121" t="e">
        <f>(VLOOKUP(Games!#REF!, Data!$B$2:$L$135, 3, FALSE)-VLOOKUP(Games!#REF!, Data!$B$2:$L$135, 3, FALSE))*Coefficients!$D$2</f>
        <v>#REF!</v>
      </c>
      <c r="E121" t="e">
        <f>(VLOOKUP(Games!#REF!, Data!$B$2:$L$135, 5, FALSE)-VLOOKUP(Games!#REF!, Data!$B$2:$L$135, 5, FALSE))*Coefficients!$E$2</f>
        <v>#REF!</v>
      </c>
      <c r="F121" t="e">
        <f>(VLOOKUP(Games!#REF!, Data!$B$2:$L$135, 6, FALSE)-VLOOKUP(Games!#REF!, Data!$B$2:$L$135, 6, FALSE))*Coefficients!$F$2</f>
        <v>#REF!</v>
      </c>
      <c r="G121" t="e">
        <f>(VLOOKUP(Games!#REF!, Data!$B$2:$L$135, 7, FALSE)-VLOOKUP(Games!#REF!, Data!$B$2:$L$135, 7, FALSE))*Coefficients!$G$2</f>
        <v>#REF!</v>
      </c>
      <c r="H121" t="e">
        <f>(VLOOKUP(Games!#REF!, Data!$B$2:$L$135, 8, FALSE)-VLOOKUP(Games!#REF!, Data!$B$2:$L$135, 8, FALSE))*Coefficients!$H$2</f>
        <v>#REF!</v>
      </c>
      <c r="I121" t="e">
        <f>(VLOOKUP(Games!#REF!, Data!$B$2:$L$135, 9, FALSE)-VLOOKUP(Games!#REF!, Data!$B$2:$L$135, 9, FALSE))*Coefficients!$I$2</f>
        <v>#REF!</v>
      </c>
      <c r="J121" t="e">
        <f>IF(ISBLANK(Data!K121), Games!#REF!-Games!#REF!,VLOOKUP(Games!#REF!, Data!$B$2:$L$135, 10, FALSE)-VLOOKUP(Games!#REF!, Data!$B$2:$L$135, 10, FALSE))*Coefficients!$J$2</f>
        <v>#REF!</v>
      </c>
      <c r="K121" t="e">
        <f>(IF(AND(VLOOKUP(Games!#REF!, Data!$B$2:$L$135, 11, FALSE)=1, VLOOKUP(Games!#REF!, Data!$B$2:$L$135, 11, FALSE)&lt;&gt;1), 1,0))*Coefficients!K$2</f>
        <v>#REF!</v>
      </c>
      <c r="L121" t="e">
        <f>(IF(AND(VLOOKUP(Games!#REF!, Data!$B$2:$L$135, 11, FALSE)&lt;&gt;1, VLOOKUP(Games!#REF!, Data!$B$2:$L$135, 11, FALSE)=1), 1,0))*Coefficients!L$2</f>
        <v>#REF!</v>
      </c>
      <c r="O121" t="e">
        <f t="shared" si="1"/>
        <v>#REF!</v>
      </c>
    </row>
    <row r="122">
      <c r="A122" t="n">
        <f>Coefficients!$A$2</f>
        <v>-3.7765953152866998</v>
      </c>
      <c r="B122" t="e">
        <f>(Games!#REF!)*(-1*Coefficients!$B$2)</f>
        <v>#REF!</v>
      </c>
      <c r="C122" t="e">
        <f>(VLOOKUP(Games!#REF!, Data!$B$2:$L$135, 4, FALSE)-VLOOKUP(Games!#REF!, Data!$B$2:$L$135, 4, FALSE))*Coefficients!$C$2</f>
        <v>#REF!</v>
      </c>
      <c r="D122" t="e">
        <f>(VLOOKUP(Games!#REF!, Data!$B$2:$L$135, 3, FALSE)-VLOOKUP(Games!#REF!, Data!$B$2:$L$135, 3, FALSE))*Coefficients!$D$2</f>
        <v>#REF!</v>
      </c>
      <c r="E122" t="e">
        <f>(VLOOKUP(Games!#REF!, Data!$B$2:$L$135, 5, FALSE)-VLOOKUP(Games!#REF!, Data!$B$2:$L$135, 5, FALSE))*Coefficients!$E$2</f>
        <v>#REF!</v>
      </c>
      <c r="F122" t="e">
        <f>(VLOOKUP(Games!#REF!, Data!$B$2:$L$135, 6, FALSE)-VLOOKUP(Games!#REF!, Data!$B$2:$L$135, 6, FALSE))*Coefficients!$F$2</f>
        <v>#REF!</v>
      </c>
      <c r="G122" t="e">
        <f>(VLOOKUP(Games!#REF!, Data!$B$2:$L$135, 7, FALSE)-VLOOKUP(Games!#REF!, Data!$B$2:$L$135, 7, FALSE))*Coefficients!$G$2</f>
        <v>#REF!</v>
      </c>
      <c r="H122" t="e">
        <f>(VLOOKUP(Games!#REF!, Data!$B$2:$L$135, 8, FALSE)-VLOOKUP(Games!#REF!, Data!$B$2:$L$135, 8, FALSE))*Coefficients!$H$2</f>
        <v>#REF!</v>
      </c>
      <c r="I122" t="e">
        <f>(VLOOKUP(Games!#REF!, Data!$B$2:$L$135, 9, FALSE)-VLOOKUP(Games!#REF!, Data!$B$2:$L$135, 9, FALSE))*Coefficients!$I$2</f>
        <v>#REF!</v>
      </c>
      <c r="J122" t="e">
        <f>IF(ISBLANK(Data!K122), Games!#REF!-Games!#REF!,VLOOKUP(Games!#REF!, Data!$B$2:$L$135, 10, FALSE)-VLOOKUP(Games!#REF!, Data!$B$2:$L$135, 10, FALSE))*Coefficients!$J$2</f>
        <v>#REF!</v>
      </c>
      <c r="K122" t="e">
        <f>(IF(AND(VLOOKUP(Games!#REF!, Data!$B$2:$L$135, 11, FALSE)=1, VLOOKUP(Games!#REF!, Data!$B$2:$L$135, 11, FALSE)&lt;&gt;1), 1,0))*Coefficients!K$2</f>
        <v>#REF!</v>
      </c>
      <c r="L122" t="e">
        <f>(IF(AND(VLOOKUP(Games!#REF!, Data!$B$2:$L$135, 11, FALSE)&lt;&gt;1, VLOOKUP(Games!#REF!, Data!$B$2:$L$135, 11, FALSE)=1), 1,0))*Coefficients!L$2</f>
        <v>#REF!</v>
      </c>
      <c r="O122" t="e">
        <f t="shared" si="1"/>
        <v>#REF!</v>
      </c>
    </row>
    <row r="123">
      <c r="A123" t="n">
        <f>Coefficients!$A$2</f>
        <v>-3.7765953152866998</v>
      </c>
      <c r="B123" t="e">
        <f>(Games!#REF!)*(-1*Coefficients!$B$2)</f>
        <v>#REF!</v>
      </c>
      <c r="C123" t="e">
        <f>(VLOOKUP(Games!#REF!, Data!$B$2:$L$135, 4, FALSE)-VLOOKUP(Games!#REF!, Data!$B$2:$L$135, 4, FALSE))*Coefficients!$C$2</f>
        <v>#REF!</v>
      </c>
      <c r="D123" t="e">
        <f>(VLOOKUP(Games!#REF!, Data!$B$2:$L$135, 3, FALSE)-VLOOKUP(Games!#REF!, Data!$B$2:$L$135, 3, FALSE))*Coefficients!$D$2</f>
        <v>#REF!</v>
      </c>
      <c r="E123" t="e">
        <f>(VLOOKUP(Games!#REF!, Data!$B$2:$L$135, 5, FALSE)-VLOOKUP(Games!#REF!, Data!$B$2:$L$135, 5, FALSE))*Coefficients!$E$2</f>
        <v>#REF!</v>
      </c>
      <c r="F123" t="e">
        <f>(VLOOKUP(Games!#REF!, Data!$B$2:$L$135, 6, FALSE)-VLOOKUP(Games!#REF!, Data!$B$2:$L$135, 6, FALSE))*Coefficients!$F$2</f>
        <v>#REF!</v>
      </c>
      <c r="G123" t="e">
        <f>(VLOOKUP(Games!#REF!, Data!$B$2:$L$135, 7, FALSE)-VLOOKUP(Games!#REF!, Data!$B$2:$L$135, 7, FALSE))*Coefficients!$G$2</f>
        <v>#REF!</v>
      </c>
      <c r="H123" t="e">
        <f>(VLOOKUP(Games!#REF!, Data!$B$2:$L$135, 8, FALSE)-VLOOKUP(Games!#REF!, Data!$B$2:$L$135, 8, FALSE))*Coefficients!$H$2</f>
        <v>#REF!</v>
      </c>
      <c r="I123" t="e">
        <f>(VLOOKUP(Games!#REF!, Data!$B$2:$L$135, 9, FALSE)-VLOOKUP(Games!#REF!, Data!$B$2:$L$135, 9, FALSE))*Coefficients!$I$2</f>
        <v>#REF!</v>
      </c>
      <c r="J123" t="e">
        <f>IF(ISBLANK(Data!K123), Games!#REF!-Games!#REF!,VLOOKUP(Games!#REF!, Data!$B$2:$L$135, 10, FALSE)-VLOOKUP(Games!#REF!, Data!$B$2:$L$135, 10, FALSE))*Coefficients!$J$2</f>
        <v>#REF!</v>
      </c>
      <c r="K123" t="e">
        <f>(IF(AND(VLOOKUP(Games!#REF!, Data!$B$2:$L$135, 11, FALSE)=1, VLOOKUP(Games!#REF!, Data!$B$2:$L$135, 11, FALSE)&lt;&gt;1), 1,0))*Coefficients!K$2</f>
        <v>#REF!</v>
      </c>
      <c r="L123" t="e">
        <f>(IF(AND(VLOOKUP(Games!#REF!, Data!$B$2:$L$135, 11, FALSE)&lt;&gt;1, VLOOKUP(Games!#REF!, Data!$B$2:$L$135, 11, FALSE)=1), 1,0))*Coefficients!L$2</f>
        <v>#REF!</v>
      </c>
      <c r="O123" t="e">
        <f t="shared" si="1"/>
        <v>#REF!</v>
      </c>
    </row>
    <row r="124">
      <c r="A124" t="n">
        <f>Coefficients!$A$2</f>
        <v>-3.7765953152866998</v>
      </c>
      <c r="B124" t="e">
        <f>(Games!#REF!)*(-1*Coefficients!$B$2)</f>
        <v>#REF!</v>
      </c>
      <c r="C124" t="e">
        <f>(VLOOKUP(Games!#REF!, Data!$B$2:$L$135, 4, FALSE)-VLOOKUP(Games!#REF!, Data!$B$2:$L$135, 4, FALSE))*Coefficients!$C$2</f>
        <v>#REF!</v>
      </c>
      <c r="D124" t="e">
        <f>(VLOOKUP(Games!#REF!, Data!$B$2:$L$135, 3, FALSE)-VLOOKUP(Games!#REF!, Data!$B$2:$L$135, 3, FALSE))*Coefficients!$D$2</f>
        <v>#REF!</v>
      </c>
      <c r="E124" t="e">
        <f>(VLOOKUP(Games!#REF!, Data!$B$2:$L$135, 5, FALSE)-VLOOKUP(Games!#REF!, Data!$B$2:$L$135, 5, FALSE))*Coefficients!$E$2</f>
        <v>#REF!</v>
      </c>
      <c r="F124" t="e">
        <f>(VLOOKUP(Games!#REF!, Data!$B$2:$L$135, 6, FALSE)-VLOOKUP(Games!#REF!, Data!$B$2:$L$135, 6, FALSE))*Coefficients!$F$2</f>
        <v>#REF!</v>
      </c>
      <c r="G124" t="e">
        <f>(VLOOKUP(Games!#REF!, Data!$B$2:$L$135, 7, FALSE)-VLOOKUP(Games!#REF!, Data!$B$2:$L$135, 7, FALSE))*Coefficients!$G$2</f>
        <v>#REF!</v>
      </c>
      <c r="H124" t="e">
        <f>(VLOOKUP(Games!#REF!, Data!$B$2:$L$135, 8, FALSE)-VLOOKUP(Games!#REF!, Data!$B$2:$L$135, 8, FALSE))*Coefficients!$H$2</f>
        <v>#REF!</v>
      </c>
      <c r="I124" t="e">
        <f>(VLOOKUP(Games!#REF!, Data!$B$2:$L$135, 9, FALSE)-VLOOKUP(Games!#REF!, Data!$B$2:$L$135, 9, FALSE))*Coefficients!$I$2</f>
        <v>#REF!</v>
      </c>
      <c r="J124" t="e">
        <f>IF(ISBLANK(Data!K124), Games!#REF!-Games!#REF!,VLOOKUP(Games!#REF!, Data!$B$2:$L$135, 10, FALSE)-VLOOKUP(Games!#REF!, Data!$B$2:$L$135, 10, FALSE))*Coefficients!$J$2</f>
        <v>#REF!</v>
      </c>
      <c r="K124" t="e">
        <f>(IF(AND(VLOOKUP(Games!#REF!, Data!$B$2:$L$135, 11, FALSE)=1, VLOOKUP(Games!#REF!, Data!$B$2:$L$135, 11, FALSE)&lt;&gt;1), 1,0))*Coefficients!K$2</f>
        <v>#REF!</v>
      </c>
      <c r="L124" t="e">
        <f>(IF(AND(VLOOKUP(Games!#REF!, Data!$B$2:$L$135, 11, FALSE)&lt;&gt;1, VLOOKUP(Games!#REF!, Data!$B$2:$L$135, 11, FALSE)=1), 1,0))*Coefficients!L$2</f>
        <v>#REF!</v>
      </c>
      <c r="O124" t="e">
        <f t="shared" si="1"/>
        <v>#REF!</v>
      </c>
    </row>
    <row r="125">
      <c r="A125" t="n">
        <f>Coefficients!$A$2</f>
        <v>-3.7765953152866998</v>
      </c>
      <c r="B125" t="e">
        <f>(Games!#REF!)*(-1*Coefficients!$B$2)</f>
        <v>#REF!</v>
      </c>
      <c r="C125" t="e">
        <f>(VLOOKUP(Games!#REF!, Data!$B$2:$L$135, 4, FALSE)-VLOOKUP(Games!#REF!, Data!$B$2:$L$135, 4, FALSE))*Coefficients!$C$2</f>
        <v>#REF!</v>
      </c>
      <c r="D125" t="e">
        <f>(VLOOKUP(Games!#REF!, Data!$B$2:$L$135, 3, FALSE)-VLOOKUP(Games!#REF!, Data!$B$2:$L$135, 3, FALSE))*Coefficients!$D$2</f>
        <v>#REF!</v>
      </c>
      <c r="E125" t="e">
        <f>(VLOOKUP(Games!#REF!, Data!$B$2:$L$135, 5, FALSE)-VLOOKUP(Games!#REF!, Data!$B$2:$L$135, 5, FALSE))*Coefficients!$E$2</f>
        <v>#REF!</v>
      </c>
      <c r="F125" t="e">
        <f>(VLOOKUP(Games!#REF!, Data!$B$2:$L$135, 6, FALSE)-VLOOKUP(Games!#REF!, Data!$B$2:$L$135, 6, FALSE))*Coefficients!$F$2</f>
        <v>#REF!</v>
      </c>
      <c r="G125" t="e">
        <f>(VLOOKUP(Games!#REF!, Data!$B$2:$L$135, 7, FALSE)-VLOOKUP(Games!#REF!, Data!$B$2:$L$135, 7, FALSE))*Coefficients!$G$2</f>
        <v>#REF!</v>
      </c>
      <c r="H125" t="e">
        <f>(VLOOKUP(Games!#REF!, Data!$B$2:$L$135, 8, FALSE)-VLOOKUP(Games!#REF!, Data!$B$2:$L$135, 8, FALSE))*Coefficients!$H$2</f>
        <v>#REF!</v>
      </c>
      <c r="I125" t="e">
        <f>(VLOOKUP(Games!#REF!, Data!$B$2:$L$135, 9, FALSE)-VLOOKUP(Games!#REF!, Data!$B$2:$L$135, 9, FALSE))*Coefficients!$I$2</f>
        <v>#REF!</v>
      </c>
      <c r="J125" t="e">
        <f>IF(ISBLANK(Data!K125), Games!#REF!-Games!#REF!,VLOOKUP(Games!#REF!, Data!$B$2:$L$135, 10, FALSE)-VLOOKUP(Games!#REF!, Data!$B$2:$L$135, 10, FALSE))*Coefficients!$J$2</f>
        <v>#REF!</v>
      </c>
      <c r="K125" t="e">
        <f>(IF(AND(VLOOKUP(Games!#REF!, Data!$B$2:$L$135, 11, FALSE)=1, VLOOKUP(Games!#REF!, Data!$B$2:$L$135, 11, FALSE)&lt;&gt;1), 1,0))*Coefficients!K$2</f>
        <v>#REF!</v>
      </c>
      <c r="L125" t="e">
        <f>(IF(AND(VLOOKUP(Games!#REF!, Data!$B$2:$L$135, 11, FALSE)&lt;&gt;1, VLOOKUP(Games!#REF!, Data!$B$2:$L$135, 11, FALSE)=1), 1,0))*Coefficients!L$2</f>
        <v>#REF!</v>
      </c>
      <c r="O125" t="e">
        <f t="shared" si="1"/>
        <v>#REF!</v>
      </c>
    </row>
    <row r="126">
      <c r="A126" t="n">
        <f>Coefficients!$A$2</f>
        <v>-3.7765953152866998</v>
      </c>
      <c r="B126" t="e">
        <f>(Games!#REF!)*(-1*Coefficients!$B$2)</f>
        <v>#REF!</v>
      </c>
      <c r="C126" t="e">
        <f>(VLOOKUP(Games!#REF!, Data!$B$2:$L$135, 4, FALSE)-VLOOKUP(Games!#REF!, Data!$B$2:$L$135, 4, FALSE))*Coefficients!$C$2</f>
        <v>#REF!</v>
      </c>
      <c r="D126" t="e">
        <f>(VLOOKUP(Games!#REF!, Data!$B$2:$L$135, 3, FALSE)-VLOOKUP(Games!#REF!, Data!$B$2:$L$135, 3, FALSE))*Coefficients!$D$2</f>
        <v>#REF!</v>
      </c>
      <c r="E126" t="e">
        <f>(VLOOKUP(Games!#REF!, Data!$B$2:$L$135, 5, FALSE)-VLOOKUP(Games!#REF!, Data!$B$2:$L$135, 5, FALSE))*Coefficients!$E$2</f>
        <v>#REF!</v>
      </c>
      <c r="F126" t="e">
        <f>(VLOOKUP(Games!#REF!, Data!$B$2:$L$135, 6, FALSE)-VLOOKUP(Games!#REF!, Data!$B$2:$L$135, 6, FALSE))*Coefficients!$F$2</f>
        <v>#REF!</v>
      </c>
      <c r="G126" t="e">
        <f>(VLOOKUP(Games!#REF!, Data!$B$2:$L$135, 7, FALSE)-VLOOKUP(Games!#REF!, Data!$B$2:$L$135, 7, FALSE))*Coefficients!$G$2</f>
        <v>#REF!</v>
      </c>
      <c r="H126" t="e">
        <f>(VLOOKUP(Games!#REF!, Data!$B$2:$L$135, 8, FALSE)-VLOOKUP(Games!#REF!, Data!$B$2:$L$135, 8, FALSE))*Coefficients!$H$2</f>
        <v>#REF!</v>
      </c>
      <c r="I126" t="e">
        <f>(VLOOKUP(Games!#REF!, Data!$B$2:$L$135, 9, FALSE)-VLOOKUP(Games!#REF!, Data!$B$2:$L$135, 9, FALSE))*Coefficients!$I$2</f>
        <v>#REF!</v>
      </c>
      <c r="J126" t="e">
        <f>IF(ISBLANK(Data!K126), Games!#REF!-Games!#REF!,VLOOKUP(Games!#REF!, Data!$B$2:$L$135, 10, FALSE)-VLOOKUP(Games!#REF!, Data!$B$2:$L$135, 10, FALSE))*Coefficients!$J$2</f>
        <v>#REF!</v>
      </c>
      <c r="K126" t="e">
        <f>(IF(AND(VLOOKUP(Games!#REF!, Data!$B$2:$L$135, 11, FALSE)=1, VLOOKUP(Games!#REF!, Data!$B$2:$L$135, 11, FALSE)&lt;&gt;1), 1,0))*Coefficients!K$2</f>
        <v>#REF!</v>
      </c>
      <c r="L126" t="e">
        <f>(IF(AND(VLOOKUP(Games!#REF!, Data!$B$2:$L$135, 11, FALSE)&lt;&gt;1, VLOOKUP(Games!#REF!, Data!$B$2:$L$135, 11, FALSE)=1), 1,0))*Coefficients!L$2</f>
        <v>#REF!</v>
      </c>
      <c r="O126" t="e">
        <f t="shared" si="1"/>
        <v>#REF!</v>
      </c>
    </row>
    <row r="127">
      <c r="A127" t="n">
        <f>Coefficients!$A$2</f>
        <v>-3.7765953152866998</v>
      </c>
      <c r="B127" t="e">
        <f>(Games!#REF!)*(-1*Coefficients!$B$2)</f>
        <v>#REF!</v>
      </c>
      <c r="C127" t="e">
        <f>(VLOOKUP(Games!#REF!, Data!$B$2:$L$135, 4, FALSE)-VLOOKUP(Games!#REF!, Data!$B$2:$L$135, 4, FALSE))*Coefficients!$C$2</f>
        <v>#REF!</v>
      </c>
      <c r="D127" t="e">
        <f>(VLOOKUP(Games!#REF!, Data!$B$2:$L$135, 3, FALSE)-VLOOKUP(Games!#REF!, Data!$B$2:$L$135, 3, FALSE))*Coefficients!$D$2</f>
        <v>#REF!</v>
      </c>
      <c r="E127" t="e">
        <f>(VLOOKUP(Games!#REF!, Data!$B$2:$L$135, 5, FALSE)-VLOOKUP(Games!#REF!, Data!$B$2:$L$135, 5, FALSE))*Coefficients!$E$2</f>
        <v>#REF!</v>
      </c>
      <c r="F127" t="e">
        <f>(VLOOKUP(Games!#REF!, Data!$B$2:$L$135, 6, FALSE)-VLOOKUP(Games!#REF!, Data!$B$2:$L$135, 6, FALSE))*Coefficients!$F$2</f>
        <v>#REF!</v>
      </c>
      <c r="G127" t="e">
        <f>(VLOOKUP(Games!#REF!, Data!$B$2:$L$135, 7, FALSE)-VLOOKUP(Games!#REF!, Data!$B$2:$L$135, 7, FALSE))*Coefficients!$G$2</f>
        <v>#REF!</v>
      </c>
      <c r="H127" t="e">
        <f>(VLOOKUP(Games!#REF!, Data!$B$2:$L$135, 8, FALSE)-VLOOKUP(Games!#REF!, Data!$B$2:$L$135, 8, FALSE))*Coefficients!$H$2</f>
        <v>#REF!</v>
      </c>
      <c r="I127" t="e">
        <f>(VLOOKUP(Games!#REF!, Data!$B$2:$L$135, 9, FALSE)-VLOOKUP(Games!#REF!, Data!$B$2:$L$135, 9, FALSE))*Coefficients!$I$2</f>
        <v>#REF!</v>
      </c>
      <c r="J127" t="e">
        <f>IF(ISBLANK(Data!K127), Games!#REF!-Games!#REF!,VLOOKUP(Games!#REF!, Data!$B$2:$L$135, 10, FALSE)-VLOOKUP(Games!#REF!, Data!$B$2:$L$135, 10, FALSE))*Coefficients!$J$2</f>
        <v>#REF!</v>
      </c>
      <c r="K127" t="e">
        <f>(IF(AND(VLOOKUP(Games!#REF!, Data!$B$2:$L$135, 11, FALSE)=1, VLOOKUP(Games!#REF!, Data!$B$2:$L$135, 11, FALSE)&lt;&gt;1), 1,0))*Coefficients!K$2</f>
        <v>#REF!</v>
      </c>
      <c r="L127" t="e">
        <f>(IF(AND(VLOOKUP(Games!#REF!, Data!$B$2:$L$135, 11, FALSE)&lt;&gt;1, VLOOKUP(Games!#REF!, Data!$B$2:$L$135, 11, FALSE)=1), 1,0))*Coefficients!L$2</f>
        <v>#REF!</v>
      </c>
      <c r="O127" t="e">
        <f t="shared" si="1"/>
        <v>#REF!</v>
      </c>
    </row>
    <row r="128">
      <c r="A128" t="n">
        <f>Coefficients!$A$2</f>
        <v>-3.7765953152866998</v>
      </c>
      <c r="B128" t="e">
        <f>(Games!#REF!)*(-1*Coefficients!$B$2)</f>
        <v>#REF!</v>
      </c>
      <c r="C128" t="e">
        <f>(VLOOKUP(Games!#REF!, Data!$B$2:$L$135, 4, FALSE)-VLOOKUP(Games!#REF!, Data!$B$2:$L$135, 4, FALSE))*Coefficients!$C$2</f>
        <v>#REF!</v>
      </c>
      <c r="D128" t="e">
        <f>(VLOOKUP(Games!#REF!, Data!$B$2:$L$135, 3, FALSE)-VLOOKUP(Games!#REF!, Data!$B$2:$L$135, 3, FALSE))*Coefficients!$D$2</f>
        <v>#REF!</v>
      </c>
      <c r="E128" t="e">
        <f>(VLOOKUP(Games!#REF!, Data!$B$2:$L$135, 5, FALSE)-VLOOKUP(Games!#REF!, Data!$B$2:$L$135, 5, FALSE))*Coefficients!$E$2</f>
        <v>#REF!</v>
      </c>
      <c r="F128" t="e">
        <f>(VLOOKUP(Games!#REF!, Data!$B$2:$L$135, 6, FALSE)-VLOOKUP(Games!#REF!, Data!$B$2:$L$135, 6, FALSE))*Coefficients!$F$2</f>
        <v>#REF!</v>
      </c>
      <c r="G128" t="e">
        <f>(VLOOKUP(Games!#REF!, Data!$B$2:$L$135, 7, FALSE)-VLOOKUP(Games!#REF!, Data!$B$2:$L$135, 7, FALSE))*Coefficients!$G$2</f>
        <v>#REF!</v>
      </c>
      <c r="H128" t="e">
        <f>(VLOOKUP(Games!#REF!, Data!$B$2:$L$135, 8, FALSE)-VLOOKUP(Games!#REF!, Data!$B$2:$L$135, 8, FALSE))*Coefficients!$H$2</f>
        <v>#REF!</v>
      </c>
      <c r="I128" t="e">
        <f>(VLOOKUP(Games!#REF!, Data!$B$2:$L$135, 9, FALSE)-VLOOKUP(Games!#REF!, Data!$B$2:$L$135, 9, FALSE))*Coefficients!$I$2</f>
        <v>#REF!</v>
      </c>
      <c r="J128" t="e">
        <f>IF(ISBLANK(Data!K128), Games!#REF!-Games!#REF!,VLOOKUP(Games!#REF!, Data!$B$2:$L$135, 10, FALSE)-VLOOKUP(Games!#REF!, Data!$B$2:$L$135, 10, FALSE))*Coefficients!$J$2</f>
        <v>#REF!</v>
      </c>
      <c r="K128" t="e">
        <f>(IF(AND(VLOOKUP(Games!#REF!, Data!$B$2:$L$135, 11, FALSE)=1, VLOOKUP(Games!#REF!, Data!$B$2:$L$135, 11, FALSE)&lt;&gt;1), 1,0))*Coefficients!K$2</f>
        <v>#REF!</v>
      </c>
      <c r="L128" t="e">
        <f>(IF(AND(VLOOKUP(Games!#REF!, Data!$B$2:$L$135, 11, FALSE)&lt;&gt;1, VLOOKUP(Games!#REF!, Data!$B$2:$L$135, 11, FALSE)=1), 1,0))*Coefficients!L$2</f>
        <v>#REF!</v>
      </c>
      <c r="O128" t="e">
        <f t="shared" si="1"/>
        <v>#REF!</v>
      </c>
    </row>
    <row r="129">
      <c r="A129" t="n">
        <f>Coefficients!$A$2</f>
        <v>-3.7765953152866998</v>
      </c>
      <c r="B129" t="e">
        <f>(Games!#REF!)*(-1*Coefficients!$B$2)</f>
        <v>#REF!</v>
      </c>
      <c r="C129" t="e">
        <f>(VLOOKUP(Games!#REF!, Data!$B$2:$L$135, 4, FALSE)-VLOOKUP(Games!#REF!, Data!$B$2:$L$135, 4, FALSE))*Coefficients!$C$2</f>
        <v>#REF!</v>
      </c>
      <c r="D129" t="e">
        <f>(VLOOKUP(Games!#REF!, Data!$B$2:$L$135, 3, FALSE)-VLOOKUP(Games!#REF!, Data!$B$2:$L$135, 3, FALSE))*Coefficients!$D$2</f>
        <v>#REF!</v>
      </c>
      <c r="E129" t="e">
        <f>(VLOOKUP(Games!#REF!, Data!$B$2:$L$135, 5, FALSE)-VLOOKUP(Games!#REF!, Data!$B$2:$L$135, 5, FALSE))*Coefficients!$E$2</f>
        <v>#REF!</v>
      </c>
      <c r="F129" t="e">
        <f>(VLOOKUP(Games!#REF!, Data!$B$2:$L$135, 6, FALSE)-VLOOKUP(Games!#REF!, Data!$B$2:$L$135, 6, FALSE))*Coefficients!$F$2</f>
        <v>#REF!</v>
      </c>
      <c r="G129" t="e">
        <f>(VLOOKUP(Games!#REF!, Data!$B$2:$L$135, 7, FALSE)-VLOOKUP(Games!#REF!, Data!$B$2:$L$135, 7, FALSE))*Coefficients!$G$2</f>
        <v>#REF!</v>
      </c>
      <c r="H129" t="e">
        <f>(VLOOKUP(Games!#REF!, Data!$B$2:$L$135, 8, FALSE)-VLOOKUP(Games!#REF!, Data!$B$2:$L$135, 8, FALSE))*Coefficients!$H$2</f>
        <v>#REF!</v>
      </c>
      <c r="I129" t="e">
        <f>(VLOOKUP(Games!#REF!, Data!$B$2:$L$135, 9, FALSE)-VLOOKUP(Games!#REF!, Data!$B$2:$L$135, 9, FALSE))*Coefficients!$I$2</f>
        <v>#REF!</v>
      </c>
      <c r="J129" t="e">
        <f>IF(ISBLANK(Data!K129), Games!#REF!-Games!#REF!,VLOOKUP(Games!#REF!, Data!$B$2:$L$135, 10, FALSE)-VLOOKUP(Games!#REF!, Data!$B$2:$L$135, 10, FALSE))*Coefficients!$J$2</f>
        <v>#REF!</v>
      </c>
      <c r="K129" t="e">
        <f>(IF(AND(VLOOKUP(Games!#REF!, Data!$B$2:$L$135, 11, FALSE)=1, VLOOKUP(Games!#REF!, Data!$B$2:$L$135, 11, FALSE)&lt;&gt;1), 1,0))*Coefficients!K$2</f>
        <v>#REF!</v>
      </c>
      <c r="L129" t="e">
        <f>(IF(AND(VLOOKUP(Games!#REF!, Data!$B$2:$L$135, 11, FALSE)&lt;&gt;1, VLOOKUP(Games!#REF!, Data!$B$2:$L$135, 11, FALSE)=1), 1,0))*Coefficients!L$2</f>
        <v>#REF!</v>
      </c>
      <c r="O129" t="e">
        <f t="shared" si="1"/>
        <v>#REF!</v>
      </c>
    </row>
    <row r="130">
      <c r="A130" t="n">
        <f>Coefficients!$A$2</f>
        <v>-3.7765953152866998</v>
      </c>
      <c r="B130" t="e">
        <f>(Games!#REF!)*(-1*Coefficients!$B$2)</f>
        <v>#REF!</v>
      </c>
      <c r="C130" t="e">
        <f>(VLOOKUP(Games!#REF!, Data!$B$2:$L$135, 4, FALSE)-VLOOKUP(Games!#REF!, Data!$B$2:$L$135, 4, FALSE))*Coefficients!$C$2</f>
        <v>#REF!</v>
      </c>
      <c r="D130" t="e">
        <f>(VLOOKUP(Games!#REF!, Data!$B$2:$L$135, 3, FALSE)-VLOOKUP(Games!#REF!, Data!$B$2:$L$135, 3, FALSE))*Coefficients!$D$2</f>
        <v>#REF!</v>
      </c>
      <c r="E130" t="e">
        <f>(VLOOKUP(Games!#REF!, Data!$B$2:$L$135, 5, FALSE)-VLOOKUP(Games!#REF!, Data!$B$2:$L$135, 5, FALSE))*Coefficients!$E$2</f>
        <v>#REF!</v>
      </c>
      <c r="F130" t="e">
        <f>(VLOOKUP(Games!#REF!, Data!$B$2:$L$135, 6, FALSE)-VLOOKUP(Games!#REF!, Data!$B$2:$L$135, 6, FALSE))*Coefficients!$F$2</f>
        <v>#REF!</v>
      </c>
      <c r="G130" t="e">
        <f>(VLOOKUP(Games!#REF!, Data!$B$2:$L$135, 7, FALSE)-VLOOKUP(Games!#REF!, Data!$B$2:$L$135, 7, FALSE))*Coefficients!$G$2</f>
        <v>#REF!</v>
      </c>
      <c r="H130" t="e">
        <f>(VLOOKUP(Games!#REF!, Data!$B$2:$L$135, 8, FALSE)-VLOOKUP(Games!#REF!, Data!$B$2:$L$135, 8, FALSE))*Coefficients!$H$2</f>
        <v>#REF!</v>
      </c>
      <c r="I130" t="e">
        <f>(VLOOKUP(Games!#REF!, Data!$B$2:$L$135, 9, FALSE)-VLOOKUP(Games!#REF!, Data!$B$2:$L$135, 9, FALSE))*Coefficients!$I$2</f>
        <v>#REF!</v>
      </c>
      <c r="J130" t="e">
        <f>IF(ISBLANK(Data!K130), Games!#REF!-Games!#REF!,VLOOKUP(Games!#REF!, Data!$B$2:$L$135, 10, FALSE)-VLOOKUP(Games!#REF!, Data!$B$2:$L$135, 10, FALSE))*Coefficients!$J$2</f>
        <v>#REF!</v>
      </c>
      <c r="K130" t="e">
        <f>(IF(AND(VLOOKUP(Games!#REF!, Data!$B$2:$L$135, 11, FALSE)=1, VLOOKUP(Games!#REF!, Data!$B$2:$L$135, 11, FALSE)&lt;&gt;1), 1,0))*Coefficients!K$2</f>
        <v>#REF!</v>
      </c>
      <c r="L130" t="e">
        <f>(IF(AND(VLOOKUP(Games!#REF!, Data!$B$2:$L$135, 11, FALSE)&lt;&gt;1, VLOOKUP(Games!#REF!, Data!$B$2:$L$135, 11, FALSE)=1), 1,0))*Coefficients!L$2</f>
        <v>#REF!</v>
      </c>
      <c r="O130" t="e">
        <f t="shared" si="1"/>
        <v>#REF!</v>
      </c>
    </row>
    <row r="131">
      <c r="A131" t="n">
        <f>Coefficients!$A$2</f>
        <v>-3.7765953152866998</v>
      </c>
      <c r="B131" t="e">
        <f>(Games!#REF!)*(-1*Coefficients!$B$2)</f>
        <v>#REF!</v>
      </c>
      <c r="C131" t="e">
        <f>(VLOOKUP(Games!#REF!, Data!$B$2:$L$135, 4, FALSE)-VLOOKUP(Games!#REF!, Data!$B$2:$L$135, 4, FALSE))*Coefficients!$C$2</f>
        <v>#REF!</v>
      </c>
      <c r="D131" t="e">
        <f>(VLOOKUP(Games!#REF!, Data!$B$2:$L$135, 3, FALSE)-VLOOKUP(Games!#REF!, Data!$B$2:$L$135, 3, FALSE))*Coefficients!$D$2</f>
        <v>#REF!</v>
      </c>
      <c r="E131" t="e">
        <f>(VLOOKUP(Games!#REF!, Data!$B$2:$L$135, 5, FALSE)-VLOOKUP(Games!#REF!, Data!$B$2:$L$135, 5, FALSE))*Coefficients!$E$2</f>
        <v>#REF!</v>
      </c>
      <c r="F131" t="e">
        <f>(VLOOKUP(Games!#REF!, Data!$B$2:$L$135, 6, FALSE)-VLOOKUP(Games!#REF!, Data!$B$2:$L$135, 6, FALSE))*Coefficients!$F$2</f>
        <v>#REF!</v>
      </c>
      <c r="G131" t="e">
        <f>(VLOOKUP(Games!#REF!, Data!$B$2:$L$135, 7, FALSE)-VLOOKUP(Games!#REF!, Data!$B$2:$L$135, 7, FALSE))*Coefficients!$G$2</f>
        <v>#REF!</v>
      </c>
      <c r="H131" t="e">
        <f>(VLOOKUP(Games!#REF!, Data!$B$2:$L$135, 8, FALSE)-VLOOKUP(Games!#REF!, Data!$B$2:$L$135, 8, FALSE))*Coefficients!$H$2</f>
        <v>#REF!</v>
      </c>
      <c r="I131" t="e">
        <f>(VLOOKUP(Games!#REF!, Data!$B$2:$L$135, 9, FALSE)-VLOOKUP(Games!#REF!, Data!$B$2:$L$135, 9, FALSE))*Coefficients!$I$2</f>
        <v>#REF!</v>
      </c>
      <c r="J131" t="e">
        <f>IF(ISBLANK(Data!K131), Games!#REF!-Games!#REF!,VLOOKUP(Games!#REF!, Data!$B$2:$L$135, 10, FALSE)-VLOOKUP(Games!#REF!, Data!$B$2:$L$135, 10, FALSE))*Coefficients!$J$2</f>
        <v>#REF!</v>
      </c>
      <c r="K131" t="e">
        <f>(IF(AND(VLOOKUP(Games!#REF!, Data!$B$2:$L$135, 11, FALSE)=1, VLOOKUP(Games!#REF!, Data!$B$2:$L$135, 11, FALSE)&lt;&gt;1), 1,0))*Coefficients!K$2</f>
        <v>#REF!</v>
      </c>
      <c r="L131" t="e">
        <f>(IF(AND(VLOOKUP(Games!#REF!, Data!$B$2:$L$135, 11, FALSE)&lt;&gt;1, VLOOKUP(Games!#REF!, Data!$B$2:$L$135, 11, FALSE)=1), 1,0))*Coefficients!L$2</f>
        <v>#REF!</v>
      </c>
      <c r="O131" t="e">
        <f t="shared" ref="O131:O134" si="2">SUM(A131:L131)</f>
        <v>#REF!</v>
      </c>
    </row>
    <row r="132">
      <c r="A132" t="n">
        <f>Coefficients!$A$2</f>
        <v>-3.7765953152866998</v>
      </c>
      <c r="B132" t="e">
        <f>(Games!#REF!)*(-1*Coefficients!$B$2)</f>
        <v>#REF!</v>
      </c>
      <c r="C132" t="e">
        <f>(VLOOKUP(Games!#REF!, Data!$B$2:$L$135, 4, FALSE)-VLOOKUP(Games!#REF!, Data!$B$2:$L$135, 4, FALSE))*Coefficients!$C$2</f>
        <v>#REF!</v>
      </c>
      <c r="D132" t="e">
        <f>(VLOOKUP(Games!#REF!, Data!$B$2:$L$135, 3, FALSE)-VLOOKUP(Games!#REF!, Data!$B$2:$L$135, 3, FALSE))*Coefficients!$D$2</f>
        <v>#REF!</v>
      </c>
      <c r="E132" t="e">
        <f>(VLOOKUP(Games!#REF!, Data!$B$2:$L$135, 5, FALSE)-VLOOKUP(Games!#REF!, Data!$B$2:$L$135, 5, FALSE))*Coefficients!$E$2</f>
        <v>#REF!</v>
      </c>
      <c r="F132" t="e">
        <f>(VLOOKUP(Games!#REF!, Data!$B$2:$L$135, 6, FALSE)-VLOOKUP(Games!#REF!, Data!$B$2:$L$135, 6, FALSE))*Coefficients!$F$2</f>
        <v>#REF!</v>
      </c>
      <c r="G132" t="e">
        <f>(VLOOKUP(Games!#REF!, Data!$B$2:$L$135, 7, FALSE)-VLOOKUP(Games!#REF!, Data!$B$2:$L$135, 7, FALSE))*Coefficients!$G$2</f>
        <v>#REF!</v>
      </c>
      <c r="H132" t="e">
        <f>(VLOOKUP(Games!#REF!, Data!$B$2:$L$135, 8, FALSE)-VLOOKUP(Games!#REF!, Data!$B$2:$L$135, 8, FALSE))*Coefficients!$H$2</f>
        <v>#REF!</v>
      </c>
      <c r="I132" t="e">
        <f>(VLOOKUP(Games!#REF!, Data!$B$2:$L$135, 9, FALSE)-VLOOKUP(Games!#REF!, Data!$B$2:$L$135, 9, FALSE))*Coefficients!$I$2</f>
        <v>#REF!</v>
      </c>
      <c r="J132" t="e">
        <f>IF(ISBLANK(Data!K132), Games!#REF!-Games!#REF!,VLOOKUP(Games!#REF!, Data!$B$2:$L$135, 10, FALSE)-VLOOKUP(Games!#REF!, Data!$B$2:$L$135, 10, FALSE))*Coefficients!$J$2</f>
        <v>#REF!</v>
      </c>
      <c r="K132" t="e">
        <f>(IF(AND(VLOOKUP(Games!#REF!, Data!$B$2:$L$135, 11, FALSE)=1, VLOOKUP(Games!#REF!, Data!$B$2:$L$135, 11, FALSE)&lt;&gt;1), 1,0))*Coefficients!K$2</f>
        <v>#REF!</v>
      </c>
      <c r="L132" t="e">
        <f>(IF(AND(VLOOKUP(Games!#REF!, Data!$B$2:$L$135, 11, FALSE)&lt;&gt;1, VLOOKUP(Games!#REF!, Data!$B$2:$L$135, 11, FALSE)=1), 1,0))*Coefficients!L$2</f>
        <v>#REF!</v>
      </c>
      <c r="O132" t="e">
        <f t="shared" si="2"/>
        <v>#REF!</v>
      </c>
    </row>
    <row r="133">
      <c r="A133" t="n">
        <f>Coefficients!$A$2</f>
        <v>-3.7765953152866998</v>
      </c>
      <c r="B133" t="e">
        <f>(Games!#REF!)*(-1*Coefficients!$B$2)</f>
        <v>#REF!</v>
      </c>
      <c r="C133" t="e">
        <f>(VLOOKUP(Games!#REF!, Data!$B$2:$L$135, 4, FALSE)-VLOOKUP(Games!#REF!, Data!$B$2:$L$135, 4, FALSE))*Coefficients!$C$2</f>
        <v>#REF!</v>
      </c>
      <c r="D133" t="e">
        <f>(VLOOKUP(Games!#REF!, Data!$B$2:$L$135, 3, FALSE)-VLOOKUP(Games!#REF!, Data!$B$2:$L$135, 3, FALSE))*Coefficients!$D$2</f>
        <v>#REF!</v>
      </c>
      <c r="E133" t="e">
        <f>(VLOOKUP(Games!#REF!, Data!$B$2:$L$135, 5, FALSE)-VLOOKUP(Games!#REF!, Data!$B$2:$L$135, 5, FALSE))*Coefficients!$E$2</f>
        <v>#REF!</v>
      </c>
      <c r="F133" t="e">
        <f>(VLOOKUP(Games!#REF!, Data!$B$2:$L$135, 6, FALSE)-VLOOKUP(Games!#REF!, Data!$B$2:$L$135, 6, FALSE))*Coefficients!$F$2</f>
        <v>#REF!</v>
      </c>
      <c r="G133" t="e">
        <f>(VLOOKUP(Games!#REF!, Data!$B$2:$L$135, 7, FALSE)-VLOOKUP(Games!#REF!, Data!$B$2:$L$135, 7, FALSE))*Coefficients!$G$2</f>
        <v>#REF!</v>
      </c>
      <c r="H133" t="e">
        <f>(VLOOKUP(Games!#REF!, Data!$B$2:$L$135, 8, FALSE)-VLOOKUP(Games!#REF!, Data!$B$2:$L$135, 8, FALSE))*Coefficients!$H$2</f>
        <v>#REF!</v>
      </c>
      <c r="I133" t="e">
        <f>(VLOOKUP(Games!#REF!, Data!$B$2:$L$135, 9, FALSE)-VLOOKUP(Games!#REF!, Data!$B$2:$L$135, 9, FALSE))*Coefficients!$I$2</f>
        <v>#REF!</v>
      </c>
      <c r="J133" t="e">
        <f>IF(ISBLANK(Data!K133), Games!#REF!-Games!#REF!,VLOOKUP(Games!#REF!, Data!$B$2:$L$135, 10, FALSE)-VLOOKUP(Games!#REF!, Data!$B$2:$L$135, 10, FALSE))*Coefficients!$J$2</f>
        <v>#REF!</v>
      </c>
      <c r="K133" t="e">
        <f>(IF(AND(VLOOKUP(Games!#REF!, Data!$B$2:$L$135, 11, FALSE)=1, VLOOKUP(Games!#REF!, Data!$B$2:$L$135, 11, FALSE)&lt;&gt;1), 1,0))*Coefficients!K$2</f>
        <v>#REF!</v>
      </c>
      <c r="L133" t="e">
        <f>(IF(AND(VLOOKUP(Games!#REF!, Data!$B$2:$L$135, 11, FALSE)&lt;&gt;1, VLOOKUP(Games!#REF!, Data!$B$2:$L$135, 11, FALSE)=1), 1,0))*Coefficients!L$2</f>
        <v>#REF!</v>
      </c>
      <c r="O133" t="e">
        <f t="shared" si="2"/>
        <v>#REF!</v>
      </c>
    </row>
    <row r="134">
      <c r="A134" t="n">
        <f>Coefficients!$A$2</f>
        <v>-3.7765953152866998</v>
      </c>
      <c r="B134" t="e">
        <f>(Games!#REF!)*(-1*Coefficients!$B$2)</f>
        <v>#REF!</v>
      </c>
      <c r="C134" t="e">
        <f>(VLOOKUP(Games!#REF!, Data!$B$2:$L$135, 4, FALSE)-VLOOKUP(Games!#REF!, Data!$B$2:$L$135, 4, FALSE))*Coefficients!$C$2</f>
        <v>#REF!</v>
      </c>
      <c r="D134" t="e">
        <f>(VLOOKUP(Games!#REF!, Data!$B$2:$L$135, 3, FALSE)-VLOOKUP(Games!#REF!, Data!$B$2:$L$135, 3, FALSE))*Coefficients!$D$2</f>
        <v>#REF!</v>
      </c>
      <c r="E134" t="e">
        <f>(VLOOKUP(Games!#REF!, Data!$B$2:$L$135, 5, FALSE)-VLOOKUP(Games!#REF!, Data!$B$2:$L$135, 5, FALSE))*Coefficients!$E$2</f>
        <v>#REF!</v>
      </c>
      <c r="F134" t="e">
        <f>(VLOOKUP(Games!#REF!, Data!$B$2:$L$135, 6, FALSE)-VLOOKUP(Games!#REF!, Data!$B$2:$L$135, 6, FALSE))*Coefficients!$F$2</f>
        <v>#REF!</v>
      </c>
      <c r="G134" t="e">
        <f>(VLOOKUP(Games!#REF!, Data!$B$2:$L$135, 7, FALSE)-VLOOKUP(Games!#REF!, Data!$B$2:$L$135, 7, FALSE))*Coefficients!$G$2</f>
        <v>#REF!</v>
      </c>
      <c r="H134" t="e">
        <f>(VLOOKUP(Games!#REF!, Data!$B$2:$L$135, 8, FALSE)-VLOOKUP(Games!#REF!, Data!$B$2:$L$135, 8, FALSE))*Coefficients!$H$2</f>
        <v>#REF!</v>
      </c>
      <c r="I134" t="e">
        <f>(VLOOKUP(Games!#REF!, Data!$B$2:$L$135, 9, FALSE)-VLOOKUP(Games!#REF!, Data!$B$2:$L$135, 9, FALSE))*Coefficients!$I$2</f>
        <v>#REF!</v>
      </c>
      <c r="J134" t="e">
        <f>IF(ISBLANK(Data!K134), Games!#REF!-Games!#REF!,VLOOKUP(Games!#REF!, Data!$B$2:$L$135, 10, FALSE)-VLOOKUP(Games!#REF!, Data!$B$2:$L$135, 10, FALSE))*Coefficients!$J$2</f>
        <v>#REF!</v>
      </c>
      <c r="K134" t="e">
        <f>(IF(AND(VLOOKUP(Games!#REF!, Data!$B$2:$L$135, 11, FALSE)=1, VLOOKUP(Games!#REF!, Data!$B$2:$L$135, 11, FALSE)&lt;&gt;1), 1,0))*Coefficients!K$2</f>
        <v>#REF!</v>
      </c>
      <c r="L134" t="e">
        <f>(IF(AND(VLOOKUP(Games!#REF!, Data!$B$2:$L$135, 11, FALSE)&lt;&gt;1, VLOOKUP(Games!#REF!, Data!$B$2:$L$135, 11, FALSE)=1), 1,0))*Coefficients!L$2</f>
        <v>#REF!</v>
      </c>
      <c r="O134" t="e">
        <f t="shared" si="2"/>
        <v>#REF!</v>
      </c>
    </row>
    <row r="135">
      <c r="A135" t="n">
        <f>Coefficients!$A$2</f>
        <v>-3.7765953152866998</v>
      </c>
      <c r="B135" t="e">
        <f>(Games!#REF!)*(-1*Coefficients!$B$2)</f>
        <v>#REF!</v>
      </c>
      <c r="C135" t="e">
        <f>(VLOOKUP(Games!#REF!, Data!$B$2:$L$135, 4, FALSE)-VLOOKUP(Games!#REF!, Data!$B$2:$L$135, 4, FALSE))*Coefficients!$C$2</f>
        <v>#REF!</v>
      </c>
      <c r="D135" t="e">
        <f>(VLOOKUP(Games!#REF!, Data!$B$2:$L$135, 3, FALSE)-VLOOKUP(Games!#REF!, Data!$B$2:$L$135, 3, FALSE))*Coefficients!$D$2</f>
        <v>#REF!</v>
      </c>
      <c r="E135" t="e">
        <f>(VLOOKUP(Games!#REF!, Data!$B$2:$L$135, 5, FALSE)-VLOOKUP(Games!#REF!, Data!$B$2:$L$135, 5, FALSE))*Coefficients!$E$2</f>
        <v>#REF!</v>
      </c>
      <c r="F135" t="e">
        <f>(VLOOKUP(Games!#REF!, Data!$B$2:$L$135, 6, FALSE)-VLOOKUP(Games!#REF!, Data!$B$2:$L$135, 6, FALSE))*Coefficients!$F$2</f>
        <v>#REF!</v>
      </c>
      <c r="G135" t="e">
        <f>(VLOOKUP(Games!#REF!, Data!$B$2:$L$135, 7, FALSE)-VLOOKUP(Games!#REF!, Data!$B$2:$L$135, 7, FALSE))*Coefficients!$G$2</f>
        <v>#REF!</v>
      </c>
      <c r="H135" t="e">
        <f>(VLOOKUP(Games!#REF!, Data!$B$2:$L$135, 8, FALSE)-VLOOKUP(Games!#REF!, Data!$B$2:$L$135, 8, FALSE))*Coefficients!$H$2</f>
        <v>#REF!</v>
      </c>
      <c r="I135" t="e">
        <f>(VLOOKUP(Games!#REF!, Data!$B$2:$L$135, 9, FALSE)-VLOOKUP(Games!#REF!, Data!$B$2:$L$135, 9, FALSE))*Coefficients!$I$2</f>
        <v>#REF!</v>
      </c>
      <c r="J135" t="e">
        <f>IF(ISBLANK(Data!K135), Games!#REF!-Games!#REF!,VLOOKUP(Games!#REF!, Data!$B$2:$L$135, 10, FALSE)-VLOOKUP(Games!#REF!, Data!$B$2:$L$135, 10, FALSE))*Coefficients!$J$2</f>
        <v>#REF!</v>
      </c>
      <c r="K135" t="e">
        <f>(IF(AND(VLOOKUP(Games!#REF!, Data!$B$2:$L$135, 11, FALSE)=1, VLOOKUP(Games!#REF!, Data!$B$2:$L$135, 11, FALSE)&lt;&gt;1), 1,0))*Coefficients!K$2</f>
        <v>#REF!</v>
      </c>
      <c r="L135" t="e">
        <f>(IF(AND(VLOOKUP(Games!#REF!, Data!$B$2:$L$135, 11, FALSE)&lt;&gt;1, VLOOKUP(Games!#REF!, Data!$B$2:$L$135, 11, FALSE)=1), 1,0))*Coefficients!L$2</f>
        <v>#REF!</v>
      </c>
      <c r="O135" t="e">
        <f t="shared" ref="O135:O194" si="3">SUM(A135:L135)</f>
        <v>#REF!</v>
      </c>
    </row>
    <row r="136">
      <c r="A136" t="n">
        <f>Coefficients!$A$2</f>
        <v>-3.7765953152866998</v>
      </c>
      <c r="B136" t="e">
        <f>(Games!#REF!)*(-1*Coefficients!$B$2)</f>
        <v>#REF!</v>
      </c>
      <c r="C136" t="e">
        <f>(VLOOKUP(Games!#REF!, Data!$B$2:$L$135, 4, FALSE)-VLOOKUP(Games!#REF!, Data!$B$2:$L$135, 4, FALSE))*Coefficients!$C$2</f>
        <v>#REF!</v>
      </c>
      <c r="D136" t="e">
        <f>(VLOOKUP(Games!#REF!, Data!$B$2:$L$135, 3, FALSE)-VLOOKUP(Games!#REF!, Data!$B$2:$L$135, 3, FALSE))*Coefficients!$D$2</f>
        <v>#REF!</v>
      </c>
      <c r="E136" t="e">
        <f>(VLOOKUP(Games!#REF!, Data!$B$2:$L$135, 5, FALSE)-VLOOKUP(Games!#REF!, Data!$B$2:$L$135, 5, FALSE))*Coefficients!$E$2</f>
        <v>#REF!</v>
      </c>
      <c r="F136" t="e">
        <f>(VLOOKUP(Games!#REF!, Data!$B$2:$L$135, 6, FALSE)-VLOOKUP(Games!#REF!, Data!$B$2:$L$135, 6, FALSE))*Coefficients!$F$2</f>
        <v>#REF!</v>
      </c>
      <c r="G136" t="e">
        <f>(VLOOKUP(Games!#REF!, Data!$B$2:$L$135, 7, FALSE)-VLOOKUP(Games!#REF!, Data!$B$2:$L$135, 7, FALSE))*Coefficients!$G$2</f>
        <v>#REF!</v>
      </c>
      <c r="H136" t="e">
        <f>(VLOOKUP(Games!#REF!, Data!$B$2:$L$135, 8, FALSE)-VLOOKUP(Games!#REF!, Data!$B$2:$L$135, 8, FALSE))*Coefficients!$H$2</f>
        <v>#REF!</v>
      </c>
      <c r="I136" t="e">
        <f>(VLOOKUP(Games!#REF!, Data!$B$2:$L$135, 9, FALSE)-VLOOKUP(Games!#REF!, Data!$B$2:$L$135, 9, FALSE))*Coefficients!$I$2</f>
        <v>#REF!</v>
      </c>
      <c r="J136" t="e">
        <f>IF(ISBLANK(Data!K136), Games!#REF!-Games!#REF!,VLOOKUP(Games!#REF!, Data!$B$2:$L$135, 10, FALSE)-VLOOKUP(Games!#REF!, Data!$B$2:$L$135, 10, FALSE))*Coefficients!$J$2</f>
        <v>#REF!</v>
      </c>
      <c r="K136" t="e">
        <f>(IF(AND(VLOOKUP(Games!#REF!, Data!$B$2:$L$135, 11, FALSE)=1, VLOOKUP(Games!#REF!, Data!$B$2:$L$135, 11, FALSE)&lt;&gt;1), 1,0))*Coefficients!K$2</f>
        <v>#REF!</v>
      </c>
      <c r="L136" t="e">
        <f>(IF(AND(VLOOKUP(Games!#REF!, Data!$B$2:$L$135, 11, FALSE)&lt;&gt;1, VLOOKUP(Games!#REF!, Data!$B$2:$L$135, 11, FALSE)=1), 1,0))*Coefficients!L$2</f>
        <v>#REF!</v>
      </c>
      <c r="O136" t="e">
        <f t="shared" si="3"/>
        <v>#REF!</v>
      </c>
    </row>
    <row r="137">
      <c r="A137" t="n">
        <f>Coefficients!$A$2</f>
        <v>-3.7765953152866998</v>
      </c>
      <c r="B137" t="e">
        <f>(Games!#REF!)*(-1*Coefficients!$B$2)</f>
        <v>#REF!</v>
      </c>
      <c r="C137" t="e">
        <f>(VLOOKUP(Games!#REF!, Data!$B$2:$L$135, 4, FALSE)-VLOOKUP(Games!#REF!, Data!$B$2:$L$135, 4, FALSE))*Coefficients!$C$2</f>
        <v>#REF!</v>
      </c>
      <c r="D137" t="e">
        <f>(VLOOKUP(Games!#REF!, Data!$B$2:$L$135, 3, FALSE)-VLOOKUP(Games!#REF!, Data!$B$2:$L$135, 3, FALSE))*Coefficients!$D$2</f>
        <v>#REF!</v>
      </c>
      <c r="E137" t="e">
        <f>(VLOOKUP(Games!#REF!, Data!$B$2:$L$135, 5, FALSE)-VLOOKUP(Games!#REF!, Data!$B$2:$L$135, 5, FALSE))*Coefficients!$E$2</f>
        <v>#REF!</v>
      </c>
      <c r="F137" t="e">
        <f>(VLOOKUP(Games!#REF!, Data!$B$2:$L$135, 6, FALSE)-VLOOKUP(Games!#REF!, Data!$B$2:$L$135, 6, FALSE))*Coefficients!$F$2</f>
        <v>#REF!</v>
      </c>
      <c r="G137" t="e">
        <f>(VLOOKUP(Games!#REF!, Data!$B$2:$L$135, 7, FALSE)-VLOOKUP(Games!#REF!, Data!$B$2:$L$135, 7, FALSE))*Coefficients!$G$2</f>
        <v>#REF!</v>
      </c>
      <c r="H137" t="e">
        <f>(VLOOKUP(Games!#REF!, Data!$B$2:$L$135, 8, FALSE)-VLOOKUP(Games!#REF!, Data!$B$2:$L$135, 8, FALSE))*Coefficients!$H$2</f>
        <v>#REF!</v>
      </c>
      <c r="I137" t="e">
        <f>(VLOOKUP(Games!#REF!, Data!$B$2:$L$135, 9, FALSE)-VLOOKUP(Games!#REF!, Data!$B$2:$L$135, 9, FALSE))*Coefficients!$I$2</f>
        <v>#REF!</v>
      </c>
      <c r="J137" t="e">
        <f>IF(ISBLANK(Data!K137), Games!#REF!-Games!#REF!,VLOOKUP(Games!#REF!, Data!$B$2:$L$135, 10, FALSE)-VLOOKUP(Games!#REF!, Data!$B$2:$L$135, 10, FALSE))*Coefficients!$J$2</f>
        <v>#REF!</v>
      </c>
      <c r="K137" t="e">
        <f>(IF(AND(VLOOKUP(Games!#REF!, Data!$B$2:$L$135, 11, FALSE)=1, VLOOKUP(Games!#REF!, Data!$B$2:$L$135, 11, FALSE)&lt;&gt;1), 1,0))*Coefficients!K$2</f>
        <v>#REF!</v>
      </c>
      <c r="L137" t="e">
        <f>(IF(AND(VLOOKUP(Games!#REF!, Data!$B$2:$L$135, 11, FALSE)&lt;&gt;1, VLOOKUP(Games!#REF!, Data!$B$2:$L$135, 11, FALSE)=1), 1,0))*Coefficients!L$2</f>
        <v>#REF!</v>
      </c>
      <c r="O137" t="e">
        <f t="shared" si="3"/>
        <v>#REF!</v>
      </c>
    </row>
    <row r="138">
      <c r="A138" t="n">
        <f>Coefficients!$A$2</f>
        <v>-3.7765953152866998</v>
      </c>
      <c r="B138" t="e">
        <f>(Games!#REF!)*(-1*Coefficients!$B$2)</f>
        <v>#REF!</v>
      </c>
      <c r="C138" t="e">
        <f>(VLOOKUP(Games!#REF!, Data!$B$2:$L$135, 4, FALSE)-VLOOKUP(Games!#REF!, Data!$B$2:$L$135, 4, FALSE))*Coefficients!$C$2</f>
        <v>#REF!</v>
      </c>
      <c r="D138" t="e">
        <f>(VLOOKUP(Games!#REF!, Data!$B$2:$L$135, 3, FALSE)-VLOOKUP(Games!#REF!, Data!$B$2:$L$135, 3, FALSE))*Coefficients!$D$2</f>
        <v>#REF!</v>
      </c>
      <c r="E138" t="e">
        <f>(VLOOKUP(Games!#REF!, Data!$B$2:$L$135, 5, FALSE)-VLOOKUP(Games!#REF!, Data!$B$2:$L$135, 5, FALSE))*Coefficients!$E$2</f>
        <v>#REF!</v>
      </c>
      <c r="F138" t="e">
        <f>(VLOOKUP(Games!#REF!, Data!$B$2:$L$135, 6, FALSE)-VLOOKUP(Games!#REF!, Data!$B$2:$L$135, 6, FALSE))*Coefficients!$F$2</f>
        <v>#REF!</v>
      </c>
      <c r="G138" t="e">
        <f>(VLOOKUP(Games!#REF!, Data!$B$2:$L$135, 7, FALSE)-VLOOKUP(Games!#REF!, Data!$B$2:$L$135, 7, FALSE))*Coefficients!$G$2</f>
        <v>#REF!</v>
      </c>
      <c r="H138" t="e">
        <f>(VLOOKUP(Games!#REF!, Data!$B$2:$L$135, 8, FALSE)-VLOOKUP(Games!#REF!, Data!$B$2:$L$135, 8, FALSE))*Coefficients!$H$2</f>
        <v>#REF!</v>
      </c>
      <c r="I138" t="e">
        <f>(VLOOKUP(Games!#REF!, Data!$B$2:$L$135, 9, FALSE)-VLOOKUP(Games!#REF!, Data!$B$2:$L$135, 9, FALSE))*Coefficients!$I$2</f>
        <v>#REF!</v>
      </c>
      <c r="J138" t="e">
        <f>IF(ISBLANK(Data!K138), Games!#REF!-Games!#REF!,VLOOKUP(Games!#REF!, Data!$B$2:$L$135, 10, FALSE)-VLOOKUP(Games!#REF!, Data!$B$2:$L$135, 10, FALSE))*Coefficients!$J$2</f>
        <v>#REF!</v>
      </c>
      <c r="K138" t="e">
        <f>(IF(AND(VLOOKUP(Games!#REF!, Data!$B$2:$L$135, 11, FALSE)=1, VLOOKUP(Games!#REF!, Data!$B$2:$L$135, 11, FALSE)&lt;&gt;1), 1,0))*Coefficients!K$2</f>
        <v>#REF!</v>
      </c>
      <c r="L138" t="e">
        <f>(IF(AND(VLOOKUP(Games!#REF!, Data!$B$2:$L$135, 11, FALSE)&lt;&gt;1, VLOOKUP(Games!#REF!, Data!$B$2:$L$135, 11, FALSE)=1), 1,0))*Coefficients!L$2</f>
        <v>#REF!</v>
      </c>
      <c r="O138" t="e">
        <f t="shared" si="3"/>
        <v>#REF!</v>
      </c>
    </row>
    <row r="139">
      <c r="A139" t="n">
        <f>Coefficients!$A$2</f>
        <v>-3.7765953152866998</v>
      </c>
      <c r="B139" t="e">
        <f>(Games!#REF!)*(-1*Coefficients!$B$2)</f>
        <v>#REF!</v>
      </c>
      <c r="C139" t="e">
        <f>(VLOOKUP(Games!#REF!, Data!$B$2:$L$135, 4, FALSE)-VLOOKUP(Games!#REF!, Data!$B$2:$L$135, 4, FALSE))*Coefficients!$C$2</f>
        <v>#REF!</v>
      </c>
      <c r="D139" t="e">
        <f>(VLOOKUP(Games!#REF!, Data!$B$2:$L$135, 3, FALSE)-VLOOKUP(Games!#REF!, Data!$B$2:$L$135, 3, FALSE))*Coefficients!$D$2</f>
        <v>#REF!</v>
      </c>
      <c r="E139" t="e">
        <f>(VLOOKUP(Games!#REF!, Data!$B$2:$L$135, 5, FALSE)-VLOOKUP(Games!#REF!, Data!$B$2:$L$135, 5, FALSE))*Coefficients!$E$2</f>
        <v>#REF!</v>
      </c>
      <c r="F139" t="e">
        <f>(VLOOKUP(Games!#REF!, Data!$B$2:$L$135, 6, FALSE)-VLOOKUP(Games!#REF!, Data!$B$2:$L$135, 6, FALSE))*Coefficients!$F$2</f>
        <v>#REF!</v>
      </c>
      <c r="G139" t="e">
        <f>(VLOOKUP(Games!#REF!, Data!$B$2:$L$135, 7, FALSE)-VLOOKUP(Games!#REF!, Data!$B$2:$L$135, 7, FALSE))*Coefficients!$G$2</f>
        <v>#REF!</v>
      </c>
      <c r="H139" t="e">
        <f>(VLOOKUP(Games!#REF!, Data!$B$2:$L$135, 8, FALSE)-VLOOKUP(Games!#REF!, Data!$B$2:$L$135, 8, FALSE))*Coefficients!$H$2</f>
        <v>#REF!</v>
      </c>
      <c r="I139" t="e">
        <f>(VLOOKUP(Games!#REF!, Data!$B$2:$L$135, 9, FALSE)-VLOOKUP(Games!#REF!, Data!$B$2:$L$135, 9, FALSE))*Coefficients!$I$2</f>
        <v>#REF!</v>
      </c>
      <c r="J139" t="e">
        <f>IF(ISBLANK(Data!K139), Games!#REF!-Games!#REF!,VLOOKUP(Games!#REF!, Data!$B$2:$L$135, 10, FALSE)-VLOOKUP(Games!#REF!, Data!$B$2:$L$135, 10, FALSE))*Coefficients!$J$2</f>
        <v>#REF!</v>
      </c>
      <c r="K139" t="e">
        <f>(IF(AND(VLOOKUP(Games!#REF!, Data!$B$2:$L$135, 11, FALSE)=1, VLOOKUP(Games!#REF!, Data!$B$2:$L$135, 11, FALSE)&lt;&gt;1), 1,0))*Coefficients!K$2</f>
        <v>#REF!</v>
      </c>
      <c r="L139" t="e">
        <f>(IF(AND(VLOOKUP(Games!#REF!, Data!$B$2:$L$135, 11, FALSE)&lt;&gt;1, VLOOKUP(Games!#REF!, Data!$B$2:$L$135, 11, FALSE)=1), 1,0))*Coefficients!L$2</f>
        <v>#REF!</v>
      </c>
      <c r="O139" t="e">
        <f t="shared" si="3"/>
        <v>#REF!</v>
      </c>
    </row>
    <row r="140">
      <c r="A140" t="n">
        <f>Coefficients!$A$2</f>
        <v>-3.7765953152866998</v>
      </c>
      <c r="B140" t="e">
        <f>(Games!#REF!)*(-1*Coefficients!$B$2)</f>
        <v>#REF!</v>
      </c>
      <c r="C140" t="e">
        <f>(VLOOKUP(Games!#REF!, Data!$B$2:$L$135, 4, FALSE)-VLOOKUP(Games!#REF!, Data!$B$2:$L$135, 4, FALSE))*Coefficients!$C$2</f>
        <v>#REF!</v>
      </c>
      <c r="D140" t="e">
        <f>(VLOOKUP(Games!#REF!, Data!$B$2:$L$135, 3, FALSE)-VLOOKUP(Games!#REF!, Data!$B$2:$L$135, 3, FALSE))*Coefficients!$D$2</f>
        <v>#REF!</v>
      </c>
      <c r="E140" t="e">
        <f>(VLOOKUP(Games!#REF!, Data!$B$2:$L$135, 5, FALSE)-VLOOKUP(Games!#REF!, Data!$B$2:$L$135, 5, FALSE))*Coefficients!$E$2</f>
        <v>#REF!</v>
      </c>
      <c r="F140" t="e">
        <f>(VLOOKUP(Games!#REF!, Data!$B$2:$L$135, 6, FALSE)-VLOOKUP(Games!#REF!, Data!$B$2:$L$135, 6, FALSE))*Coefficients!$F$2</f>
        <v>#REF!</v>
      </c>
      <c r="G140" t="e">
        <f>(VLOOKUP(Games!#REF!, Data!$B$2:$L$135, 7, FALSE)-VLOOKUP(Games!#REF!, Data!$B$2:$L$135, 7, FALSE))*Coefficients!$G$2</f>
        <v>#REF!</v>
      </c>
      <c r="H140" t="e">
        <f>(VLOOKUP(Games!#REF!, Data!$B$2:$L$135, 8, FALSE)-VLOOKUP(Games!#REF!, Data!$B$2:$L$135, 8, FALSE))*Coefficients!$H$2</f>
        <v>#REF!</v>
      </c>
      <c r="I140" t="e">
        <f>(VLOOKUP(Games!#REF!, Data!$B$2:$L$135, 9, FALSE)-VLOOKUP(Games!#REF!, Data!$B$2:$L$135, 9, FALSE))*Coefficients!$I$2</f>
        <v>#REF!</v>
      </c>
      <c r="J140" t="e">
        <f>IF(ISBLANK(Data!K140), Games!#REF!-Games!#REF!,VLOOKUP(Games!#REF!, Data!$B$2:$L$135, 10, FALSE)-VLOOKUP(Games!#REF!, Data!$B$2:$L$135, 10, FALSE))*Coefficients!$J$2</f>
        <v>#REF!</v>
      </c>
      <c r="K140" t="e">
        <f>(IF(AND(VLOOKUP(Games!#REF!, Data!$B$2:$L$135, 11, FALSE)=1, VLOOKUP(Games!#REF!, Data!$B$2:$L$135, 11, FALSE)&lt;&gt;1), 1,0))*Coefficients!K$2</f>
        <v>#REF!</v>
      </c>
      <c r="L140" t="e">
        <f>(IF(AND(VLOOKUP(Games!#REF!, Data!$B$2:$L$135, 11, FALSE)&lt;&gt;1, VLOOKUP(Games!#REF!, Data!$B$2:$L$135, 11, FALSE)=1), 1,0))*Coefficients!L$2</f>
        <v>#REF!</v>
      </c>
      <c r="O140" t="e">
        <f t="shared" si="3"/>
        <v>#REF!</v>
      </c>
    </row>
    <row r="141">
      <c r="A141" t="n">
        <f>Coefficients!$A$2</f>
        <v>-3.7765953152866998</v>
      </c>
      <c r="B141" t="e">
        <f>(Games!#REF!)*(-1*Coefficients!$B$2)</f>
        <v>#REF!</v>
      </c>
      <c r="C141" t="e">
        <f>(VLOOKUP(Games!#REF!, Data!$B$2:$L$135, 4, FALSE)-VLOOKUP(Games!#REF!, Data!$B$2:$L$135, 4, FALSE))*Coefficients!$C$2</f>
        <v>#REF!</v>
      </c>
      <c r="D141" t="e">
        <f>(VLOOKUP(Games!#REF!, Data!$B$2:$L$135, 3, FALSE)-VLOOKUP(Games!#REF!, Data!$B$2:$L$135, 3, FALSE))*Coefficients!$D$2</f>
        <v>#REF!</v>
      </c>
      <c r="E141" t="e">
        <f>(VLOOKUP(Games!#REF!, Data!$B$2:$L$135, 5, FALSE)-VLOOKUP(Games!#REF!, Data!$B$2:$L$135, 5, FALSE))*Coefficients!$E$2</f>
        <v>#REF!</v>
      </c>
      <c r="F141" t="e">
        <f>(VLOOKUP(Games!#REF!, Data!$B$2:$L$135, 6, FALSE)-VLOOKUP(Games!#REF!, Data!$B$2:$L$135, 6, FALSE))*Coefficients!$F$2</f>
        <v>#REF!</v>
      </c>
      <c r="G141" t="e">
        <f>(VLOOKUP(Games!#REF!, Data!$B$2:$L$135, 7, FALSE)-VLOOKUP(Games!#REF!, Data!$B$2:$L$135, 7, FALSE))*Coefficients!$G$2</f>
        <v>#REF!</v>
      </c>
      <c r="H141" t="e">
        <f>(VLOOKUP(Games!#REF!, Data!$B$2:$L$135, 8, FALSE)-VLOOKUP(Games!#REF!, Data!$B$2:$L$135, 8, FALSE))*Coefficients!$H$2</f>
        <v>#REF!</v>
      </c>
      <c r="I141" t="e">
        <f>(VLOOKUP(Games!#REF!, Data!$B$2:$L$135, 9, FALSE)-VLOOKUP(Games!#REF!, Data!$B$2:$L$135, 9, FALSE))*Coefficients!$I$2</f>
        <v>#REF!</v>
      </c>
      <c r="J141" t="e">
        <f>IF(ISBLANK(Data!K141), Games!#REF!-Games!#REF!,VLOOKUP(Games!#REF!, Data!$B$2:$L$135, 10, FALSE)-VLOOKUP(Games!#REF!, Data!$B$2:$L$135, 10, FALSE))*Coefficients!$J$2</f>
        <v>#REF!</v>
      </c>
      <c r="K141" t="e">
        <f>(IF(AND(VLOOKUP(Games!#REF!, Data!$B$2:$L$135, 11, FALSE)=1, VLOOKUP(Games!#REF!, Data!$B$2:$L$135, 11, FALSE)&lt;&gt;1), 1,0))*Coefficients!K$2</f>
        <v>#REF!</v>
      </c>
      <c r="L141" t="e">
        <f>(IF(AND(VLOOKUP(Games!#REF!, Data!$B$2:$L$135, 11, FALSE)&lt;&gt;1, VLOOKUP(Games!#REF!, Data!$B$2:$L$135, 11, FALSE)=1), 1,0))*Coefficients!L$2</f>
        <v>#REF!</v>
      </c>
      <c r="O141" t="e">
        <f t="shared" si="3"/>
        <v>#REF!</v>
      </c>
    </row>
    <row r="142">
      <c r="A142" t="n">
        <f>Coefficients!$A$2</f>
        <v>-3.7765953152866998</v>
      </c>
      <c r="B142" t="e">
        <f>(Games!#REF!)*(-1*Coefficients!$B$2)</f>
        <v>#REF!</v>
      </c>
      <c r="C142" t="e">
        <f>(VLOOKUP(Games!#REF!, Data!$B$2:$L$135, 4, FALSE)-VLOOKUP(Games!#REF!, Data!$B$2:$L$135, 4, FALSE))*Coefficients!$C$2</f>
        <v>#REF!</v>
      </c>
      <c r="D142" t="e">
        <f>(VLOOKUP(Games!#REF!, Data!$B$2:$L$135, 3, FALSE)-VLOOKUP(Games!#REF!, Data!$B$2:$L$135, 3, FALSE))*Coefficients!$D$2</f>
        <v>#REF!</v>
      </c>
      <c r="E142" t="e">
        <f>(VLOOKUP(Games!#REF!, Data!$B$2:$L$135, 5, FALSE)-VLOOKUP(Games!#REF!, Data!$B$2:$L$135, 5, FALSE))*Coefficients!$E$2</f>
        <v>#REF!</v>
      </c>
      <c r="F142" t="e">
        <f>(VLOOKUP(Games!#REF!, Data!$B$2:$L$135, 6, FALSE)-VLOOKUP(Games!#REF!, Data!$B$2:$L$135, 6, FALSE))*Coefficients!$F$2</f>
        <v>#REF!</v>
      </c>
      <c r="G142" t="e">
        <f>(VLOOKUP(Games!#REF!, Data!$B$2:$L$135, 7, FALSE)-VLOOKUP(Games!#REF!, Data!$B$2:$L$135, 7, FALSE))*Coefficients!$G$2</f>
        <v>#REF!</v>
      </c>
      <c r="H142" t="e">
        <f>(VLOOKUP(Games!#REF!, Data!$B$2:$L$135, 8, FALSE)-VLOOKUP(Games!#REF!, Data!$B$2:$L$135, 8, FALSE))*Coefficients!$H$2</f>
        <v>#REF!</v>
      </c>
      <c r="I142" t="e">
        <f>(VLOOKUP(Games!#REF!, Data!$B$2:$L$135, 9, FALSE)-VLOOKUP(Games!#REF!, Data!$B$2:$L$135, 9, FALSE))*Coefficients!$I$2</f>
        <v>#REF!</v>
      </c>
      <c r="J142" t="e">
        <f>IF(ISBLANK(Data!K142), Games!#REF!-Games!#REF!,VLOOKUP(Games!#REF!, Data!$B$2:$L$135, 10, FALSE)-VLOOKUP(Games!#REF!, Data!$B$2:$L$135, 10, FALSE))*Coefficients!$J$2</f>
        <v>#REF!</v>
      </c>
      <c r="K142" t="e">
        <f>(IF(AND(VLOOKUP(Games!#REF!, Data!$B$2:$L$135, 11, FALSE)=1, VLOOKUP(Games!#REF!, Data!$B$2:$L$135, 11, FALSE)&lt;&gt;1), 1,0))*Coefficients!K$2</f>
        <v>#REF!</v>
      </c>
      <c r="L142" t="e">
        <f>(IF(AND(VLOOKUP(Games!#REF!, Data!$B$2:$L$135, 11, FALSE)&lt;&gt;1, VLOOKUP(Games!#REF!, Data!$B$2:$L$135, 11, FALSE)=1), 1,0))*Coefficients!L$2</f>
        <v>#REF!</v>
      </c>
      <c r="O142" t="e">
        <f t="shared" si="3"/>
        <v>#REF!</v>
      </c>
    </row>
    <row r="143">
      <c r="A143" t="n">
        <f>Coefficients!$A$2</f>
        <v>-3.7765953152866998</v>
      </c>
      <c r="B143" t="e">
        <f>(Games!#REF!)*(-1*Coefficients!$B$2)</f>
        <v>#REF!</v>
      </c>
      <c r="C143" t="e">
        <f>(VLOOKUP(Games!#REF!, Data!$B$2:$L$135, 4, FALSE)-VLOOKUP(Games!#REF!, Data!$B$2:$L$135, 4, FALSE))*Coefficients!$C$2</f>
        <v>#REF!</v>
      </c>
      <c r="D143" t="e">
        <f>(VLOOKUP(Games!#REF!, Data!$B$2:$L$135, 3, FALSE)-VLOOKUP(Games!#REF!, Data!$B$2:$L$135, 3, FALSE))*Coefficients!$D$2</f>
        <v>#REF!</v>
      </c>
      <c r="E143" t="e">
        <f>(VLOOKUP(Games!#REF!, Data!$B$2:$L$135, 5, FALSE)-VLOOKUP(Games!#REF!, Data!$B$2:$L$135, 5, FALSE))*Coefficients!$E$2</f>
        <v>#REF!</v>
      </c>
      <c r="F143" t="e">
        <f>(VLOOKUP(Games!#REF!, Data!$B$2:$L$135, 6, FALSE)-VLOOKUP(Games!#REF!, Data!$B$2:$L$135, 6, FALSE))*Coefficients!$F$2</f>
        <v>#REF!</v>
      </c>
      <c r="G143" t="e">
        <f>(VLOOKUP(Games!#REF!, Data!$B$2:$L$135, 7, FALSE)-VLOOKUP(Games!#REF!, Data!$B$2:$L$135, 7, FALSE))*Coefficients!$G$2</f>
        <v>#REF!</v>
      </c>
      <c r="H143" t="e">
        <f>(VLOOKUP(Games!#REF!, Data!$B$2:$L$135, 8, FALSE)-VLOOKUP(Games!#REF!, Data!$B$2:$L$135, 8, FALSE))*Coefficients!$H$2</f>
        <v>#REF!</v>
      </c>
      <c r="I143" t="e">
        <f>(VLOOKUP(Games!#REF!, Data!$B$2:$L$135, 9, FALSE)-VLOOKUP(Games!#REF!, Data!$B$2:$L$135, 9, FALSE))*Coefficients!$I$2</f>
        <v>#REF!</v>
      </c>
      <c r="J143" t="e">
        <f>IF(ISBLANK(Data!K143), Games!#REF!-Games!#REF!,VLOOKUP(Games!#REF!, Data!$B$2:$L$135, 10, FALSE)-VLOOKUP(Games!#REF!, Data!$B$2:$L$135, 10, FALSE))*Coefficients!$J$2</f>
        <v>#REF!</v>
      </c>
      <c r="K143" t="e">
        <f>(IF(AND(VLOOKUP(Games!#REF!, Data!$B$2:$L$135, 11, FALSE)=1, VLOOKUP(Games!#REF!, Data!$B$2:$L$135, 11, FALSE)&lt;&gt;1), 1,0))*Coefficients!K$2</f>
        <v>#REF!</v>
      </c>
      <c r="L143" t="e">
        <f>(IF(AND(VLOOKUP(Games!#REF!, Data!$B$2:$L$135, 11, FALSE)&lt;&gt;1, VLOOKUP(Games!#REF!, Data!$B$2:$L$135, 11, FALSE)=1), 1,0))*Coefficients!L$2</f>
        <v>#REF!</v>
      </c>
      <c r="O143" t="e">
        <f t="shared" si="3"/>
        <v>#REF!</v>
      </c>
    </row>
    <row r="144">
      <c r="A144" t="n">
        <f>Coefficients!$A$2</f>
        <v>-3.7765953152866998</v>
      </c>
      <c r="B144" t="e">
        <f>(Games!#REF!)*(-1*Coefficients!$B$2)</f>
        <v>#REF!</v>
      </c>
      <c r="C144" t="e">
        <f>(VLOOKUP(Games!#REF!, Data!$B$2:$L$135, 4, FALSE)-VLOOKUP(Games!#REF!, Data!$B$2:$L$135, 4, FALSE))*Coefficients!$C$2</f>
        <v>#REF!</v>
      </c>
      <c r="D144" t="e">
        <f>(VLOOKUP(Games!#REF!, Data!$B$2:$L$135, 3, FALSE)-VLOOKUP(Games!#REF!, Data!$B$2:$L$135, 3, FALSE))*Coefficients!$D$2</f>
        <v>#REF!</v>
      </c>
      <c r="E144" t="e">
        <f>(VLOOKUP(Games!#REF!, Data!$B$2:$L$135, 5, FALSE)-VLOOKUP(Games!#REF!, Data!$B$2:$L$135, 5, FALSE))*Coefficients!$E$2</f>
        <v>#REF!</v>
      </c>
      <c r="F144" t="e">
        <f>(VLOOKUP(Games!#REF!, Data!$B$2:$L$135, 6, FALSE)-VLOOKUP(Games!#REF!, Data!$B$2:$L$135, 6, FALSE))*Coefficients!$F$2</f>
        <v>#REF!</v>
      </c>
      <c r="G144" t="e">
        <f>(VLOOKUP(Games!#REF!, Data!$B$2:$L$135, 7, FALSE)-VLOOKUP(Games!#REF!, Data!$B$2:$L$135, 7, FALSE))*Coefficients!$G$2</f>
        <v>#REF!</v>
      </c>
      <c r="H144" t="e">
        <f>(VLOOKUP(Games!#REF!, Data!$B$2:$L$135, 8, FALSE)-VLOOKUP(Games!#REF!, Data!$B$2:$L$135, 8, FALSE))*Coefficients!$H$2</f>
        <v>#REF!</v>
      </c>
      <c r="I144" t="e">
        <f>(VLOOKUP(Games!#REF!, Data!$B$2:$L$135, 9, FALSE)-VLOOKUP(Games!#REF!, Data!$B$2:$L$135, 9, FALSE))*Coefficients!$I$2</f>
        <v>#REF!</v>
      </c>
      <c r="J144" t="e">
        <f>IF(ISBLANK(Data!K144), Games!#REF!-Games!#REF!,VLOOKUP(Games!#REF!, Data!$B$2:$L$135, 10, FALSE)-VLOOKUP(Games!#REF!, Data!$B$2:$L$135, 10, FALSE))*Coefficients!$J$2</f>
        <v>#REF!</v>
      </c>
      <c r="K144" t="e">
        <f>(IF(AND(VLOOKUP(Games!#REF!, Data!$B$2:$L$135, 11, FALSE)=1, VLOOKUP(Games!#REF!, Data!$B$2:$L$135, 11, FALSE)&lt;&gt;1), 1,0))*Coefficients!K$2</f>
        <v>#REF!</v>
      </c>
      <c r="L144" t="e">
        <f>(IF(AND(VLOOKUP(Games!#REF!, Data!$B$2:$L$135, 11, FALSE)&lt;&gt;1, VLOOKUP(Games!#REF!, Data!$B$2:$L$135, 11, FALSE)=1), 1,0))*Coefficients!L$2</f>
        <v>#REF!</v>
      </c>
      <c r="O144" t="e">
        <f t="shared" si="3"/>
        <v>#REF!</v>
      </c>
    </row>
    <row r="145">
      <c r="A145" t="n">
        <f>Coefficients!$A$2</f>
        <v>-3.7765953152866998</v>
      </c>
      <c r="B145" t="e">
        <f>(Games!#REF!)*(-1*Coefficients!$B$2)</f>
        <v>#REF!</v>
      </c>
      <c r="C145" t="e">
        <f>(VLOOKUP(Games!#REF!, Data!$B$2:$L$135, 4, FALSE)-VLOOKUP(Games!#REF!, Data!$B$2:$L$135, 4, FALSE))*Coefficients!$C$2</f>
        <v>#REF!</v>
      </c>
      <c r="D145" t="e">
        <f>(VLOOKUP(Games!#REF!, Data!$B$2:$L$135, 3, FALSE)-VLOOKUP(Games!#REF!, Data!$B$2:$L$135, 3, FALSE))*Coefficients!$D$2</f>
        <v>#REF!</v>
      </c>
      <c r="E145" t="e">
        <f>(VLOOKUP(Games!#REF!, Data!$B$2:$L$135, 5, FALSE)-VLOOKUP(Games!#REF!, Data!$B$2:$L$135, 5, FALSE))*Coefficients!$E$2</f>
        <v>#REF!</v>
      </c>
      <c r="F145" t="e">
        <f>(VLOOKUP(Games!#REF!, Data!$B$2:$L$135, 6, FALSE)-VLOOKUP(Games!#REF!, Data!$B$2:$L$135, 6, FALSE))*Coefficients!$F$2</f>
        <v>#REF!</v>
      </c>
      <c r="G145" t="e">
        <f>(VLOOKUP(Games!#REF!, Data!$B$2:$L$135, 7, FALSE)-VLOOKUP(Games!#REF!, Data!$B$2:$L$135, 7, FALSE))*Coefficients!$G$2</f>
        <v>#REF!</v>
      </c>
      <c r="H145" t="e">
        <f>(VLOOKUP(Games!#REF!, Data!$B$2:$L$135, 8, FALSE)-VLOOKUP(Games!#REF!, Data!$B$2:$L$135, 8, FALSE))*Coefficients!$H$2</f>
        <v>#REF!</v>
      </c>
      <c r="I145" t="e">
        <f>(VLOOKUP(Games!#REF!, Data!$B$2:$L$135, 9, FALSE)-VLOOKUP(Games!#REF!, Data!$B$2:$L$135, 9, FALSE))*Coefficients!$I$2</f>
        <v>#REF!</v>
      </c>
      <c r="J145" t="e">
        <f>IF(ISBLANK(Data!K145), Games!#REF!-Games!#REF!,VLOOKUP(Games!#REF!, Data!$B$2:$L$135, 10, FALSE)-VLOOKUP(Games!#REF!, Data!$B$2:$L$135, 10, FALSE))*Coefficients!$J$2</f>
        <v>#REF!</v>
      </c>
      <c r="K145" t="e">
        <f>(IF(AND(VLOOKUP(Games!#REF!, Data!$B$2:$L$135, 11, FALSE)=1, VLOOKUP(Games!#REF!, Data!$B$2:$L$135, 11, FALSE)&lt;&gt;1), 1,0))*Coefficients!K$2</f>
        <v>#REF!</v>
      </c>
      <c r="L145" t="e">
        <f>(IF(AND(VLOOKUP(Games!#REF!, Data!$B$2:$L$135, 11, FALSE)&lt;&gt;1, VLOOKUP(Games!#REF!, Data!$B$2:$L$135, 11, FALSE)=1), 1,0))*Coefficients!L$2</f>
        <v>#REF!</v>
      </c>
      <c r="O145" t="e">
        <f t="shared" si="3"/>
        <v>#REF!</v>
      </c>
    </row>
    <row r="146">
      <c r="A146" t="n">
        <f>Coefficients!$A$2</f>
        <v>-3.7765953152866998</v>
      </c>
      <c r="B146" t="e">
        <f>(Games!#REF!)*(-1*Coefficients!$B$2)</f>
        <v>#REF!</v>
      </c>
      <c r="C146" t="e">
        <f>(VLOOKUP(Games!#REF!, Data!$B$2:$L$135, 4, FALSE)-VLOOKUP(Games!#REF!, Data!$B$2:$L$135, 4, FALSE))*Coefficients!$C$2</f>
        <v>#REF!</v>
      </c>
      <c r="D146" t="e">
        <f>(VLOOKUP(Games!#REF!, Data!$B$2:$L$135, 3, FALSE)-VLOOKUP(Games!#REF!, Data!$B$2:$L$135, 3, FALSE))*Coefficients!$D$2</f>
        <v>#REF!</v>
      </c>
      <c r="E146" t="e">
        <f>(VLOOKUP(Games!#REF!, Data!$B$2:$L$135, 5, FALSE)-VLOOKUP(Games!#REF!, Data!$B$2:$L$135, 5, FALSE))*Coefficients!$E$2</f>
        <v>#REF!</v>
      </c>
      <c r="F146" t="e">
        <f>(VLOOKUP(Games!#REF!, Data!$B$2:$L$135, 6, FALSE)-VLOOKUP(Games!#REF!, Data!$B$2:$L$135, 6, FALSE))*Coefficients!$F$2</f>
        <v>#REF!</v>
      </c>
      <c r="G146" t="e">
        <f>(VLOOKUP(Games!#REF!, Data!$B$2:$L$135, 7, FALSE)-VLOOKUP(Games!#REF!, Data!$B$2:$L$135, 7, FALSE))*Coefficients!$G$2</f>
        <v>#REF!</v>
      </c>
      <c r="H146" t="e">
        <f>(VLOOKUP(Games!#REF!, Data!$B$2:$L$135, 8, FALSE)-VLOOKUP(Games!#REF!, Data!$B$2:$L$135, 8, FALSE))*Coefficients!$H$2</f>
        <v>#REF!</v>
      </c>
      <c r="I146" t="e">
        <f>(VLOOKUP(Games!#REF!, Data!$B$2:$L$135, 9, FALSE)-VLOOKUP(Games!#REF!, Data!$B$2:$L$135, 9, FALSE))*Coefficients!$I$2</f>
        <v>#REF!</v>
      </c>
      <c r="J146" t="e">
        <f>IF(ISBLANK(Data!K146), Games!#REF!-Games!#REF!,VLOOKUP(Games!#REF!, Data!$B$2:$L$135, 10, FALSE)-VLOOKUP(Games!#REF!, Data!$B$2:$L$135, 10, FALSE))*Coefficients!$J$2</f>
        <v>#REF!</v>
      </c>
      <c r="K146" t="e">
        <f>(IF(AND(VLOOKUP(Games!#REF!, Data!$B$2:$L$135, 11, FALSE)=1, VLOOKUP(Games!#REF!, Data!$B$2:$L$135, 11, FALSE)&lt;&gt;1), 1,0))*Coefficients!K$2</f>
        <v>#REF!</v>
      </c>
      <c r="L146" t="e">
        <f>(IF(AND(VLOOKUP(Games!#REF!, Data!$B$2:$L$135, 11, FALSE)&lt;&gt;1, VLOOKUP(Games!#REF!, Data!$B$2:$L$135, 11, FALSE)=1), 1,0))*Coefficients!L$2</f>
        <v>#REF!</v>
      </c>
      <c r="O146" t="e">
        <f t="shared" si="3"/>
        <v>#REF!</v>
      </c>
    </row>
    <row r="147">
      <c r="A147" t="n">
        <f>Coefficients!$A$2</f>
        <v>-3.7765953152866998</v>
      </c>
      <c r="B147" t="e">
        <f>(Games!#REF!)*(-1*Coefficients!$B$2)</f>
        <v>#REF!</v>
      </c>
      <c r="C147" t="e">
        <f>(VLOOKUP(Games!#REF!, Data!$B$2:$L$135, 4, FALSE)-VLOOKUP(Games!#REF!, Data!$B$2:$L$135, 4, FALSE))*Coefficients!$C$2</f>
        <v>#REF!</v>
      </c>
      <c r="D147" t="e">
        <f>(VLOOKUP(Games!#REF!, Data!$B$2:$L$135, 3, FALSE)-VLOOKUP(Games!#REF!, Data!$B$2:$L$135, 3, FALSE))*Coefficients!$D$2</f>
        <v>#REF!</v>
      </c>
      <c r="E147" t="e">
        <f>(VLOOKUP(Games!#REF!, Data!$B$2:$L$135, 5, FALSE)-VLOOKUP(Games!#REF!, Data!$B$2:$L$135, 5, FALSE))*Coefficients!$E$2</f>
        <v>#REF!</v>
      </c>
      <c r="F147" t="e">
        <f>(VLOOKUP(Games!#REF!, Data!$B$2:$L$135, 6, FALSE)-VLOOKUP(Games!#REF!, Data!$B$2:$L$135, 6, FALSE))*Coefficients!$F$2</f>
        <v>#REF!</v>
      </c>
      <c r="G147" t="e">
        <f>(VLOOKUP(Games!#REF!, Data!$B$2:$L$135, 7, FALSE)-VLOOKUP(Games!#REF!, Data!$B$2:$L$135, 7, FALSE))*Coefficients!$G$2</f>
        <v>#REF!</v>
      </c>
      <c r="H147" t="e">
        <f>(VLOOKUP(Games!#REF!, Data!$B$2:$L$135, 8, FALSE)-VLOOKUP(Games!#REF!, Data!$B$2:$L$135, 8, FALSE))*Coefficients!$H$2</f>
        <v>#REF!</v>
      </c>
      <c r="I147" t="e">
        <f>(VLOOKUP(Games!#REF!, Data!$B$2:$L$135, 9, FALSE)-VLOOKUP(Games!#REF!, Data!$B$2:$L$135, 9, FALSE))*Coefficients!$I$2</f>
        <v>#REF!</v>
      </c>
      <c r="J147" t="e">
        <f>IF(ISBLANK(Data!K147), Games!#REF!-Games!#REF!,VLOOKUP(Games!#REF!, Data!$B$2:$L$135, 10, FALSE)-VLOOKUP(Games!#REF!, Data!$B$2:$L$135, 10, FALSE))*Coefficients!$J$2</f>
        <v>#REF!</v>
      </c>
      <c r="K147" t="e">
        <f>(IF(AND(VLOOKUP(Games!#REF!, Data!$B$2:$L$135, 11, FALSE)=1, VLOOKUP(Games!#REF!, Data!$B$2:$L$135, 11, FALSE)&lt;&gt;1), 1,0))*Coefficients!K$2</f>
        <v>#REF!</v>
      </c>
      <c r="L147" t="e">
        <f>(IF(AND(VLOOKUP(Games!#REF!, Data!$B$2:$L$135, 11, FALSE)&lt;&gt;1, VLOOKUP(Games!#REF!, Data!$B$2:$L$135, 11, FALSE)=1), 1,0))*Coefficients!L$2</f>
        <v>#REF!</v>
      </c>
      <c r="O147" t="e">
        <f t="shared" si="3"/>
        <v>#REF!</v>
      </c>
    </row>
    <row r="148">
      <c r="A148" t="n">
        <f>Coefficients!$A$2</f>
        <v>-3.7765953152866998</v>
      </c>
      <c r="B148" t="e">
        <f>(Games!#REF!)*(-1*Coefficients!$B$2)</f>
        <v>#REF!</v>
      </c>
      <c r="C148" t="e">
        <f>(VLOOKUP(Games!#REF!, Data!$B$2:$L$135, 4, FALSE)-VLOOKUP(Games!#REF!, Data!$B$2:$L$135, 4, FALSE))*Coefficients!$C$2</f>
        <v>#REF!</v>
      </c>
      <c r="D148" t="e">
        <f>(VLOOKUP(Games!#REF!, Data!$B$2:$L$135, 3, FALSE)-VLOOKUP(Games!#REF!, Data!$B$2:$L$135, 3, FALSE))*Coefficients!$D$2</f>
        <v>#REF!</v>
      </c>
      <c r="E148" t="e">
        <f>(VLOOKUP(Games!#REF!, Data!$B$2:$L$135, 5, FALSE)-VLOOKUP(Games!#REF!, Data!$B$2:$L$135, 5, FALSE))*Coefficients!$E$2</f>
        <v>#REF!</v>
      </c>
      <c r="F148" t="e">
        <f>(VLOOKUP(Games!#REF!, Data!$B$2:$L$135, 6, FALSE)-VLOOKUP(Games!#REF!, Data!$B$2:$L$135, 6, FALSE))*Coefficients!$F$2</f>
        <v>#REF!</v>
      </c>
      <c r="G148" t="e">
        <f>(VLOOKUP(Games!#REF!, Data!$B$2:$L$135, 7, FALSE)-VLOOKUP(Games!#REF!, Data!$B$2:$L$135, 7, FALSE))*Coefficients!$G$2</f>
        <v>#REF!</v>
      </c>
      <c r="H148" t="e">
        <f>(VLOOKUP(Games!#REF!, Data!$B$2:$L$135, 8, FALSE)-VLOOKUP(Games!#REF!, Data!$B$2:$L$135, 8, FALSE))*Coefficients!$H$2</f>
        <v>#REF!</v>
      </c>
      <c r="I148" t="e">
        <f>(VLOOKUP(Games!#REF!, Data!$B$2:$L$135, 9, FALSE)-VLOOKUP(Games!#REF!, Data!$B$2:$L$135, 9, FALSE))*Coefficients!$I$2</f>
        <v>#REF!</v>
      </c>
      <c r="J148" t="e">
        <f>IF(ISBLANK(Data!K148), Games!#REF!-Games!#REF!,VLOOKUP(Games!#REF!, Data!$B$2:$L$135, 10, FALSE)-VLOOKUP(Games!#REF!, Data!$B$2:$L$135, 10, FALSE))*Coefficients!$J$2</f>
        <v>#REF!</v>
      </c>
      <c r="K148" t="e">
        <f>(IF(AND(VLOOKUP(Games!#REF!, Data!$B$2:$L$135, 11, FALSE)=1, VLOOKUP(Games!#REF!, Data!$B$2:$L$135, 11, FALSE)&lt;&gt;1), 1,0))*Coefficients!K$2</f>
        <v>#REF!</v>
      </c>
      <c r="L148" t="e">
        <f>(IF(AND(VLOOKUP(Games!#REF!, Data!$B$2:$L$135, 11, FALSE)&lt;&gt;1, VLOOKUP(Games!#REF!, Data!$B$2:$L$135, 11, FALSE)=1), 1,0))*Coefficients!L$2</f>
        <v>#REF!</v>
      </c>
      <c r="O148" t="e">
        <f t="shared" si="3"/>
        <v>#REF!</v>
      </c>
    </row>
    <row r="149">
      <c r="A149" t="n">
        <f>Coefficients!$A$2</f>
        <v>-3.7765953152866998</v>
      </c>
      <c r="B149" t="e">
        <f>(Games!#REF!)*(-1*Coefficients!$B$2)</f>
        <v>#REF!</v>
      </c>
      <c r="C149" t="e">
        <f>(VLOOKUP(Games!#REF!, Data!$B$2:$L$135, 4, FALSE)-VLOOKUP(Games!#REF!, Data!$B$2:$L$135, 4, FALSE))*Coefficients!$C$2</f>
        <v>#REF!</v>
      </c>
      <c r="D149" t="e">
        <f>(VLOOKUP(Games!#REF!, Data!$B$2:$L$135, 3, FALSE)-VLOOKUP(Games!#REF!, Data!$B$2:$L$135, 3, FALSE))*Coefficients!$D$2</f>
        <v>#REF!</v>
      </c>
      <c r="E149" t="e">
        <f>(VLOOKUP(Games!#REF!, Data!$B$2:$L$135, 5, FALSE)-VLOOKUP(Games!#REF!, Data!$B$2:$L$135, 5, FALSE))*Coefficients!$E$2</f>
        <v>#REF!</v>
      </c>
      <c r="F149" t="e">
        <f>(VLOOKUP(Games!#REF!, Data!$B$2:$L$135, 6, FALSE)-VLOOKUP(Games!#REF!, Data!$B$2:$L$135, 6, FALSE))*Coefficients!$F$2</f>
        <v>#REF!</v>
      </c>
      <c r="G149" t="e">
        <f>(VLOOKUP(Games!#REF!, Data!$B$2:$L$135, 7, FALSE)-VLOOKUP(Games!#REF!, Data!$B$2:$L$135, 7, FALSE))*Coefficients!$G$2</f>
        <v>#REF!</v>
      </c>
      <c r="H149" t="e">
        <f>(VLOOKUP(Games!#REF!, Data!$B$2:$L$135, 8, FALSE)-VLOOKUP(Games!#REF!, Data!$B$2:$L$135, 8, FALSE))*Coefficients!$H$2</f>
        <v>#REF!</v>
      </c>
      <c r="I149" t="e">
        <f>(VLOOKUP(Games!#REF!, Data!$B$2:$L$135, 9, FALSE)-VLOOKUP(Games!#REF!, Data!$B$2:$L$135, 9, FALSE))*Coefficients!$I$2</f>
        <v>#REF!</v>
      </c>
      <c r="J149" t="e">
        <f>IF(ISBLANK(Data!K149), Games!#REF!-Games!#REF!,VLOOKUP(Games!#REF!, Data!$B$2:$L$135, 10, FALSE)-VLOOKUP(Games!#REF!, Data!$B$2:$L$135, 10, FALSE))*Coefficients!$J$2</f>
        <v>#REF!</v>
      </c>
      <c r="K149" t="e">
        <f>(IF(AND(VLOOKUP(Games!#REF!, Data!$B$2:$L$135, 11, FALSE)=1, VLOOKUP(Games!#REF!, Data!$B$2:$L$135, 11, FALSE)&lt;&gt;1), 1,0))*Coefficients!K$2</f>
        <v>#REF!</v>
      </c>
      <c r="L149" t="e">
        <f>(IF(AND(VLOOKUP(Games!#REF!, Data!$B$2:$L$135, 11, FALSE)&lt;&gt;1, VLOOKUP(Games!#REF!, Data!$B$2:$L$135, 11, FALSE)=1), 1,0))*Coefficients!L$2</f>
        <v>#REF!</v>
      </c>
      <c r="O149" t="e">
        <f t="shared" si="3"/>
        <v>#REF!</v>
      </c>
    </row>
    <row r="150">
      <c r="A150" t="n">
        <f>Coefficients!$A$2</f>
        <v>-3.7765953152866998</v>
      </c>
      <c r="B150" t="e">
        <f>(Games!#REF!)*(-1*Coefficients!$B$2)</f>
        <v>#REF!</v>
      </c>
      <c r="C150" t="e">
        <f>(VLOOKUP(Games!#REF!, Data!$B$2:$L$135, 4, FALSE)-VLOOKUP(Games!#REF!, Data!$B$2:$L$135, 4, FALSE))*Coefficients!$C$2</f>
        <v>#REF!</v>
      </c>
      <c r="D150" t="e">
        <f>(VLOOKUP(Games!#REF!, Data!$B$2:$L$135, 3, FALSE)-VLOOKUP(Games!#REF!, Data!$B$2:$L$135, 3, FALSE))*Coefficients!$D$2</f>
        <v>#REF!</v>
      </c>
      <c r="E150" t="e">
        <f>(VLOOKUP(Games!#REF!, Data!$B$2:$L$135, 5, FALSE)-VLOOKUP(Games!#REF!, Data!$B$2:$L$135, 5, FALSE))*Coefficients!$E$2</f>
        <v>#REF!</v>
      </c>
      <c r="F150" t="e">
        <f>(VLOOKUP(Games!#REF!, Data!$B$2:$L$135, 6, FALSE)-VLOOKUP(Games!#REF!, Data!$B$2:$L$135, 6, FALSE))*Coefficients!$F$2</f>
        <v>#REF!</v>
      </c>
      <c r="G150" t="e">
        <f>(VLOOKUP(Games!#REF!, Data!$B$2:$L$135, 7, FALSE)-VLOOKUP(Games!#REF!, Data!$B$2:$L$135, 7, FALSE))*Coefficients!$G$2</f>
        <v>#REF!</v>
      </c>
      <c r="H150" t="e">
        <f>(VLOOKUP(Games!#REF!, Data!$B$2:$L$135, 8, FALSE)-VLOOKUP(Games!#REF!, Data!$B$2:$L$135, 8, FALSE))*Coefficients!$H$2</f>
        <v>#REF!</v>
      </c>
      <c r="I150" t="e">
        <f>(VLOOKUP(Games!#REF!, Data!$B$2:$L$135, 9, FALSE)-VLOOKUP(Games!#REF!, Data!$B$2:$L$135, 9, FALSE))*Coefficients!$I$2</f>
        <v>#REF!</v>
      </c>
      <c r="J150" t="e">
        <f>IF(ISBLANK(Data!K150), Games!#REF!-Games!#REF!,VLOOKUP(Games!#REF!, Data!$B$2:$L$135, 10, FALSE)-VLOOKUP(Games!#REF!, Data!$B$2:$L$135, 10, FALSE))*Coefficients!$J$2</f>
        <v>#REF!</v>
      </c>
      <c r="K150" t="e">
        <f>(IF(AND(VLOOKUP(Games!#REF!, Data!$B$2:$L$135, 11, FALSE)=1, VLOOKUP(Games!#REF!, Data!$B$2:$L$135, 11, FALSE)&lt;&gt;1), 1,0))*Coefficients!K$2</f>
        <v>#REF!</v>
      </c>
      <c r="L150" t="e">
        <f>(IF(AND(VLOOKUP(Games!#REF!, Data!$B$2:$L$135, 11, FALSE)&lt;&gt;1, VLOOKUP(Games!#REF!, Data!$B$2:$L$135, 11, FALSE)=1), 1,0))*Coefficients!L$2</f>
        <v>#REF!</v>
      </c>
      <c r="O150" t="e">
        <f t="shared" si="3"/>
        <v>#REF!</v>
      </c>
    </row>
    <row r="151">
      <c r="A151" t="n">
        <f>Coefficients!$A$2</f>
        <v>-3.7765953152866998</v>
      </c>
      <c r="B151" t="e">
        <f>(Games!#REF!)*(-1*Coefficients!$B$2)</f>
        <v>#REF!</v>
      </c>
      <c r="C151" t="e">
        <f>(VLOOKUP(Games!#REF!, Data!$B$2:$L$135, 4, FALSE)-VLOOKUP(Games!#REF!, Data!$B$2:$L$135, 4, FALSE))*Coefficients!$C$2</f>
        <v>#REF!</v>
      </c>
      <c r="D151" t="e">
        <f>(VLOOKUP(Games!#REF!, Data!$B$2:$L$135, 3, FALSE)-VLOOKUP(Games!#REF!, Data!$B$2:$L$135, 3, FALSE))*Coefficients!$D$2</f>
        <v>#REF!</v>
      </c>
      <c r="E151" t="e">
        <f>(VLOOKUP(Games!#REF!, Data!$B$2:$L$135, 5, FALSE)-VLOOKUP(Games!#REF!, Data!$B$2:$L$135, 5, FALSE))*Coefficients!$E$2</f>
        <v>#REF!</v>
      </c>
      <c r="F151" t="e">
        <f>(VLOOKUP(Games!#REF!, Data!$B$2:$L$135, 6, FALSE)-VLOOKUP(Games!#REF!, Data!$B$2:$L$135, 6, FALSE))*Coefficients!$F$2</f>
        <v>#REF!</v>
      </c>
      <c r="G151" t="e">
        <f>(VLOOKUP(Games!#REF!, Data!$B$2:$L$135, 7, FALSE)-VLOOKUP(Games!#REF!, Data!$B$2:$L$135, 7, FALSE))*Coefficients!$G$2</f>
        <v>#REF!</v>
      </c>
      <c r="H151" t="e">
        <f>(VLOOKUP(Games!#REF!, Data!$B$2:$L$135, 8, FALSE)-VLOOKUP(Games!#REF!, Data!$B$2:$L$135, 8, FALSE))*Coefficients!$H$2</f>
        <v>#REF!</v>
      </c>
      <c r="I151" t="e">
        <f>(VLOOKUP(Games!#REF!, Data!$B$2:$L$135, 9, FALSE)-VLOOKUP(Games!#REF!, Data!$B$2:$L$135, 9, FALSE))*Coefficients!$I$2</f>
        <v>#REF!</v>
      </c>
      <c r="J151" t="e">
        <f>IF(ISBLANK(Data!K151), Games!#REF!-Games!#REF!,VLOOKUP(Games!#REF!, Data!$B$2:$L$135, 10, FALSE)-VLOOKUP(Games!#REF!, Data!$B$2:$L$135, 10, FALSE))*Coefficients!$J$2</f>
        <v>#REF!</v>
      </c>
      <c r="K151" t="e">
        <f>(IF(AND(VLOOKUP(Games!#REF!, Data!$B$2:$L$135, 11, FALSE)=1, VLOOKUP(Games!#REF!, Data!$B$2:$L$135, 11, FALSE)&lt;&gt;1), 1,0))*Coefficients!K$2</f>
        <v>#REF!</v>
      </c>
      <c r="L151" t="e">
        <f>(IF(AND(VLOOKUP(Games!#REF!, Data!$B$2:$L$135, 11, FALSE)&lt;&gt;1, VLOOKUP(Games!#REF!, Data!$B$2:$L$135, 11, FALSE)=1), 1,0))*Coefficients!L$2</f>
        <v>#REF!</v>
      </c>
      <c r="O151" t="e">
        <f t="shared" si="3"/>
        <v>#REF!</v>
      </c>
    </row>
    <row r="152">
      <c r="A152" t="n">
        <f>Coefficients!$A$2</f>
        <v>-3.7765953152866998</v>
      </c>
      <c r="B152" t="e">
        <f>(Games!#REF!)*(-1*Coefficients!$B$2)</f>
        <v>#REF!</v>
      </c>
      <c r="C152" t="e">
        <f>(VLOOKUP(Games!#REF!, Data!$B$2:$L$135, 4, FALSE)-VLOOKUP(Games!#REF!, Data!$B$2:$L$135, 4, FALSE))*Coefficients!$C$2</f>
        <v>#REF!</v>
      </c>
      <c r="D152" t="e">
        <f>(VLOOKUP(Games!#REF!, Data!$B$2:$L$135, 3, FALSE)-VLOOKUP(Games!#REF!, Data!$B$2:$L$135, 3, FALSE))*Coefficients!$D$2</f>
        <v>#REF!</v>
      </c>
      <c r="E152" t="e">
        <f>(VLOOKUP(Games!#REF!, Data!$B$2:$L$135, 5, FALSE)-VLOOKUP(Games!#REF!, Data!$B$2:$L$135, 5, FALSE))*Coefficients!$E$2</f>
        <v>#REF!</v>
      </c>
      <c r="F152" t="e">
        <f>(VLOOKUP(Games!#REF!, Data!$B$2:$L$135, 6, FALSE)-VLOOKUP(Games!#REF!, Data!$B$2:$L$135, 6, FALSE))*Coefficients!$F$2</f>
        <v>#REF!</v>
      </c>
      <c r="G152" t="e">
        <f>(VLOOKUP(Games!#REF!, Data!$B$2:$L$135, 7, FALSE)-VLOOKUP(Games!#REF!, Data!$B$2:$L$135, 7, FALSE))*Coefficients!$G$2</f>
        <v>#REF!</v>
      </c>
      <c r="H152" t="e">
        <f>(VLOOKUP(Games!#REF!, Data!$B$2:$L$135, 8, FALSE)-VLOOKUP(Games!#REF!, Data!$B$2:$L$135, 8, FALSE))*Coefficients!$H$2</f>
        <v>#REF!</v>
      </c>
      <c r="I152" t="e">
        <f>(VLOOKUP(Games!#REF!, Data!$B$2:$L$135, 9, FALSE)-VLOOKUP(Games!#REF!, Data!$B$2:$L$135, 9, FALSE))*Coefficients!$I$2</f>
        <v>#REF!</v>
      </c>
      <c r="J152" t="e">
        <f>IF(ISBLANK(Data!K152), Games!#REF!-Games!#REF!,VLOOKUP(Games!#REF!, Data!$B$2:$L$135, 10, FALSE)-VLOOKUP(Games!#REF!, Data!$B$2:$L$135, 10, FALSE))*Coefficients!$J$2</f>
        <v>#REF!</v>
      </c>
      <c r="K152" t="e">
        <f>(IF(AND(VLOOKUP(Games!#REF!, Data!$B$2:$L$135, 11, FALSE)=1, VLOOKUP(Games!#REF!, Data!$B$2:$L$135, 11, FALSE)&lt;&gt;1), 1,0))*Coefficients!K$2</f>
        <v>#REF!</v>
      </c>
      <c r="L152" t="e">
        <f>(IF(AND(VLOOKUP(Games!#REF!, Data!$B$2:$L$135, 11, FALSE)&lt;&gt;1, VLOOKUP(Games!#REF!, Data!$B$2:$L$135, 11, FALSE)=1), 1,0))*Coefficients!L$2</f>
        <v>#REF!</v>
      </c>
      <c r="O152" t="e">
        <f t="shared" si="3"/>
        <v>#REF!</v>
      </c>
    </row>
    <row r="153">
      <c r="A153" t="n">
        <f>Coefficients!$A$2</f>
        <v>-3.7765953152866998</v>
      </c>
      <c r="B153" t="e">
        <f>(Games!#REF!)*(-1*Coefficients!$B$2)</f>
        <v>#REF!</v>
      </c>
      <c r="C153" t="e">
        <f>(VLOOKUP(Games!#REF!, Data!$B$2:$L$135, 4, FALSE)-VLOOKUP(Games!#REF!, Data!$B$2:$L$135, 4, FALSE))*Coefficients!$C$2</f>
        <v>#REF!</v>
      </c>
      <c r="D153" t="e">
        <f>(VLOOKUP(Games!#REF!, Data!$B$2:$L$135, 3, FALSE)-VLOOKUP(Games!#REF!, Data!$B$2:$L$135, 3, FALSE))*Coefficients!$D$2</f>
        <v>#REF!</v>
      </c>
      <c r="E153" t="e">
        <f>(VLOOKUP(Games!#REF!, Data!$B$2:$L$135, 5, FALSE)-VLOOKUP(Games!#REF!, Data!$B$2:$L$135, 5, FALSE))*Coefficients!$E$2</f>
        <v>#REF!</v>
      </c>
      <c r="F153" t="e">
        <f>(VLOOKUP(Games!#REF!, Data!$B$2:$L$135, 6, FALSE)-VLOOKUP(Games!#REF!, Data!$B$2:$L$135, 6, FALSE))*Coefficients!$F$2</f>
        <v>#REF!</v>
      </c>
      <c r="G153" t="e">
        <f>(VLOOKUP(Games!#REF!, Data!$B$2:$L$135, 7, FALSE)-VLOOKUP(Games!#REF!, Data!$B$2:$L$135, 7, FALSE))*Coefficients!$G$2</f>
        <v>#REF!</v>
      </c>
      <c r="H153" t="e">
        <f>(VLOOKUP(Games!#REF!, Data!$B$2:$L$135, 8, FALSE)-VLOOKUP(Games!#REF!, Data!$B$2:$L$135, 8, FALSE))*Coefficients!$H$2</f>
        <v>#REF!</v>
      </c>
      <c r="I153" t="e">
        <f>(VLOOKUP(Games!#REF!, Data!$B$2:$L$135, 9, FALSE)-VLOOKUP(Games!#REF!, Data!$B$2:$L$135, 9, FALSE))*Coefficients!$I$2</f>
        <v>#REF!</v>
      </c>
      <c r="J153" t="e">
        <f>IF(ISBLANK(Data!K153), Games!#REF!-Games!#REF!,VLOOKUP(Games!#REF!, Data!$B$2:$L$135, 10, FALSE)-VLOOKUP(Games!#REF!, Data!$B$2:$L$135, 10, FALSE))*Coefficients!$J$2</f>
        <v>#REF!</v>
      </c>
      <c r="K153" t="e">
        <f>(IF(AND(VLOOKUP(Games!#REF!, Data!$B$2:$L$135, 11, FALSE)=1, VLOOKUP(Games!#REF!, Data!$B$2:$L$135, 11, FALSE)&lt;&gt;1), 1,0))*Coefficients!K$2</f>
        <v>#REF!</v>
      </c>
      <c r="L153" t="e">
        <f>(IF(AND(VLOOKUP(Games!#REF!, Data!$B$2:$L$135, 11, FALSE)&lt;&gt;1, VLOOKUP(Games!#REF!, Data!$B$2:$L$135, 11, FALSE)=1), 1,0))*Coefficients!L$2</f>
        <v>#REF!</v>
      </c>
      <c r="O153" t="e">
        <f t="shared" si="3"/>
        <v>#REF!</v>
      </c>
    </row>
    <row r="154">
      <c r="A154" t="n">
        <f>Coefficients!$A$2</f>
        <v>-3.7765953152866998</v>
      </c>
      <c r="B154" t="e">
        <f>(Games!#REF!)*(-1*Coefficients!$B$2)</f>
        <v>#REF!</v>
      </c>
      <c r="C154" t="e">
        <f>(VLOOKUP(Games!#REF!, Data!$B$2:$L$135, 4, FALSE)-VLOOKUP(Games!#REF!, Data!$B$2:$L$135, 4, FALSE))*Coefficients!$C$2</f>
        <v>#REF!</v>
      </c>
      <c r="D154" t="e">
        <f>(VLOOKUP(Games!#REF!, Data!$B$2:$L$135, 3, FALSE)-VLOOKUP(Games!#REF!, Data!$B$2:$L$135, 3, FALSE))*Coefficients!$D$2</f>
        <v>#REF!</v>
      </c>
      <c r="E154" t="e">
        <f>(VLOOKUP(Games!#REF!, Data!$B$2:$L$135, 5, FALSE)-VLOOKUP(Games!#REF!, Data!$B$2:$L$135, 5, FALSE))*Coefficients!$E$2</f>
        <v>#REF!</v>
      </c>
      <c r="F154" t="e">
        <f>(VLOOKUP(Games!#REF!, Data!$B$2:$L$135, 6, FALSE)-VLOOKUP(Games!#REF!, Data!$B$2:$L$135, 6, FALSE))*Coefficients!$F$2</f>
        <v>#REF!</v>
      </c>
      <c r="G154" t="e">
        <f>(VLOOKUP(Games!#REF!, Data!$B$2:$L$135, 7, FALSE)-VLOOKUP(Games!#REF!, Data!$B$2:$L$135, 7, FALSE))*Coefficients!$G$2</f>
        <v>#REF!</v>
      </c>
      <c r="H154" t="e">
        <f>(VLOOKUP(Games!#REF!, Data!$B$2:$L$135, 8, FALSE)-VLOOKUP(Games!#REF!, Data!$B$2:$L$135, 8, FALSE))*Coefficients!$H$2</f>
        <v>#REF!</v>
      </c>
      <c r="I154" t="e">
        <f>(VLOOKUP(Games!#REF!, Data!$B$2:$L$135, 9, FALSE)-VLOOKUP(Games!#REF!, Data!$B$2:$L$135, 9, FALSE))*Coefficients!$I$2</f>
        <v>#REF!</v>
      </c>
      <c r="J154" t="e">
        <f>IF(ISBLANK(Data!K154), Games!#REF!-Games!#REF!,VLOOKUP(Games!#REF!, Data!$B$2:$L$135, 10, FALSE)-VLOOKUP(Games!#REF!, Data!$B$2:$L$135, 10, FALSE))*Coefficients!$J$2</f>
        <v>#REF!</v>
      </c>
      <c r="K154" t="e">
        <f>(IF(AND(VLOOKUP(Games!#REF!, Data!$B$2:$L$135, 11, FALSE)=1, VLOOKUP(Games!#REF!, Data!$B$2:$L$135, 11, FALSE)&lt;&gt;1), 1,0))*Coefficients!K$2</f>
        <v>#REF!</v>
      </c>
      <c r="L154" t="e">
        <f>(IF(AND(VLOOKUP(Games!#REF!, Data!$B$2:$L$135, 11, FALSE)&lt;&gt;1, VLOOKUP(Games!#REF!, Data!$B$2:$L$135, 11, FALSE)=1), 1,0))*Coefficients!L$2</f>
        <v>#REF!</v>
      </c>
      <c r="O154" t="e">
        <f t="shared" si="3"/>
        <v>#REF!</v>
      </c>
    </row>
    <row r="155">
      <c r="A155" t="n">
        <f>Coefficients!$A$2</f>
        <v>-3.7765953152866998</v>
      </c>
      <c r="B155" t="e">
        <f>(Games!#REF!)*(-1*Coefficients!$B$2)</f>
        <v>#REF!</v>
      </c>
      <c r="C155" t="e">
        <f>(VLOOKUP(Games!#REF!, Data!$B$2:$L$135, 4, FALSE)-VLOOKUP(Games!#REF!, Data!$B$2:$L$135, 4, FALSE))*Coefficients!$C$2</f>
        <v>#REF!</v>
      </c>
      <c r="D155" t="e">
        <f>(VLOOKUP(Games!#REF!, Data!$B$2:$L$135, 3, FALSE)-VLOOKUP(Games!#REF!, Data!$B$2:$L$135, 3, FALSE))*Coefficients!$D$2</f>
        <v>#REF!</v>
      </c>
      <c r="E155" t="e">
        <f>(VLOOKUP(Games!#REF!, Data!$B$2:$L$135, 5, FALSE)-VLOOKUP(Games!#REF!, Data!$B$2:$L$135, 5, FALSE))*Coefficients!$E$2</f>
        <v>#REF!</v>
      </c>
      <c r="F155" t="e">
        <f>(VLOOKUP(Games!#REF!, Data!$B$2:$L$135, 6, FALSE)-VLOOKUP(Games!#REF!, Data!$B$2:$L$135, 6, FALSE))*Coefficients!$F$2</f>
        <v>#REF!</v>
      </c>
      <c r="G155" t="e">
        <f>(VLOOKUP(Games!#REF!, Data!$B$2:$L$135, 7, FALSE)-VLOOKUP(Games!#REF!, Data!$B$2:$L$135, 7, FALSE))*Coefficients!$G$2</f>
        <v>#REF!</v>
      </c>
      <c r="H155" t="e">
        <f>(VLOOKUP(Games!#REF!, Data!$B$2:$L$135, 8, FALSE)-VLOOKUP(Games!#REF!, Data!$B$2:$L$135, 8, FALSE))*Coefficients!$H$2</f>
        <v>#REF!</v>
      </c>
      <c r="I155" t="e">
        <f>(VLOOKUP(Games!#REF!, Data!$B$2:$L$135, 9, FALSE)-VLOOKUP(Games!#REF!, Data!$B$2:$L$135, 9, FALSE))*Coefficients!$I$2</f>
        <v>#REF!</v>
      </c>
      <c r="J155" t="e">
        <f>IF(ISBLANK(Data!K155), Games!#REF!-Games!#REF!,VLOOKUP(Games!#REF!, Data!$B$2:$L$135, 10, FALSE)-VLOOKUP(Games!#REF!, Data!$B$2:$L$135, 10, FALSE))*Coefficients!$J$2</f>
        <v>#REF!</v>
      </c>
      <c r="K155" t="e">
        <f>(IF(AND(VLOOKUP(Games!#REF!, Data!$B$2:$L$135, 11, FALSE)=1, VLOOKUP(Games!#REF!, Data!$B$2:$L$135, 11, FALSE)&lt;&gt;1), 1,0))*Coefficients!K$2</f>
        <v>#REF!</v>
      </c>
      <c r="L155" t="e">
        <f>(IF(AND(VLOOKUP(Games!#REF!, Data!$B$2:$L$135, 11, FALSE)&lt;&gt;1, VLOOKUP(Games!#REF!, Data!$B$2:$L$135, 11, FALSE)=1), 1,0))*Coefficients!L$2</f>
        <v>#REF!</v>
      </c>
      <c r="O155" t="e">
        <f t="shared" si="3"/>
        <v>#REF!</v>
      </c>
    </row>
    <row r="156">
      <c r="A156" t="n">
        <f>Coefficients!$A$2</f>
        <v>-3.7765953152866998</v>
      </c>
      <c r="B156" t="e">
        <f>(Games!#REF!)*(-1*Coefficients!$B$2)</f>
        <v>#REF!</v>
      </c>
      <c r="C156" t="e">
        <f>(VLOOKUP(Games!#REF!, Data!$B$2:$L$135, 4, FALSE)-VLOOKUP(Games!#REF!, Data!$B$2:$L$135, 4, FALSE))*Coefficients!$C$2</f>
        <v>#REF!</v>
      </c>
      <c r="D156" t="e">
        <f>(VLOOKUP(Games!#REF!, Data!$B$2:$L$135, 3, FALSE)-VLOOKUP(Games!#REF!, Data!$B$2:$L$135, 3, FALSE))*Coefficients!$D$2</f>
        <v>#REF!</v>
      </c>
      <c r="E156" t="e">
        <f>(VLOOKUP(Games!#REF!, Data!$B$2:$L$135, 5, FALSE)-VLOOKUP(Games!#REF!, Data!$B$2:$L$135, 5, FALSE))*Coefficients!$E$2</f>
        <v>#REF!</v>
      </c>
      <c r="F156" t="e">
        <f>(VLOOKUP(Games!#REF!, Data!$B$2:$L$135, 6, FALSE)-VLOOKUP(Games!#REF!, Data!$B$2:$L$135, 6, FALSE))*Coefficients!$F$2</f>
        <v>#REF!</v>
      </c>
      <c r="G156" t="e">
        <f>(VLOOKUP(Games!#REF!, Data!$B$2:$L$135, 7, FALSE)-VLOOKUP(Games!#REF!, Data!$B$2:$L$135, 7, FALSE))*Coefficients!$G$2</f>
        <v>#REF!</v>
      </c>
      <c r="H156" t="e">
        <f>(VLOOKUP(Games!#REF!, Data!$B$2:$L$135, 8, FALSE)-VLOOKUP(Games!#REF!, Data!$B$2:$L$135, 8, FALSE))*Coefficients!$H$2</f>
        <v>#REF!</v>
      </c>
      <c r="I156" t="e">
        <f>(VLOOKUP(Games!#REF!, Data!$B$2:$L$135, 9, FALSE)-VLOOKUP(Games!#REF!, Data!$B$2:$L$135, 9, FALSE))*Coefficients!$I$2</f>
        <v>#REF!</v>
      </c>
      <c r="J156" t="e">
        <f>IF(ISBLANK(Data!K156), Games!#REF!-Games!#REF!,VLOOKUP(Games!#REF!, Data!$B$2:$L$135, 10, FALSE)-VLOOKUP(Games!#REF!, Data!$B$2:$L$135, 10, FALSE))*Coefficients!$J$2</f>
        <v>#REF!</v>
      </c>
      <c r="K156" t="e">
        <f>(IF(AND(VLOOKUP(Games!#REF!, Data!$B$2:$L$135, 11, FALSE)=1, VLOOKUP(Games!#REF!, Data!$B$2:$L$135, 11, FALSE)&lt;&gt;1), 1,0))*Coefficients!K$2</f>
        <v>#REF!</v>
      </c>
      <c r="L156" t="e">
        <f>(IF(AND(VLOOKUP(Games!#REF!, Data!$B$2:$L$135, 11, FALSE)&lt;&gt;1, VLOOKUP(Games!#REF!, Data!$B$2:$L$135, 11, FALSE)=1), 1,0))*Coefficients!L$2</f>
        <v>#REF!</v>
      </c>
      <c r="O156" t="e">
        <f t="shared" si="3"/>
        <v>#REF!</v>
      </c>
    </row>
    <row r="157">
      <c r="A157" t="n">
        <f>Coefficients!$A$2</f>
        <v>-3.7765953152866998</v>
      </c>
      <c r="B157" t="e">
        <f>(Games!#REF!)*(-1*Coefficients!$B$2)</f>
        <v>#REF!</v>
      </c>
      <c r="C157" t="e">
        <f>(VLOOKUP(Games!#REF!, Data!$B$2:$L$135, 4, FALSE)-VLOOKUP(Games!#REF!, Data!$B$2:$L$135, 4, FALSE))*Coefficients!$C$2</f>
        <v>#REF!</v>
      </c>
      <c r="D157" t="e">
        <f>(VLOOKUP(Games!#REF!, Data!$B$2:$L$135, 3, FALSE)-VLOOKUP(Games!#REF!, Data!$B$2:$L$135, 3, FALSE))*Coefficients!$D$2</f>
        <v>#REF!</v>
      </c>
      <c r="E157" t="e">
        <f>(VLOOKUP(Games!#REF!, Data!$B$2:$L$135, 5, FALSE)-VLOOKUP(Games!#REF!, Data!$B$2:$L$135, 5, FALSE))*Coefficients!$E$2</f>
        <v>#REF!</v>
      </c>
      <c r="F157" t="e">
        <f>(VLOOKUP(Games!#REF!, Data!$B$2:$L$135, 6, FALSE)-VLOOKUP(Games!#REF!, Data!$B$2:$L$135, 6, FALSE))*Coefficients!$F$2</f>
        <v>#REF!</v>
      </c>
      <c r="G157" t="e">
        <f>(VLOOKUP(Games!#REF!, Data!$B$2:$L$135, 7, FALSE)-VLOOKUP(Games!#REF!, Data!$B$2:$L$135, 7, FALSE))*Coefficients!$G$2</f>
        <v>#REF!</v>
      </c>
      <c r="H157" t="e">
        <f>(VLOOKUP(Games!#REF!, Data!$B$2:$L$135, 8, FALSE)-VLOOKUP(Games!#REF!, Data!$B$2:$L$135, 8, FALSE))*Coefficients!$H$2</f>
        <v>#REF!</v>
      </c>
      <c r="I157" t="e">
        <f>(VLOOKUP(Games!#REF!, Data!$B$2:$L$135, 9, FALSE)-VLOOKUP(Games!#REF!, Data!$B$2:$L$135, 9, FALSE))*Coefficients!$I$2</f>
        <v>#REF!</v>
      </c>
      <c r="J157" t="e">
        <f>IF(ISBLANK(Data!K157), Games!#REF!-Games!#REF!,VLOOKUP(Games!#REF!, Data!$B$2:$L$135, 10, FALSE)-VLOOKUP(Games!#REF!, Data!$B$2:$L$135, 10, FALSE))*Coefficients!$J$2</f>
        <v>#REF!</v>
      </c>
      <c r="K157" t="e">
        <f>(IF(AND(VLOOKUP(Games!#REF!, Data!$B$2:$L$135, 11, FALSE)=1, VLOOKUP(Games!#REF!, Data!$B$2:$L$135, 11, FALSE)&lt;&gt;1), 1,0))*Coefficients!K$2</f>
        <v>#REF!</v>
      </c>
      <c r="L157" t="e">
        <f>(IF(AND(VLOOKUP(Games!#REF!, Data!$B$2:$L$135, 11, FALSE)&lt;&gt;1, VLOOKUP(Games!#REF!, Data!$B$2:$L$135, 11, FALSE)=1), 1,0))*Coefficients!L$2</f>
        <v>#REF!</v>
      </c>
      <c r="O157" t="e">
        <f t="shared" si="3"/>
        <v>#REF!</v>
      </c>
    </row>
    <row r="158">
      <c r="A158" t="n">
        <f>Coefficients!$A$2</f>
        <v>-3.7765953152866998</v>
      </c>
      <c r="B158" t="e">
        <f>(Games!#REF!)*(-1*Coefficients!$B$2)</f>
        <v>#REF!</v>
      </c>
      <c r="C158" t="e">
        <f>(VLOOKUP(Games!#REF!, Data!$B$2:$L$135, 4, FALSE)-VLOOKUP(Games!#REF!, Data!$B$2:$L$135, 4, FALSE))*Coefficients!$C$2</f>
        <v>#REF!</v>
      </c>
      <c r="D158" t="e">
        <f>(VLOOKUP(Games!#REF!, Data!$B$2:$L$135, 3, FALSE)-VLOOKUP(Games!#REF!, Data!$B$2:$L$135, 3, FALSE))*Coefficients!$D$2</f>
        <v>#REF!</v>
      </c>
      <c r="E158" t="e">
        <f>(VLOOKUP(Games!#REF!, Data!$B$2:$L$135, 5, FALSE)-VLOOKUP(Games!#REF!, Data!$B$2:$L$135, 5, FALSE))*Coefficients!$E$2</f>
        <v>#REF!</v>
      </c>
      <c r="F158" t="e">
        <f>(VLOOKUP(Games!#REF!, Data!$B$2:$L$135, 6, FALSE)-VLOOKUP(Games!#REF!, Data!$B$2:$L$135, 6, FALSE))*Coefficients!$F$2</f>
        <v>#REF!</v>
      </c>
      <c r="G158" t="e">
        <f>(VLOOKUP(Games!#REF!, Data!$B$2:$L$135, 7, FALSE)-VLOOKUP(Games!#REF!, Data!$B$2:$L$135, 7, FALSE))*Coefficients!$G$2</f>
        <v>#REF!</v>
      </c>
      <c r="H158" t="e">
        <f>(VLOOKUP(Games!#REF!, Data!$B$2:$L$135, 8, FALSE)-VLOOKUP(Games!#REF!, Data!$B$2:$L$135, 8, FALSE))*Coefficients!$H$2</f>
        <v>#REF!</v>
      </c>
      <c r="I158" t="e">
        <f>(VLOOKUP(Games!#REF!, Data!$B$2:$L$135, 9, FALSE)-VLOOKUP(Games!#REF!, Data!$B$2:$L$135, 9, FALSE))*Coefficients!$I$2</f>
        <v>#REF!</v>
      </c>
      <c r="J158" t="e">
        <f>IF(ISBLANK(Data!K158), Games!#REF!-Games!#REF!,VLOOKUP(Games!#REF!, Data!$B$2:$L$135, 10, FALSE)-VLOOKUP(Games!#REF!, Data!$B$2:$L$135, 10, FALSE))*Coefficients!$J$2</f>
        <v>#REF!</v>
      </c>
      <c r="K158" t="e">
        <f>(IF(AND(VLOOKUP(Games!#REF!, Data!$B$2:$L$135, 11, FALSE)=1, VLOOKUP(Games!#REF!, Data!$B$2:$L$135, 11, FALSE)&lt;&gt;1), 1,0))*Coefficients!K$2</f>
        <v>#REF!</v>
      </c>
      <c r="L158" t="e">
        <f>(IF(AND(VLOOKUP(Games!#REF!, Data!$B$2:$L$135, 11, FALSE)&lt;&gt;1, VLOOKUP(Games!#REF!, Data!$B$2:$L$135, 11, FALSE)=1), 1,0))*Coefficients!L$2</f>
        <v>#REF!</v>
      </c>
      <c r="O158" t="e">
        <f t="shared" si="3"/>
        <v>#REF!</v>
      </c>
    </row>
    <row r="159">
      <c r="A159" t="n">
        <f>Coefficients!$A$2</f>
        <v>-3.7765953152866998</v>
      </c>
      <c r="B159" t="e">
        <f>(Games!#REF!)*(-1*Coefficients!$B$2)</f>
        <v>#REF!</v>
      </c>
      <c r="C159" t="e">
        <f>(VLOOKUP(Games!#REF!, Data!$B$2:$L$135, 4, FALSE)-VLOOKUP(Games!#REF!, Data!$B$2:$L$135, 4, FALSE))*Coefficients!$C$2</f>
        <v>#REF!</v>
      </c>
      <c r="D159" t="e">
        <f>(VLOOKUP(Games!#REF!, Data!$B$2:$L$135, 3, FALSE)-VLOOKUP(Games!#REF!, Data!$B$2:$L$135, 3, FALSE))*Coefficients!$D$2</f>
        <v>#REF!</v>
      </c>
      <c r="E159" t="e">
        <f>(VLOOKUP(Games!#REF!, Data!$B$2:$L$135, 5, FALSE)-VLOOKUP(Games!#REF!, Data!$B$2:$L$135, 5, FALSE))*Coefficients!$E$2</f>
        <v>#REF!</v>
      </c>
      <c r="F159" t="e">
        <f>(VLOOKUP(Games!#REF!, Data!$B$2:$L$135, 6, FALSE)-VLOOKUP(Games!#REF!, Data!$B$2:$L$135, 6, FALSE))*Coefficients!$F$2</f>
        <v>#REF!</v>
      </c>
      <c r="G159" t="e">
        <f>(VLOOKUP(Games!#REF!, Data!$B$2:$L$135, 7, FALSE)-VLOOKUP(Games!#REF!, Data!$B$2:$L$135, 7, FALSE))*Coefficients!$G$2</f>
        <v>#REF!</v>
      </c>
      <c r="H159" t="e">
        <f>(VLOOKUP(Games!#REF!, Data!$B$2:$L$135, 8, FALSE)-VLOOKUP(Games!#REF!, Data!$B$2:$L$135, 8, FALSE))*Coefficients!$H$2</f>
        <v>#REF!</v>
      </c>
      <c r="I159" t="e">
        <f>(VLOOKUP(Games!#REF!, Data!$B$2:$L$135, 9, FALSE)-VLOOKUP(Games!#REF!, Data!$B$2:$L$135, 9, FALSE))*Coefficients!$I$2</f>
        <v>#REF!</v>
      </c>
      <c r="J159" t="e">
        <f>IF(ISBLANK(Data!K159), Games!#REF!-Games!#REF!,VLOOKUP(Games!#REF!, Data!$B$2:$L$135, 10, FALSE)-VLOOKUP(Games!#REF!, Data!$B$2:$L$135, 10, FALSE))*Coefficients!$J$2</f>
        <v>#REF!</v>
      </c>
      <c r="K159" t="e">
        <f>(IF(AND(VLOOKUP(Games!#REF!, Data!$B$2:$L$135, 11, FALSE)=1, VLOOKUP(Games!#REF!, Data!$B$2:$L$135, 11, FALSE)&lt;&gt;1), 1,0))*Coefficients!K$2</f>
        <v>#REF!</v>
      </c>
      <c r="L159" t="e">
        <f>(IF(AND(VLOOKUP(Games!#REF!, Data!$B$2:$L$135, 11, FALSE)&lt;&gt;1, VLOOKUP(Games!#REF!, Data!$B$2:$L$135, 11, FALSE)=1), 1,0))*Coefficients!L$2</f>
        <v>#REF!</v>
      </c>
      <c r="O159" t="e">
        <f t="shared" si="3"/>
        <v>#REF!</v>
      </c>
    </row>
    <row r="160">
      <c r="A160" t="n">
        <f>Coefficients!$A$2</f>
        <v>-3.7765953152866998</v>
      </c>
      <c r="B160" t="e">
        <f>(Games!#REF!)*(-1*Coefficients!$B$2)</f>
        <v>#REF!</v>
      </c>
      <c r="C160" t="e">
        <f>(VLOOKUP(Games!#REF!, Data!$B$2:$L$135, 4, FALSE)-VLOOKUP(Games!#REF!, Data!$B$2:$L$135, 4, FALSE))*Coefficients!$C$2</f>
        <v>#REF!</v>
      </c>
      <c r="D160" t="e">
        <f>(VLOOKUP(Games!#REF!, Data!$B$2:$L$135, 3, FALSE)-VLOOKUP(Games!#REF!, Data!$B$2:$L$135, 3, FALSE))*Coefficients!$D$2</f>
        <v>#REF!</v>
      </c>
      <c r="E160" t="e">
        <f>(VLOOKUP(Games!#REF!, Data!$B$2:$L$135, 5, FALSE)-VLOOKUP(Games!#REF!, Data!$B$2:$L$135, 5, FALSE))*Coefficients!$E$2</f>
        <v>#REF!</v>
      </c>
      <c r="F160" t="e">
        <f>(VLOOKUP(Games!#REF!, Data!$B$2:$L$135, 6, FALSE)-VLOOKUP(Games!#REF!, Data!$B$2:$L$135, 6, FALSE))*Coefficients!$F$2</f>
        <v>#REF!</v>
      </c>
      <c r="G160" t="e">
        <f>(VLOOKUP(Games!#REF!, Data!$B$2:$L$135, 7, FALSE)-VLOOKUP(Games!#REF!, Data!$B$2:$L$135, 7, FALSE))*Coefficients!$G$2</f>
        <v>#REF!</v>
      </c>
      <c r="H160" t="e">
        <f>(VLOOKUP(Games!#REF!, Data!$B$2:$L$135, 8, FALSE)-VLOOKUP(Games!#REF!, Data!$B$2:$L$135, 8, FALSE))*Coefficients!$H$2</f>
        <v>#REF!</v>
      </c>
      <c r="I160" t="e">
        <f>(VLOOKUP(Games!#REF!, Data!$B$2:$L$135, 9, FALSE)-VLOOKUP(Games!#REF!, Data!$B$2:$L$135, 9, FALSE))*Coefficients!$I$2</f>
        <v>#REF!</v>
      </c>
      <c r="J160" t="e">
        <f>IF(ISBLANK(Data!K160), Games!#REF!-Games!#REF!,VLOOKUP(Games!#REF!, Data!$B$2:$L$135, 10, FALSE)-VLOOKUP(Games!#REF!, Data!$B$2:$L$135, 10, FALSE))*Coefficients!$J$2</f>
        <v>#REF!</v>
      </c>
      <c r="K160" t="e">
        <f>(IF(AND(VLOOKUP(Games!#REF!, Data!$B$2:$L$135, 11, FALSE)=1, VLOOKUP(Games!#REF!, Data!$B$2:$L$135, 11, FALSE)&lt;&gt;1), 1,0))*Coefficients!K$2</f>
        <v>#REF!</v>
      </c>
      <c r="L160" t="e">
        <f>(IF(AND(VLOOKUP(Games!#REF!, Data!$B$2:$L$135, 11, FALSE)&lt;&gt;1, VLOOKUP(Games!#REF!, Data!$B$2:$L$135, 11, FALSE)=1), 1,0))*Coefficients!L$2</f>
        <v>#REF!</v>
      </c>
      <c r="O160" t="e">
        <f t="shared" si="3"/>
        <v>#REF!</v>
      </c>
    </row>
    <row r="161">
      <c r="A161" t="n">
        <f>Coefficients!$A$2</f>
        <v>-3.7765953152866998</v>
      </c>
      <c r="B161" t="e">
        <f>(Games!#REF!)*(-1*Coefficients!$B$2)</f>
        <v>#REF!</v>
      </c>
      <c r="C161" t="e">
        <f>(VLOOKUP(Games!#REF!, Data!$B$2:$L$135, 4, FALSE)-VLOOKUP(Games!#REF!, Data!$B$2:$L$135, 4, FALSE))*Coefficients!$C$2</f>
        <v>#REF!</v>
      </c>
      <c r="D161" t="e">
        <f>(VLOOKUP(Games!#REF!, Data!$B$2:$L$135, 3, FALSE)-VLOOKUP(Games!#REF!, Data!$B$2:$L$135, 3, FALSE))*Coefficients!$D$2</f>
        <v>#REF!</v>
      </c>
      <c r="E161" t="e">
        <f>(VLOOKUP(Games!#REF!, Data!$B$2:$L$135, 5, FALSE)-VLOOKUP(Games!#REF!, Data!$B$2:$L$135, 5, FALSE))*Coefficients!$E$2</f>
        <v>#REF!</v>
      </c>
      <c r="F161" t="e">
        <f>(VLOOKUP(Games!#REF!, Data!$B$2:$L$135, 6, FALSE)-VLOOKUP(Games!#REF!, Data!$B$2:$L$135, 6, FALSE))*Coefficients!$F$2</f>
        <v>#REF!</v>
      </c>
      <c r="G161" t="e">
        <f>(VLOOKUP(Games!#REF!, Data!$B$2:$L$135, 7, FALSE)-VLOOKUP(Games!#REF!, Data!$B$2:$L$135, 7, FALSE))*Coefficients!$G$2</f>
        <v>#REF!</v>
      </c>
      <c r="H161" t="e">
        <f>(VLOOKUP(Games!#REF!, Data!$B$2:$L$135, 8, FALSE)-VLOOKUP(Games!#REF!, Data!$B$2:$L$135, 8, FALSE))*Coefficients!$H$2</f>
        <v>#REF!</v>
      </c>
      <c r="I161" t="e">
        <f>(VLOOKUP(Games!#REF!, Data!$B$2:$L$135, 9, FALSE)-VLOOKUP(Games!#REF!, Data!$B$2:$L$135, 9, FALSE))*Coefficients!$I$2</f>
        <v>#REF!</v>
      </c>
      <c r="J161" t="e">
        <f>IF(ISBLANK(Data!K161), Games!#REF!-Games!#REF!,VLOOKUP(Games!#REF!, Data!$B$2:$L$135, 10, FALSE)-VLOOKUP(Games!#REF!, Data!$B$2:$L$135, 10, FALSE))*Coefficients!$J$2</f>
        <v>#REF!</v>
      </c>
      <c r="K161" t="e">
        <f>(IF(AND(VLOOKUP(Games!#REF!, Data!$B$2:$L$135, 11, FALSE)=1, VLOOKUP(Games!#REF!, Data!$B$2:$L$135, 11, FALSE)&lt;&gt;1), 1,0))*Coefficients!K$2</f>
        <v>#REF!</v>
      </c>
      <c r="L161" t="e">
        <f>(IF(AND(VLOOKUP(Games!#REF!, Data!$B$2:$L$135, 11, FALSE)&lt;&gt;1, VLOOKUP(Games!#REF!, Data!$B$2:$L$135, 11, FALSE)=1), 1,0))*Coefficients!L$2</f>
        <v>#REF!</v>
      </c>
      <c r="O161" t="e">
        <f t="shared" si="3"/>
        <v>#REF!</v>
      </c>
    </row>
    <row r="162">
      <c r="A162" t="n">
        <f>Coefficients!$A$2</f>
        <v>-3.7765953152866998</v>
      </c>
      <c r="B162" t="e">
        <f>(Games!#REF!)*(-1*Coefficients!$B$2)</f>
        <v>#REF!</v>
      </c>
      <c r="C162" t="e">
        <f>(VLOOKUP(Games!#REF!, Data!$B$2:$L$135, 4, FALSE)-VLOOKUP(Games!#REF!, Data!$B$2:$L$135, 4, FALSE))*Coefficients!$C$2</f>
        <v>#REF!</v>
      </c>
      <c r="D162" t="e">
        <f>(VLOOKUP(Games!#REF!, Data!$B$2:$L$135, 3, FALSE)-VLOOKUP(Games!#REF!, Data!$B$2:$L$135, 3, FALSE))*Coefficients!$D$2</f>
        <v>#REF!</v>
      </c>
      <c r="E162" t="e">
        <f>(VLOOKUP(Games!#REF!, Data!$B$2:$L$135, 5, FALSE)-VLOOKUP(Games!#REF!, Data!$B$2:$L$135, 5, FALSE))*Coefficients!$E$2</f>
        <v>#REF!</v>
      </c>
      <c r="F162" t="e">
        <f>(VLOOKUP(Games!#REF!, Data!$B$2:$L$135, 6, FALSE)-VLOOKUP(Games!#REF!, Data!$B$2:$L$135, 6, FALSE))*Coefficients!$F$2</f>
        <v>#REF!</v>
      </c>
      <c r="G162" t="e">
        <f>(VLOOKUP(Games!#REF!, Data!$B$2:$L$135, 7, FALSE)-VLOOKUP(Games!#REF!, Data!$B$2:$L$135, 7, FALSE))*Coefficients!$G$2</f>
        <v>#REF!</v>
      </c>
      <c r="H162" t="e">
        <f>(VLOOKUP(Games!#REF!, Data!$B$2:$L$135, 8, FALSE)-VLOOKUP(Games!#REF!, Data!$B$2:$L$135, 8, FALSE))*Coefficients!$H$2</f>
        <v>#REF!</v>
      </c>
      <c r="I162" t="e">
        <f>(VLOOKUP(Games!#REF!, Data!$B$2:$L$135, 9, FALSE)-VLOOKUP(Games!#REF!, Data!$B$2:$L$135, 9, FALSE))*Coefficients!$I$2</f>
        <v>#REF!</v>
      </c>
      <c r="J162" t="e">
        <f>IF(ISBLANK(Data!K162), Games!#REF!-Games!#REF!,VLOOKUP(Games!#REF!, Data!$B$2:$L$135, 10, FALSE)-VLOOKUP(Games!#REF!, Data!$B$2:$L$135, 10, FALSE))*Coefficients!$J$2</f>
        <v>#REF!</v>
      </c>
      <c r="K162" t="e">
        <f>(IF(AND(VLOOKUP(Games!#REF!, Data!$B$2:$L$135, 11, FALSE)=1, VLOOKUP(Games!#REF!, Data!$B$2:$L$135, 11, FALSE)&lt;&gt;1), 1,0))*Coefficients!K$2</f>
        <v>#REF!</v>
      </c>
      <c r="L162" t="e">
        <f>(IF(AND(VLOOKUP(Games!#REF!, Data!$B$2:$L$135, 11, FALSE)&lt;&gt;1, VLOOKUP(Games!#REF!, Data!$B$2:$L$135, 11, FALSE)=1), 1,0))*Coefficients!L$2</f>
        <v>#REF!</v>
      </c>
      <c r="O162" t="e">
        <f t="shared" si="3"/>
        <v>#REF!</v>
      </c>
    </row>
    <row r="163">
      <c r="A163" t="n">
        <f>Coefficients!$A$2</f>
        <v>-3.7765953152866998</v>
      </c>
      <c r="B163" t="e">
        <f>(Games!#REF!)*(-1*Coefficients!$B$2)</f>
        <v>#REF!</v>
      </c>
      <c r="C163" t="e">
        <f>(VLOOKUP(Games!#REF!, Data!$B$2:$L$135, 4, FALSE)-VLOOKUP(Games!#REF!, Data!$B$2:$L$135, 4, FALSE))*Coefficients!$C$2</f>
        <v>#REF!</v>
      </c>
      <c r="D163" t="e">
        <f>(VLOOKUP(Games!#REF!, Data!$B$2:$L$135, 3, FALSE)-VLOOKUP(Games!#REF!, Data!$B$2:$L$135, 3, FALSE))*Coefficients!$D$2</f>
        <v>#REF!</v>
      </c>
      <c r="E163" t="e">
        <f>(VLOOKUP(Games!#REF!, Data!$B$2:$L$135, 5, FALSE)-VLOOKUP(Games!#REF!, Data!$B$2:$L$135, 5, FALSE))*Coefficients!$E$2</f>
        <v>#REF!</v>
      </c>
      <c r="F163" t="e">
        <f>(VLOOKUP(Games!#REF!, Data!$B$2:$L$135, 6, FALSE)-VLOOKUP(Games!#REF!, Data!$B$2:$L$135, 6, FALSE))*Coefficients!$F$2</f>
        <v>#REF!</v>
      </c>
      <c r="G163" t="e">
        <f>(VLOOKUP(Games!#REF!, Data!$B$2:$L$135, 7, FALSE)-VLOOKUP(Games!#REF!, Data!$B$2:$L$135, 7, FALSE))*Coefficients!$G$2</f>
        <v>#REF!</v>
      </c>
      <c r="H163" t="e">
        <f>(VLOOKUP(Games!#REF!, Data!$B$2:$L$135, 8, FALSE)-VLOOKUP(Games!#REF!, Data!$B$2:$L$135, 8, FALSE))*Coefficients!$H$2</f>
        <v>#REF!</v>
      </c>
      <c r="I163" t="e">
        <f>(VLOOKUP(Games!#REF!, Data!$B$2:$L$135, 9, FALSE)-VLOOKUP(Games!#REF!, Data!$B$2:$L$135, 9, FALSE))*Coefficients!$I$2</f>
        <v>#REF!</v>
      </c>
      <c r="J163" t="e">
        <f>IF(ISBLANK(Data!K163), Games!#REF!-Games!#REF!,VLOOKUP(Games!#REF!, Data!$B$2:$L$135, 10, FALSE)-VLOOKUP(Games!#REF!, Data!$B$2:$L$135, 10, FALSE))*Coefficients!$J$2</f>
        <v>#REF!</v>
      </c>
      <c r="K163" t="e">
        <f>(IF(AND(VLOOKUP(Games!#REF!, Data!$B$2:$L$135, 11, FALSE)=1, VLOOKUP(Games!#REF!, Data!$B$2:$L$135, 11, FALSE)&lt;&gt;1), 1,0))*Coefficients!K$2</f>
        <v>#REF!</v>
      </c>
      <c r="L163" t="e">
        <f>(IF(AND(VLOOKUP(Games!#REF!, Data!$B$2:$L$135, 11, FALSE)&lt;&gt;1, VLOOKUP(Games!#REF!, Data!$B$2:$L$135, 11, FALSE)=1), 1,0))*Coefficients!L$2</f>
        <v>#REF!</v>
      </c>
      <c r="O163" t="e">
        <f t="shared" si="3"/>
        <v>#REF!</v>
      </c>
    </row>
    <row r="164">
      <c r="A164" t="n">
        <f>Coefficients!$A$2</f>
        <v>-3.7765953152866998</v>
      </c>
      <c r="B164" t="e">
        <f>(Games!#REF!)*(-1*Coefficients!$B$2)</f>
        <v>#REF!</v>
      </c>
      <c r="C164" t="e">
        <f>(VLOOKUP(Games!#REF!, Data!$B$2:$L$135, 4, FALSE)-VLOOKUP(Games!#REF!, Data!$B$2:$L$135, 4, FALSE))*Coefficients!$C$2</f>
        <v>#REF!</v>
      </c>
      <c r="D164" t="e">
        <f>(VLOOKUP(Games!#REF!, Data!$B$2:$L$135, 3, FALSE)-VLOOKUP(Games!#REF!, Data!$B$2:$L$135, 3, FALSE))*Coefficients!$D$2</f>
        <v>#REF!</v>
      </c>
      <c r="E164" t="e">
        <f>(VLOOKUP(Games!#REF!, Data!$B$2:$L$135, 5, FALSE)-VLOOKUP(Games!#REF!, Data!$B$2:$L$135, 5, FALSE))*Coefficients!$E$2</f>
        <v>#REF!</v>
      </c>
      <c r="F164" t="e">
        <f>(VLOOKUP(Games!#REF!, Data!$B$2:$L$135, 6, FALSE)-VLOOKUP(Games!#REF!, Data!$B$2:$L$135, 6, FALSE))*Coefficients!$F$2</f>
        <v>#REF!</v>
      </c>
      <c r="G164" t="e">
        <f>(VLOOKUP(Games!#REF!, Data!$B$2:$L$135, 7, FALSE)-VLOOKUP(Games!#REF!, Data!$B$2:$L$135, 7, FALSE))*Coefficients!$G$2</f>
        <v>#REF!</v>
      </c>
      <c r="H164" t="e">
        <f>(VLOOKUP(Games!#REF!, Data!$B$2:$L$135, 8, FALSE)-VLOOKUP(Games!#REF!, Data!$B$2:$L$135, 8, FALSE))*Coefficients!$H$2</f>
        <v>#REF!</v>
      </c>
      <c r="I164" t="e">
        <f>(VLOOKUP(Games!#REF!, Data!$B$2:$L$135, 9, FALSE)-VLOOKUP(Games!#REF!, Data!$B$2:$L$135, 9, FALSE))*Coefficients!$I$2</f>
        <v>#REF!</v>
      </c>
      <c r="J164" t="e">
        <f>IF(ISBLANK(Data!K164), Games!#REF!-Games!#REF!,VLOOKUP(Games!#REF!, Data!$B$2:$L$135, 10, FALSE)-VLOOKUP(Games!#REF!, Data!$B$2:$L$135, 10, FALSE))*Coefficients!$J$2</f>
        <v>#REF!</v>
      </c>
      <c r="K164" t="e">
        <f>(IF(AND(VLOOKUP(Games!#REF!, Data!$B$2:$L$135, 11, FALSE)=1, VLOOKUP(Games!#REF!, Data!$B$2:$L$135, 11, FALSE)&lt;&gt;1), 1,0))*Coefficients!K$2</f>
        <v>#REF!</v>
      </c>
      <c r="L164" t="e">
        <f>(IF(AND(VLOOKUP(Games!#REF!, Data!$B$2:$L$135, 11, FALSE)&lt;&gt;1, VLOOKUP(Games!#REF!, Data!$B$2:$L$135, 11, FALSE)=1), 1,0))*Coefficients!L$2</f>
        <v>#REF!</v>
      </c>
      <c r="O164" t="e">
        <f t="shared" si="3"/>
        <v>#REF!</v>
      </c>
    </row>
    <row r="165">
      <c r="A165" t="n">
        <f>Coefficients!$A$2</f>
        <v>-3.7765953152866998</v>
      </c>
      <c r="B165" t="e">
        <f>(Games!#REF!)*(-1*Coefficients!$B$2)</f>
        <v>#REF!</v>
      </c>
      <c r="C165" t="e">
        <f>(VLOOKUP(Games!#REF!, Data!$B$2:$L$135, 4, FALSE)-VLOOKUP(Games!#REF!, Data!$B$2:$L$135, 4, FALSE))*Coefficients!$C$2</f>
        <v>#REF!</v>
      </c>
      <c r="D165" t="e">
        <f>(VLOOKUP(Games!#REF!, Data!$B$2:$L$135, 3, FALSE)-VLOOKUP(Games!#REF!, Data!$B$2:$L$135, 3, FALSE))*Coefficients!$D$2</f>
        <v>#REF!</v>
      </c>
      <c r="E165" t="e">
        <f>(VLOOKUP(Games!#REF!, Data!$B$2:$L$135, 5, FALSE)-VLOOKUP(Games!#REF!, Data!$B$2:$L$135, 5, FALSE))*Coefficients!$E$2</f>
        <v>#REF!</v>
      </c>
      <c r="F165" t="e">
        <f>(VLOOKUP(Games!#REF!, Data!$B$2:$L$135, 6, FALSE)-VLOOKUP(Games!#REF!, Data!$B$2:$L$135, 6, FALSE))*Coefficients!$F$2</f>
        <v>#REF!</v>
      </c>
      <c r="G165" t="e">
        <f>(VLOOKUP(Games!#REF!, Data!$B$2:$L$135, 7, FALSE)-VLOOKUP(Games!#REF!, Data!$B$2:$L$135, 7, FALSE))*Coefficients!$G$2</f>
        <v>#REF!</v>
      </c>
      <c r="H165" t="e">
        <f>(VLOOKUP(Games!#REF!, Data!$B$2:$L$135, 8, FALSE)-VLOOKUP(Games!#REF!, Data!$B$2:$L$135, 8, FALSE))*Coefficients!$H$2</f>
        <v>#REF!</v>
      </c>
      <c r="I165" t="e">
        <f>(VLOOKUP(Games!#REF!, Data!$B$2:$L$135, 9, FALSE)-VLOOKUP(Games!#REF!, Data!$B$2:$L$135, 9, FALSE))*Coefficients!$I$2</f>
        <v>#REF!</v>
      </c>
      <c r="J165" t="e">
        <f>IF(ISBLANK(Data!K165), Games!#REF!-Games!#REF!,VLOOKUP(Games!#REF!, Data!$B$2:$L$135, 10, FALSE)-VLOOKUP(Games!#REF!, Data!$B$2:$L$135, 10, FALSE))*Coefficients!$J$2</f>
        <v>#REF!</v>
      </c>
      <c r="K165" t="e">
        <f>(IF(AND(VLOOKUP(Games!#REF!, Data!$B$2:$L$135, 11, FALSE)=1, VLOOKUP(Games!#REF!, Data!$B$2:$L$135, 11, FALSE)&lt;&gt;1), 1,0))*Coefficients!K$2</f>
        <v>#REF!</v>
      </c>
      <c r="L165" t="e">
        <f>(IF(AND(VLOOKUP(Games!#REF!, Data!$B$2:$L$135, 11, FALSE)&lt;&gt;1, VLOOKUP(Games!#REF!, Data!$B$2:$L$135, 11, FALSE)=1), 1,0))*Coefficients!L$2</f>
        <v>#REF!</v>
      </c>
      <c r="O165" t="e">
        <f t="shared" si="3"/>
        <v>#REF!</v>
      </c>
    </row>
    <row r="166">
      <c r="A166" t="n">
        <f>Coefficients!$A$2</f>
        <v>-3.7765953152866998</v>
      </c>
      <c r="B166" t="e">
        <f>(Games!#REF!)*(-1*Coefficients!$B$2)</f>
        <v>#REF!</v>
      </c>
      <c r="C166" t="e">
        <f>(VLOOKUP(Games!#REF!, Data!$B$2:$L$135, 4, FALSE)-VLOOKUP(Games!#REF!, Data!$B$2:$L$135, 4, FALSE))*Coefficients!$C$2</f>
        <v>#REF!</v>
      </c>
      <c r="D166" t="e">
        <f>(VLOOKUP(Games!#REF!, Data!$B$2:$L$135, 3, FALSE)-VLOOKUP(Games!#REF!, Data!$B$2:$L$135, 3, FALSE))*Coefficients!$D$2</f>
        <v>#REF!</v>
      </c>
      <c r="E166" t="e">
        <f>(VLOOKUP(Games!#REF!, Data!$B$2:$L$135, 5, FALSE)-VLOOKUP(Games!#REF!, Data!$B$2:$L$135, 5, FALSE))*Coefficients!$E$2</f>
        <v>#REF!</v>
      </c>
      <c r="F166" t="e">
        <f>(VLOOKUP(Games!#REF!, Data!$B$2:$L$135, 6, FALSE)-VLOOKUP(Games!#REF!, Data!$B$2:$L$135, 6, FALSE))*Coefficients!$F$2</f>
        <v>#REF!</v>
      </c>
      <c r="G166" t="e">
        <f>(VLOOKUP(Games!#REF!, Data!$B$2:$L$135, 7, FALSE)-VLOOKUP(Games!#REF!, Data!$B$2:$L$135, 7, FALSE))*Coefficients!$G$2</f>
        <v>#REF!</v>
      </c>
      <c r="H166" t="e">
        <f>(VLOOKUP(Games!#REF!, Data!$B$2:$L$135, 8, FALSE)-VLOOKUP(Games!#REF!, Data!$B$2:$L$135, 8, FALSE))*Coefficients!$H$2</f>
        <v>#REF!</v>
      </c>
      <c r="I166" t="e">
        <f>(VLOOKUP(Games!#REF!, Data!$B$2:$L$135, 9, FALSE)-VLOOKUP(Games!#REF!, Data!$B$2:$L$135, 9, FALSE))*Coefficients!$I$2</f>
        <v>#REF!</v>
      </c>
      <c r="J166" t="e">
        <f>IF(ISBLANK(Data!K166), Games!#REF!-Games!#REF!,VLOOKUP(Games!#REF!, Data!$B$2:$L$135, 10, FALSE)-VLOOKUP(Games!#REF!, Data!$B$2:$L$135, 10, FALSE))*Coefficients!$J$2</f>
        <v>#REF!</v>
      </c>
      <c r="K166" t="e">
        <f>(IF(AND(VLOOKUP(Games!#REF!, Data!$B$2:$L$135, 11, FALSE)=1, VLOOKUP(Games!#REF!, Data!$B$2:$L$135, 11, FALSE)&lt;&gt;1), 1,0))*Coefficients!K$2</f>
        <v>#REF!</v>
      </c>
      <c r="L166" t="e">
        <f>(IF(AND(VLOOKUP(Games!#REF!, Data!$B$2:$L$135, 11, FALSE)&lt;&gt;1, VLOOKUP(Games!#REF!, Data!$B$2:$L$135, 11, FALSE)=1), 1,0))*Coefficients!L$2</f>
        <v>#REF!</v>
      </c>
      <c r="O166" t="e">
        <f t="shared" si="3"/>
        <v>#REF!</v>
      </c>
    </row>
    <row r="167">
      <c r="A167" t="n">
        <f>Coefficients!$A$2</f>
        <v>-3.7765953152866998</v>
      </c>
      <c r="B167" t="e">
        <f>(Games!#REF!)*(-1*Coefficients!$B$2)</f>
        <v>#REF!</v>
      </c>
      <c r="C167" t="e">
        <f>(VLOOKUP(Games!#REF!, Data!$B$2:$L$135, 4, FALSE)-VLOOKUP(Games!#REF!, Data!$B$2:$L$135, 4, FALSE))*Coefficients!$C$2</f>
        <v>#REF!</v>
      </c>
      <c r="D167" t="e">
        <f>(VLOOKUP(Games!#REF!, Data!$B$2:$L$135, 3, FALSE)-VLOOKUP(Games!#REF!, Data!$B$2:$L$135, 3, FALSE))*Coefficients!$D$2</f>
        <v>#REF!</v>
      </c>
      <c r="E167" t="e">
        <f>(VLOOKUP(Games!#REF!, Data!$B$2:$L$135, 5, FALSE)-VLOOKUP(Games!#REF!, Data!$B$2:$L$135, 5, FALSE))*Coefficients!$E$2</f>
        <v>#REF!</v>
      </c>
      <c r="F167" t="e">
        <f>(VLOOKUP(Games!#REF!, Data!$B$2:$L$135, 6, FALSE)-VLOOKUP(Games!#REF!, Data!$B$2:$L$135, 6, FALSE))*Coefficients!$F$2</f>
        <v>#REF!</v>
      </c>
      <c r="G167" t="e">
        <f>(VLOOKUP(Games!#REF!, Data!$B$2:$L$135, 7, FALSE)-VLOOKUP(Games!#REF!, Data!$B$2:$L$135, 7, FALSE))*Coefficients!$G$2</f>
        <v>#REF!</v>
      </c>
      <c r="H167" t="e">
        <f>(VLOOKUP(Games!#REF!, Data!$B$2:$L$135, 8, FALSE)-VLOOKUP(Games!#REF!, Data!$B$2:$L$135, 8, FALSE))*Coefficients!$H$2</f>
        <v>#REF!</v>
      </c>
      <c r="I167" t="e">
        <f>(VLOOKUP(Games!#REF!, Data!$B$2:$L$135, 9, FALSE)-VLOOKUP(Games!#REF!, Data!$B$2:$L$135, 9, FALSE))*Coefficients!$I$2</f>
        <v>#REF!</v>
      </c>
      <c r="J167" t="e">
        <f>IF(ISBLANK(Data!K167), Games!#REF!-Games!#REF!,VLOOKUP(Games!#REF!, Data!$B$2:$L$135, 10, FALSE)-VLOOKUP(Games!#REF!, Data!$B$2:$L$135, 10, FALSE))*Coefficients!$J$2</f>
        <v>#REF!</v>
      </c>
      <c r="K167" t="e">
        <f>(IF(AND(VLOOKUP(Games!#REF!, Data!$B$2:$L$135, 11, FALSE)=1, VLOOKUP(Games!#REF!, Data!$B$2:$L$135, 11, FALSE)&lt;&gt;1), 1,0))*Coefficients!K$2</f>
        <v>#REF!</v>
      </c>
      <c r="L167" t="e">
        <f>(IF(AND(VLOOKUP(Games!#REF!, Data!$B$2:$L$135, 11, FALSE)&lt;&gt;1, VLOOKUP(Games!#REF!, Data!$B$2:$L$135, 11, FALSE)=1), 1,0))*Coefficients!L$2</f>
        <v>#REF!</v>
      </c>
      <c r="O167" t="e">
        <f t="shared" si="3"/>
        <v>#REF!</v>
      </c>
    </row>
    <row r="168">
      <c r="A168" t="n">
        <f>Coefficients!$A$2</f>
        <v>-3.7765953152866998</v>
      </c>
      <c r="B168" t="e">
        <f>(Games!#REF!)*(-1*Coefficients!$B$2)</f>
        <v>#REF!</v>
      </c>
      <c r="C168" t="e">
        <f>(VLOOKUP(Games!#REF!, Data!$B$2:$L$135, 4, FALSE)-VLOOKUP(Games!#REF!, Data!$B$2:$L$135, 4, FALSE))*Coefficients!$C$2</f>
        <v>#REF!</v>
      </c>
      <c r="D168" t="e">
        <f>(VLOOKUP(Games!#REF!, Data!$B$2:$L$135, 3, FALSE)-VLOOKUP(Games!#REF!, Data!$B$2:$L$135, 3, FALSE))*Coefficients!$D$2</f>
        <v>#REF!</v>
      </c>
      <c r="E168" t="e">
        <f>(VLOOKUP(Games!#REF!, Data!$B$2:$L$135, 5, FALSE)-VLOOKUP(Games!#REF!, Data!$B$2:$L$135, 5, FALSE))*Coefficients!$E$2</f>
        <v>#REF!</v>
      </c>
      <c r="F168" t="e">
        <f>(VLOOKUP(Games!#REF!, Data!$B$2:$L$135, 6, FALSE)-VLOOKUP(Games!#REF!, Data!$B$2:$L$135, 6, FALSE))*Coefficients!$F$2</f>
        <v>#REF!</v>
      </c>
      <c r="G168" t="e">
        <f>(VLOOKUP(Games!#REF!, Data!$B$2:$L$135, 7, FALSE)-VLOOKUP(Games!#REF!, Data!$B$2:$L$135, 7, FALSE))*Coefficients!$G$2</f>
        <v>#REF!</v>
      </c>
      <c r="H168" t="e">
        <f>(VLOOKUP(Games!#REF!, Data!$B$2:$L$135, 8, FALSE)-VLOOKUP(Games!#REF!, Data!$B$2:$L$135, 8, FALSE))*Coefficients!$H$2</f>
        <v>#REF!</v>
      </c>
      <c r="I168" t="e">
        <f>(VLOOKUP(Games!#REF!, Data!$B$2:$L$135, 9, FALSE)-VLOOKUP(Games!#REF!, Data!$B$2:$L$135, 9, FALSE))*Coefficients!$I$2</f>
        <v>#REF!</v>
      </c>
      <c r="J168" t="e">
        <f>IF(ISBLANK(Data!K168), Games!#REF!-Games!#REF!,VLOOKUP(Games!#REF!, Data!$B$2:$L$135, 10, FALSE)-VLOOKUP(Games!#REF!, Data!$B$2:$L$135, 10, FALSE))*Coefficients!$J$2</f>
        <v>#REF!</v>
      </c>
      <c r="K168" t="e">
        <f>(IF(AND(VLOOKUP(Games!#REF!, Data!$B$2:$L$135, 11, FALSE)=1, VLOOKUP(Games!#REF!, Data!$B$2:$L$135, 11, FALSE)&lt;&gt;1), 1,0))*Coefficients!K$2</f>
        <v>#REF!</v>
      </c>
      <c r="L168" t="e">
        <f>(IF(AND(VLOOKUP(Games!#REF!, Data!$B$2:$L$135, 11, FALSE)&lt;&gt;1, VLOOKUP(Games!#REF!, Data!$B$2:$L$135, 11, FALSE)=1), 1,0))*Coefficients!L$2</f>
        <v>#REF!</v>
      </c>
      <c r="O168" t="e">
        <f t="shared" si="3"/>
        <v>#REF!</v>
      </c>
    </row>
    <row r="169">
      <c r="A169" t="n">
        <f>Coefficients!$A$2</f>
        <v>-3.7765953152866998</v>
      </c>
      <c r="B169" t="e">
        <f>(Games!#REF!)*(-1*Coefficients!$B$2)</f>
        <v>#REF!</v>
      </c>
      <c r="C169" t="e">
        <f>(VLOOKUP(Games!#REF!, Data!$B$2:$L$135, 4, FALSE)-VLOOKUP(Games!#REF!, Data!$B$2:$L$135, 4, FALSE))*Coefficients!$C$2</f>
        <v>#REF!</v>
      </c>
      <c r="D169" t="e">
        <f>(VLOOKUP(Games!#REF!, Data!$B$2:$L$135, 3, FALSE)-VLOOKUP(Games!#REF!, Data!$B$2:$L$135, 3, FALSE))*Coefficients!$D$2</f>
        <v>#REF!</v>
      </c>
      <c r="E169" t="e">
        <f>(VLOOKUP(Games!#REF!, Data!$B$2:$L$135, 5, FALSE)-VLOOKUP(Games!#REF!, Data!$B$2:$L$135, 5, FALSE))*Coefficients!$E$2</f>
        <v>#REF!</v>
      </c>
      <c r="F169" t="e">
        <f>(VLOOKUP(Games!#REF!, Data!$B$2:$L$135, 6, FALSE)-VLOOKUP(Games!#REF!, Data!$B$2:$L$135, 6, FALSE))*Coefficients!$F$2</f>
        <v>#REF!</v>
      </c>
      <c r="G169" t="e">
        <f>(VLOOKUP(Games!#REF!, Data!$B$2:$L$135, 7, FALSE)-VLOOKUP(Games!#REF!, Data!$B$2:$L$135, 7, FALSE))*Coefficients!$G$2</f>
        <v>#REF!</v>
      </c>
      <c r="H169" t="e">
        <f>(VLOOKUP(Games!#REF!, Data!$B$2:$L$135, 8, FALSE)-VLOOKUP(Games!#REF!, Data!$B$2:$L$135, 8, FALSE))*Coefficients!$H$2</f>
        <v>#REF!</v>
      </c>
      <c r="I169" t="e">
        <f>(VLOOKUP(Games!#REF!, Data!$B$2:$L$135, 9, FALSE)-VLOOKUP(Games!#REF!, Data!$B$2:$L$135, 9, FALSE))*Coefficients!$I$2</f>
        <v>#REF!</v>
      </c>
      <c r="J169" t="e">
        <f>IF(ISBLANK(Data!K169), Games!#REF!-Games!#REF!,VLOOKUP(Games!#REF!, Data!$B$2:$L$135, 10, FALSE)-VLOOKUP(Games!#REF!, Data!$B$2:$L$135, 10, FALSE))*Coefficients!$J$2</f>
        <v>#REF!</v>
      </c>
      <c r="K169" t="e">
        <f>(IF(AND(VLOOKUP(Games!#REF!, Data!$B$2:$L$135, 11, FALSE)=1, VLOOKUP(Games!#REF!, Data!$B$2:$L$135, 11, FALSE)&lt;&gt;1), 1,0))*Coefficients!K$2</f>
        <v>#REF!</v>
      </c>
      <c r="L169" t="e">
        <f>(IF(AND(VLOOKUP(Games!#REF!, Data!$B$2:$L$135, 11, FALSE)&lt;&gt;1, VLOOKUP(Games!#REF!, Data!$B$2:$L$135, 11, FALSE)=1), 1,0))*Coefficients!L$2</f>
        <v>#REF!</v>
      </c>
      <c r="O169" t="e">
        <f t="shared" si="3"/>
        <v>#REF!</v>
      </c>
    </row>
    <row r="170">
      <c r="A170" t="n">
        <f>Coefficients!$A$2</f>
        <v>-3.7765953152866998</v>
      </c>
      <c r="B170" t="e">
        <f>(Games!#REF!)*(-1*Coefficients!$B$2)</f>
        <v>#REF!</v>
      </c>
      <c r="C170" t="e">
        <f>(VLOOKUP(Games!#REF!, Data!$B$2:$L$135, 4, FALSE)-VLOOKUP(Games!#REF!, Data!$B$2:$L$135, 4, FALSE))*Coefficients!$C$2</f>
        <v>#REF!</v>
      </c>
      <c r="D170" t="e">
        <f>(VLOOKUP(Games!#REF!, Data!$B$2:$L$135, 3, FALSE)-VLOOKUP(Games!#REF!, Data!$B$2:$L$135, 3, FALSE))*Coefficients!$D$2</f>
        <v>#REF!</v>
      </c>
      <c r="E170" t="e">
        <f>(VLOOKUP(Games!#REF!, Data!$B$2:$L$135, 5, FALSE)-VLOOKUP(Games!#REF!, Data!$B$2:$L$135, 5, FALSE))*Coefficients!$E$2</f>
        <v>#REF!</v>
      </c>
      <c r="F170" t="e">
        <f>(VLOOKUP(Games!#REF!, Data!$B$2:$L$135, 6, FALSE)-VLOOKUP(Games!#REF!, Data!$B$2:$L$135, 6, FALSE))*Coefficients!$F$2</f>
        <v>#REF!</v>
      </c>
      <c r="G170" t="e">
        <f>(VLOOKUP(Games!#REF!, Data!$B$2:$L$135, 7, FALSE)-VLOOKUP(Games!#REF!, Data!$B$2:$L$135, 7, FALSE))*Coefficients!$G$2</f>
        <v>#REF!</v>
      </c>
      <c r="H170" t="e">
        <f>(VLOOKUP(Games!#REF!, Data!$B$2:$L$135, 8, FALSE)-VLOOKUP(Games!#REF!, Data!$B$2:$L$135, 8, FALSE))*Coefficients!$H$2</f>
        <v>#REF!</v>
      </c>
      <c r="I170" t="e">
        <f>(VLOOKUP(Games!#REF!, Data!$B$2:$L$135, 9, FALSE)-VLOOKUP(Games!#REF!, Data!$B$2:$L$135, 9, FALSE))*Coefficients!$I$2</f>
        <v>#REF!</v>
      </c>
      <c r="J170" t="e">
        <f>IF(ISBLANK(Data!K170), Games!#REF!-Games!#REF!,VLOOKUP(Games!#REF!, Data!$B$2:$L$135, 10, FALSE)-VLOOKUP(Games!#REF!, Data!$B$2:$L$135, 10, FALSE))*Coefficients!$J$2</f>
        <v>#REF!</v>
      </c>
      <c r="K170" t="e">
        <f>(IF(AND(VLOOKUP(Games!#REF!, Data!$B$2:$L$135, 11, FALSE)=1, VLOOKUP(Games!#REF!, Data!$B$2:$L$135, 11, FALSE)&lt;&gt;1), 1,0))*Coefficients!K$2</f>
        <v>#REF!</v>
      </c>
      <c r="L170" t="e">
        <f>(IF(AND(VLOOKUP(Games!#REF!, Data!$B$2:$L$135, 11, FALSE)&lt;&gt;1, VLOOKUP(Games!#REF!, Data!$B$2:$L$135, 11, FALSE)=1), 1,0))*Coefficients!L$2</f>
        <v>#REF!</v>
      </c>
      <c r="O170" t="e">
        <f t="shared" si="3"/>
        <v>#REF!</v>
      </c>
    </row>
    <row r="171">
      <c r="A171" t="n">
        <f>Coefficients!$A$2</f>
        <v>-3.7765953152866998</v>
      </c>
      <c r="B171" t="e">
        <f>(Games!#REF!)*(-1*Coefficients!$B$2)</f>
        <v>#REF!</v>
      </c>
      <c r="C171" t="e">
        <f>(VLOOKUP(Games!#REF!, Data!$B$2:$L$135, 4, FALSE)-VLOOKUP(Games!#REF!, Data!$B$2:$L$135, 4, FALSE))*Coefficients!$C$2</f>
        <v>#REF!</v>
      </c>
      <c r="D171" t="e">
        <f>(VLOOKUP(Games!#REF!, Data!$B$2:$L$135, 3, FALSE)-VLOOKUP(Games!#REF!, Data!$B$2:$L$135, 3, FALSE))*Coefficients!$D$2</f>
        <v>#REF!</v>
      </c>
      <c r="E171" t="e">
        <f>(VLOOKUP(Games!#REF!, Data!$B$2:$L$135, 5, FALSE)-VLOOKUP(Games!#REF!, Data!$B$2:$L$135, 5, FALSE))*Coefficients!$E$2</f>
        <v>#REF!</v>
      </c>
      <c r="F171" t="e">
        <f>(VLOOKUP(Games!#REF!, Data!$B$2:$L$135, 6, FALSE)-VLOOKUP(Games!#REF!, Data!$B$2:$L$135, 6, FALSE))*Coefficients!$F$2</f>
        <v>#REF!</v>
      </c>
      <c r="G171" t="e">
        <f>(VLOOKUP(Games!#REF!, Data!$B$2:$L$135, 7, FALSE)-VLOOKUP(Games!#REF!, Data!$B$2:$L$135, 7, FALSE))*Coefficients!$G$2</f>
        <v>#REF!</v>
      </c>
      <c r="H171" t="e">
        <f>(VLOOKUP(Games!#REF!, Data!$B$2:$L$135, 8, FALSE)-VLOOKUP(Games!#REF!, Data!$B$2:$L$135, 8, FALSE))*Coefficients!$H$2</f>
        <v>#REF!</v>
      </c>
      <c r="I171" t="e">
        <f>(VLOOKUP(Games!#REF!, Data!$B$2:$L$135, 9, FALSE)-VLOOKUP(Games!#REF!, Data!$B$2:$L$135, 9, FALSE))*Coefficients!$I$2</f>
        <v>#REF!</v>
      </c>
      <c r="J171" t="e">
        <f>IF(ISBLANK(Data!K171), Games!#REF!-Games!#REF!,VLOOKUP(Games!#REF!, Data!$B$2:$L$135, 10, FALSE)-VLOOKUP(Games!#REF!, Data!$B$2:$L$135, 10, FALSE))*Coefficients!$J$2</f>
        <v>#REF!</v>
      </c>
      <c r="K171" t="e">
        <f>(IF(AND(VLOOKUP(Games!#REF!, Data!$B$2:$L$135, 11, FALSE)=1, VLOOKUP(Games!#REF!, Data!$B$2:$L$135, 11, FALSE)&lt;&gt;1), 1,0))*Coefficients!K$2</f>
        <v>#REF!</v>
      </c>
      <c r="L171" t="e">
        <f>(IF(AND(VLOOKUP(Games!#REF!, Data!$B$2:$L$135, 11, FALSE)&lt;&gt;1, VLOOKUP(Games!#REF!, Data!$B$2:$L$135, 11, FALSE)=1), 1,0))*Coefficients!L$2</f>
        <v>#REF!</v>
      </c>
      <c r="O171" t="e">
        <f t="shared" si="3"/>
        <v>#REF!</v>
      </c>
    </row>
    <row r="172">
      <c r="A172" t="n">
        <f>Coefficients!$A$2</f>
        <v>-3.7765953152866998</v>
      </c>
      <c r="B172" t="e">
        <f>(Games!#REF!)*(-1*Coefficients!$B$2)</f>
        <v>#REF!</v>
      </c>
      <c r="C172" t="e">
        <f>(VLOOKUP(Games!#REF!, Data!$B$2:$L$135, 4, FALSE)-VLOOKUP(Games!#REF!, Data!$B$2:$L$135, 4, FALSE))*Coefficients!$C$2</f>
        <v>#REF!</v>
      </c>
      <c r="D172" t="e">
        <f>(VLOOKUP(Games!#REF!, Data!$B$2:$L$135, 3, FALSE)-VLOOKUP(Games!#REF!, Data!$B$2:$L$135, 3, FALSE))*Coefficients!$D$2</f>
        <v>#REF!</v>
      </c>
      <c r="E172" t="e">
        <f>(VLOOKUP(Games!#REF!, Data!$B$2:$L$135, 5, FALSE)-VLOOKUP(Games!#REF!, Data!$B$2:$L$135, 5, FALSE))*Coefficients!$E$2</f>
        <v>#REF!</v>
      </c>
      <c r="F172" t="e">
        <f>(VLOOKUP(Games!#REF!, Data!$B$2:$L$135, 6, FALSE)-VLOOKUP(Games!#REF!, Data!$B$2:$L$135, 6, FALSE))*Coefficients!$F$2</f>
        <v>#REF!</v>
      </c>
      <c r="G172" t="e">
        <f>(VLOOKUP(Games!#REF!, Data!$B$2:$L$135, 7, FALSE)-VLOOKUP(Games!#REF!, Data!$B$2:$L$135, 7, FALSE))*Coefficients!$G$2</f>
        <v>#REF!</v>
      </c>
      <c r="H172" t="e">
        <f>(VLOOKUP(Games!#REF!, Data!$B$2:$L$135, 8, FALSE)-VLOOKUP(Games!#REF!, Data!$B$2:$L$135, 8, FALSE))*Coefficients!$H$2</f>
        <v>#REF!</v>
      </c>
      <c r="I172" t="e">
        <f>(VLOOKUP(Games!#REF!, Data!$B$2:$L$135, 9, FALSE)-VLOOKUP(Games!#REF!, Data!$B$2:$L$135, 9, FALSE))*Coefficients!$I$2</f>
        <v>#REF!</v>
      </c>
      <c r="J172" t="e">
        <f>IF(ISBLANK(Data!K172), Games!#REF!-Games!#REF!,VLOOKUP(Games!#REF!, Data!$B$2:$L$135, 10, FALSE)-VLOOKUP(Games!#REF!, Data!$B$2:$L$135, 10, FALSE))*Coefficients!$J$2</f>
        <v>#REF!</v>
      </c>
      <c r="K172" t="e">
        <f>(IF(AND(VLOOKUP(Games!#REF!, Data!$B$2:$L$135, 11, FALSE)=1, VLOOKUP(Games!#REF!, Data!$B$2:$L$135, 11, FALSE)&lt;&gt;1), 1,0))*Coefficients!K$2</f>
        <v>#REF!</v>
      </c>
      <c r="L172" t="e">
        <f>(IF(AND(VLOOKUP(Games!#REF!, Data!$B$2:$L$135, 11, FALSE)&lt;&gt;1, VLOOKUP(Games!#REF!, Data!$B$2:$L$135, 11, FALSE)=1), 1,0))*Coefficients!L$2</f>
        <v>#REF!</v>
      </c>
      <c r="O172" t="e">
        <f t="shared" si="3"/>
        <v>#REF!</v>
      </c>
    </row>
    <row r="173">
      <c r="A173" t="n">
        <f>Coefficients!$A$2</f>
        <v>-3.7765953152866998</v>
      </c>
      <c r="B173" t="e">
        <f>(Games!#REF!)*(-1*Coefficients!$B$2)</f>
        <v>#REF!</v>
      </c>
      <c r="C173" t="e">
        <f>(VLOOKUP(Games!#REF!, Data!$B$2:$L$135, 4, FALSE)-VLOOKUP(Games!#REF!, Data!$B$2:$L$135, 4, FALSE))*Coefficients!$C$2</f>
        <v>#REF!</v>
      </c>
      <c r="D173" t="e">
        <f>(VLOOKUP(Games!#REF!, Data!$B$2:$L$135, 3, FALSE)-VLOOKUP(Games!#REF!, Data!$B$2:$L$135, 3, FALSE))*Coefficients!$D$2</f>
        <v>#REF!</v>
      </c>
      <c r="E173" t="e">
        <f>(VLOOKUP(Games!#REF!, Data!$B$2:$L$135, 5, FALSE)-VLOOKUP(Games!#REF!, Data!$B$2:$L$135, 5, FALSE))*Coefficients!$E$2</f>
        <v>#REF!</v>
      </c>
      <c r="F173" t="e">
        <f>(VLOOKUP(Games!#REF!, Data!$B$2:$L$135, 6, FALSE)-VLOOKUP(Games!#REF!, Data!$B$2:$L$135, 6, FALSE))*Coefficients!$F$2</f>
        <v>#REF!</v>
      </c>
      <c r="G173" t="e">
        <f>(VLOOKUP(Games!#REF!, Data!$B$2:$L$135, 7, FALSE)-VLOOKUP(Games!#REF!, Data!$B$2:$L$135, 7, FALSE))*Coefficients!$G$2</f>
        <v>#REF!</v>
      </c>
      <c r="H173" t="e">
        <f>(VLOOKUP(Games!#REF!, Data!$B$2:$L$135, 8, FALSE)-VLOOKUP(Games!#REF!, Data!$B$2:$L$135, 8, FALSE))*Coefficients!$H$2</f>
        <v>#REF!</v>
      </c>
      <c r="I173" t="e">
        <f>(VLOOKUP(Games!#REF!, Data!$B$2:$L$135, 9, FALSE)-VLOOKUP(Games!#REF!, Data!$B$2:$L$135, 9, FALSE))*Coefficients!$I$2</f>
        <v>#REF!</v>
      </c>
      <c r="J173" t="e">
        <f>IF(ISBLANK(Data!K173), Games!#REF!-Games!#REF!,VLOOKUP(Games!#REF!, Data!$B$2:$L$135, 10, FALSE)-VLOOKUP(Games!#REF!, Data!$B$2:$L$135, 10, FALSE))*Coefficients!$J$2</f>
        <v>#REF!</v>
      </c>
      <c r="K173" t="e">
        <f>(IF(AND(VLOOKUP(Games!#REF!, Data!$B$2:$L$135, 11, FALSE)=1, VLOOKUP(Games!#REF!, Data!$B$2:$L$135, 11, FALSE)&lt;&gt;1), 1,0))*Coefficients!K$2</f>
        <v>#REF!</v>
      </c>
      <c r="L173" t="e">
        <f>(IF(AND(VLOOKUP(Games!#REF!, Data!$B$2:$L$135, 11, FALSE)&lt;&gt;1, VLOOKUP(Games!#REF!, Data!$B$2:$L$135, 11, FALSE)=1), 1,0))*Coefficients!L$2</f>
        <v>#REF!</v>
      </c>
      <c r="O173" t="e">
        <f t="shared" si="3"/>
        <v>#REF!</v>
      </c>
    </row>
    <row r="174">
      <c r="A174" t="n">
        <f>Coefficients!$A$2</f>
        <v>-3.7765953152866998</v>
      </c>
      <c r="B174" t="e">
        <f>(Games!#REF!)*(-1*Coefficients!$B$2)</f>
        <v>#REF!</v>
      </c>
      <c r="C174" t="e">
        <f>(VLOOKUP(Games!#REF!, Data!$B$2:$L$135, 4, FALSE)-VLOOKUP(Games!#REF!, Data!$B$2:$L$135, 4, FALSE))*Coefficients!$C$2</f>
        <v>#REF!</v>
      </c>
      <c r="D174" t="e">
        <f>(VLOOKUP(Games!#REF!, Data!$B$2:$L$135, 3, FALSE)-VLOOKUP(Games!#REF!, Data!$B$2:$L$135, 3, FALSE))*Coefficients!$D$2</f>
        <v>#REF!</v>
      </c>
      <c r="E174" t="e">
        <f>(VLOOKUP(Games!#REF!, Data!$B$2:$L$135, 5, FALSE)-VLOOKUP(Games!#REF!, Data!$B$2:$L$135, 5, FALSE))*Coefficients!$E$2</f>
        <v>#REF!</v>
      </c>
      <c r="F174" t="e">
        <f>(VLOOKUP(Games!#REF!, Data!$B$2:$L$135, 6, FALSE)-VLOOKUP(Games!#REF!, Data!$B$2:$L$135, 6, FALSE))*Coefficients!$F$2</f>
        <v>#REF!</v>
      </c>
      <c r="G174" t="e">
        <f>(VLOOKUP(Games!#REF!, Data!$B$2:$L$135, 7, FALSE)-VLOOKUP(Games!#REF!, Data!$B$2:$L$135, 7, FALSE))*Coefficients!$G$2</f>
        <v>#REF!</v>
      </c>
      <c r="H174" t="e">
        <f>(VLOOKUP(Games!#REF!, Data!$B$2:$L$135, 8, FALSE)-VLOOKUP(Games!#REF!, Data!$B$2:$L$135, 8, FALSE))*Coefficients!$H$2</f>
        <v>#REF!</v>
      </c>
      <c r="I174" t="e">
        <f>(VLOOKUP(Games!#REF!, Data!$B$2:$L$135, 9, FALSE)-VLOOKUP(Games!#REF!, Data!$B$2:$L$135, 9, FALSE))*Coefficients!$I$2</f>
        <v>#REF!</v>
      </c>
      <c r="J174" t="e">
        <f>IF(ISBLANK(Data!K174), Games!#REF!-Games!#REF!,VLOOKUP(Games!#REF!, Data!$B$2:$L$135, 10, FALSE)-VLOOKUP(Games!#REF!, Data!$B$2:$L$135, 10, FALSE))*Coefficients!$J$2</f>
        <v>#REF!</v>
      </c>
      <c r="K174" t="e">
        <f>(IF(AND(VLOOKUP(Games!#REF!, Data!$B$2:$L$135, 11, FALSE)=1, VLOOKUP(Games!#REF!, Data!$B$2:$L$135, 11, FALSE)&lt;&gt;1), 1,0))*Coefficients!K$2</f>
        <v>#REF!</v>
      </c>
      <c r="L174" t="e">
        <f>(IF(AND(VLOOKUP(Games!#REF!, Data!$B$2:$L$135, 11, FALSE)&lt;&gt;1, VLOOKUP(Games!#REF!, Data!$B$2:$L$135, 11, FALSE)=1), 1,0))*Coefficients!L$2</f>
        <v>#REF!</v>
      </c>
      <c r="O174" t="e">
        <f t="shared" si="3"/>
        <v>#REF!</v>
      </c>
    </row>
    <row r="175">
      <c r="A175" t="n">
        <f>Coefficients!$A$2</f>
        <v>-3.7765953152866998</v>
      </c>
      <c r="B175" t="e">
        <f>(Games!#REF!)*(-1*Coefficients!$B$2)</f>
        <v>#REF!</v>
      </c>
      <c r="C175" t="e">
        <f>(VLOOKUP(Games!#REF!, Data!$B$2:$L$135, 4, FALSE)-VLOOKUP(Games!#REF!, Data!$B$2:$L$135, 4, FALSE))*Coefficients!$C$2</f>
        <v>#REF!</v>
      </c>
      <c r="D175" t="e">
        <f>(VLOOKUP(Games!#REF!, Data!$B$2:$L$135, 3, FALSE)-VLOOKUP(Games!#REF!, Data!$B$2:$L$135, 3, FALSE))*Coefficients!$D$2</f>
        <v>#REF!</v>
      </c>
      <c r="E175" t="e">
        <f>(VLOOKUP(Games!#REF!, Data!$B$2:$L$135, 5, FALSE)-VLOOKUP(Games!#REF!, Data!$B$2:$L$135, 5, FALSE))*Coefficients!$E$2</f>
        <v>#REF!</v>
      </c>
      <c r="F175" t="e">
        <f>(VLOOKUP(Games!#REF!, Data!$B$2:$L$135, 6, FALSE)-VLOOKUP(Games!#REF!, Data!$B$2:$L$135, 6, FALSE))*Coefficients!$F$2</f>
        <v>#REF!</v>
      </c>
      <c r="G175" t="e">
        <f>(VLOOKUP(Games!#REF!, Data!$B$2:$L$135, 7, FALSE)-VLOOKUP(Games!#REF!, Data!$B$2:$L$135, 7, FALSE))*Coefficients!$G$2</f>
        <v>#REF!</v>
      </c>
      <c r="H175" t="e">
        <f>(VLOOKUP(Games!#REF!, Data!$B$2:$L$135, 8, FALSE)-VLOOKUP(Games!#REF!, Data!$B$2:$L$135, 8, FALSE))*Coefficients!$H$2</f>
        <v>#REF!</v>
      </c>
      <c r="I175" t="e">
        <f>(VLOOKUP(Games!#REF!, Data!$B$2:$L$135, 9, FALSE)-VLOOKUP(Games!#REF!, Data!$B$2:$L$135, 9, FALSE))*Coefficients!$I$2</f>
        <v>#REF!</v>
      </c>
      <c r="J175" t="e">
        <f>IF(ISBLANK(Data!K175), Games!#REF!-Games!#REF!,VLOOKUP(Games!#REF!, Data!$B$2:$L$135, 10, FALSE)-VLOOKUP(Games!#REF!, Data!$B$2:$L$135, 10, FALSE))*Coefficients!$J$2</f>
        <v>#REF!</v>
      </c>
      <c r="K175" t="e">
        <f>(IF(AND(VLOOKUP(Games!#REF!, Data!$B$2:$L$135, 11, FALSE)=1, VLOOKUP(Games!#REF!, Data!$B$2:$L$135, 11, FALSE)&lt;&gt;1), 1,0))*Coefficients!K$2</f>
        <v>#REF!</v>
      </c>
      <c r="L175" t="e">
        <f>(IF(AND(VLOOKUP(Games!#REF!, Data!$B$2:$L$135, 11, FALSE)&lt;&gt;1, VLOOKUP(Games!#REF!, Data!$B$2:$L$135, 11, FALSE)=1), 1,0))*Coefficients!L$2</f>
        <v>#REF!</v>
      </c>
      <c r="O175" t="e">
        <f t="shared" si="3"/>
        <v>#REF!</v>
      </c>
    </row>
    <row r="176">
      <c r="A176" t="n">
        <f>Coefficients!$A$2</f>
        <v>-3.7765953152866998</v>
      </c>
      <c r="B176" t="e">
        <f>(Games!#REF!)*(-1*Coefficients!$B$2)</f>
        <v>#REF!</v>
      </c>
      <c r="C176" t="e">
        <f>(VLOOKUP(Games!#REF!, Data!$B$2:$L$135, 4, FALSE)-VLOOKUP(Games!#REF!, Data!$B$2:$L$135, 4, FALSE))*Coefficients!$C$2</f>
        <v>#REF!</v>
      </c>
      <c r="D176" t="e">
        <f>(VLOOKUP(Games!#REF!, Data!$B$2:$L$135, 3, FALSE)-VLOOKUP(Games!#REF!, Data!$B$2:$L$135, 3, FALSE))*Coefficients!$D$2</f>
        <v>#REF!</v>
      </c>
      <c r="E176" t="e">
        <f>(VLOOKUP(Games!#REF!, Data!$B$2:$L$135, 5, FALSE)-VLOOKUP(Games!#REF!, Data!$B$2:$L$135, 5, FALSE))*Coefficients!$E$2</f>
        <v>#REF!</v>
      </c>
      <c r="F176" t="e">
        <f>(VLOOKUP(Games!#REF!, Data!$B$2:$L$135, 6, FALSE)-VLOOKUP(Games!#REF!, Data!$B$2:$L$135, 6, FALSE))*Coefficients!$F$2</f>
        <v>#REF!</v>
      </c>
      <c r="G176" t="e">
        <f>(VLOOKUP(Games!#REF!, Data!$B$2:$L$135, 7, FALSE)-VLOOKUP(Games!#REF!, Data!$B$2:$L$135, 7, FALSE))*Coefficients!$G$2</f>
        <v>#REF!</v>
      </c>
      <c r="H176" t="e">
        <f>(VLOOKUP(Games!#REF!, Data!$B$2:$L$135, 8, FALSE)-VLOOKUP(Games!#REF!, Data!$B$2:$L$135, 8, FALSE))*Coefficients!$H$2</f>
        <v>#REF!</v>
      </c>
      <c r="I176" t="e">
        <f>(VLOOKUP(Games!#REF!, Data!$B$2:$L$135, 9, FALSE)-VLOOKUP(Games!#REF!, Data!$B$2:$L$135, 9, FALSE))*Coefficients!$I$2</f>
        <v>#REF!</v>
      </c>
      <c r="J176" t="e">
        <f>IF(ISBLANK(Data!K176), Games!#REF!-Games!#REF!,VLOOKUP(Games!#REF!, Data!$B$2:$L$135, 10, FALSE)-VLOOKUP(Games!#REF!, Data!$B$2:$L$135, 10, FALSE))*Coefficients!$J$2</f>
        <v>#REF!</v>
      </c>
      <c r="K176" t="e">
        <f>(IF(AND(VLOOKUP(Games!#REF!, Data!$B$2:$L$135, 11, FALSE)=1, VLOOKUP(Games!#REF!, Data!$B$2:$L$135, 11, FALSE)&lt;&gt;1), 1,0))*Coefficients!K$2</f>
        <v>#REF!</v>
      </c>
      <c r="L176" t="e">
        <f>(IF(AND(VLOOKUP(Games!#REF!, Data!$B$2:$L$135, 11, FALSE)&lt;&gt;1, VLOOKUP(Games!#REF!, Data!$B$2:$L$135, 11, FALSE)=1), 1,0))*Coefficients!L$2</f>
        <v>#REF!</v>
      </c>
      <c r="O176" t="e">
        <f t="shared" si="3"/>
        <v>#REF!</v>
      </c>
    </row>
    <row r="177">
      <c r="A177" t="n">
        <f>Coefficients!$A$2</f>
        <v>-3.7765953152866998</v>
      </c>
      <c r="B177" t="e">
        <f>(Games!#REF!)*(-1*Coefficients!$B$2)</f>
        <v>#REF!</v>
      </c>
      <c r="C177" t="e">
        <f>(VLOOKUP(Games!#REF!, Data!$B$2:$L$135, 4, FALSE)-VLOOKUP(Games!#REF!, Data!$B$2:$L$135, 4, FALSE))*Coefficients!$C$2</f>
        <v>#REF!</v>
      </c>
      <c r="D177" t="e">
        <f>(VLOOKUP(Games!#REF!, Data!$B$2:$L$135, 3, FALSE)-VLOOKUP(Games!#REF!, Data!$B$2:$L$135, 3, FALSE))*Coefficients!$D$2</f>
        <v>#REF!</v>
      </c>
      <c r="E177" t="e">
        <f>(VLOOKUP(Games!#REF!, Data!$B$2:$L$135, 5, FALSE)-VLOOKUP(Games!#REF!, Data!$B$2:$L$135, 5, FALSE))*Coefficients!$E$2</f>
        <v>#REF!</v>
      </c>
      <c r="F177" t="e">
        <f>(VLOOKUP(Games!#REF!, Data!$B$2:$L$135, 6, FALSE)-VLOOKUP(Games!#REF!, Data!$B$2:$L$135, 6, FALSE))*Coefficients!$F$2</f>
        <v>#REF!</v>
      </c>
      <c r="G177" t="e">
        <f>(VLOOKUP(Games!#REF!, Data!$B$2:$L$135, 7, FALSE)-VLOOKUP(Games!#REF!, Data!$B$2:$L$135, 7, FALSE))*Coefficients!$G$2</f>
        <v>#REF!</v>
      </c>
      <c r="H177" t="e">
        <f>(VLOOKUP(Games!#REF!, Data!$B$2:$L$135, 8, FALSE)-VLOOKUP(Games!#REF!, Data!$B$2:$L$135, 8, FALSE))*Coefficients!$H$2</f>
        <v>#REF!</v>
      </c>
      <c r="I177" t="e">
        <f>(VLOOKUP(Games!#REF!, Data!$B$2:$L$135, 9, FALSE)-VLOOKUP(Games!#REF!, Data!$B$2:$L$135, 9, FALSE))*Coefficients!$I$2</f>
        <v>#REF!</v>
      </c>
      <c r="J177" t="e">
        <f>IF(ISBLANK(Data!K177), Games!#REF!-Games!#REF!,VLOOKUP(Games!#REF!, Data!$B$2:$L$135, 10, FALSE)-VLOOKUP(Games!#REF!, Data!$B$2:$L$135, 10, FALSE))*Coefficients!$J$2</f>
        <v>#REF!</v>
      </c>
      <c r="K177" t="e">
        <f>(IF(AND(VLOOKUP(Games!#REF!, Data!$B$2:$L$135, 11, FALSE)=1, VLOOKUP(Games!#REF!, Data!$B$2:$L$135, 11, FALSE)&lt;&gt;1), 1,0))*Coefficients!K$2</f>
        <v>#REF!</v>
      </c>
      <c r="L177" t="e">
        <f>(IF(AND(VLOOKUP(Games!#REF!, Data!$B$2:$L$135, 11, FALSE)&lt;&gt;1, VLOOKUP(Games!#REF!, Data!$B$2:$L$135, 11, FALSE)=1), 1,0))*Coefficients!L$2</f>
        <v>#REF!</v>
      </c>
      <c r="O177" t="e">
        <f t="shared" si="3"/>
        <v>#REF!</v>
      </c>
    </row>
    <row r="178">
      <c r="A178" t="n">
        <f>Coefficients!$A$2</f>
        <v>-3.7765953152866998</v>
      </c>
      <c r="B178" t="e">
        <f>(Games!#REF!)*(-1*Coefficients!$B$2)</f>
        <v>#REF!</v>
      </c>
      <c r="C178" t="e">
        <f>(VLOOKUP(Games!#REF!, Data!$B$2:$L$135, 4, FALSE)-VLOOKUP(Games!#REF!, Data!$B$2:$L$135, 4, FALSE))*Coefficients!$C$2</f>
        <v>#REF!</v>
      </c>
      <c r="D178" t="e">
        <f>(VLOOKUP(Games!#REF!, Data!$B$2:$L$135, 3, FALSE)-VLOOKUP(Games!#REF!, Data!$B$2:$L$135, 3, FALSE))*Coefficients!$D$2</f>
        <v>#REF!</v>
      </c>
      <c r="E178" t="e">
        <f>(VLOOKUP(Games!#REF!, Data!$B$2:$L$135, 5, FALSE)-VLOOKUP(Games!#REF!, Data!$B$2:$L$135, 5, FALSE))*Coefficients!$E$2</f>
        <v>#REF!</v>
      </c>
      <c r="F178" t="e">
        <f>(VLOOKUP(Games!#REF!, Data!$B$2:$L$135, 6, FALSE)-VLOOKUP(Games!#REF!, Data!$B$2:$L$135, 6, FALSE))*Coefficients!$F$2</f>
        <v>#REF!</v>
      </c>
      <c r="G178" t="e">
        <f>(VLOOKUP(Games!#REF!, Data!$B$2:$L$135, 7, FALSE)-VLOOKUP(Games!#REF!, Data!$B$2:$L$135, 7, FALSE))*Coefficients!$G$2</f>
        <v>#REF!</v>
      </c>
      <c r="H178" t="e">
        <f>(VLOOKUP(Games!#REF!, Data!$B$2:$L$135, 8, FALSE)-VLOOKUP(Games!#REF!, Data!$B$2:$L$135, 8, FALSE))*Coefficients!$H$2</f>
        <v>#REF!</v>
      </c>
      <c r="I178" t="e">
        <f>(VLOOKUP(Games!#REF!, Data!$B$2:$L$135, 9, FALSE)-VLOOKUP(Games!#REF!, Data!$B$2:$L$135, 9, FALSE))*Coefficients!$I$2</f>
        <v>#REF!</v>
      </c>
      <c r="J178" t="e">
        <f>IF(ISBLANK(Data!K178), Games!#REF!-Games!#REF!,VLOOKUP(Games!#REF!, Data!$B$2:$L$135, 10, FALSE)-VLOOKUP(Games!#REF!, Data!$B$2:$L$135, 10, FALSE))*Coefficients!$J$2</f>
        <v>#REF!</v>
      </c>
      <c r="K178" t="e">
        <f>(IF(AND(VLOOKUP(Games!#REF!, Data!$B$2:$L$135, 11, FALSE)=1, VLOOKUP(Games!#REF!, Data!$B$2:$L$135, 11, FALSE)&lt;&gt;1), 1,0))*Coefficients!K$2</f>
        <v>#REF!</v>
      </c>
      <c r="L178" t="e">
        <f>(IF(AND(VLOOKUP(Games!#REF!, Data!$B$2:$L$135, 11, FALSE)&lt;&gt;1, VLOOKUP(Games!#REF!, Data!$B$2:$L$135, 11, FALSE)=1), 1,0))*Coefficients!L$2</f>
        <v>#REF!</v>
      </c>
      <c r="O178" t="e">
        <f t="shared" si="3"/>
        <v>#REF!</v>
      </c>
    </row>
    <row r="179">
      <c r="A179" t="n">
        <f>Coefficients!$A$2</f>
        <v>-3.7765953152866998</v>
      </c>
      <c r="B179" t="e">
        <f>(Games!#REF!)*(-1*Coefficients!$B$2)</f>
        <v>#REF!</v>
      </c>
      <c r="C179" t="e">
        <f>(VLOOKUP(Games!#REF!, Data!$B$2:$L$135, 4, FALSE)-VLOOKUP(Games!#REF!, Data!$B$2:$L$135, 4, FALSE))*Coefficients!$C$2</f>
        <v>#REF!</v>
      </c>
      <c r="D179" t="e">
        <f>(VLOOKUP(Games!#REF!, Data!$B$2:$L$135, 3, FALSE)-VLOOKUP(Games!#REF!, Data!$B$2:$L$135, 3, FALSE))*Coefficients!$D$2</f>
        <v>#REF!</v>
      </c>
      <c r="E179" t="e">
        <f>(VLOOKUP(Games!#REF!, Data!$B$2:$L$135, 5, FALSE)-VLOOKUP(Games!#REF!, Data!$B$2:$L$135, 5, FALSE))*Coefficients!$E$2</f>
        <v>#REF!</v>
      </c>
      <c r="F179" t="e">
        <f>(VLOOKUP(Games!#REF!, Data!$B$2:$L$135, 6, FALSE)-VLOOKUP(Games!#REF!, Data!$B$2:$L$135, 6, FALSE))*Coefficients!$F$2</f>
        <v>#REF!</v>
      </c>
      <c r="G179" t="e">
        <f>(VLOOKUP(Games!#REF!, Data!$B$2:$L$135, 7, FALSE)-VLOOKUP(Games!#REF!, Data!$B$2:$L$135, 7, FALSE))*Coefficients!$G$2</f>
        <v>#REF!</v>
      </c>
      <c r="H179" t="e">
        <f>(VLOOKUP(Games!#REF!, Data!$B$2:$L$135, 8, FALSE)-VLOOKUP(Games!#REF!, Data!$B$2:$L$135, 8, FALSE))*Coefficients!$H$2</f>
        <v>#REF!</v>
      </c>
      <c r="I179" t="e">
        <f>(VLOOKUP(Games!#REF!, Data!$B$2:$L$135, 9, FALSE)-VLOOKUP(Games!#REF!, Data!$B$2:$L$135, 9, FALSE))*Coefficients!$I$2</f>
        <v>#REF!</v>
      </c>
      <c r="J179" t="e">
        <f>IF(ISBLANK(Data!K179), Games!#REF!-Games!#REF!,VLOOKUP(Games!#REF!, Data!$B$2:$L$135, 10, FALSE)-VLOOKUP(Games!#REF!, Data!$B$2:$L$135, 10, FALSE))*Coefficients!$J$2</f>
        <v>#REF!</v>
      </c>
      <c r="K179" t="e">
        <f>(IF(AND(VLOOKUP(Games!#REF!, Data!$B$2:$L$135, 11, FALSE)=1, VLOOKUP(Games!#REF!, Data!$B$2:$L$135, 11, FALSE)&lt;&gt;1), 1,0))*Coefficients!K$2</f>
        <v>#REF!</v>
      </c>
      <c r="L179" t="e">
        <f>(IF(AND(VLOOKUP(Games!#REF!, Data!$B$2:$L$135, 11, FALSE)&lt;&gt;1, VLOOKUP(Games!#REF!, Data!$B$2:$L$135, 11, FALSE)=1), 1,0))*Coefficients!L$2</f>
        <v>#REF!</v>
      </c>
      <c r="O179" t="e">
        <f t="shared" si="3"/>
        <v>#REF!</v>
      </c>
    </row>
    <row r="180">
      <c r="A180" t="n">
        <f>Coefficients!$A$2</f>
        <v>-3.7765953152866998</v>
      </c>
      <c r="B180" t="e">
        <f>(Games!#REF!)*(-1*Coefficients!$B$2)</f>
        <v>#REF!</v>
      </c>
      <c r="C180" t="e">
        <f>(VLOOKUP(Games!#REF!, Data!$B$2:$L$135, 4, FALSE)-VLOOKUP(Games!#REF!, Data!$B$2:$L$135, 4, FALSE))*Coefficients!$C$2</f>
        <v>#REF!</v>
      </c>
      <c r="D180" t="e">
        <f>(VLOOKUP(Games!#REF!, Data!$B$2:$L$135, 3, FALSE)-VLOOKUP(Games!#REF!, Data!$B$2:$L$135, 3, FALSE))*Coefficients!$D$2</f>
        <v>#REF!</v>
      </c>
      <c r="E180" t="e">
        <f>(VLOOKUP(Games!#REF!, Data!$B$2:$L$135, 5, FALSE)-VLOOKUP(Games!#REF!, Data!$B$2:$L$135, 5, FALSE))*Coefficients!$E$2</f>
        <v>#REF!</v>
      </c>
      <c r="F180" t="e">
        <f>(VLOOKUP(Games!#REF!, Data!$B$2:$L$135, 6, FALSE)-VLOOKUP(Games!#REF!, Data!$B$2:$L$135, 6, FALSE))*Coefficients!$F$2</f>
        <v>#REF!</v>
      </c>
      <c r="G180" t="e">
        <f>(VLOOKUP(Games!#REF!, Data!$B$2:$L$135, 7, FALSE)-VLOOKUP(Games!#REF!, Data!$B$2:$L$135, 7, FALSE))*Coefficients!$G$2</f>
        <v>#REF!</v>
      </c>
      <c r="H180" t="e">
        <f>(VLOOKUP(Games!#REF!, Data!$B$2:$L$135, 8, FALSE)-VLOOKUP(Games!#REF!, Data!$B$2:$L$135, 8, FALSE))*Coefficients!$H$2</f>
        <v>#REF!</v>
      </c>
      <c r="I180" t="e">
        <f>(VLOOKUP(Games!#REF!, Data!$B$2:$L$135, 9, FALSE)-VLOOKUP(Games!#REF!, Data!$B$2:$L$135, 9, FALSE))*Coefficients!$I$2</f>
        <v>#REF!</v>
      </c>
      <c r="J180" t="e">
        <f>IF(ISBLANK(Data!K180), Games!#REF!-Games!#REF!,VLOOKUP(Games!#REF!, Data!$B$2:$L$135, 10, FALSE)-VLOOKUP(Games!#REF!, Data!$B$2:$L$135, 10, FALSE))*Coefficients!$J$2</f>
        <v>#REF!</v>
      </c>
      <c r="K180" t="e">
        <f>(IF(AND(VLOOKUP(Games!#REF!, Data!$B$2:$L$135, 11, FALSE)=1, VLOOKUP(Games!#REF!, Data!$B$2:$L$135, 11, FALSE)&lt;&gt;1), 1,0))*Coefficients!K$2</f>
        <v>#REF!</v>
      </c>
      <c r="L180" t="e">
        <f>(IF(AND(VLOOKUP(Games!#REF!, Data!$B$2:$L$135, 11, FALSE)&lt;&gt;1, VLOOKUP(Games!#REF!, Data!$B$2:$L$135, 11, FALSE)=1), 1,0))*Coefficients!L$2</f>
        <v>#REF!</v>
      </c>
      <c r="O180" t="e">
        <f t="shared" si="3"/>
        <v>#REF!</v>
      </c>
    </row>
    <row r="181">
      <c r="A181" t="n">
        <f>Coefficients!$A$2</f>
        <v>-3.7765953152866998</v>
      </c>
      <c r="B181" t="e">
        <f>(Games!#REF!)*(-1*Coefficients!$B$2)</f>
        <v>#REF!</v>
      </c>
      <c r="C181" t="e">
        <f>(VLOOKUP(Games!#REF!, Data!$B$2:$L$135, 4, FALSE)-VLOOKUP(Games!#REF!, Data!$B$2:$L$135, 4, FALSE))*Coefficients!$C$2</f>
        <v>#REF!</v>
      </c>
      <c r="D181" t="e">
        <f>(VLOOKUP(Games!#REF!, Data!$B$2:$L$135, 3, FALSE)-VLOOKUP(Games!#REF!, Data!$B$2:$L$135, 3, FALSE))*Coefficients!$D$2</f>
        <v>#REF!</v>
      </c>
      <c r="E181" t="e">
        <f>(VLOOKUP(Games!#REF!, Data!$B$2:$L$135, 5, FALSE)-VLOOKUP(Games!#REF!, Data!$B$2:$L$135, 5, FALSE))*Coefficients!$E$2</f>
        <v>#REF!</v>
      </c>
      <c r="F181" t="e">
        <f>(VLOOKUP(Games!#REF!, Data!$B$2:$L$135, 6, FALSE)-VLOOKUP(Games!#REF!, Data!$B$2:$L$135, 6, FALSE))*Coefficients!$F$2</f>
        <v>#REF!</v>
      </c>
      <c r="G181" t="e">
        <f>(VLOOKUP(Games!#REF!, Data!$B$2:$L$135, 7, FALSE)-VLOOKUP(Games!#REF!, Data!$B$2:$L$135, 7, FALSE))*Coefficients!$G$2</f>
        <v>#REF!</v>
      </c>
      <c r="H181" t="e">
        <f>(VLOOKUP(Games!#REF!, Data!$B$2:$L$135, 8, FALSE)-VLOOKUP(Games!#REF!, Data!$B$2:$L$135, 8, FALSE))*Coefficients!$H$2</f>
        <v>#REF!</v>
      </c>
      <c r="I181" t="e">
        <f>(VLOOKUP(Games!#REF!, Data!$B$2:$L$135, 9, FALSE)-VLOOKUP(Games!#REF!, Data!$B$2:$L$135, 9, FALSE))*Coefficients!$I$2</f>
        <v>#REF!</v>
      </c>
      <c r="J181" t="e">
        <f>IF(ISBLANK(Data!K181), Games!#REF!-Games!#REF!,VLOOKUP(Games!#REF!, Data!$B$2:$L$135, 10, FALSE)-VLOOKUP(Games!#REF!, Data!$B$2:$L$135, 10, FALSE))*Coefficients!$J$2</f>
        <v>#REF!</v>
      </c>
      <c r="K181" t="e">
        <f>(IF(AND(VLOOKUP(Games!#REF!, Data!$B$2:$L$135, 11, FALSE)=1, VLOOKUP(Games!#REF!, Data!$B$2:$L$135, 11, FALSE)&lt;&gt;1), 1,0))*Coefficients!K$2</f>
        <v>#REF!</v>
      </c>
      <c r="L181" t="e">
        <f>(IF(AND(VLOOKUP(Games!#REF!, Data!$B$2:$L$135, 11, FALSE)&lt;&gt;1, VLOOKUP(Games!#REF!, Data!$B$2:$L$135, 11, FALSE)=1), 1,0))*Coefficients!L$2</f>
        <v>#REF!</v>
      </c>
      <c r="O181" t="e">
        <f t="shared" si="3"/>
        <v>#REF!</v>
      </c>
    </row>
    <row r="182">
      <c r="A182" t="n">
        <f>Coefficients!$A$2</f>
        <v>-3.7765953152866998</v>
      </c>
      <c r="B182" t="e">
        <f>(Games!#REF!)*(-1*Coefficients!$B$2)</f>
        <v>#REF!</v>
      </c>
      <c r="C182" t="e">
        <f>(VLOOKUP(Games!#REF!, Data!$B$2:$L$135, 4, FALSE)-VLOOKUP(Games!#REF!, Data!$B$2:$L$135, 4, FALSE))*Coefficients!$C$2</f>
        <v>#REF!</v>
      </c>
      <c r="D182" t="e">
        <f>(VLOOKUP(Games!#REF!, Data!$B$2:$L$135, 3, FALSE)-VLOOKUP(Games!#REF!, Data!$B$2:$L$135, 3, FALSE))*Coefficients!$D$2</f>
        <v>#REF!</v>
      </c>
      <c r="E182" t="e">
        <f>(VLOOKUP(Games!#REF!, Data!$B$2:$L$135, 5, FALSE)-VLOOKUP(Games!#REF!, Data!$B$2:$L$135, 5, FALSE))*Coefficients!$E$2</f>
        <v>#REF!</v>
      </c>
      <c r="F182" t="e">
        <f>(VLOOKUP(Games!#REF!, Data!$B$2:$L$135, 6, FALSE)-VLOOKUP(Games!#REF!, Data!$B$2:$L$135, 6, FALSE))*Coefficients!$F$2</f>
        <v>#REF!</v>
      </c>
      <c r="G182" t="e">
        <f>(VLOOKUP(Games!#REF!, Data!$B$2:$L$135, 7, FALSE)-VLOOKUP(Games!#REF!, Data!$B$2:$L$135, 7, FALSE))*Coefficients!$G$2</f>
        <v>#REF!</v>
      </c>
      <c r="H182" t="e">
        <f>(VLOOKUP(Games!#REF!, Data!$B$2:$L$135, 8, FALSE)-VLOOKUP(Games!#REF!, Data!$B$2:$L$135, 8, FALSE))*Coefficients!$H$2</f>
        <v>#REF!</v>
      </c>
      <c r="I182" t="e">
        <f>(VLOOKUP(Games!#REF!, Data!$B$2:$L$135, 9, FALSE)-VLOOKUP(Games!#REF!, Data!$B$2:$L$135, 9, FALSE))*Coefficients!$I$2</f>
        <v>#REF!</v>
      </c>
      <c r="J182" t="e">
        <f>IF(ISBLANK(Data!K182), Games!#REF!-Games!#REF!,VLOOKUP(Games!#REF!, Data!$B$2:$L$135, 10, FALSE)-VLOOKUP(Games!#REF!, Data!$B$2:$L$135, 10, FALSE))*Coefficients!$J$2</f>
        <v>#REF!</v>
      </c>
      <c r="K182" t="e">
        <f>(IF(AND(VLOOKUP(Games!#REF!, Data!$B$2:$L$135, 11, FALSE)=1, VLOOKUP(Games!#REF!, Data!$B$2:$L$135, 11, FALSE)&lt;&gt;1), 1,0))*Coefficients!K$2</f>
        <v>#REF!</v>
      </c>
      <c r="L182" t="e">
        <f>(IF(AND(VLOOKUP(Games!#REF!, Data!$B$2:$L$135, 11, FALSE)&lt;&gt;1, VLOOKUP(Games!#REF!, Data!$B$2:$L$135, 11, FALSE)=1), 1,0))*Coefficients!L$2</f>
        <v>#REF!</v>
      </c>
      <c r="O182" t="e">
        <f t="shared" si="3"/>
        <v>#REF!</v>
      </c>
    </row>
    <row r="183">
      <c r="A183" t="n">
        <f>Coefficients!$A$2</f>
        <v>-3.7765953152866998</v>
      </c>
      <c r="B183" t="e">
        <f>(Games!#REF!)*(-1*Coefficients!$B$2)</f>
        <v>#REF!</v>
      </c>
      <c r="C183" t="e">
        <f>(VLOOKUP(Games!#REF!, Data!$B$2:$L$135, 4, FALSE)-VLOOKUP(Games!#REF!, Data!$B$2:$L$135, 4, FALSE))*Coefficients!$C$2</f>
        <v>#REF!</v>
      </c>
      <c r="D183" t="e">
        <f>(VLOOKUP(Games!#REF!, Data!$B$2:$L$135, 3, FALSE)-VLOOKUP(Games!#REF!, Data!$B$2:$L$135, 3, FALSE))*Coefficients!$D$2</f>
        <v>#REF!</v>
      </c>
      <c r="E183" t="e">
        <f>(VLOOKUP(Games!#REF!, Data!$B$2:$L$135, 5, FALSE)-VLOOKUP(Games!#REF!, Data!$B$2:$L$135, 5, FALSE))*Coefficients!$E$2</f>
        <v>#REF!</v>
      </c>
      <c r="F183" t="e">
        <f>(VLOOKUP(Games!#REF!, Data!$B$2:$L$135, 6, FALSE)-VLOOKUP(Games!#REF!, Data!$B$2:$L$135, 6, FALSE))*Coefficients!$F$2</f>
        <v>#REF!</v>
      </c>
      <c r="G183" t="e">
        <f>(VLOOKUP(Games!#REF!, Data!$B$2:$L$135, 7, FALSE)-VLOOKUP(Games!#REF!, Data!$B$2:$L$135, 7, FALSE))*Coefficients!$G$2</f>
        <v>#REF!</v>
      </c>
      <c r="H183" t="e">
        <f>(VLOOKUP(Games!#REF!, Data!$B$2:$L$135, 8, FALSE)-VLOOKUP(Games!#REF!, Data!$B$2:$L$135, 8, FALSE))*Coefficients!$H$2</f>
        <v>#REF!</v>
      </c>
      <c r="I183" t="e">
        <f>(VLOOKUP(Games!#REF!, Data!$B$2:$L$135, 9, FALSE)-VLOOKUP(Games!#REF!, Data!$B$2:$L$135, 9, FALSE))*Coefficients!$I$2</f>
        <v>#REF!</v>
      </c>
      <c r="J183" t="e">
        <f>IF(ISBLANK(Data!K183), Games!#REF!-Games!#REF!,VLOOKUP(Games!#REF!, Data!$B$2:$L$135, 10, FALSE)-VLOOKUP(Games!#REF!, Data!$B$2:$L$135, 10, FALSE))*Coefficients!$J$2</f>
        <v>#REF!</v>
      </c>
      <c r="K183" t="e">
        <f>(IF(AND(VLOOKUP(Games!#REF!, Data!$B$2:$L$135, 11, FALSE)=1, VLOOKUP(Games!#REF!, Data!$B$2:$L$135, 11, FALSE)&lt;&gt;1), 1,0))*Coefficients!K$2</f>
        <v>#REF!</v>
      </c>
      <c r="L183" t="e">
        <f>(IF(AND(VLOOKUP(Games!#REF!, Data!$B$2:$L$135, 11, FALSE)&lt;&gt;1, VLOOKUP(Games!#REF!, Data!$B$2:$L$135, 11, FALSE)=1), 1,0))*Coefficients!L$2</f>
        <v>#REF!</v>
      </c>
      <c r="O183" t="e">
        <f t="shared" si="3"/>
        <v>#REF!</v>
      </c>
    </row>
    <row r="184">
      <c r="A184" t="n">
        <f>Coefficients!$A$2</f>
        <v>-3.7765953152866998</v>
      </c>
      <c r="B184" t="e">
        <f>(Games!#REF!)*(-1*Coefficients!$B$2)</f>
        <v>#REF!</v>
      </c>
      <c r="C184" t="e">
        <f>(VLOOKUP(Games!#REF!, Data!$B$2:$L$135, 4, FALSE)-VLOOKUP(Games!#REF!, Data!$B$2:$L$135, 4, FALSE))*Coefficients!$C$2</f>
        <v>#REF!</v>
      </c>
      <c r="D184" t="e">
        <f>(VLOOKUP(Games!#REF!, Data!$B$2:$L$135, 3, FALSE)-VLOOKUP(Games!#REF!, Data!$B$2:$L$135, 3, FALSE))*Coefficients!$D$2</f>
        <v>#REF!</v>
      </c>
      <c r="E184" t="e">
        <f>(VLOOKUP(Games!#REF!, Data!$B$2:$L$135, 5, FALSE)-VLOOKUP(Games!#REF!, Data!$B$2:$L$135, 5, FALSE))*Coefficients!$E$2</f>
        <v>#REF!</v>
      </c>
      <c r="F184" t="e">
        <f>(VLOOKUP(Games!#REF!, Data!$B$2:$L$135, 6, FALSE)-VLOOKUP(Games!#REF!, Data!$B$2:$L$135, 6, FALSE))*Coefficients!$F$2</f>
        <v>#REF!</v>
      </c>
      <c r="G184" t="e">
        <f>(VLOOKUP(Games!#REF!, Data!$B$2:$L$135, 7, FALSE)-VLOOKUP(Games!#REF!, Data!$B$2:$L$135, 7, FALSE))*Coefficients!$G$2</f>
        <v>#REF!</v>
      </c>
      <c r="H184" t="e">
        <f>(VLOOKUP(Games!#REF!, Data!$B$2:$L$135, 8, FALSE)-VLOOKUP(Games!#REF!, Data!$B$2:$L$135, 8, FALSE))*Coefficients!$H$2</f>
        <v>#REF!</v>
      </c>
      <c r="I184" t="e">
        <f>(VLOOKUP(Games!#REF!, Data!$B$2:$L$135, 9, FALSE)-VLOOKUP(Games!#REF!, Data!$B$2:$L$135, 9, FALSE))*Coefficients!$I$2</f>
        <v>#REF!</v>
      </c>
      <c r="J184" t="e">
        <f>IF(ISBLANK(Data!K184), Games!#REF!-Games!#REF!,VLOOKUP(Games!#REF!, Data!$B$2:$L$135, 10, FALSE)-VLOOKUP(Games!#REF!, Data!$B$2:$L$135, 10, FALSE))*Coefficients!$J$2</f>
        <v>#REF!</v>
      </c>
      <c r="K184" t="e">
        <f>(IF(AND(VLOOKUP(Games!#REF!, Data!$B$2:$L$135, 11, FALSE)=1, VLOOKUP(Games!#REF!, Data!$B$2:$L$135, 11, FALSE)&lt;&gt;1), 1,0))*Coefficients!K$2</f>
        <v>#REF!</v>
      </c>
      <c r="L184" t="e">
        <f>(IF(AND(VLOOKUP(Games!#REF!, Data!$B$2:$L$135, 11, FALSE)&lt;&gt;1, VLOOKUP(Games!#REF!, Data!$B$2:$L$135, 11, FALSE)=1), 1,0))*Coefficients!L$2</f>
        <v>#REF!</v>
      </c>
      <c r="O184" t="e">
        <f t="shared" si="3"/>
        <v>#REF!</v>
      </c>
    </row>
    <row r="185">
      <c r="A185" t="n">
        <f>Coefficients!$A$2</f>
        <v>-3.7765953152866998</v>
      </c>
      <c r="B185" t="e">
        <f>(Games!#REF!)*(-1*Coefficients!$B$2)</f>
        <v>#REF!</v>
      </c>
      <c r="C185" t="e">
        <f>(VLOOKUP(Games!#REF!, Data!$B$2:$L$135, 4, FALSE)-VLOOKUP(Games!#REF!, Data!$B$2:$L$135, 4, FALSE))*Coefficients!$C$2</f>
        <v>#REF!</v>
      </c>
      <c r="D185" t="e">
        <f>(VLOOKUP(Games!#REF!, Data!$B$2:$L$135, 3, FALSE)-VLOOKUP(Games!#REF!, Data!$B$2:$L$135, 3, FALSE))*Coefficients!$D$2</f>
        <v>#REF!</v>
      </c>
      <c r="E185" t="e">
        <f>(VLOOKUP(Games!#REF!, Data!$B$2:$L$135, 5, FALSE)-VLOOKUP(Games!#REF!, Data!$B$2:$L$135, 5, FALSE))*Coefficients!$E$2</f>
        <v>#REF!</v>
      </c>
      <c r="F185" t="e">
        <f>(VLOOKUP(Games!#REF!, Data!$B$2:$L$135, 6, FALSE)-VLOOKUP(Games!#REF!, Data!$B$2:$L$135, 6, FALSE))*Coefficients!$F$2</f>
        <v>#REF!</v>
      </c>
      <c r="G185" t="e">
        <f>(VLOOKUP(Games!#REF!, Data!$B$2:$L$135, 7, FALSE)-VLOOKUP(Games!#REF!, Data!$B$2:$L$135, 7, FALSE))*Coefficients!$G$2</f>
        <v>#REF!</v>
      </c>
      <c r="H185" t="e">
        <f>(VLOOKUP(Games!#REF!, Data!$B$2:$L$135, 8, FALSE)-VLOOKUP(Games!#REF!, Data!$B$2:$L$135, 8, FALSE))*Coefficients!$H$2</f>
        <v>#REF!</v>
      </c>
      <c r="I185" t="e">
        <f>(VLOOKUP(Games!#REF!, Data!$B$2:$L$135, 9, FALSE)-VLOOKUP(Games!#REF!, Data!$B$2:$L$135, 9, FALSE))*Coefficients!$I$2</f>
        <v>#REF!</v>
      </c>
      <c r="J185" t="e">
        <f>IF(ISBLANK(Data!K185), Games!#REF!-Games!#REF!,VLOOKUP(Games!#REF!, Data!$B$2:$L$135, 10, FALSE)-VLOOKUP(Games!#REF!, Data!$B$2:$L$135, 10, FALSE))*Coefficients!$J$2</f>
        <v>#REF!</v>
      </c>
      <c r="K185" t="e">
        <f>(IF(AND(VLOOKUP(Games!#REF!, Data!$B$2:$L$135, 11, FALSE)=1, VLOOKUP(Games!#REF!, Data!$B$2:$L$135, 11, FALSE)&lt;&gt;1), 1,0))*Coefficients!K$2</f>
        <v>#REF!</v>
      </c>
      <c r="L185" t="e">
        <f>(IF(AND(VLOOKUP(Games!#REF!, Data!$B$2:$L$135, 11, FALSE)&lt;&gt;1, VLOOKUP(Games!#REF!, Data!$B$2:$L$135, 11, FALSE)=1), 1,0))*Coefficients!L$2</f>
        <v>#REF!</v>
      </c>
      <c r="O185" t="e">
        <f t="shared" si="3"/>
        <v>#REF!</v>
      </c>
    </row>
    <row r="186">
      <c r="A186" t="n">
        <f>Coefficients!$A$2</f>
        <v>-3.7765953152866998</v>
      </c>
      <c r="B186" t="e">
        <f>(Games!#REF!)*(-1*Coefficients!$B$2)</f>
        <v>#REF!</v>
      </c>
      <c r="C186" t="e">
        <f>(VLOOKUP(Games!#REF!, Data!$B$2:$L$135, 4, FALSE)-VLOOKUP(Games!#REF!, Data!$B$2:$L$135, 4, FALSE))*Coefficients!$C$2</f>
        <v>#REF!</v>
      </c>
      <c r="D186" t="e">
        <f>(VLOOKUP(Games!#REF!, Data!$B$2:$L$135, 3, FALSE)-VLOOKUP(Games!#REF!, Data!$B$2:$L$135, 3, FALSE))*Coefficients!$D$2</f>
        <v>#REF!</v>
      </c>
      <c r="E186" t="e">
        <f>(VLOOKUP(Games!#REF!, Data!$B$2:$L$135, 5, FALSE)-VLOOKUP(Games!#REF!, Data!$B$2:$L$135, 5, FALSE))*Coefficients!$E$2</f>
        <v>#REF!</v>
      </c>
      <c r="F186" t="e">
        <f>(VLOOKUP(Games!#REF!, Data!$B$2:$L$135, 6, FALSE)-VLOOKUP(Games!#REF!, Data!$B$2:$L$135, 6, FALSE))*Coefficients!$F$2</f>
        <v>#REF!</v>
      </c>
      <c r="G186" t="e">
        <f>(VLOOKUP(Games!#REF!, Data!$B$2:$L$135, 7, FALSE)-VLOOKUP(Games!#REF!, Data!$B$2:$L$135, 7, FALSE))*Coefficients!$G$2</f>
        <v>#REF!</v>
      </c>
      <c r="H186" t="e">
        <f>(VLOOKUP(Games!#REF!, Data!$B$2:$L$135, 8, FALSE)-VLOOKUP(Games!#REF!, Data!$B$2:$L$135, 8, FALSE))*Coefficients!$H$2</f>
        <v>#REF!</v>
      </c>
      <c r="I186" t="e">
        <f>(VLOOKUP(Games!#REF!, Data!$B$2:$L$135, 9, FALSE)-VLOOKUP(Games!#REF!, Data!$B$2:$L$135, 9, FALSE))*Coefficients!$I$2</f>
        <v>#REF!</v>
      </c>
      <c r="J186" t="e">
        <f>IF(ISBLANK(Data!K186), Games!#REF!-Games!#REF!,VLOOKUP(Games!#REF!, Data!$B$2:$L$135, 10, FALSE)-VLOOKUP(Games!#REF!, Data!$B$2:$L$135, 10, FALSE))*Coefficients!$J$2</f>
        <v>#REF!</v>
      </c>
      <c r="K186" t="e">
        <f>(IF(AND(VLOOKUP(Games!#REF!, Data!$B$2:$L$135, 11, FALSE)=1, VLOOKUP(Games!#REF!, Data!$B$2:$L$135, 11, FALSE)&lt;&gt;1), 1,0))*Coefficients!K$2</f>
        <v>#REF!</v>
      </c>
      <c r="L186" t="e">
        <f>(IF(AND(VLOOKUP(Games!#REF!, Data!$B$2:$L$135, 11, FALSE)&lt;&gt;1, VLOOKUP(Games!#REF!, Data!$B$2:$L$135, 11, FALSE)=1), 1,0))*Coefficients!L$2</f>
        <v>#REF!</v>
      </c>
      <c r="O186" t="e">
        <f t="shared" si="3"/>
        <v>#REF!</v>
      </c>
    </row>
    <row r="187">
      <c r="A187" t="n">
        <f>Coefficients!$A$2</f>
        <v>-3.7765953152866998</v>
      </c>
      <c r="B187" t="e">
        <f>(Games!#REF!)*(-1*Coefficients!$B$2)</f>
        <v>#REF!</v>
      </c>
      <c r="C187" t="e">
        <f>(VLOOKUP(Games!#REF!, Data!$B$2:$L$135, 4, FALSE)-VLOOKUP(Games!#REF!, Data!$B$2:$L$135, 4, FALSE))*Coefficients!$C$2</f>
        <v>#REF!</v>
      </c>
      <c r="D187" t="e">
        <f>(VLOOKUP(Games!#REF!, Data!$B$2:$L$135, 3, FALSE)-VLOOKUP(Games!#REF!, Data!$B$2:$L$135, 3, FALSE))*Coefficients!$D$2</f>
        <v>#REF!</v>
      </c>
      <c r="E187" t="e">
        <f>(VLOOKUP(Games!#REF!, Data!$B$2:$L$135, 5, FALSE)-VLOOKUP(Games!#REF!, Data!$B$2:$L$135, 5, FALSE))*Coefficients!$E$2</f>
        <v>#REF!</v>
      </c>
      <c r="F187" t="e">
        <f>(VLOOKUP(Games!#REF!, Data!$B$2:$L$135, 6, FALSE)-VLOOKUP(Games!#REF!, Data!$B$2:$L$135, 6, FALSE))*Coefficients!$F$2</f>
        <v>#REF!</v>
      </c>
      <c r="G187" t="e">
        <f>(VLOOKUP(Games!#REF!, Data!$B$2:$L$135, 7, FALSE)-VLOOKUP(Games!#REF!, Data!$B$2:$L$135, 7, FALSE))*Coefficients!$G$2</f>
        <v>#REF!</v>
      </c>
      <c r="H187" t="e">
        <f>(VLOOKUP(Games!#REF!, Data!$B$2:$L$135, 8, FALSE)-VLOOKUP(Games!#REF!, Data!$B$2:$L$135, 8, FALSE))*Coefficients!$H$2</f>
        <v>#REF!</v>
      </c>
      <c r="I187" t="e">
        <f>(VLOOKUP(Games!#REF!, Data!$B$2:$L$135, 9, FALSE)-VLOOKUP(Games!#REF!, Data!$B$2:$L$135, 9, FALSE))*Coefficients!$I$2</f>
        <v>#REF!</v>
      </c>
      <c r="J187" t="e">
        <f>IF(ISBLANK(Data!K187), Games!#REF!-Games!#REF!,VLOOKUP(Games!#REF!, Data!$B$2:$L$135, 10, FALSE)-VLOOKUP(Games!#REF!, Data!$B$2:$L$135, 10, FALSE))*Coefficients!$J$2</f>
        <v>#REF!</v>
      </c>
      <c r="K187" t="e">
        <f>(IF(AND(VLOOKUP(Games!#REF!, Data!$B$2:$L$135, 11, FALSE)=1, VLOOKUP(Games!#REF!, Data!$B$2:$L$135, 11, FALSE)&lt;&gt;1), 1,0))*Coefficients!K$2</f>
        <v>#REF!</v>
      </c>
      <c r="L187" t="e">
        <f>(IF(AND(VLOOKUP(Games!#REF!, Data!$B$2:$L$135, 11, FALSE)&lt;&gt;1, VLOOKUP(Games!#REF!, Data!$B$2:$L$135, 11, FALSE)=1), 1,0))*Coefficients!L$2</f>
        <v>#REF!</v>
      </c>
      <c r="O187" t="e">
        <f t="shared" si="3"/>
        <v>#REF!</v>
      </c>
    </row>
    <row r="188">
      <c r="A188" t="n">
        <f>Coefficients!$A$2</f>
        <v>-3.7765953152866998</v>
      </c>
      <c r="B188" t="e">
        <f>(Games!#REF!)*(-1*Coefficients!$B$2)</f>
        <v>#REF!</v>
      </c>
      <c r="C188" t="e">
        <f>(VLOOKUP(Games!#REF!, Data!$B$2:$L$135, 4, FALSE)-VLOOKUP(Games!#REF!, Data!$B$2:$L$135, 4, FALSE))*Coefficients!$C$2</f>
        <v>#REF!</v>
      </c>
      <c r="D188" t="e">
        <f>(VLOOKUP(Games!#REF!, Data!$B$2:$L$135, 3, FALSE)-VLOOKUP(Games!#REF!, Data!$B$2:$L$135, 3, FALSE))*Coefficients!$D$2</f>
        <v>#REF!</v>
      </c>
      <c r="E188" t="e">
        <f>(VLOOKUP(Games!#REF!, Data!$B$2:$L$135, 5, FALSE)-VLOOKUP(Games!#REF!, Data!$B$2:$L$135, 5, FALSE))*Coefficients!$E$2</f>
        <v>#REF!</v>
      </c>
      <c r="F188" t="e">
        <f>(VLOOKUP(Games!#REF!, Data!$B$2:$L$135, 6, FALSE)-VLOOKUP(Games!#REF!, Data!$B$2:$L$135, 6, FALSE))*Coefficients!$F$2</f>
        <v>#REF!</v>
      </c>
      <c r="G188" t="e">
        <f>(VLOOKUP(Games!#REF!, Data!$B$2:$L$135, 7, FALSE)-VLOOKUP(Games!#REF!, Data!$B$2:$L$135, 7, FALSE))*Coefficients!$G$2</f>
        <v>#REF!</v>
      </c>
      <c r="H188" t="e">
        <f>(VLOOKUP(Games!#REF!, Data!$B$2:$L$135, 8, FALSE)-VLOOKUP(Games!#REF!, Data!$B$2:$L$135, 8, FALSE))*Coefficients!$H$2</f>
        <v>#REF!</v>
      </c>
      <c r="I188" t="e">
        <f>(VLOOKUP(Games!#REF!, Data!$B$2:$L$135, 9, FALSE)-VLOOKUP(Games!#REF!, Data!$B$2:$L$135, 9, FALSE))*Coefficients!$I$2</f>
        <v>#REF!</v>
      </c>
      <c r="J188" t="e">
        <f>IF(ISBLANK(Data!K188), Games!#REF!-Games!#REF!,VLOOKUP(Games!#REF!, Data!$B$2:$L$135, 10, FALSE)-VLOOKUP(Games!#REF!, Data!$B$2:$L$135, 10, FALSE))*Coefficients!$J$2</f>
        <v>#REF!</v>
      </c>
      <c r="K188" t="e">
        <f>(IF(AND(VLOOKUP(Games!#REF!, Data!$B$2:$L$135, 11, FALSE)=1, VLOOKUP(Games!#REF!, Data!$B$2:$L$135, 11, FALSE)&lt;&gt;1), 1,0))*Coefficients!K$2</f>
        <v>#REF!</v>
      </c>
      <c r="L188" t="e">
        <f>(IF(AND(VLOOKUP(Games!#REF!, Data!$B$2:$L$135, 11, FALSE)&lt;&gt;1, VLOOKUP(Games!#REF!, Data!$B$2:$L$135, 11, FALSE)=1), 1,0))*Coefficients!L$2</f>
        <v>#REF!</v>
      </c>
      <c r="O188" t="e">
        <f t="shared" si="3"/>
        <v>#REF!</v>
      </c>
    </row>
    <row r="189">
      <c r="A189" t="n">
        <f>Coefficients!$A$2</f>
        <v>-3.7765953152866998</v>
      </c>
      <c r="B189" t="e">
        <f>(Games!#REF!)*(-1*Coefficients!$B$2)</f>
        <v>#REF!</v>
      </c>
      <c r="C189" t="e">
        <f>(VLOOKUP(Games!#REF!, Data!$B$2:$L$135, 4, FALSE)-VLOOKUP(Games!#REF!, Data!$B$2:$L$135, 4, FALSE))*Coefficients!$C$2</f>
        <v>#REF!</v>
      </c>
      <c r="D189" t="e">
        <f>(VLOOKUP(Games!#REF!, Data!$B$2:$L$135, 3, FALSE)-VLOOKUP(Games!#REF!, Data!$B$2:$L$135, 3, FALSE))*Coefficients!$D$2</f>
        <v>#REF!</v>
      </c>
      <c r="E189" t="e">
        <f>(VLOOKUP(Games!#REF!, Data!$B$2:$L$135, 5, FALSE)-VLOOKUP(Games!#REF!, Data!$B$2:$L$135, 5, FALSE))*Coefficients!$E$2</f>
        <v>#REF!</v>
      </c>
      <c r="F189" t="e">
        <f>(VLOOKUP(Games!#REF!, Data!$B$2:$L$135, 6, FALSE)-VLOOKUP(Games!#REF!, Data!$B$2:$L$135, 6, FALSE))*Coefficients!$F$2</f>
        <v>#REF!</v>
      </c>
      <c r="G189" t="e">
        <f>(VLOOKUP(Games!#REF!, Data!$B$2:$L$135, 7, FALSE)-VLOOKUP(Games!#REF!, Data!$B$2:$L$135, 7, FALSE))*Coefficients!$G$2</f>
        <v>#REF!</v>
      </c>
      <c r="H189" t="e">
        <f>(VLOOKUP(Games!#REF!, Data!$B$2:$L$135, 8, FALSE)-VLOOKUP(Games!#REF!, Data!$B$2:$L$135, 8, FALSE))*Coefficients!$H$2</f>
        <v>#REF!</v>
      </c>
      <c r="I189" t="e">
        <f>(VLOOKUP(Games!#REF!, Data!$B$2:$L$135, 9, FALSE)-VLOOKUP(Games!#REF!, Data!$B$2:$L$135, 9, FALSE))*Coefficients!$I$2</f>
        <v>#REF!</v>
      </c>
      <c r="J189" t="e">
        <f>IF(ISBLANK(Data!K189), Games!#REF!-Games!#REF!,VLOOKUP(Games!#REF!, Data!$B$2:$L$135, 10, FALSE)-VLOOKUP(Games!#REF!, Data!$B$2:$L$135, 10, FALSE))*Coefficients!$J$2</f>
        <v>#REF!</v>
      </c>
      <c r="K189" t="e">
        <f>(IF(AND(VLOOKUP(Games!#REF!, Data!$B$2:$L$135, 11, FALSE)=1, VLOOKUP(Games!#REF!, Data!$B$2:$L$135, 11, FALSE)&lt;&gt;1), 1,0))*Coefficients!K$2</f>
        <v>#REF!</v>
      </c>
      <c r="L189" t="e">
        <f>(IF(AND(VLOOKUP(Games!#REF!, Data!$B$2:$L$135, 11, FALSE)&lt;&gt;1, VLOOKUP(Games!#REF!, Data!$B$2:$L$135, 11, FALSE)=1), 1,0))*Coefficients!L$2</f>
        <v>#REF!</v>
      </c>
      <c r="O189" t="e">
        <f t="shared" si="3"/>
        <v>#REF!</v>
      </c>
    </row>
    <row r="190">
      <c r="A190" t="n">
        <f>Coefficients!$A$2</f>
        <v>-3.7765953152866998</v>
      </c>
      <c r="B190" t="e">
        <f>(Games!#REF!)*(-1*Coefficients!$B$2)</f>
        <v>#REF!</v>
      </c>
      <c r="C190" t="e">
        <f>(VLOOKUP(Games!#REF!, Data!$B$2:$L$135, 4, FALSE)-VLOOKUP(Games!#REF!, Data!$B$2:$L$135, 4, FALSE))*Coefficients!$C$2</f>
        <v>#REF!</v>
      </c>
      <c r="D190" t="e">
        <f>(VLOOKUP(Games!#REF!, Data!$B$2:$L$135, 3, FALSE)-VLOOKUP(Games!#REF!, Data!$B$2:$L$135, 3, FALSE))*Coefficients!$D$2</f>
        <v>#REF!</v>
      </c>
      <c r="E190" t="e">
        <f>(VLOOKUP(Games!#REF!, Data!$B$2:$L$135, 5, FALSE)-VLOOKUP(Games!#REF!, Data!$B$2:$L$135, 5, FALSE))*Coefficients!$E$2</f>
        <v>#REF!</v>
      </c>
      <c r="F190" t="e">
        <f>(VLOOKUP(Games!#REF!, Data!$B$2:$L$135, 6, FALSE)-VLOOKUP(Games!#REF!, Data!$B$2:$L$135, 6, FALSE))*Coefficients!$F$2</f>
        <v>#REF!</v>
      </c>
      <c r="G190" t="e">
        <f>(VLOOKUP(Games!#REF!, Data!$B$2:$L$135, 7, FALSE)-VLOOKUP(Games!#REF!, Data!$B$2:$L$135, 7, FALSE))*Coefficients!$G$2</f>
        <v>#REF!</v>
      </c>
      <c r="H190" t="e">
        <f>(VLOOKUP(Games!#REF!, Data!$B$2:$L$135, 8, FALSE)-VLOOKUP(Games!#REF!, Data!$B$2:$L$135, 8, FALSE))*Coefficients!$H$2</f>
        <v>#REF!</v>
      </c>
      <c r="I190" t="e">
        <f>(VLOOKUP(Games!#REF!, Data!$B$2:$L$135, 9, FALSE)-VLOOKUP(Games!#REF!, Data!$B$2:$L$135, 9, FALSE))*Coefficients!$I$2</f>
        <v>#REF!</v>
      </c>
      <c r="J190" t="e">
        <f>IF(ISBLANK(Data!K190), Games!#REF!-Games!#REF!,VLOOKUP(Games!#REF!, Data!$B$2:$L$135, 10, FALSE)-VLOOKUP(Games!#REF!, Data!$B$2:$L$135, 10, FALSE))*Coefficients!$J$2</f>
        <v>#REF!</v>
      </c>
      <c r="K190" t="e">
        <f>(IF(AND(VLOOKUP(Games!#REF!, Data!$B$2:$L$135, 11, FALSE)=1, VLOOKUP(Games!#REF!, Data!$B$2:$L$135, 11, FALSE)&lt;&gt;1), 1,0))*Coefficients!K$2</f>
        <v>#REF!</v>
      </c>
      <c r="L190" t="e">
        <f>(IF(AND(VLOOKUP(Games!#REF!, Data!$B$2:$L$135, 11, FALSE)&lt;&gt;1, VLOOKUP(Games!#REF!, Data!$B$2:$L$135, 11, FALSE)=1), 1,0))*Coefficients!L$2</f>
        <v>#REF!</v>
      </c>
      <c r="O190" t="e">
        <f t="shared" si="3"/>
        <v>#REF!</v>
      </c>
    </row>
    <row r="191">
      <c r="A191" t="n">
        <f>Coefficients!$A$2</f>
        <v>-3.7765953152866998</v>
      </c>
      <c r="B191" t="e">
        <f>(Games!#REF!)*(-1*Coefficients!$B$2)</f>
        <v>#REF!</v>
      </c>
      <c r="C191" t="e">
        <f>(VLOOKUP(Games!#REF!, Data!$B$2:$L$135, 4, FALSE)-VLOOKUP(Games!#REF!, Data!$B$2:$L$135, 4, FALSE))*Coefficients!$C$2</f>
        <v>#REF!</v>
      </c>
      <c r="D191" t="e">
        <f>(VLOOKUP(Games!#REF!, Data!$B$2:$L$135, 3, FALSE)-VLOOKUP(Games!#REF!, Data!$B$2:$L$135, 3, FALSE))*Coefficients!$D$2</f>
        <v>#REF!</v>
      </c>
      <c r="E191" t="e">
        <f>(VLOOKUP(Games!#REF!, Data!$B$2:$L$135, 5, FALSE)-VLOOKUP(Games!#REF!, Data!$B$2:$L$135, 5, FALSE))*Coefficients!$E$2</f>
        <v>#REF!</v>
      </c>
      <c r="F191" t="e">
        <f>(VLOOKUP(Games!#REF!, Data!$B$2:$L$135, 6, FALSE)-VLOOKUP(Games!#REF!, Data!$B$2:$L$135, 6, FALSE))*Coefficients!$F$2</f>
        <v>#REF!</v>
      </c>
      <c r="G191" t="e">
        <f>(VLOOKUP(Games!#REF!, Data!$B$2:$L$135, 7, FALSE)-VLOOKUP(Games!#REF!, Data!$B$2:$L$135, 7, FALSE))*Coefficients!$G$2</f>
        <v>#REF!</v>
      </c>
      <c r="H191" t="e">
        <f>(VLOOKUP(Games!#REF!, Data!$B$2:$L$135, 8, FALSE)-VLOOKUP(Games!#REF!, Data!$B$2:$L$135, 8, FALSE))*Coefficients!$H$2</f>
        <v>#REF!</v>
      </c>
      <c r="I191" t="e">
        <f>(VLOOKUP(Games!#REF!, Data!$B$2:$L$135, 9, FALSE)-VLOOKUP(Games!#REF!, Data!$B$2:$L$135, 9, FALSE))*Coefficients!$I$2</f>
        <v>#REF!</v>
      </c>
      <c r="J191" t="e">
        <f>IF(ISBLANK(Data!K191), Games!#REF!-Games!#REF!,VLOOKUP(Games!#REF!, Data!$B$2:$L$135, 10, FALSE)-VLOOKUP(Games!#REF!, Data!$B$2:$L$135, 10, FALSE))*Coefficients!$J$2</f>
        <v>#REF!</v>
      </c>
      <c r="K191" t="e">
        <f>(IF(AND(VLOOKUP(Games!#REF!, Data!$B$2:$L$135, 11, FALSE)=1, VLOOKUP(Games!#REF!, Data!$B$2:$L$135, 11, FALSE)&lt;&gt;1), 1,0))*Coefficients!K$2</f>
        <v>#REF!</v>
      </c>
      <c r="L191" t="e">
        <f>(IF(AND(VLOOKUP(Games!#REF!, Data!$B$2:$L$135, 11, FALSE)&lt;&gt;1, VLOOKUP(Games!#REF!, Data!$B$2:$L$135, 11, FALSE)=1), 1,0))*Coefficients!L$2</f>
        <v>#REF!</v>
      </c>
      <c r="O191" t="e">
        <f t="shared" si="3"/>
        <v>#REF!</v>
      </c>
    </row>
    <row r="192">
      <c r="A192" t="n">
        <f>Coefficients!$A$2</f>
        <v>-3.7765953152866998</v>
      </c>
      <c r="B192" t="e">
        <f>(Games!#REF!)*(-1*Coefficients!$B$2)</f>
        <v>#REF!</v>
      </c>
      <c r="C192" t="e">
        <f>(VLOOKUP(Games!#REF!, Data!$B$2:$L$135, 4, FALSE)-VLOOKUP(Games!#REF!, Data!$B$2:$L$135, 4, FALSE))*Coefficients!$C$2</f>
        <v>#REF!</v>
      </c>
      <c r="D192" t="e">
        <f>(VLOOKUP(Games!#REF!, Data!$B$2:$L$135, 3, FALSE)-VLOOKUP(Games!#REF!, Data!$B$2:$L$135, 3, FALSE))*Coefficients!$D$2</f>
        <v>#REF!</v>
      </c>
      <c r="E192" t="e">
        <f>(VLOOKUP(Games!#REF!, Data!$B$2:$L$135, 5, FALSE)-VLOOKUP(Games!#REF!, Data!$B$2:$L$135, 5, FALSE))*Coefficients!$E$2</f>
        <v>#REF!</v>
      </c>
      <c r="F192" t="e">
        <f>(VLOOKUP(Games!#REF!, Data!$B$2:$L$135, 6, FALSE)-VLOOKUP(Games!#REF!, Data!$B$2:$L$135, 6, FALSE))*Coefficients!$F$2</f>
        <v>#REF!</v>
      </c>
      <c r="G192" t="e">
        <f>(VLOOKUP(Games!#REF!, Data!$B$2:$L$135, 7, FALSE)-VLOOKUP(Games!#REF!, Data!$B$2:$L$135, 7, FALSE))*Coefficients!$G$2</f>
        <v>#REF!</v>
      </c>
      <c r="H192" t="e">
        <f>(VLOOKUP(Games!#REF!, Data!$B$2:$L$135, 8, FALSE)-VLOOKUP(Games!#REF!, Data!$B$2:$L$135, 8, FALSE))*Coefficients!$H$2</f>
        <v>#REF!</v>
      </c>
      <c r="I192" t="e">
        <f>(VLOOKUP(Games!#REF!, Data!$B$2:$L$135, 9, FALSE)-VLOOKUP(Games!#REF!, Data!$B$2:$L$135, 9, FALSE))*Coefficients!$I$2</f>
        <v>#REF!</v>
      </c>
      <c r="J192" t="e">
        <f>IF(ISBLANK(Data!K192), Games!#REF!-Games!#REF!,VLOOKUP(Games!#REF!, Data!$B$2:$L$135, 10, FALSE)-VLOOKUP(Games!#REF!, Data!$B$2:$L$135, 10, FALSE))*Coefficients!$J$2</f>
        <v>#REF!</v>
      </c>
      <c r="K192" t="e">
        <f>(IF(AND(VLOOKUP(Games!#REF!, Data!$B$2:$L$135, 11, FALSE)=1, VLOOKUP(Games!#REF!, Data!$B$2:$L$135, 11, FALSE)&lt;&gt;1), 1,0))*Coefficients!K$2</f>
        <v>#REF!</v>
      </c>
      <c r="L192" t="e">
        <f>(IF(AND(VLOOKUP(Games!#REF!, Data!$B$2:$L$135, 11, FALSE)&lt;&gt;1, VLOOKUP(Games!#REF!, Data!$B$2:$L$135, 11, FALSE)=1), 1,0))*Coefficients!L$2</f>
        <v>#REF!</v>
      </c>
      <c r="O192" t="e">
        <f t="shared" si="3"/>
        <v>#REF!</v>
      </c>
    </row>
    <row r="193">
      <c r="A193" t="n">
        <f>Coefficients!$A$2</f>
        <v>-3.7765953152866998</v>
      </c>
      <c r="B193" t="e">
        <f>(Games!#REF!)*(-1*Coefficients!$B$2)</f>
        <v>#REF!</v>
      </c>
      <c r="C193" t="e">
        <f>(VLOOKUP(Games!#REF!, Data!$B$2:$L$135, 4, FALSE)-VLOOKUP(Games!#REF!, Data!$B$2:$L$135, 4, FALSE))*Coefficients!$C$2</f>
        <v>#REF!</v>
      </c>
      <c r="D193" t="e">
        <f>(VLOOKUP(Games!#REF!, Data!$B$2:$L$135, 3, FALSE)-VLOOKUP(Games!#REF!, Data!$B$2:$L$135, 3, FALSE))*Coefficients!$D$2</f>
        <v>#REF!</v>
      </c>
      <c r="E193" t="e">
        <f>(VLOOKUP(Games!#REF!, Data!$B$2:$L$135, 5, FALSE)-VLOOKUP(Games!#REF!, Data!$B$2:$L$135, 5, FALSE))*Coefficients!$E$2</f>
        <v>#REF!</v>
      </c>
      <c r="F193" t="e">
        <f>(VLOOKUP(Games!#REF!, Data!$B$2:$L$135, 6, FALSE)-VLOOKUP(Games!#REF!, Data!$B$2:$L$135, 6, FALSE))*Coefficients!$F$2</f>
        <v>#REF!</v>
      </c>
      <c r="G193" t="e">
        <f>(VLOOKUP(Games!#REF!, Data!$B$2:$L$135, 7, FALSE)-VLOOKUP(Games!#REF!, Data!$B$2:$L$135, 7, FALSE))*Coefficients!$G$2</f>
        <v>#REF!</v>
      </c>
      <c r="H193" t="e">
        <f>(VLOOKUP(Games!#REF!, Data!$B$2:$L$135, 8, FALSE)-VLOOKUP(Games!#REF!, Data!$B$2:$L$135, 8, FALSE))*Coefficients!$H$2</f>
        <v>#REF!</v>
      </c>
      <c r="I193" t="e">
        <f>(VLOOKUP(Games!#REF!, Data!$B$2:$L$135, 9, FALSE)-VLOOKUP(Games!#REF!, Data!$B$2:$L$135, 9, FALSE))*Coefficients!$I$2</f>
        <v>#REF!</v>
      </c>
      <c r="J193" t="e">
        <f>IF(ISBLANK(Data!K193), Games!#REF!-Games!#REF!,VLOOKUP(Games!#REF!, Data!$B$2:$L$135, 10, FALSE)-VLOOKUP(Games!#REF!, Data!$B$2:$L$135, 10, FALSE))*Coefficients!$J$2</f>
        <v>#REF!</v>
      </c>
      <c r="K193" t="e">
        <f>(IF(AND(VLOOKUP(Games!#REF!, Data!$B$2:$L$135, 11, FALSE)=1, VLOOKUP(Games!#REF!, Data!$B$2:$L$135, 11, FALSE)&lt;&gt;1), 1,0))*Coefficients!K$2</f>
        <v>#REF!</v>
      </c>
      <c r="L193" t="e">
        <f>(IF(AND(VLOOKUP(Games!#REF!, Data!$B$2:$L$135, 11, FALSE)&lt;&gt;1, VLOOKUP(Games!#REF!, Data!$B$2:$L$135, 11, FALSE)=1), 1,0))*Coefficients!L$2</f>
        <v>#REF!</v>
      </c>
      <c r="O193" t="e">
        <f t="shared" si="3"/>
        <v>#REF!</v>
      </c>
    </row>
    <row r="194">
      <c r="A194" t="n">
        <f>Coefficients!$A$2</f>
        <v>-3.7765953152866998</v>
      </c>
      <c r="B194" t="e">
        <f>(Games!#REF!)*(-1*Coefficients!$B$2)</f>
        <v>#REF!</v>
      </c>
      <c r="C194" t="e">
        <f>(VLOOKUP(Games!#REF!, Data!$B$2:$L$135, 4, FALSE)-VLOOKUP(Games!#REF!, Data!$B$2:$L$135, 4, FALSE))*Coefficients!$C$2</f>
        <v>#REF!</v>
      </c>
      <c r="D194" t="e">
        <f>(VLOOKUP(Games!#REF!, Data!$B$2:$L$135, 3, FALSE)-VLOOKUP(Games!#REF!, Data!$B$2:$L$135, 3, FALSE))*Coefficients!$D$2</f>
        <v>#REF!</v>
      </c>
      <c r="E194" t="e">
        <f>(VLOOKUP(Games!#REF!, Data!$B$2:$L$135, 5, FALSE)-VLOOKUP(Games!#REF!, Data!$B$2:$L$135, 5, FALSE))*Coefficients!$E$2</f>
        <v>#REF!</v>
      </c>
      <c r="F194" t="e">
        <f>(VLOOKUP(Games!#REF!, Data!$B$2:$L$135, 6, FALSE)-VLOOKUP(Games!#REF!, Data!$B$2:$L$135, 6, FALSE))*Coefficients!$F$2</f>
        <v>#REF!</v>
      </c>
      <c r="G194" t="e">
        <f>(VLOOKUP(Games!#REF!, Data!$B$2:$L$135, 7, FALSE)-VLOOKUP(Games!#REF!, Data!$B$2:$L$135, 7, FALSE))*Coefficients!$G$2</f>
        <v>#REF!</v>
      </c>
      <c r="H194" t="e">
        <f>(VLOOKUP(Games!#REF!, Data!$B$2:$L$135, 8, FALSE)-VLOOKUP(Games!#REF!, Data!$B$2:$L$135, 8, FALSE))*Coefficients!$H$2</f>
        <v>#REF!</v>
      </c>
      <c r="I194" t="e">
        <f>(VLOOKUP(Games!#REF!, Data!$B$2:$L$135, 9, FALSE)-VLOOKUP(Games!#REF!, Data!$B$2:$L$135, 9, FALSE))*Coefficients!$I$2</f>
        <v>#REF!</v>
      </c>
      <c r="J194" t="e">
        <f>IF(ISBLANK(Data!K194), Games!#REF!-Games!#REF!,VLOOKUP(Games!#REF!, Data!$B$2:$L$135, 10, FALSE)-VLOOKUP(Games!#REF!, Data!$B$2:$L$135, 10, FALSE))*Coefficients!$J$2</f>
        <v>#REF!</v>
      </c>
      <c r="K194" t="e">
        <f>(IF(AND(VLOOKUP(Games!#REF!, Data!$B$2:$L$135, 11, FALSE)=1, VLOOKUP(Games!#REF!, Data!$B$2:$L$135, 11, FALSE)&lt;&gt;1), 1,0))*Coefficients!K$2</f>
        <v>#REF!</v>
      </c>
      <c r="L194" t="e">
        <f>(IF(AND(VLOOKUP(Games!#REF!, Data!$B$2:$L$135, 11, FALSE)&lt;&gt;1, VLOOKUP(Games!#REF!, Data!$B$2:$L$135, 11, FALSE)=1), 1,0))*Coefficients!L$2</f>
        <v>#REF!</v>
      </c>
      <c r="O194" t="e">
        <f t="shared" si="3"/>
        <v>#REF!</v>
      </c>
    </row>
    <row r="195">
      <c r="A195" t="n">
        <f>Coefficients!$A$2</f>
        <v>-3.7765953152866998</v>
      </c>
      <c r="B195" t="e">
        <f>(Games!#REF!)*(-1*Coefficients!$B$2)</f>
        <v>#REF!</v>
      </c>
      <c r="C195" t="e">
        <f>(VLOOKUP(Games!#REF!, Data!$B$2:$L$135, 4, FALSE)-VLOOKUP(Games!#REF!, Data!$B$2:$L$135, 4, FALSE))*Coefficients!$C$2</f>
        <v>#REF!</v>
      </c>
      <c r="D195" t="e">
        <f>(VLOOKUP(Games!#REF!, Data!$B$2:$L$135, 3, FALSE)-VLOOKUP(Games!#REF!, Data!$B$2:$L$135, 3, FALSE))*Coefficients!$D$2</f>
        <v>#REF!</v>
      </c>
      <c r="E195" t="e">
        <f>(VLOOKUP(Games!#REF!, Data!$B$2:$L$135, 5, FALSE)-VLOOKUP(Games!#REF!, Data!$B$2:$L$135, 5, FALSE))*Coefficients!$E$2</f>
        <v>#REF!</v>
      </c>
      <c r="F195" t="e">
        <f>(VLOOKUP(Games!#REF!, Data!$B$2:$L$135, 6, FALSE)-VLOOKUP(Games!#REF!, Data!$B$2:$L$135, 6, FALSE))*Coefficients!$F$2</f>
        <v>#REF!</v>
      </c>
      <c r="G195" t="e">
        <f>(VLOOKUP(Games!#REF!, Data!$B$2:$L$135, 7, FALSE)-VLOOKUP(Games!#REF!, Data!$B$2:$L$135, 7, FALSE))*Coefficients!$G$2</f>
        <v>#REF!</v>
      </c>
      <c r="H195" t="e">
        <f>(VLOOKUP(Games!#REF!, Data!$B$2:$L$135, 8, FALSE)-VLOOKUP(Games!#REF!, Data!$B$2:$L$135, 8, FALSE))*Coefficients!$H$2</f>
        <v>#REF!</v>
      </c>
      <c r="I195" t="e">
        <f>(VLOOKUP(Games!#REF!, Data!$B$2:$L$135, 9, FALSE)-VLOOKUP(Games!#REF!, Data!$B$2:$L$135, 9, FALSE))*Coefficients!$I$2</f>
        <v>#REF!</v>
      </c>
      <c r="J195" t="e">
        <f>IF(ISBLANK(Data!K195), Games!#REF!-Games!#REF!,VLOOKUP(Games!#REF!, Data!$B$2:$L$135, 10, FALSE)-VLOOKUP(Games!#REF!, Data!$B$2:$L$135, 10, FALSE))*Coefficients!$J$2</f>
        <v>#REF!</v>
      </c>
      <c r="K195" t="e">
        <f>(IF(AND(VLOOKUP(Games!#REF!, Data!$B$2:$L$135, 11, FALSE)=1, VLOOKUP(Games!#REF!, Data!$B$2:$L$135, 11, FALSE)&lt;&gt;1), 1,0))*Coefficients!K$2</f>
        <v>#REF!</v>
      </c>
      <c r="L195" t="e">
        <f>(IF(AND(VLOOKUP(Games!#REF!, Data!$B$2:$L$135, 11, FALSE)&lt;&gt;1, VLOOKUP(Games!#REF!, Data!$B$2:$L$135, 11, FALSE)=1), 1,0))*Coefficients!L$2</f>
        <v>#REF!</v>
      </c>
      <c r="O195" t="e">
        <f t="shared" ref="O195:O258" si="4">SUM(A195:L195)</f>
        <v>#REF!</v>
      </c>
    </row>
    <row r="196">
      <c r="A196" t="n">
        <f>Coefficients!$A$2</f>
        <v>-3.7765953152866998</v>
      </c>
      <c r="B196" t="e">
        <f>(Games!#REF!)*(-1*Coefficients!$B$2)</f>
        <v>#REF!</v>
      </c>
      <c r="C196" t="e">
        <f>(VLOOKUP(Games!#REF!, Data!$B$2:$L$135, 4, FALSE)-VLOOKUP(Games!#REF!, Data!$B$2:$L$135, 4, FALSE))*Coefficients!$C$2</f>
        <v>#REF!</v>
      </c>
      <c r="D196" t="e">
        <f>(VLOOKUP(Games!#REF!, Data!$B$2:$L$135, 3, FALSE)-VLOOKUP(Games!#REF!, Data!$B$2:$L$135, 3, FALSE))*Coefficients!$D$2</f>
        <v>#REF!</v>
      </c>
      <c r="E196" t="e">
        <f>(VLOOKUP(Games!#REF!, Data!$B$2:$L$135, 5, FALSE)-VLOOKUP(Games!#REF!, Data!$B$2:$L$135, 5, FALSE))*Coefficients!$E$2</f>
        <v>#REF!</v>
      </c>
      <c r="F196" t="e">
        <f>(VLOOKUP(Games!#REF!, Data!$B$2:$L$135, 6, FALSE)-VLOOKUP(Games!#REF!, Data!$B$2:$L$135, 6, FALSE))*Coefficients!$F$2</f>
        <v>#REF!</v>
      </c>
      <c r="G196" t="e">
        <f>(VLOOKUP(Games!#REF!, Data!$B$2:$L$135, 7, FALSE)-VLOOKUP(Games!#REF!, Data!$B$2:$L$135, 7, FALSE))*Coefficients!$G$2</f>
        <v>#REF!</v>
      </c>
      <c r="H196" t="e">
        <f>(VLOOKUP(Games!#REF!, Data!$B$2:$L$135, 8, FALSE)-VLOOKUP(Games!#REF!, Data!$B$2:$L$135, 8, FALSE))*Coefficients!$H$2</f>
        <v>#REF!</v>
      </c>
      <c r="I196" t="e">
        <f>(VLOOKUP(Games!#REF!, Data!$B$2:$L$135, 9, FALSE)-VLOOKUP(Games!#REF!, Data!$B$2:$L$135, 9, FALSE))*Coefficients!$I$2</f>
        <v>#REF!</v>
      </c>
      <c r="J196" t="e">
        <f>IF(ISBLANK(Data!K196), Games!#REF!-Games!#REF!,VLOOKUP(Games!#REF!, Data!$B$2:$L$135, 10, FALSE)-VLOOKUP(Games!#REF!, Data!$B$2:$L$135, 10, FALSE))*Coefficients!$J$2</f>
        <v>#REF!</v>
      </c>
      <c r="K196" t="e">
        <f>(IF(AND(VLOOKUP(Games!#REF!, Data!$B$2:$L$135, 11, FALSE)=1, VLOOKUP(Games!#REF!, Data!$B$2:$L$135, 11, FALSE)&lt;&gt;1), 1,0))*Coefficients!K$2</f>
        <v>#REF!</v>
      </c>
      <c r="L196" t="e">
        <f>(IF(AND(VLOOKUP(Games!#REF!, Data!$B$2:$L$135, 11, FALSE)&lt;&gt;1, VLOOKUP(Games!#REF!, Data!$B$2:$L$135, 11, FALSE)=1), 1,0))*Coefficients!L$2</f>
        <v>#REF!</v>
      </c>
      <c r="O196" t="e">
        <f t="shared" si="4"/>
        <v>#REF!</v>
      </c>
    </row>
    <row r="197">
      <c r="A197" t="n">
        <f>Coefficients!$A$2</f>
        <v>-3.7765953152866998</v>
      </c>
      <c r="B197" t="e">
        <f>(Games!#REF!)*(-1*Coefficients!$B$2)</f>
        <v>#REF!</v>
      </c>
      <c r="C197" t="e">
        <f>(VLOOKUP(Games!#REF!, Data!$B$2:$L$135, 4, FALSE)-VLOOKUP(Games!#REF!, Data!$B$2:$L$135, 4, FALSE))*Coefficients!$C$2</f>
        <v>#REF!</v>
      </c>
      <c r="D197" t="e">
        <f>(VLOOKUP(Games!#REF!, Data!$B$2:$L$135, 3, FALSE)-VLOOKUP(Games!#REF!, Data!$B$2:$L$135, 3, FALSE))*Coefficients!$D$2</f>
        <v>#REF!</v>
      </c>
      <c r="E197" t="e">
        <f>(VLOOKUP(Games!#REF!, Data!$B$2:$L$135, 5, FALSE)-VLOOKUP(Games!#REF!, Data!$B$2:$L$135, 5, FALSE))*Coefficients!$E$2</f>
        <v>#REF!</v>
      </c>
      <c r="F197" t="e">
        <f>(VLOOKUP(Games!#REF!, Data!$B$2:$L$135, 6, FALSE)-VLOOKUP(Games!#REF!, Data!$B$2:$L$135, 6, FALSE))*Coefficients!$F$2</f>
        <v>#REF!</v>
      </c>
      <c r="G197" t="e">
        <f>(VLOOKUP(Games!#REF!, Data!$B$2:$L$135, 7, FALSE)-VLOOKUP(Games!#REF!, Data!$B$2:$L$135, 7, FALSE))*Coefficients!$G$2</f>
        <v>#REF!</v>
      </c>
      <c r="H197" t="e">
        <f>(VLOOKUP(Games!#REF!, Data!$B$2:$L$135, 8, FALSE)-VLOOKUP(Games!#REF!, Data!$B$2:$L$135, 8, FALSE))*Coefficients!$H$2</f>
        <v>#REF!</v>
      </c>
      <c r="I197" t="e">
        <f>(VLOOKUP(Games!#REF!, Data!$B$2:$L$135, 9, FALSE)-VLOOKUP(Games!#REF!, Data!$B$2:$L$135, 9, FALSE))*Coefficients!$I$2</f>
        <v>#REF!</v>
      </c>
      <c r="J197" t="e">
        <f>IF(ISBLANK(Data!K197), Games!#REF!-Games!#REF!,VLOOKUP(Games!#REF!, Data!$B$2:$L$135, 10, FALSE)-VLOOKUP(Games!#REF!, Data!$B$2:$L$135, 10, FALSE))*Coefficients!$J$2</f>
        <v>#REF!</v>
      </c>
      <c r="K197" t="e">
        <f>(IF(AND(VLOOKUP(Games!#REF!, Data!$B$2:$L$135, 11, FALSE)=1, VLOOKUP(Games!#REF!, Data!$B$2:$L$135, 11, FALSE)&lt;&gt;1), 1,0))*Coefficients!K$2</f>
        <v>#REF!</v>
      </c>
      <c r="L197" t="e">
        <f>(IF(AND(VLOOKUP(Games!#REF!, Data!$B$2:$L$135, 11, FALSE)&lt;&gt;1, VLOOKUP(Games!#REF!, Data!$B$2:$L$135, 11, FALSE)=1), 1,0))*Coefficients!L$2</f>
        <v>#REF!</v>
      </c>
      <c r="O197" t="e">
        <f t="shared" si="4"/>
        <v>#REF!</v>
      </c>
    </row>
    <row r="198">
      <c r="A198" t="n">
        <f>Coefficients!$A$2</f>
        <v>-3.7765953152866998</v>
      </c>
      <c r="B198" t="e">
        <f>(Games!#REF!)*(-1*Coefficients!$B$2)</f>
        <v>#REF!</v>
      </c>
      <c r="C198" t="e">
        <f>(VLOOKUP(Games!#REF!, Data!$B$2:$L$135, 4, FALSE)-VLOOKUP(Games!#REF!, Data!$B$2:$L$135, 4, FALSE))*Coefficients!$C$2</f>
        <v>#REF!</v>
      </c>
      <c r="D198" t="e">
        <f>(VLOOKUP(Games!#REF!, Data!$B$2:$L$135, 3, FALSE)-VLOOKUP(Games!#REF!, Data!$B$2:$L$135, 3, FALSE))*Coefficients!$D$2</f>
        <v>#REF!</v>
      </c>
      <c r="E198" t="e">
        <f>(VLOOKUP(Games!#REF!, Data!$B$2:$L$135, 5, FALSE)-VLOOKUP(Games!#REF!, Data!$B$2:$L$135, 5, FALSE))*Coefficients!$E$2</f>
        <v>#REF!</v>
      </c>
      <c r="F198" t="e">
        <f>(VLOOKUP(Games!#REF!, Data!$B$2:$L$135, 6, FALSE)-VLOOKUP(Games!#REF!, Data!$B$2:$L$135, 6, FALSE))*Coefficients!$F$2</f>
        <v>#REF!</v>
      </c>
      <c r="G198" t="e">
        <f>(VLOOKUP(Games!#REF!, Data!$B$2:$L$135, 7, FALSE)-VLOOKUP(Games!#REF!, Data!$B$2:$L$135, 7, FALSE))*Coefficients!$G$2</f>
        <v>#REF!</v>
      </c>
      <c r="H198" t="e">
        <f>(VLOOKUP(Games!#REF!, Data!$B$2:$L$135, 8, FALSE)-VLOOKUP(Games!#REF!, Data!$B$2:$L$135, 8, FALSE))*Coefficients!$H$2</f>
        <v>#REF!</v>
      </c>
      <c r="I198" t="e">
        <f>(VLOOKUP(Games!#REF!, Data!$B$2:$L$135, 9, FALSE)-VLOOKUP(Games!#REF!, Data!$B$2:$L$135, 9, FALSE))*Coefficients!$I$2</f>
        <v>#REF!</v>
      </c>
      <c r="J198" t="e">
        <f>IF(ISBLANK(Data!K198), Games!#REF!-Games!#REF!,VLOOKUP(Games!#REF!, Data!$B$2:$L$135, 10, FALSE)-VLOOKUP(Games!#REF!, Data!$B$2:$L$135, 10, FALSE))*Coefficients!$J$2</f>
        <v>#REF!</v>
      </c>
      <c r="K198" t="e">
        <f>(IF(AND(VLOOKUP(Games!#REF!, Data!$B$2:$L$135, 11, FALSE)=1, VLOOKUP(Games!#REF!, Data!$B$2:$L$135, 11, FALSE)&lt;&gt;1), 1,0))*Coefficients!K$2</f>
        <v>#REF!</v>
      </c>
      <c r="L198" t="e">
        <f>(IF(AND(VLOOKUP(Games!#REF!, Data!$B$2:$L$135, 11, FALSE)&lt;&gt;1, VLOOKUP(Games!#REF!, Data!$B$2:$L$135, 11, FALSE)=1), 1,0))*Coefficients!L$2</f>
        <v>#REF!</v>
      </c>
      <c r="O198" t="e">
        <f t="shared" si="4"/>
        <v>#REF!</v>
      </c>
    </row>
    <row r="199">
      <c r="A199" t="n">
        <f>Coefficients!$A$2</f>
        <v>-3.7765953152866998</v>
      </c>
      <c r="B199" t="e">
        <f>(Games!#REF!)*(-1*Coefficients!$B$2)</f>
        <v>#REF!</v>
      </c>
      <c r="C199" t="e">
        <f>(VLOOKUP(Games!#REF!, Data!$B$2:$L$135, 4, FALSE)-VLOOKUP(Games!#REF!, Data!$B$2:$L$135, 4, FALSE))*Coefficients!$C$2</f>
        <v>#REF!</v>
      </c>
      <c r="D199" t="e">
        <f>(VLOOKUP(Games!#REF!, Data!$B$2:$L$135, 3, FALSE)-VLOOKUP(Games!#REF!, Data!$B$2:$L$135, 3, FALSE))*Coefficients!$D$2</f>
        <v>#REF!</v>
      </c>
      <c r="E199" t="e">
        <f>(VLOOKUP(Games!#REF!, Data!$B$2:$L$135, 5, FALSE)-VLOOKUP(Games!#REF!, Data!$B$2:$L$135, 5, FALSE))*Coefficients!$E$2</f>
        <v>#REF!</v>
      </c>
      <c r="F199" t="e">
        <f>(VLOOKUP(Games!#REF!, Data!$B$2:$L$135, 6, FALSE)-VLOOKUP(Games!#REF!, Data!$B$2:$L$135, 6, FALSE))*Coefficients!$F$2</f>
        <v>#REF!</v>
      </c>
      <c r="G199" t="e">
        <f>(VLOOKUP(Games!#REF!, Data!$B$2:$L$135, 7, FALSE)-VLOOKUP(Games!#REF!, Data!$B$2:$L$135, 7, FALSE))*Coefficients!$G$2</f>
        <v>#REF!</v>
      </c>
      <c r="H199" t="e">
        <f>(VLOOKUP(Games!#REF!, Data!$B$2:$L$135, 8, FALSE)-VLOOKUP(Games!#REF!, Data!$B$2:$L$135, 8, FALSE))*Coefficients!$H$2</f>
        <v>#REF!</v>
      </c>
      <c r="I199" t="e">
        <f>(VLOOKUP(Games!#REF!, Data!$B$2:$L$135, 9, FALSE)-VLOOKUP(Games!#REF!, Data!$B$2:$L$135, 9, FALSE))*Coefficients!$I$2</f>
        <v>#REF!</v>
      </c>
      <c r="J199" t="e">
        <f>IF(ISBLANK(Data!K199), Games!#REF!-Games!#REF!,VLOOKUP(Games!#REF!, Data!$B$2:$L$135, 10, FALSE)-VLOOKUP(Games!#REF!, Data!$B$2:$L$135, 10, FALSE))*Coefficients!$J$2</f>
        <v>#REF!</v>
      </c>
      <c r="K199" t="e">
        <f>(IF(AND(VLOOKUP(Games!#REF!, Data!$B$2:$L$135, 11, FALSE)=1, VLOOKUP(Games!#REF!, Data!$B$2:$L$135, 11, FALSE)&lt;&gt;1), 1,0))*Coefficients!K$2</f>
        <v>#REF!</v>
      </c>
      <c r="L199" t="e">
        <f>(IF(AND(VLOOKUP(Games!#REF!, Data!$B$2:$L$135, 11, FALSE)&lt;&gt;1, VLOOKUP(Games!#REF!, Data!$B$2:$L$135, 11, FALSE)=1), 1,0))*Coefficients!L$2</f>
        <v>#REF!</v>
      </c>
      <c r="O199" t="e">
        <f t="shared" si="4"/>
        <v>#REF!</v>
      </c>
    </row>
    <row r="200">
      <c r="A200" t="n">
        <f>Coefficients!$A$2</f>
        <v>-3.7765953152866998</v>
      </c>
      <c r="B200" t="e">
        <f>(Games!#REF!)*(-1*Coefficients!$B$2)</f>
        <v>#REF!</v>
      </c>
      <c r="C200" t="e">
        <f>(VLOOKUP(Games!#REF!, Data!$B$2:$L$135, 4, FALSE)-VLOOKUP(Games!#REF!, Data!$B$2:$L$135, 4, FALSE))*Coefficients!$C$2</f>
        <v>#REF!</v>
      </c>
      <c r="D200" t="e">
        <f>(VLOOKUP(Games!#REF!, Data!$B$2:$L$135, 3, FALSE)-VLOOKUP(Games!#REF!, Data!$B$2:$L$135, 3, FALSE))*Coefficients!$D$2</f>
        <v>#REF!</v>
      </c>
      <c r="E200" t="e">
        <f>(VLOOKUP(Games!#REF!, Data!$B$2:$L$135, 5, FALSE)-VLOOKUP(Games!#REF!, Data!$B$2:$L$135, 5, FALSE))*Coefficients!$E$2</f>
        <v>#REF!</v>
      </c>
      <c r="F200" t="e">
        <f>(VLOOKUP(Games!#REF!, Data!$B$2:$L$135, 6, FALSE)-VLOOKUP(Games!#REF!, Data!$B$2:$L$135, 6, FALSE))*Coefficients!$F$2</f>
        <v>#REF!</v>
      </c>
      <c r="G200" t="e">
        <f>(VLOOKUP(Games!#REF!, Data!$B$2:$L$135, 7, FALSE)-VLOOKUP(Games!#REF!, Data!$B$2:$L$135, 7, FALSE))*Coefficients!$G$2</f>
        <v>#REF!</v>
      </c>
      <c r="H200" t="e">
        <f>(VLOOKUP(Games!#REF!, Data!$B$2:$L$135, 8, FALSE)-VLOOKUP(Games!#REF!, Data!$B$2:$L$135, 8, FALSE))*Coefficients!$H$2</f>
        <v>#REF!</v>
      </c>
      <c r="I200" t="e">
        <f>(VLOOKUP(Games!#REF!, Data!$B$2:$L$135, 9, FALSE)-VLOOKUP(Games!#REF!, Data!$B$2:$L$135, 9, FALSE))*Coefficients!$I$2</f>
        <v>#REF!</v>
      </c>
      <c r="J200" t="e">
        <f>IF(ISBLANK(Data!K200), Games!#REF!-Games!#REF!,VLOOKUP(Games!#REF!, Data!$B$2:$L$135, 10, FALSE)-VLOOKUP(Games!#REF!, Data!$B$2:$L$135, 10, FALSE))*Coefficients!$J$2</f>
        <v>#REF!</v>
      </c>
      <c r="K200" t="e">
        <f>(IF(AND(VLOOKUP(Games!#REF!, Data!$B$2:$L$135, 11, FALSE)=1, VLOOKUP(Games!#REF!, Data!$B$2:$L$135, 11, FALSE)&lt;&gt;1), 1,0))*Coefficients!K$2</f>
        <v>#REF!</v>
      </c>
      <c r="L200" t="e">
        <f>(IF(AND(VLOOKUP(Games!#REF!, Data!$B$2:$L$135, 11, FALSE)&lt;&gt;1, VLOOKUP(Games!#REF!, Data!$B$2:$L$135, 11, FALSE)=1), 1,0))*Coefficients!L$2</f>
        <v>#REF!</v>
      </c>
      <c r="O200" t="e">
        <f t="shared" si="4"/>
        <v>#REF!</v>
      </c>
    </row>
    <row r="201">
      <c r="A201" t="n">
        <f>Coefficients!$A$2</f>
        <v>-3.7765953152866998</v>
      </c>
      <c r="B201" t="e">
        <f>(Games!#REF!)*(-1*Coefficients!$B$2)</f>
        <v>#REF!</v>
      </c>
      <c r="C201" t="e">
        <f>(VLOOKUP(Games!#REF!, Data!$B$2:$L$135, 4, FALSE)-VLOOKUP(Games!#REF!, Data!$B$2:$L$135, 4, FALSE))*Coefficients!$C$2</f>
        <v>#REF!</v>
      </c>
      <c r="D201" t="e">
        <f>(VLOOKUP(Games!#REF!, Data!$B$2:$L$135, 3, FALSE)-VLOOKUP(Games!#REF!, Data!$B$2:$L$135, 3, FALSE))*Coefficients!$D$2</f>
        <v>#REF!</v>
      </c>
      <c r="E201" t="e">
        <f>(VLOOKUP(Games!#REF!, Data!$B$2:$L$135, 5, FALSE)-VLOOKUP(Games!#REF!, Data!$B$2:$L$135, 5, FALSE))*Coefficients!$E$2</f>
        <v>#REF!</v>
      </c>
      <c r="F201" t="e">
        <f>(VLOOKUP(Games!#REF!, Data!$B$2:$L$135, 6, FALSE)-VLOOKUP(Games!#REF!, Data!$B$2:$L$135, 6, FALSE))*Coefficients!$F$2</f>
        <v>#REF!</v>
      </c>
      <c r="G201" t="e">
        <f>(VLOOKUP(Games!#REF!, Data!$B$2:$L$135, 7, FALSE)-VLOOKUP(Games!#REF!, Data!$B$2:$L$135, 7, FALSE))*Coefficients!$G$2</f>
        <v>#REF!</v>
      </c>
      <c r="H201" t="e">
        <f>(VLOOKUP(Games!#REF!, Data!$B$2:$L$135, 8, FALSE)-VLOOKUP(Games!#REF!, Data!$B$2:$L$135, 8, FALSE))*Coefficients!$H$2</f>
        <v>#REF!</v>
      </c>
      <c r="I201" t="e">
        <f>(VLOOKUP(Games!#REF!, Data!$B$2:$L$135, 9, FALSE)-VLOOKUP(Games!#REF!, Data!$B$2:$L$135, 9, FALSE))*Coefficients!$I$2</f>
        <v>#REF!</v>
      </c>
      <c r="J201" t="e">
        <f>IF(ISBLANK(Data!K201), Games!#REF!-Games!#REF!,VLOOKUP(Games!#REF!, Data!$B$2:$L$135, 10, FALSE)-VLOOKUP(Games!#REF!, Data!$B$2:$L$135, 10, FALSE))*Coefficients!$J$2</f>
        <v>#REF!</v>
      </c>
      <c r="K201" t="e">
        <f>(IF(AND(VLOOKUP(Games!#REF!, Data!$B$2:$L$135, 11, FALSE)=1, VLOOKUP(Games!#REF!, Data!$B$2:$L$135, 11, FALSE)&lt;&gt;1), 1,0))*Coefficients!K$2</f>
        <v>#REF!</v>
      </c>
      <c r="L201" t="e">
        <f>(IF(AND(VLOOKUP(Games!#REF!, Data!$B$2:$L$135, 11, FALSE)&lt;&gt;1, VLOOKUP(Games!#REF!, Data!$B$2:$L$135, 11, FALSE)=1), 1,0))*Coefficients!L$2</f>
        <v>#REF!</v>
      </c>
      <c r="O201" t="e">
        <f t="shared" si="4"/>
        <v>#REF!</v>
      </c>
    </row>
    <row r="202">
      <c r="A202" t="n">
        <f>Coefficients!$A$2</f>
        <v>-3.7765953152866998</v>
      </c>
      <c r="B202" t="e">
        <f>(Games!#REF!)*(-1*Coefficients!$B$2)</f>
        <v>#REF!</v>
      </c>
      <c r="C202" t="e">
        <f>(VLOOKUP(Games!#REF!, Data!$B$2:$L$135, 4, FALSE)-VLOOKUP(Games!#REF!, Data!$B$2:$L$135, 4, FALSE))*Coefficients!$C$2</f>
        <v>#REF!</v>
      </c>
      <c r="D202" t="e">
        <f>(VLOOKUP(Games!#REF!, Data!$B$2:$L$135, 3, FALSE)-VLOOKUP(Games!#REF!, Data!$B$2:$L$135, 3, FALSE))*Coefficients!$D$2</f>
        <v>#REF!</v>
      </c>
      <c r="E202" t="e">
        <f>(VLOOKUP(Games!#REF!, Data!$B$2:$L$135, 5, FALSE)-VLOOKUP(Games!#REF!, Data!$B$2:$L$135, 5, FALSE))*Coefficients!$E$2</f>
        <v>#REF!</v>
      </c>
      <c r="F202" t="e">
        <f>(VLOOKUP(Games!#REF!, Data!$B$2:$L$135, 6, FALSE)-VLOOKUP(Games!#REF!, Data!$B$2:$L$135, 6, FALSE))*Coefficients!$F$2</f>
        <v>#REF!</v>
      </c>
      <c r="G202" t="e">
        <f>(VLOOKUP(Games!#REF!, Data!$B$2:$L$135, 7, FALSE)-VLOOKUP(Games!#REF!, Data!$B$2:$L$135, 7, FALSE))*Coefficients!$G$2</f>
        <v>#REF!</v>
      </c>
      <c r="H202" t="e">
        <f>(VLOOKUP(Games!#REF!, Data!$B$2:$L$135, 8, FALSE)-VLOOKUP(Games!#REF!, Data!$B$2:$L$135, 8, FALSE))*Coefficients!$H$2</f>
        <v>#REF!</v>
      </c>
      <c r="I202" t="e">
        <f>(VLOOKUP(Games!#REF!, Data!$B$2:$L$135, 9, FALSE)-VLOOKUP(Games!#REF!, Data!$B$2:$L$135, 9, FALSE))*Coefficients!$I$2</f>
        <v>#REF!</v>
      </c>
      <c r="J202" t="e">
        <f>IF(ISBLANK(Data!K202), Games!#REF!-Games!#REF!,VLOOKUP(Games!#REF!, Data!$B$2:$L$135, 10, FALSE)-VLOOKUP(Games!#REF!, Data!$B$2:$L$135, 10, FALSE))*Coefficients!$J$2</f>
        <v>#REF!</v>
      </c>
      <c r="K202" t="e">
        <f>(IF(AND(VLOOKUP(Games!#REF!, Data!$B$2:$L$135, 11, FALSE)=1, VLOOKUP(Games!#REF!, Data!$B$2:$L$135, 11, FALSE)&lt;&gt;1), 1,0))*Coefficients!K$2</f>
        <v>#REF!</v>
      </c>
      <c r="L202" t="e">
        <f>(IF(AND(VLOOKUP(Games!#REF!, Data!$B$2:$L$135, 11, FALSE)&lt;&gt;1, VLOOKUP(Games!#REF!, Data!$B$2:$L$135, 11, FALSE)=1), 1,0))*Coefficients!L$2</f>
        <v>#REF!</v>
      </c>
      <c r="O202" t="e">
        <f t="shared" si="4"/>
        <v>#REF!</v>
      </c>
    </row>
    <row r="203">
      <c r="A203" t="n">
        <f>Coefficients!$A$2</f>
        <v>-3.7765953152866998</v>
      </c>
      <c r="B203" t="e">
        <f>(Games!#REF!)*(-1*Coefficients!$B$2)</f>
        <v>#REF!</v>
      </c>
      <c r="C203" t="e">
        <f>(VLOOKUP(Games!#REF!, Data!$B$2:$L$135, 4, FALSE)-VLOOKUP(Games!#REF!, Data!$B$2:$L$135, 4, FALSE))*Coefficients!$C$2</f>
        <v>#REF!</v>
      </c>
      <c r="D203" t="e">
        <f>(VLOOKUP(Games!#REF!, Data!$B$2:$L$135, 3, FALSE)-VLOOKUP(Games!#REF!, Data!$B$2:$L$135, 3, FALSE))*Coefficients!$D$2</f>
        <v>#REF!</v>
      </c>
      <c r="E203" t="e">
        <f>(VLOOKUP(Games!#REF!, Data!$B$2:$L$135, 5, FALSE)-VLOOKUP(Games!#REF!, Data!$B$2:$L$135, 5, FALSE))*Coefficients!$E$2</f>
        <v>#REF!</v>
      </c>
      <c r="F203" t="e">
        <f>(VLOOKUP(Games!#REF!, Data!$B$2:$L$135, 6, FALSE)-VLOOKUP(Games!#REF!, Data!$B$2:$L$135, 6, FALSE))*Coefficients!$F$2</f>
        <v>#REF!</v>
      </c>
      <c r="G203" t="e">
        <f>(VLOOKUP(Games!#REF!, Data!$B$2:$L$135, 7, FALSE)-VLOOKUP(Games!#REF!, Data!$B$2:$L$135, 7, FALSE))*Coefficients!$G$2</f>
        <v>#REF!</v>
      </c>
      <c r="H203" t="e">
        <f>(VLOOKUP(Games!#REF!, Data!$B$2:$L$135, 8, FALSE)-VLOOKUP(Games!#REF!, Data!$B$2:$L$135, 8, FALSE))*Coefficients!$H$2</f>
        <v>#REF!</v>
      </c>
      <c r="I203" t="e">
        <f>(VLOOKUP(Games!#REF!, Data!$B$2:$L$135, 9, FALSE)-VLOOKUP(Games!#REF!, Data!$B$2:$L$135, 9, FALSE))*Coefficients!$I$2</f>
        <v>#REF!</v>
      </c>
      <c r="J203" t="e">
        <f>IF(ISBLANK(Data!K203), Games!#REF!-Games!#REF!,VLOOKUP(Games!#REF!, Data!$B$2:$L$135, 10, FALSE)-VLOOKUP(Games!#REF!, Data!$B$2:$L$135, 10, FALSE))*Coefficients!$J$2</f>
        <v>#REF!</v>
      </c>
      <c r="K203" t="e">
        <f>(IF(AND(VLOOKUP(Games!#REF!, Data!$B$2:$L$135, 11, FALSE)=1, VLOOKUP(Games!#REF!, Data!$B$2:$L$135, 11, FALSE)&lt;&gt;1), 1,0))*Coefficients!K$2</f>
        <v>#REF!</v>
      </c>
      <c r="L203" t="e">
        <f>(IF(AND(VLOOKUP(Games!#REF!, Data!$B$2:$L$135, 11, FALSE)&lt;&gt;1, VLOOKUP(Games!#REF!, Data!$B$2:$L$135, 11, FALSE)=1), 1,0))*Coefficients!L$2</f>
        <v>#REF!</v>
      </c>
      <c r="O203" t="e">
        <f t="shared" si="4"/>
        <v>#REF!</v>
      </c>
    </row>
    <row r="204">
      <c r="A204" t="n">
        <f>Coefficients!$A$2</f>
        <v>-3.7765953152866998</v>
      </c>
      <c r="B204" t="e">
        <f>(Games!#REF!)*(-1*Coefficients!$B$2)</f>
        <v>#REF!</v>
      </c>
      <c r="C204" t="e">
        <f>(VLOOKUP(Games!#REF!, Data!$B$2:$L$135, 4, FALSE)-VLOOKUP(Games!#REF!, Data!$B$2:$L$135, 4, FALSE))*Coefficients!$C$2</f>
        <v>#REF!</v>
      </c>
      <c r="D204" t="e">
        <f>(VLOOKUP(Games!#REF!, Data!$B$2:$L$135, 3, FALSE)-VLOOKUP(Games!#REF!, Data!$B$2:$L$135, 3, FALSE))*Coefficients!$D$2</f>
        <v>#REF!</v>
      </c>
      <c r="E204" t="e">
        <f>(VLOOKUP(Games!#REF!, Data!$B$2:$L$135, 5, FALSE)-VLOOKUP(Games!#REF!, Data!$B$2:$L$135, 5, FALSE))*Coefficients!$E$2</f>
        <v>#REF!</v>
      </c>
      <c r="F204" t="e">
        <f>(VLOOKUP(Games!#REF!, Data!$B$2:$L$135, 6, FALSE)-VLOOKUP(Games!#REF!, Data!$B$2:$L$135, 6, FALSE))*Coefficients!$F$2</f>
        <v>#REF!</v>
      </c>
      <c r="G204" t="e">
        <f>(VLOOKUP(Games!#REF!, Data!$B$2:$L$135, 7, FALSE)-VLOOKUP(Games!#REF!, Data!$B$2:$L$135, 7, FALSE))*Coefficients!$G$2</f>
        <v>#REF!</v>
      </c>
      <c r="H204" t="e">
        <f>(VLOOKUP(Games!#REF!, Data!$B$2:$L$135, 8, FALSE)-VLOOKUP(Games!#REF!, Data!$B$2:$L$135, 8, FALSE))*Coefficients!$H$2</f>
        <v>#REF!</v>
      </c>
      <c r="I204" t="e">
        <f>(VLOOKUP(Games!#REF!, Data!$B$2:$L$135, 9, FALSE)-VLOOKUP(Games!#REF!, Data!$B$2:$L$135, 9, FALSE))*Coefficients!$I$2</f>
        <v>#REF!</v>
      </c>
      <c r="J204" t="e">
        <f>IF(ISBLANK(Data!K204), Games!#REF!-Games!#REF!,VLOOKUP(Games!#REF!, Data!$B$2:$L$135, 10, FALSE)-VLOOKUP(Games!#REF!, Data!$B$2:$L$135, 10, FALSE))*Coefficients!$J$2</f>
        <v>#REF!</v>
      </c>
      <c r="K204" t="e">
        <f>(IF(AND(VLOOKUP(Games!#REF!, Data!$B$2:$L$135, 11, FALSE)=1, VLOOKUP(Games!#REF!, Data!$B$2:$L$135, 11, FALSE)&lt;&gt;1), 1,0))*Coefficients!K$2</f>
        <v>#REF!</v>
      </c>
      <c r="L204" t="e">
        <f>(IF(AND(VLOOKUP(Games!#REF!, Data!$B$2:$L$135, 11, FALSE)&lt;&gt;1, VLOOKUP(Games!#REF!, Data!$B$2:$L$135, 11, FALSE)=1), 1,0))*Coefficients!L$2</f>
        <v>#REF!</v>
      </c>
      <c r="O204" t="e">
        <f t="shared" si="4"/>
        <v>#REF!</v>
      </c>
    </row>
    <row r="205">
      <c r="A205" t="n">
        <f>Coefficients!$A$2</f>
        <v>-3.7765953152866998</v>
      </c>
      <c r="B205" t="e">
        <f>(Games!#REF!)*(-1*Coefficients!$B$2)</f>
        <v>#REF!</v>
      </c>
      <c r="C205" t="e">
        <f>(VLOOKUP(Games!#REF!, Data!$B$2:$L$135, 4, FALSE)-VLOOKUP(Games!#REF!, Data!$B$2:$L$135, 4, FALSE))*Coefficients!$C$2</f>
        <v>#REF!</v>
      </c>
      <c r="D205" t="e">
        <f>(VLOOKUP(Games!#REF!, Data!$B$2:$L$135, 3, FALSE)-VLOOKUP(Games!#REF!, Data!$B$2:$L$135, 3, FALSE))*Coefficients!$D$2</f>
        <v>#REF!</v>
      </c>
      <c r="E205" t="e">
        <f>(VLOOKUP(Games!#REF!, Data!$B$2:$L$135, 5, FALSE)-VLOOKUP(Games!#REF!, Data!$B$2:$L$135, 5, FALSE))*Coefficients!$E$2</f>
        <v>#REF!</v>
      </c>
      <c r="F205" t="e">
        <f>(VLOOKUP(Games!#REF!, Data!$B$2:$L$135, 6, FALSE)-VLOOKUP(Games!#REF!, Data!$B$2:$L$135, 6, FALSE))*Coefficients!$F$2</f>
        <v>#REF!</v>
      </c>
      <c r="G205" t="e">
        <f>(VLOOKUP(Games!#REF!, Data!$B$2:$L$135, 7, FALSE)-VLOOKUP(Games!#REF!, Data!$B$2:$L$135, 7, FALSE))*Coefficients!$G$2</f>
        <v>#REF!</v>
      </c>
      <c r="H205" t="e">
        <f>(VLOOKUP(Games!#REF!, Data!$B$2:$L$135, 8, FALSE)-VLOOKUP(Games!#REF!, Data!$B$2:$L$135, 8, FALSE))*Coefficients!$H$2</f>
        <v>#REF!</v>
      </c>
      <c r="I205" t="e">
        <f>(VLOOKUP(Games!#REF!, Data!$B$2:$L$135, 9, FALSE)-VLOOKUP(Games!#REF!, Data!$B$2:$L$135, 9, FALSE))*Coefficients!$I$2</f>
        <v>#REF!</v>
      </c>
      <c r="J205" t="e">
        <f>IF(ISBLANK(Data!K205), Games!#REF!-Games!#REF!,VLOOKUP(Games!#REF!, Data!$B$2:$L$135, 10, FALSE)-VLOOKUP(Games!#REF!, Data!$B$2:$L$135, 10, FALSE))*Coefficients!$J$2</f>
        <v>#REF!</v>
      </c>
      <c r="K205" t="e">
        <f>(IF(AND(VLOOKUP(Games!#REF!, Data!$B$2:$L$135, 11, FALSE)=1, VLOOKUP(Games!#REF!, Data!$B$2:$L$135, 11, FALSE)&lt;&gt;1), 1,0))*Coefficients!K$2</f>
        <v>#REF!</v>
      </c>
      <c r="L205" t="e">
        <f>(IF(AND(VLOOKUP(Games!#REF!, Data!$B$2:$L$135, 11, FALSE)&lt;&gt;1, VLOOKUP(Games!#REF!, Data!$B$2:$L$135, 11, FALSE)=1), 1,0))*Coefficients!L$2</f>
        <v>#REF!</v>
      </c>
      <c r="O205" t="e">
        <f t="shared" si="4"/>
        <v>#REF!</v>
      </c>
    </row>
    <row r="206">
      <c r="A206" t="n">
        <f>Coefficients!$A$2</f>
        <v>-3.7765953152866998</v>
      </c>
      <c r="B206" t="e">
        <f>(Games!#REF!)*(-1*Coefficients!$B$2)</f>
        <v>#REF!</v>
      </c>
      <c r="C206" t="e">
        <f>(VLOOKUP(Games!#REF!, Data!$B$2:$L$135, 4, FALSE)-VLOOKUP(Games!#REF!, Data!$B$2:$L$135, 4, FALSE))*Coefficients!$C$2</f>
        <v>#REF!</v>
      </c>
      <c r="D206" t="e">
        <f>(VLOOKUP(Games!#REF!, Data!$B$2:$L$135, 3, FALSE)-VLOOKUP(Games!#REF!, Data!$B$2:$L$135, 3, FALSE))*Coefficients!$D$2</f>
        <v>#REF!</v>
      </c>
      <c r="E206" t="e">
        <f>(VLOOKUP(Games!#REF!, Data!$B$2:$L$135, 5, FALSE)-VLOOKUP(Games!#REF!, Data!$B$2:$L$135, 5, FALSE))*Coefficients!$E$2</f>
        <v>#REF!</v>
      </c>
      <c r="F206" t="e">
        <f>(VLOOKUP(Games!#REF!, Data!$B$2:$L$135, 6, FALSE)-VLOOKUP(Games!#REF!, Data!$B$2:$L$135, 6, FALSE))*Coefficients!$F$2</f>
        <v>#REF!</v>
      </c>
      <c r="G206" t="e">
        <f>(VLOOKUP(Games!#REF!, Data!$B$2:$L$135, 7, FALSE)-VLOOKUP(Games!#REF!, Data!$B$2:$L$135, 7, FALSE))*Coefficients!$G$2</f>
        <v>#REF!</v>
      </c>
      <c r="H206" t="e">
        <f>(VLOOKUP(Games!#REF!, Data!$B$2:$L$135, 8, FALSE)-VLOOKUP(Games!#REF!, Data!$B$2:$L$135, 8, FALSE))*Coefficients!$H$2</f>
        <v>#REF!</v>
      </c>
      <c r="I206" t="e">
        <f>(VLOOKUP(Games!#REF!, Data!$B$2:$L$135, 9, FALSE)-VLOOKUP(Games!#REF!, Data!$B$2:$L$135, 9, FALSE))*Coefficients!$I$2</f>
        <v>#REF!</v>
      </c>
      <c r="J206" t="e">
        <f>IF(ISBLANK(Data!K206), Games!#REF!-Games!#REF!,VLOOKUP(Games!#REF!, Data!$B$2:$L$135, 10, FALSE)-VLOOKUP(Games!#REF!, Data!$B$2:$L$135, 10, FALSE))*Coefficients!$J$2</f>
        <v>#REF!</v>
      </c>
      <c r="K206" t="e">
        <f>(IF(AND(VLOOKUP(Games!#REF!, Data!$B$2:$L$135, 11, FALSE)=1, VLOOKUP(Games!#REF!, Data!$B$2:$L$135, 11, FALSE)&lt;&gt;1), 1,0))*Coefficients!K$2</f>
        <v>#REF!</v>
      </c>
      <c r="L206" t="e">
        <f>(IF(AND(VLOOKUP(Games!#REF!, Data!$B$2:$L$135, 11, FALSE)&lt;&gt;1, VLOOKUP(Games!#REF!, Data!$B$2:$L$135, 11, FALSE)=1), 1,0))*Coefficients!L$2</f>
        <v>#REF!</v>
      </c>
      <c r="O206" t="e">
        <f t="shared" si="4"/>
        <v>#REF!</v>
      </c>
    </row>
    <row r="207">
      <c r="A207" t="n">
        <f>Coefficients!$A$2</f>
        <v>-3.7765953152866998</v>
      </c>
      <c r="B207" t="e">
        <f>(Games!#REF!)*(-1*Coefficients!$B$2)</f>
        <v>#REF!</v>
      </c>
      <c r="C207" t="e">
        <f>(VLOOKUP(Games!#REF!, Data!$B$2:$L$135, 4, FALSE)-VLOOKUP(Games!#REF!, Data!$B$2:$L$135, 4, FALSE))*Coefficients!$C$2</f>
        <v>#REF!</v>
      </c>
      <c r="D207" t="e">
        <f>(VLOOKUP(Games!#REF!, Data!$B$2:$L$135, 3, FALSE)-VLOOKUP(Games!#REF!, Data!$B$2:$L$135, 3, FALSE))*Coefficients!$D$2</f>
        <v>#REF!</v>
      </c>
      <c r="E207" t="e">
        <f>(VLOOKUP(Games!#REF!, Data!$B$2:$L$135, 5, FALSE)-VLOOKUP(Games!#REF!, Data!$B$2:$L$135, 5, FALSE))*Coefficients!$E$2</f>
        <v>#REF!</v>
      </c>
      <c r="F207" t="e">
        <f>(VLOOKUP(Games!#REF!, Data!$B$2:$L$135, 6, FALSE)-VLOOKUP(Games!#REF!, Data!$B$2:$L$135, 6, FALSE))*Coefficients!$F$2</f>
        <v>#REF!</v>
      </c>
      <c r="G207" t="e">
        <f>(VLOOKUP(Games!#REF!, Data!$B$2:$L$135, 7, FALSE)-VLOOKUP(Games!#REF!, Data!$B$2:$L$135, 7, FALSE))*Coefficients!$G$2</f>
        <v>#REF!</v>
      </c>
      <c r="H207" t="e">
        <f>(VLOOKUP(Games!#REF!, Data!$B$2:$L$135, 8, FALSE)-VLOOKUP(Games!#REF!, Data!$B$2:$L$135, 8, FALSE))*Coefficients!$H$2</f>
        <v>#REF!</v>
      </c>
      <c r="I207" t="e">
        <f>(VLOOKUP(Games!#REF!, Data!$B$2:$L$135, 9, FALSE)-VLOOKUP(Games!#REF!, Data!$B$2:$L$135, 9, FALSE))*Coefficients!$I$2</f>
        <v>#REF!</v>
      </c>
      <c r="J207" t="e">
        <f>IF(ISBLANK(Data!K207), Games!#REF!-Games!#REF!,VLOOKUP(Games!#REF!, Data!$B$2:$L$135, 10, FALSE)-VLOOKUP(Games!#REF!, Data!$B$2:$L$135, 10, FALSE))*Coefficients!$J$2</f>
        <v>#REF!</v>
      </c>
      <c r="K207" t="e">
        <f>(IF(AND(VLOOKUP(Games!#REF!, Data!$B$2:$L$135, 11, FALSE)=1, VLOOKUP(Games!#REF!, Data!$B$2:$L$135, 11, FALSE)&lt;&gt;1), 1,0))*Coefficients!K$2</f>
        <v>#REF!</v>
      </c>
      <c r="L207" t="e">
        <f>(IF(AND(VLOOKUP(Games!#REF!, Data!$B$2:$L$135, 11, FALSE)&lt;&gt;1, VLOOKUP(Games!#REF!, Data!$B$2:$L$135, 11, FALSE)=1), 1,0))*Coefficients!L$2</f>
        <v>#REF!</v>
      </c>
      <c r="O207" t="e">
        <f t="shared" si="4"/>
        <v>#REF!</v>
      </c>
    </row>
    <row r="208">
      <c r="A208" t="n">
        <f>Coefficients!$A$2</f>
        <v>-3.7765953152866998</v>
      </c>
      <c r="B208" t="e">
        <f>(Games!#REF!)*(-1*Coefficients!$B$2)</f>
        <v>#REF!</v>
      </c>
      <c r="C208" t="e">
        <f>(VLOOKUP(Games!#REF!, Data!$B$2:$L$135, 4, FALSE)-VLOOKUP(Games!#REF!, Data!$B$2:$L$135, 4, FALSE))*Coefficients!$C$2</f>
        <v>#REF!</v>
      </c>
      <c r="D208" t="e">
        <f>(VLOOKUP(Games!#REF!, Data!$B$2:$L$135, 3, FALSE)-VLOOKUP(Games!#REF!, Data!$B$2:$L$135, 3, FALSE))*Coefficients!$D$2</f>
        <v>#REF!</v>
      </c>
      <c r="E208" t="e">
        <f>(VLOOKUP(Games!#REF!, Data!$B$2:$L$135, 5, FALSE)-VLOOKUP(Games!#REF!, Data!$B$2:$L$135, 5, FALSE))*Coefficients!$E$2</f>
        <v>#REF!</v>
      </c>
      <c r="F208" t="e">
        <f>(VLOOKUP(Games!#REF!, Data!$B$2:$L$135, 6, FALSE)-VLOOKUP(Games!#REF!, Data!$B$2:$L$135, 6, FALSE))*Coefficients!$F$2</f>
        <v>#REF!</v>
      </c>
      <c r="G208" t="e">
        <f>(VLOOKUP(Games!#REF!, Data!$B$2:$L$135, 7, FALSE)-VLOOKUP(Games!#REF!, Data!$B$2:$L$135, 7, FALSE))*Coefficients!$G$2</f>
        <v>#REF!</v>
      </c>
      <c r="H208" t="e">
        <f>(VLOOKUP(Games!#REF!, Data!$B$2:$L$135, 8, FALSE)-VLOOKUP(Games!#REF!, Data!$B$2:$L$135, 8, FALSE))*Coefficients!$H$2</f>
        <v>#REF!</v>
      </c>
      <c r="I208" t="e">
        <f>(VLOOKUP(Games!#REF!, Data!$B$2:$L$135, 9, FALSE)-VLOOKUP(Games!#REF!, Data!$B$2:$L$135, 9, FALSE))*Coefficients!$I$2</f>
        <v>#REF!</v>
      </c>
      <c r="J208" t="e">
        <f>IF(ISBLANK(Data!K208), Games!#REF!-Games!#REF!,VLOOKUP(Games!#REF!, Data!$B$2:$L$135, 10, FALSE)-VLOOKUP(Games!#REF!, Data!$B$2:$L$135, 10, FALSE))*Coefficients!$J$2</f>
        <v>#REF!</v>
      </c>
      <c r="K208" t="e">
        <f>(IF(AND(VLOOKUP(Games!#REF!, Data!$B$2:$L$135, 11, FALSE)=1, VLOOKUP(Games!#REF!, Data!$B$2:$L$135, 11, FALSE)&lt;&gt;1), 1,0))*Coefficients!K$2</f>
        <v>#REF!</v>
      </c>
      <c r="L208" t="e">
        <f>(IF(AND(VLOOKUP(Games!#REF!, Data!$B$2:$L$135, 11, FALSE)&lt;&gt;1, VLOOKUP(Games!#REF!, Data!$B$2:$L$135, 11, FALSE)=1), 1,0))*Coefficients!L$2</f>
        <v>#REF!</v>
      </c>
      <c r="O208" t="e">
        <f t="shared" si="4"/>
        <v>#REF!</v>
      </c>
    </row>
    <row r="209">
      <c r="A209" t="n">
        <f>Coefficients!$A$2</f>
        <v>-3.7765953152866998</v>
      </c>
      <c r="B209" t="e">
        <f>(Games!#REF!)*(-1*Coefficients!$B$2)</f>
        <v>#REF!</v>
      </c>
      <c r="C209" t="e">
        <f>(VLOOKUP(Games!#REF!, Data!$B$2:$L$135, 4, FALSE)-VLOOKUP(Games!#REF!, Data!$B$2:$L$135, 4, FALSE))*Coefficients!$C$2</f>
        <v>#REF!</v>
      </c>
      <c r="D209" t="e">
        <f>(VLOOKUP(Games!#REF!, Data!$B$2:$L$135, 3, FALSE)-VLOOKUP(Games!#REF!, Data!$B$2:$L$135, 3, FALSE))*Coefficients!$D$2</f>
        <v>#REF!</v>
      </c>
      <c r="E209" t="e">
        <f>(VLOOKUP(Games!#REF!, Data!$B$2:$L$135, 5, FALSE)-VLOOKUP(Games!#REF!, Data!$B$2:$L$135, 5, FALSE))*Coefficients!$E$2</f>
        <v>#REF!</v>
      </c>
      <c r="F209" t="e">
        <f>(VLOOKUP(Games!#REF!, Data!$B$2:$L$135, 6, FALSE)-VLOOKUP(Games!#REF!, Data!$B$2:$L$135, 6, FALSE))*Coefficients!$F$2</f>
        <v>#REF!</v>
      </c>
      <c r="G209" t="e">
        <f>(VLOOKUP(Games!#REF!, Data!$B$2:$L$135, 7, FALSE)-VLOOKUP(Games!#REF!, Data!$B$2:$L$135, 7, FALSE))*Coefficients!$G$2</f>
        <v>#REF!</v>
      </c>
      <c r="H209" t="e">
        <f>(VLOOKUP(Games!#REF!, Data!$B$2:$L$135, 8, FALSE)-VLOOKUP(Games!#REF!, Data!$B$2:$L$135, 8, FALSE))*Coefficients!$H$2</f>
        <v>#REF!</v>
      </c>
      <c r="I209" t="e">
        <f>(VLOOKUP(Games!#REF!, Data!$B$2:$L$135, 9, FALSE)-VLOOKUP(Games!#REF!, Data!$B$2:$L$135, 9, FALSE))*Coefficients!$I$2</f>
        <v>#REF!</v>
      </c>
      <c r="J209" t="e">
        <f>IF(ISBLANK(Data!K209), Games!#REF!-Games!#REF!,VLOOKUP(Games!#REF!, Data!$B$2:$L$135, 10, FALSE)-VLOOKUP(Games!#REF!, Data!$B$2:$L$135, 10, FALSE))*Coefficients!$J$2</f>
        <v>#REF!</v>
      </c>
      <c r="K209" t="e">
        <f>(IF(AND(VLOOKUP(Games!#REF!, Data!$B$2:$L$135, 11, FALSE)=1, VLOOKUP(Games!#REF!, Data!$B$2:$L$135, 11, FALSE)&lt;&gt;1), 1,0))*Coefficients!K$2</f>
        <v>#REF!</v>
      </c>
      <c r="L209" t="e">
        <f>(IF(AND(VLOOKUP(Games!#REF!, Data!$B$2:$L$135, 11, FALSE)&lt;&gt;1, VLOOKUP(Games!#REF!, Data!$B$2:$L$135, 11, FALSE)=1), 1,0))*Coefficients!L$2</f>
        <v>#REF!</v>
      </c>
      <c r="O209" t="e">
        <f t="shared" si="4"/>
        <v>#REF!</v>
      </c>
    </row>
    <row r="210">
      <c r="A210" t="n">
        <f>Coefficients!$A$2</f>
        <v>-3.7765953152866998</v>
      </c>
      <c r="B210" t="e">
        <f>(Games!#REF!)*(-1*Coefficients!$B$2)</f>
        <v>#REF!</v>
      </c>
      <c r="C210" t="e">
        <f>(VLOOKUP(Games!#REF!, Data!$B$2:$L$135, 4, FALSE)-VLOOKUP(Games!#REF!, Data!$B$2:$L$135, 4, FALSE))*Coefficients!$C$2</f>
        <v>#REF!</v>
      </c>
      <c r="D210" t="e">
        <f>(VLOOKUP(Games!#REF!, Data!$B$2:$L$135, 3, FALSE)-VLOOKUP(Games!#REF!, Data!$B$2:$L$135, 3, FALSE))*Coefficients!$D$2</f>
        <v>#REF!</v>
      </c>
      <c r="E210" t="e">
        <f>(VLOOKUP(Games!#REF!, Data!$B$2:$L$135, 5, FALSE)-VLOOKUP(Games!#REF!, Data!$B$2:$L$135, 5, FALSE))*Coefficients!$E$2</f>
        <v>#REF!</v>
      </c>
      <c r="F210" t="e">
        <f>(VLOOKUP(Games!#REF!, Data!$B$2:$L$135, 6, FALSE)-VLOOKUP(Games!#REF!, Data!$B$2:$L$135, 6, FALSE))*Coefficients!$F$2</f>
        <v>#REF!</v>
      </c>
      <c r="G210" t="e">
        <f>(VLOOKUP(Games!#REF!, Data!$B$2:$L$135, 7, FALSE)-VLOOKUP(Games!#REF!, Data!$B$2:$L$135, 7, FALSE))*Coefficients!$G$2</f>
        <v>#REF!</v>
      </c>
      <c r="H210" t="e">
        <f>(VLOOKUP(Games!#REF!, Data!$B$2:$L$135, 8, FALSE)-VLOOKUP(Games!#REF!, Data!$B$2:$L$135, 8, FALSE))*Coefficients!$H$2</f>
        <v>#REF!</v>
      </c>
      <c r="I210" t="e">
        <f>(VLOOKUP(Games!#REF!, Data!$B$2:$L$135, 9, FALSE)-VLOOKUP(Games!#REF!, Data!$B$2:$L$135, 9, FALSE))*Coefficients!$I$2</f>
        <v>#REF!</v>
      </c>
      <c r="J210" t="e">
        <f>IF(ISBLANK(Data!K210), Games!#REF!-Games!#REF!,VLOOKUP(Games!#REF!, Data!$B$2:$L$135, 10, FALSE)-VLOOKUP(Games!#REF!, Data!$B$2:$L$135, 10, FALSE))*Coefficients!$J$2</f>
        <v>#REF!</v>
      </c>
      <c r="K210" t="e">
        <f>(IF(AND(VLOOKUP(Games!#REF!, Data!$B$2:$L$135, 11, FALSE)=1, VLOOKUP(Games!#REF!, Data!$B$2:$L$135, 11, FALSE)&lt;&gt;1), 1,0))*Coefficients!K$2</f>
        <v>#REF!</v>
      </c>
      <c r="L210" t="e">
        <f>(IF(AND(VLOOKUP(Games!#REF!, Data!$B$2:$L$135, 11, FALSE)&lt;&gt;1, VLOOKUP(Games!#REF!, Data!$B$2:$L$135, 11, FALSE)=1), 1,0))*Coefficients!L$2</f>
        <v>#REF!</v>
      </c>
      <c r="O210" t="e">
        <f t="shared" si="4"/>
        <v>#REF!</v>
      </c>
    </row>
    <row r="211">
      <c r="A211" t="n">
        <f>Coefficients!$A$2</f>
        <v>-3.7765953152866998</v>
      </c>
      <c r="B211" t="e">
        <f>(Games!#REF!)*(-1*Coefficients!$B$2)</f>
        <v>#REF!</v>
      </c>
      <c r="C211" t="e">
        <f>(VLOOKUP(Games!#REF!, Data!$B$2:$L$135, 4, FALSE)-VLOOKUP(Games!#REF!, Data!$B$2:$L$135, 4, FALSE))*Coefficients!$C$2</f>
        <v>#REF!</v>
      </c>
      <c r="D211" t="e">
        <f>(VLOOKUP(Games!#REF!, Data!$B$2:$L$135, 3, FALSE)-VLOOKUP(Games!#REF!, Data!$B$2:$L$135, 3, FALSE))*Coefficients!$D$2</f>
        <v>#REF!</v>
      </c>
      <c r="E211" t="e">
        <f>(VLOOKUP(Games!#REF!, Data!$B$2:$L$135, 5, FALSE)-VLOOKUP(Games!#REF!, Data!$B$2:$L$135, 5, FALSE))*Coefficients!$E$2</f>
        <v>#REF!</v>
      </c>
      <c r="F211" t="e">
        <f>(VLOOKUP(Games!#REF!, Data!$B$2:$L$135, 6, FALSE)-VLOOKUP(Games!#REF!, Data!$B$2:$L$135, 6, FALSE))*Coefficients!$F$2</f>
        <v>#REF!</v>
      </c>
      <c r="G211" t="e">
        <f>(VLOOKUP(Games!#REF!, Data!$B$2:$L$135, 7, FALSE)-VLOOKUP(Games!#REF!, Data!$B$2:$L$135, 7, FALSE))*Coefficients!$G$2</f>
        <v>#REF!</v>
      </c>
      <c r="H211" t="e">
        <f>(VLOOKUP(Games!#REF!, Data!$B$2:$L$135, 8, FALSE)-VLOOKUP(Games!#REF!, Data!$B$2:$L$135, 8, FALSE))*Coefficients!$H$2</f>
        <v>#REF!</v>
      </c>
      <c r="I211" t="e">
        <f>(VLOOKUP(Games!#REF!, Data!$B$2:$L$135, 9, FALSE)-VLOOKUP(Games!#REF!, Data!$B$2:$L$135, 9, FALSE))*Coefficients!$I$2</f>
        <v>#REF!</v>
      </c>
      <c r="J211" t="e">
        <f>IF(ISBLANK(Data!K211), Games!#REF!-Games!#REF!,VLOOKUP(Games!#REF!, Data!$B$2:$L$135, 10, FALSE)-VLOOKUP(Games!#REF!, Data!$B$2:$L$135, 10, FALSE))*Coefficients!$J$2</f>
        <v>#REF!</v>
      </c>
      <c r="K211" t="e">
        <f>(IF(AND(VLOOKUP(Games!#REF!, Data!$B$2:$L$135, 11, FALSE)=1, VLOOKUP(Games!#REF!, Data!$B$2:$L$135, 11, FALSE)&lt;&gt;1), 1,0))*Coefficients!K$2</f>
        <v>#REF!</v>
      </c>
      <c r="L211" t="e">
        <f>(IF(AND(VLOOKUP(Games!#REF!, Data!$B$2:$L$135, 11, FALSE)&lt;&gt;1, VLOOKUP(Games!#REF!, Data!$B$2:$L$135, 11, FALSE)=1), 1,0))*Coefficients!L$2</f>
        <v>#REF!</v>
      </c>
      <c r="O211" t="e">
        <f t="shared" si="4"/>
        <v>#REF!</v>
      </c>
    </row>
    <row r="212">
      <c r="A212" t="n">
        <f>Coefficients!$A$2</f>
        <v>-3.7765953152866998</v>
      </c>
      <c r="B212" t="e">
        <f>(Games!#REF!)*(-1*Coefficients!$B$2)</f>
        <v>#REF!</v>
      </c>
      <c r="C212" t="e">
        <f>(VLOOKUP(Games!#REF!, Data!$B$2:$L$135, 4, FALSE)-VLOOKUP(Games!#REF!, Data!$B$2:$L$135, 4, FALSE))*Coefficients!$C$2</f>
        <v>#REF!</v>
      </c>
      <c r="D212" t="e">
        <f>(VLOOKUP(Games!#REF!, Data!$B$2:$L$135, 3, FALSE)-VLOOKUP(Games!#REF!, Data!$B$2:$L$135, 3, FALSE))*Coefficients!$D$2</f>
        <v>#REF!</v>
      </c>
      <c r="E212" t="e">
        <f>(VLOOKUP(Games!#REF!, Data!$B$2:$L$135, 5, FALSE)-VLOOKUP(Games!#REF!, Data!$B$2:$L$135, 5, FALSE))*Coefficients!$E$2</f>
        <v>#REF!</v>
      </c>
      <c r="F212" t="e">
        <f>(VLOOKUP(Games!#REF!, Data!$B$2:$L$135, 6, FALSE)-VLOOKUP(Games!#REF!, Data!$B$2:$L$135, 6, FALSE))*Coefficients!$F$2</f>
        <v>#REF!</v>
      </c>
      <c r="G212" t="e">
        <f>(VLOOKUP(Games!#REF!, Data!$B$2:$L$135, 7, FALSE)-VLOOKUP(Games!#REF!, Data!$B$2:$L$135, 7, FALSE))*Coefficients!$G$2</f>
        <v>#REF!</v>
      </c>
      <c r="H212" t="e">
        <f>(VLOOKUP(Games!#REF!, Data!$B$2:$L$135, 8, FALSE)-VLOOKUP(Games!#REF!, Data!$B$2:$L$135, 8, FALSE))*Coefficients!$H$2</f>
        <v>#REF!</v>
      </c>
      <c r="I212" t="e">
        <f>(VLOOKUP(Games!#REF!, Data!$B$2:$L$135, 9, FALSE)-VLOOKUP(Games!#REF!, Data!$B$2:$L$135, 9, FALSE))*Coefficients!$I$2</f>
        <v>#REF!</v>
      </c>
      <c r="J212" t="e">
        <f>IF(ISBLANK(Data!K212), Games!#REF!-Games!#REF!,VLOOKUP(Games!#REF!, Data!$B$2:$L$135, 10, FALSE)-VLOOKUP(Games!#REF!, Data!$B$2:$L$135, 10, FALSE))*Coefficients!$J$2</f>
        <v>#REF!</v>
      </c>
      <c r="K212" t="e">
        <f>(IF(AND(VLOOKUP(Games!#REF!, Data!$B$2:$L$135, 11, FALSE)=1, VLOOKUP(Games!#REF!, Data!$B$2:$L$135, 11, FALSE)&lt;&gt;1), 1,0))*Coefficients!K$2</f>
        <v>#REF!</v>
      </c>
      <c r="L212" t="e">
        <f>(IF(AND(VLOOKUP(Games!#REF!, Data!$B$2:$L$135, 11, FALSE)&lt;&gt;1, VLOOKUP(Games!#REF!, Data!$B$2:$L$135, 11, FALSE)=1), 1,0))*Coefficients!L$2</f>
        <v>#REF!</v>
      </c>
      <c r="O212" t="e">
        <f t="shared" si="4"/>
        <v>#REF!</v>
      </c>
    </row>
    <row r="213">
      <c r="A213" t="n">
        <f>Coefficients!$A$2</f>
        <v>-3.7765953152866998</v>
      </c>
      <c r="B213" t="e">
        <f>(Games!#REF!)*(-1*Coefficients!$B$2)</f>
        <v>#REF!</v>
      </c>
      <c r="C213" t="e">
        <f>(VLOOKUP(Games!#REF!, Data!$B$2:$L$135, 4, FALSE)-VLOOKUP(Games!#REF!, Data!$B$2:$L$135, 4, FALSE))*Coefficients!$C$2</f>
        <v>#REF!</v>
      </c>
      <c r="D213" t="e">
        <f>(VLOOKUP(Games!#REF!, Data!$B$2:$L$135, 3, FALSE)-VLOOKUP(Games!#REF!, Data!$B$2:$L$135, 3, FALSE))*Coefficients!$D$2</f>
        <v>#REF!</v>
      </c>
      <c r="E213" t="e">
        <f>(VLOOKUP(Games!#REF!, Data!$B$2:$L$135, 5, FALSE)-VLOOKUP(Games!#REF!, Data!$B$2:$L$135, 5, FALSE))*Coefficients!$E$2</f>
        <v>#REF!</v>
      </c>
      <c r="F213" t="e">
        <f>(VLOOKUP(Games!#REF!, Data!$B$2:$L$135, 6, FALSE)-VLOOKUP(Games!#REF!, Data!$B$2:$L$135, 6, FALSE))*Coefficients!$F$2</f>
        <v>#REF!</v>
      </c>
      <c r="G213" t="e">
        <f>(VLOOKUP(Games!#REF!, Data!$B$2:$L$135, 7, FALSE)-VLOOKUP(Games!#REF!, Data!$B$2:$L$135, 7, FALSE))*Coefficients!$G$2</f>
        <v>#REF!</v>
      </c>
      <c r="H213" t="e">
        <f>(VLOOKUP(Games!#REF!, Data!$B$2:$L$135, 8, FALSE)-VLOOKUP(Games!#REF!, Data!$B$2:$L$135, 8, FALSE))*Coefficients!$H$2</f>
        <v>#REF!</v>
      </c>
      <c r="I213" t="e">
        <f>(VLOOKUP(Games!#REF!, Data!$B$2:$L$135, 9, FALSE)-VLOOKUP(Games!#REF!, Data!$B$2:$L$135, 9, FALSE))*Coefficients!$I$2</f>
        <v>#REF!</v>
      </c>
      <c r="J213" t="e">
        <f>IF(ISBLANK(Data!K213), Games!#REF!-Games!#REF!,VLOOKUP(Games!#REF!, Data!$B$2:$L$135, 10, FALSE)-VLOOKUP(Games!#REF!, Data!$B$2:$L$135, 10, FALSE))*Coefficients!$J$2</f>
        <v>#REF!</v>
      </c>
      <c r="K213" t="e">
        <f>(IF(AND(VLOOKUP(Games!#REF!, Data!$B$2:$L$135, 11, FALSE)=1, VLOOKUP(Games!#REF!, Data!$B$2:$L$135, 11, FALSE)&lt;&gt;1), 1,0))*Coefficients!K$2</f>
        <v>#REF!</v>
      </c>
      <c r="L213" t="e">
        <f>(IF(AND(VLOOKUP(Games!#REF!, Data!$B$2:$L$135, 11, FALSE)&lt;&gt;1, VLOOKUP(Games!#REF!, Data!$B$2:$L$135, 11, FALSE)=1), 1,0))*Coefficients!L$2</f>
        <v>#REF!</v>
      </c>
      <c r="O213" t="e">
        <f t="shared" si="4"/>
        <v>#REF!</v>
      </c>
    </row>
    <row r="214">
      <c r="A214" t="n">
        <f>Coefficients!$A$2</f>
        <v>-3.7765953152866998</v>
      </c>
      <c r="B214" t="e">
        <f>(Games!#REF!)*(-1*Coefficients!$B$2)</f>
        <v>#REF!</v>
      </c>
      <c r="C214" t="e">
        <f>(VLOOKUP(Games!#REF!, Data!$B$2:$L$135, 4, FALSE)-VLOOKUP(Games!#REF!, Data!$B$2:$L$135, 4, FALSE))*Coefficients!$C$2</f>
        <v>#REF!</v>
      </c>
      <c r="D214" t="e">
        <f>(VLOOKUP(Games!#REF!, Data!$B$2:$L$135, 3, FALSE)-VLOOKUP(Games!#REF!, Data!$B$2:$L$135, 3, FALSE))*Coefficients!$D$2</f>
        <v>#REF!</v>
      </c>
      <c r="E214" t="e">
        <f>(VLOOKUP(Games!#REF!, Data!$B$2:$L$135, 5, FALSE)-VLOOKUP(Games!#REF!, Data!$B$2:$L$135, 5, FALSE))*Coefficients!$E$2</f>
        <v>#REF!</v>
      </c>
      <c r="F214" t="e">
        <f>(VLOOKUP(Games!#REF!, Data!$B$2:$L$135, 6, FALSE)-VLOOKUP(Games!#REF!, Data!$B$2:$L$135, 6, FALSE))*Coefficients!$F$2</f>
        <v>#REF!</v>
      </c>
      <c r="G214" t="e">
        <f>(VLOOKUP(Games!#REF!, Data!$B$2:$L$135, 7, FALSE)-VLOOKUP(Games!#REF!, Data!$B$2:$L$135, 7, FALSE))*Coefficients!$G$2</f>
        <v>#REF!</v>
      </c>
      <c r="H214" t="e">
        <f>(VLOOKUP(Games!#REF!, Data!$B$2:$L$135, 8, FALSE)-VLOOKUP(Games!#REF!, Data!$B$2:$L$135, 8, FALSE))*Coefficients!$H$2</f>
        <v>#REF!</v>
      </c>
      <c r="I214" t="e">
        <f>(VLOOKUP(Games!#REF!, Data!$B$2:$L$135, 9, FALSE)-VLOOKUP(Games!#REF!, Data!$B$2:$L$135, 9, FALSE))*Coefficients!$I$2</f>
        <v>#REF!</v>
      </c>
      <c r="J214" t="e">
        <f>IF(ISBLANK(Data!K214), Games!#REF!-Games!#REF!,VLOOKUP(Games!#REF!, Data!$B$2:$L$135, 10, FALSE)-VLOOKUP(Games!#REF!, Data!$B$2:$L$135, 10, FALSE))*Coefficients!$J$2</f>
        <v>#REF!</v>
      </c>
      <c r="K214" t="e">
        <f>(IF(AND(VLOOKUP(Games!#REF!, Data!$B$2:$L$135, 11, FALSE)=1, VLOOKUP(Games!#REF!, Data!$B$2:$L$135, 11, FALSE)&lt;&gt;1), 1,0))*Coefficients!K$2</f>
        <v>#REF!</v>
      </c>
      <c r="L214" t="e">
        <f>(IF(AND(VLOOKUP(Games!#REF!, Data!$B$2:$L$135, 11, FALSE)&lt;&gt;1, VLOOKUP(Games!#REF!, Data!$B$2:$L$135, 11, FALSE)=1), 1,0))*Coefficients!L$2</f>
        <v>#REF!</v>
      </c>
      <c r="O214" t="e">
        <f t="shared" si="4"/>
        <v>#REF!</v>
      </c>
    </row>
    <row r="215">
      <c r="A215" t="n">
        <f>Coefficients!$A$2</f>
        <v>-3.7765953152866998</v>
      </c>
      <c r="B215" t="e">
        <f>(Games!#REF!)*(-1*Coefficients!$B$2)</f>
        <v>#REF!</v>
      </c>
      <c r="C215" t="e">
        <f>(VLOOKUP(Games!#REF!, Data!$B$2:$L$135, 4, FALSE)-VLOOKUP(Games!#REF!, Data!$B$2:$L$135, 4, FALSE))*Coefficients!$C$2</f>
        <v>#REF!</v>
      </c>
      <c r="D215" t="e">
        <f>(VLOOKUP(Games!#REF!, Data!$B$2:$L$135, 3, FALSE)-VLOOKUP(Games!#REF!, Data!$B$2:$L$135, 3, FALSE))*Coefficients!$D$2</f>
        <v>#REF!</v>
      </c>
      <c r="E215" t="e">
        <f>(VLOOKUP(Games!#REF!, Data!$B$2:$L$135, 5, FALSE)-VLOOKUP(Games!#REF!, Data!$B$2:$L$135, 5, FALSE))*Coefficients!$E$2</f>
        <v>#REF!</v>
      </c>
      <c r="F215" t="e">
        <f>(VLOOKUP(Games!#REF!, Data!$B$2:$L$135, 6, FALSE)-VLOOKUP(Games!#REF!, Data!$B$2:$L$135, 6, FALSE))*Coefficients!$F$2</f>
        <v>#REF!</v>
      </c>
      <c r="G215" t="e">
        <f>(VLOOKUP(Games!#REF!, Data!$B$2:$L$135, 7, FALSE)-VLOOKUP(Games!#REF!, Data!$B$2:$L$135, 7, FALSE))*Coefficients!$G$2</f>
        <v>#REF!</v>
      </c>
      <c r="H215" t="e">
        <f>(VLOOKUP(Games!#REF!, Data!$B$2:$L$135, 8, FALSE)-VLOOKUP(Games!#REF!, Data!$B$2:$L$135, 8, FALSE))*Coefficients!$H$2</f>
        <v>#REF!</v>
      </c>
      <c r="I215" t="e">
        <f>(VLOOKUP(Games!#REF!, Data!$B$2:$L$135, 9, FALSE)-VLOOKUP(Games!#REF!, Data!$B$2:$L$135, 9, FALSE))*Coefficients!$I$2</f>
        <v>#REF!</v>
      </c>
      <c r="J215" t="e">
        <f>IF(ISBLANK(Data!K215), Games!#REF!-Games!#REF!,VLOOKUP(Games!#REF!, Data!$B$2:$L$135, 10, FALSE)-VLOOKUP(Games!#REF!, Data!$B$2:$L$135, 10, FALSE))*Coefficients!$J$2</f>
        <v>#REF!</v>
      </c>
      <c r="K215" t="e">
        <f>(IF(AND(VLOOKUP(Games!#REF!, Data!$B$2:$L$135, 11, FALSE)=1, VLOOKUP(Games!#REF!, Data!$B$2:$L$135, 11, FALSE)&lt;&gt;1), 1,0))*Coefficients!K$2</f>
        <v>#REF!</v>
      </c>
      <c r="L215" t="e">
        <f>(IF(AND(VLOOKUP(Games!#REF!, Data!$B$2:$L$135, 11, FALSE)&lt;&gt;1, VLOOKUP(Games!#REF!, Data!$B$2:$L$135, 11, FALSE)=1), 1,0))*Coefficients!L$2</f>
        <v>#REF!</v>
      </c>
      <c r="O215" t="e">
        <f t="shared" si="4"/>
        <v>#REF!</v>
      </c>
    </row>
    <row r="216">
      <c r="A216" t="n">
        <f>Coefficients!$A$2</f>
        <v>-3.7765953152866998</v>
      </c>
      <c r="B216" t="e">
        <f>(Games!#REF!)*(-1*Coefficients!$B$2)</f>
        <v>#REF!</v>
      </c>
      <c r="C216" t="e">
        <f>(VLOOKUP(Games!#REF!, Data!$B$2:$L$135, 4, FALSE)-VLOOKUP(Games!#REF!, Data!$B$2:$L$135, 4, FALSE))*Coefficients!$C$2</f>
        <v>#REF!</v>
      </c>
      <c r="D216" t="e">
        <f>(VLOOKUP(Games!#REF!, Data!$B$2:$L$135, 3, FALSE)-VLOOKUP(Games!#REF!, Data!$B$2:$L$135, 3, FALSE))*Coefficients!$D$2</f>
        <v>#REF!</v>
      </c>
      <c r="E216" t="e">
        <f>(VLOOKUP(Games!#REF!, Data!$B$2:$L$135, 5, FALSE)-VLOOKUP(Games!#REF!, Data!$B$2:$L$135, 5, FALSE))*Coefficients!$E$2</f>
        <v>#REF!</v>
      </c>
      <c r="F216" t="e">
        <f>(VLOOKUP(Games!#REF!, Data!$B$2:$L$135, 6, FALSE)-VLOOKUP(Games!#REF!, Data!$B$2:$L$135, 6, FALSE))*Coefficients!$F$2</f>
        <v>#REF!</v>
      </c>
      <c r="G216" t="e">
        <f>(VLOOKUP(Games!#REF!, Data!$B$2:$L$135, 7, FALSE)-VLOOKUP(Games!#REF!, Data!$B$2:$L$135, 7, FALSE))*Coefficients!$G$2</f>
        <v>#REF!</v>
      </c>
      <c r="H216" t="e">
        <f>(VLOOKUP(Games!#REF!, Data!$B$2:$L$135, 8, FALSE)-VLOOKUP(Games!#REF!, Data!$B$2:$L$135, 8, FALSE))*Coefficients!$H$2</f>
        <v>#REF!</v>
      </c>
      <c r="I216" t="e">
        <f>(VLOOKUP(Games!#REF!, Data!$B$2:$L$135, 9, FALSE)-VLOOKUP(Games!#REF!, Data!$B$2:$L$135, 9, FALSE))*Coefficients!$I$2</f>
        <v>#REF!</v>
      </c>
      <c r="J216" t="e">
        <f>IF(ISBLANK(Data!K216), Games!#REF!-Games!#REF!,VLOOKUP(Games!#REF!, Data!$B$2:$L$135, 10, FALSE)-VLOOKUP(Games!#REF!, Data!$B$2:$L$135, 10, FALSE))*Coefficients!$J$2</f>
        <v>#REF!</v>
      </c>
      <c r="K216" t="e">
        <f>(IF(AND(VLOOKUP(Games!#REF!, Data!$B$2:$L$135, 11, FALSE)=1, VLOOKUP(Games!#REF!, Data!$B$2:$L$135, 11, FALSE)&lt;&gt;1), 1,0))*Coefficients!K$2</f>
        <v>#REF!</v>
      </c>
      <c r="L216" t="e">
        <f>(IF(AND(VLOOKUP(Games!#REF!, Data!$B$2:$L$135, 11, FALSE)&lt;&gt;1, VLOOKUP(Games!#REF!, Data!$B$2:$L$135, 11, FALSE)=1), 1,0))*Coefficients!L$2</f>
        <v>#REF!</v>
      </c>
      <c r="O216" t="e">
        <f t="shared" si="4"/>
        <v>#REF!</v>
      </c>
    </row>
    <row r="217">
      <c r="A217" t="n">
        <f>Coefficients!$A$2</f>
        <v>-3.7765953152866998</v>
      </c>
      <c r="B217" t="e">
        <f>(Games!#REF!)*(-1*Coefficients!$B$2)</f>
        <v>#REF!</v>
      </c>
      <c r="C217" t="e">
        <f>(VLOOKUP(Games!#REF!, Data!$B$2:$L$135, 4, FALSE)-VLOOKUP(Games!#REF!, Data!$B$2:$L$135, 4, FALSE))*Coefficients!$C$2</f>
        <v>#REF!</v>
      </c>
      <c r="D217" t="e">
        <f>(VLOOKUP(Games!#REF!, Data!$B$2:$L$135, 3, FALSE)-VLOOKUP(Games!#REF!, Data!$B$2:$L$135, 3, FALSE))*Coefficients!$D$2</f>
        <v>#REF!</v>
      </c>
      <c r="E217" t="e">
        <f>(VLOOKUP(Games!#REF!, Data!$B$2:$L$135, 5, FALSE)-VLOOKUP(Games!#REF!, Data!$B$2:$L$135, 5, FALSE))*Coefficients!$E$2</f>
        <v>#REF!</v>
      </c>
      <c r="F217" t="e">
        <f>(VLOOKUP(Games!#REF!, Data!$B$2:$L$135, 6, FALSE)-VLOOKUP(Games!#REF!, Data!$B$2:$L$135, 6, FALSE))*Coefficients!$F$2</f>
        <v>#REF!</v>
      </c>
      <c r="G217" t="e">
        <f>(VLOOKUP(Games!#REF!, Data!$B$2:$L$135, 7, FALSE)-VLOOKUP(Games!#REF!, Data!$B$2:$L$135, 7, FALSE))*Coefficients!$G$2</f>
        <v>#REF!</v>
      </c>
      <c r="H217" t="e">
        <f>(VLOOKUP(Games!#REF!, Data!$B$2:$L$135, 8, FALSE)-VLOOKUP(Games!#REF!, Data!$B$2:$L$135, 8, FALSE))*Coefficients!$H$2</f>
        <v>#REF!</v>
      </c>
      <c r="I217" t="e">
        <f>(VLOOKUP(Games!#REF!, Data!$B$2:$L$135, 9, FALSE)-VLOOKUP(Games!#REF!, Data!$B$2:$L$135, 9, FALSE))*Coefficients!$I$2</f>
        <v>#REF!</v>
      </c>
      <c r="J217" t="e">
        <f>IF(ISBLANK(Data!K217), Games!#REF!-Games!#REF!,VLOOKUP(Games!#REF!, Data!$B$2:$L$135, 10, FALSE)-VLOOKUP(Games!#REF!, Data!$B$2:$L$135, 10, FALSE))*Coefficients!$J$2</f>
        <v>#REF!</v>
      </c>
      <c r="K217" t="e">
        <f>(IF(AND(VLOOKUP(Games!#REF!, Data!$B$2:$L$135, 11, FALSE)=1, VLOOKUP(Games!#REF!, Data!$B$2:$L$135, 11, FALSE)&lt;&gt;1), 1,0))*Coefficients!K$2</f>
        <v>#REF!</v>
      </c>
      <c r="L217" t="e">
        <f>(IF(AND(VLOOKUP(Games!#REF!, Data!$B$2:$L$135, 11, FALSE)&lt;&gt;1, VLOOKUP(Games!#REF!, Data!$B$2:$L$135, 11, FALSE)=1), 1,0))*Coefficients!L$2</f>
        <v>#REF!</v>
      </c>
      <c r="O217" t="e">
        <f t="shared" si="4"/>
        <v>#REF!</v>
      </c>
    </row>
    <row r="218">
      <c r="A218" t="n">
        <f>Coefficients!$A$2</f>
        <v>-3.7765953152866998</v>
      </c>
      <c r="B218" t="e">
        <f>(Games!#REF!)*(-1*Coefficients!$B$2)</f>
        <v>#REF!</v>
      </c>
      <c r="C218" t="e">
        <f>(VLOOKUP(Games!#REF!, Data!$B$2:$L$135, 4, FALSE)-VLOOKUP(Games!#REF!, Data!$B$2:$L$135, 4, FALSE))*Coefficients!$C$2</f>
        <v>#REF!</v>
      </c>
      <c r="D218" t="e">
        <f>(VLOOKUP(Games!#REF!, Data!$B$2:$L$135, 3, FALSE)-VLOOKUP(Games!#REF!, Data!$B$2:$L$135, 3, FALSE))*Coefficients!$D$2</f>
        <v>#REF!</v>
      </c>
      <c r="E218" t="e">
        <f>(VLOOKUP(Games!#REF!, Data!$B$2:$L$135, 5, FALSE)-VLOOKUP(Games!#REF!, Data!$B$2:$L$135, 5, FALSE))*Coefficients!$E$2</f>
        <v>#REF!</v>
      </c>
      <c r="F218" t="e">
        <f>(VLOOKUP(Games!#REF!, Data!$B$2:$L$135, 6, FALSE)-VLOOKUP(Games!#REF!, Data!$B$2:$L$135, 6, FALSE))*Coefficients!$F$2</f>
        <v>#REF!</v>
      </c>
      <c r="G218" t="e">
        <f>(VLOOKUP(Games!#REF!, Data!$B$2:$L$135, 7, FALSE)-VLOOKUP(Games!#REF!, Data!$B$2:$L$135, 7, FALSE))*Coefficients!$G$2</f>
        <v>#REF!</v>
      </c>
      <c r="H218" t="e">
        <f>(VLOOKUP(Games!#REF!, Data!$B$2:$L$135, 8, FALSE)-VLOOKUP(Games!#REF!, Data!$B$2:$L$135, 8, FALSE))*Coefficients!$H$2</f>
        <v>#REF!</v>
      </c>
      <c r="I218" t="e">
        <f>(VLOOKUP(Games!#REF!, Data!$B$2:$L$135, 9, FALSE)-VLOOKUP(Games!#REF!, Data!$B$2:$L$135, 9, FALSE))*Coefficients!$I$2</f>
        <v>#REF!</v>
      </c>
      <c r="J218" t="e">
        <f>IF(ISBLANK(Data!K218), Games!#REF!-Games!#REF!,VLOOKUP(Games!#REF!, Data!$B$2:$L$135, 10, FALSE)-VLOOKUP(Games!#REF!, Data!$B$2:$L$135, 10, FALSE))*Coefficients!$J$2</f>
        <v>#REF!</v>
      </c>
      <c r="K218" t="e">
        <f>(IF(AND(VLOOKUP(Games!#REF!, Data!$B$2:$L$135, 11, FALSE)=1, VLOOKUP(Games!#REF!, Data!$B$2:$L$135, 11, FALSE)&lt;&gt;1), 1,0))*Coefficients!K$2</f>
        <v>#REF!</v>
      </c>
      <c r="L218" t="e">
        <f>(IF(AND(VLOOKUP(Games!#REF!, Data!$B$2:$L$135, 11, FALSE)&lt;&gt;1, VLOOKUP(Games!#REF!, Data!$B$2:$L$135, 11, FALSE)=1), 1,0))*Coefficients!L$2</f>
        <v>#REF!</v>
      </c>
      <c r="O218" t="e">
        <f t="shared" si="4"/>
        <v>#REF!</v>
      </c>
    </row>
    <row r="219">
      <c r="A219" t="n">
        <f>Coefficients!$A$2</f>
        <v>-3.7765953152866998</v>
      </c>
      <c r="B219" t="e">
        <f>(Games!#REF!)*(-1*Coefficients!$B$2)</f>
        <v>#REF!</v>
      </c>
      <c r="C219" t="e">
        <f>(VLOOKUP(Games!#REF!, Data!$B$2:$L$135, 4, FALSE)-VLOOKUP(Games!#REF!, Data!$B$2:$L$135, 4, FALSE))*Coefficients!$C$2</f>
        <v>#REF!</v>
      </c>
      <c r="D219" t="e">
        <f>(VLOOKUP(Games!#REF!, Data!$B$2:$L$135, 3, FALSE)-VLOOKUP(Games!#REF!, Data!$B$2:$L$135, 3, FALSE))*Coefficients!$D$2</f>
        <v>#REF!</v>
      </c>
      <c r="E219" t="e">
        <f>(VLOOKUP(Games!#REF!, Data!$B$2:$L$135, 5, FALSE)-VLOOKUP(Games!#REF!, Data!$B$2:$L$135, 5, FALSE))*Coefficients!$E$2</f>
        <v>#REF!</v>
      </c>
      <c r="F219" t="e">
        <f>(VLOOKUP(Games!#REF!, Data!$B$2:$L$135, 6, FALSE)-VLOOKUP(Games!#REF!, Data!$B$2:$L$135, 6, FALSE))*Coefficients!$F$2</f>
        <v>#REF!</v>
      </c>
      <c r="G219" t="e">
        <f>(VLOOKUP(Games!#REF!, Data!$B$2:$L$135, 7, FALSE)-VLOOKUP(Games!#REF!, Data!$B$2:$L$135, 7, FALSE))*Coefficients!$G$2</f>
        <v>#REF!</v>
      </c>
      <c r="H219" t="e">
        <f>(VLOOKUP(Games!#REF!, Data!$B$2:$L$135, 8, FALSE)-VLOOKUP(Games!#REF!, Data!$B$2:$L$135, 8, FALSE))*Coefficients!$H$2</f>
        <v>#REF!</v>
      </c>
      <c r="I219" t="e">
        <f>(VLOOKUP(Games!#REF!, Data!$B$2:$L$135, 9, FALSE)-VLOOKUP(Games!#REF!, Data!$B$2:$L$135, 9, FALSE))*Coefficients!$I$2</f>
        <v>#REF!</v>
      </c>
      <c r="J219" t="e">
        <f>IF(ISBLANK(Data!K219), Games!#REF!-Games!#REF!,VLOOKUP(Games!#REF!, Data!$B$2:$L$135, 10, FALSE)-VLOOKUP(Games!#REF!, Data!$B$2:$L$135, 10, FALSE))*Coefficients!$J$2</f>
        <v>#REF!</v>
      </c>
      <c r="K219" t="e">
        <f>(IF(AND(VLOOKUP(Games!#REF!, Data!$B$2:$L$135, 11, FALSE)=1, VLOOKUP(Games!#REF!, Data!$B$2:$L$135, 11, FALSE)&lt;&gt;1), 1,0))*Coefficients!K$2</f>
        <v>#REF!</v>
      </c>
      <c r="L219" t="e">
        <f>(IF(AND(VLOOKUP(Games!#REF!, Data!$B$2:$L$135, 11, FALSE)&lt;&gt;1, VLOOKUP(Games!#REF!, Data!$B$2:$L$135, 11, FALSE)=1), 1,0))*Coefficients!L$2</f>
        <v>#REF!</v>
      </c>
      <c r="O219" t="e">
        <f t="shared" si="4"/>
        <v>#REF!</v>
      </c>
    </row>
    <row r="220">
      <c r="A220" t="n">
        <f>Coefficients!$A$2</f>
        <v>-3.7765953152866998</v>
      </c>
      <c r="B220" t="e">
        <f>(Games!#REF!)*(-1*Coefficients!$B$2)</f>
        <v>#REF!</v>
      </c>
      <c r="C220" t="e">
        <f>(VLOOKUP(Games!#REF!, Data!$B$2:$L$135, 4, FALSE)-VLOOKUP(Games!#REF!, Data!$B$2:$L$135, 4, FALSE))*Coefficients!$C$2</f>
        <v>#REF!</v>
      </c>
      <c r="D220" t="e">
        <f>(VLOOKUP(Games!#REF!, Data!$B$2:$L$135, 3, FALSE)-VLOOKUP(Games!#REF!, Data!$B$2:$L$135, 3, FALSE))*Coefficients!$D$2</f>
        <v>#REF!</v>
      </c>
      <c r="E220" t="e">
        <f>(VLOOKUP(Games!#REF!, Data!$B$2:$L$135, 5, FALSE)-VLOOKUP(Games!#REF!, Data!$B$2:$L$135, 5, FALSE))*Coefficients!$E$2</f>
        <v>#REF!</v>
      </c>
      <c r="F220" t="e">
        <f>(VLOOKUP(Games!#REF!, Data!$B$2:$L$135, 6, FALSE)-VLOOKUP(Games!#REF!, Data!$B$2:$L$135, 6, FALSE))*Coefficients!$F$2</f>
        <v>#REF!</v>
      </c>
      <c r="G220" t="e">
        <f>(VLOOKUP(Games!#REF!, Data!$B$2:$L$135, 7, FALSE)-VLOOKUP(Games!#REF!, Data!$B$2:$L$135, 7, FALSE))*Coefficients!$G$2</f>
        <v>#REF!</v>
      </c>
      <c r="H220" t="e">
        <f>(VLOOKUP(Games!#REF!, Data!$B$2:$L$135, 8, FALSE)-VLOOKUP(Games!#REF!, Data!$B$2:$L$135, 8, FALSE))*Coefficients!$H$2</f>
        <v>#REF!</v>
      </c>
      <c r="I220" t="e">
        <f>(VLOOKUP(Games!#REF!, Data!$B$2:$L$135, 9, FALSE)-VLOOKUP(Games!#REF!, Data!$B$2:$L$135, 9, FALSE))*Coefficients!$I$2</f>
        <v>#REF!</v>
      </c>
      <c r="J220" t="e">
        <f>IF(ISBLANK(Data!K220), Games!#REF!-Games!#REF!,VLOOKUP(Games!#REF!, Data!$B$2:$L$135, 10, FALSE)-VLOOKUP(Games!#REF!, Data!$B$2:$L$135, 10, FALSE))*Coefficients!$J$2</f>
        <v>#REF!</v>
      </c>
      <c r="K220" t="e">
        <f>(IF(AND(VLOOKUP(Games!#REF!, Data!$B$2:$L$135, 11, FALSE)=1, VLOOKUP(Games!#REF!, Data!$B$2:$L$135, 11, FALSE)&lt;&gt;1), 1,0))*Coefficients!K$2</f>
        <v>#REF!</v>
      </c>
      <c r="L220" t="e">
        <f>(IF(AND(VLOOKUP(Games!#REF!, Data!$B$2:$L$135, 11, FALSE)&lt;&gt;1, VLOOKUP(Games!#REF!, Data!$B$2:$L$135, 11, FALSE)=1), 1,0))*Coefficients!L$2</f>
        <v>#REF!</v>
      </c>
      <c r="O220" t="e">
        <f t="shared" si="4"/>
        <v>#REF!</v>
      </c>
    </row>
    <row r="221">
      <c r="A221" t="n">
        <f>Coefficients!$A$2</f>
        <v>-3.7765953152866998</v>
      </c>
      <c r="B221" t="e">
        <f>(Games!#REF!)*(-1*Coefficients!$B$2)</f>
        <v>#REF!</v>
      </c>
      <c r="C221" t="e">
        <f>(VLOOKUP(Games!#REF!, Data!$B$2:$L$135, 4, FALSE)-VLOOKUP(Games!#REF!, Data!$B$2:$L$135, 4, FALSE))*Coefficients!$C$2</f>
        <v>#REF!</v>
      </c>
      <c r="D221" t="e">
        <f>(VLOOKUP(Games!#REF!, Data!$B$2:$L$135, 3, FALSE)-VLOOKUP(Games!#REF!, Data!$B$2:$L$135, 3, FALSE))*Coefficients!$D$2</f>
        <v>#REF!</v>
      </c>
      <c r="E221" t="e">
        <f>(VLOOKUP(Games!#REF!, Data!$B$2:$L$135, 5, FALSE)-VLOOKUP(Games!#REF!, Data!$B$2:$L$135, 5, FALSE))*Coefficients!$E$2</f>
        <v>#REF!</v>
      </c>
      <c r="F221" t="e">
        <f>(VLOOKUP(Games!#REF!, Data!$B$2:$L$135, 6, FALSE)-VLOOKUP(Games!#REF!, Data!$B$2:$L$135, 6, FALSE))*Coefficients!$F$2</f>
        <v>#REF!</v>
      </c>
      <c r="G221" t="e">
        <f>(VLOOKUP(Games!#REF!, Data!$B$2:$L$135, 7, FALSE)-VLOOKUP(Games!#REF!, Data!$B$2:$L$135, 7, FALSE))*Coefficients!$G$2</f>
        <v>#REF!</v>
      </c>
      <c r="H221" t="e">
        <f>(VLOOKUP(Games!#REF!, Data!$B$2:$L$135, 8, FALSE)-VLOOKUP(Games!#REF!, Data!$B$2:$L$135, 8, FALSE))*Coefficients!$H$2</f>
        <v>#REF!</v>
      </c>
      <c r="I221" t="e">
        <f>(VLOOKUP(Games!#REF!, Data!$B$2:$L$135, 9, FALSE)-VLOOKUP(Games!#REF!, Data!$B$2:$L$135, 9, FALSE))*Coefficients!$I$2</f>
        <v>#REF!</v>
      </c>
      <c r="J221" t="e">
        <f>IF(ISBLANK(Data!K221), Games!#REF!-Games!#REF!,VLOOKUP(Games!#REF!, Data!$B$2:$L$135, 10, FALSE)-VLOOKUP(Games!#REF!, Data!$B$2:$L$135, 10, FALSE))*Coefficients!$J$2</f>
        <v>#REF!</v>
      </c>
      <c r="K221" t="e">
        <f>(IF(AND(VLOOKUP(Games!#REF!, Data!$B$2:$L$135, 11, FALSE)=1, VLOOKUP(Games!#REF!, Data!$B$2:$L$135, 11, FALSE)&lt;&gt;1), 1,0))*Coefficients!K$2</f>
        <v>#REF!</v>
      </c>
      <c r="L221" t="e">
        <f>(IF(AND(VLOOKUP(Games!#REF!, Data!$B$2:$L$135, 11, FALSE)&lt;&gt;1, VLOOKUP(Games!#REF!, Data!$B$2:$L$135, 11, FALSE)=1), 1,0))*Coefficients!L$2</f>
        <v>#REF!</v>
      </c>
      <c r="O221" t="e">
        <f t="shared" si="4"/>
        <v>#REF!</v>
      </c>
    </row>
    <row r="222">
      <c r="A222" t="n">
        <f>Coefficients!$A$2</f>
        <v>-3.7765953152866998</v>
      </c>
      <c r="B222" t="e">
        <f>(Games!#REF!)*(-1*Coefficients!$B$2)</f>
        <v>#REF!</v>
      </c>
      <c r="C222" t="e">
        <f>(VLOOKUP(Games!#REF!, Data!$B$2:$L$135, 4, FALSE)-VLOOKUP(Games!#REF!, Data!$B$2:$L$135, 4, FALSE))*Coefficients!$C$2</f>
        <v>#REF!</v>
      </c>
      <c r="D222" t="e">
        <f>(VLOOKUP(Games!#REF!, Data!$B$2:$L$135, 3, FALSE)-VLOOKUP(Games!#REF!, Data!$B$2:$L$135, 3, FALSE))*Coefficients!$D$2</f>
        <v>#REF!</v>
      </c>
      <c r="E222" t="e">
        <f>(VLOOKUP(Games!#REF!, Data!$B$2:$L$135, 5, FALSE)-VLOOKUP(Games!#REF!, Data!$B$2:$L$135, 5, FALSE))*Coefficients!$E$2</f>
        <v>#REF!</v>
      </c>
      <c r="F222" t="e">
        <f>(VLOOKUP(Games!#REF!, Data!$B$2:$L$135, 6, FALSE)-VLOOKUP(Games!#REF!, Data!$B$2:$L$135, 6, FALSE))*Coefficients!$F$2</f>
        <v>#REF!</v>
      </c>
      <c r="G222" t="e">
        <f>(VLOOKUP(Games!#REF!, Data!$B$2:$L$135, 7, FALSE)-VLOOKUP(Games!#REF!, Data!$B$2:$L$135, 7, FALSE))*Coefficients!$G$2</f>
        <v>#REF!</v>
      </c>
      <c r="H222" t="e">
        <f>(VLOOKUP(Games!#REF!, Data!$B$2:$L$135, 8, FALSE)-VLOOKUP(Games!#REF!, Data!$B$2:$L$135, 8, FALSE))*Coefficients!$H$2</f>
        <v>#REF!</v>
      </c>
      <c r="I222" t="e">
        <f>(VLOOKUP(Games!#REF!, Data!$B$2:$L$135, 9, FALSE)-VLOOKUP(Games!#REF!, Data!$B$2:$L$135, 9, FALSE))*Coefficients!$I$2</f>
        <v>#REF!</v>
      </c>
      <c r="J222" t="e">
        <f>IF(ISBLANK(Data!K222), Games!#REF!-Games!#REF!,VLOOKUP(Games!#REF!, Data!$B$2:$L$135, 10, FALSE)-VLOOKUP(Games!#REF!, Data!$B$2:$L$135, 10, FALSE))*Coefficients!$J$2</f>
        <v>#REF!</v>
      </c>
      <c r="K222" t="e">
        <f>(IF(AND(VLOOKUP(Games!#REF!, Data!$B$2:$L$135, 11, FALSE)=1, VLOOKUP(Games!#REF!, Data!$B$2:$L$135, 11, FALSE)&lt;&gt;1), 1,0))*Coefficients!K$2</f>
        <v>#REF!</v>
      </c>
      <c r="L222" t="e">
        <f>(IF(AND(VLOOKUP(Games!#REF!, Data!$B$2:$L$135, 11, FALSE)&lt;&gt;1, VLOOKUP(Games!#REF!, Data!$B$2:$L$135, 11, FALSE)=1), 1,0))*Coefficients!L$2</f>
        <v>#REF!</v>
      </c>
      <c r="O222" t="e">
        <f t="shared" si="4"/>
        <v>#REF!</v>
      </c>
    </row>
    <row r="223">
      <c r="A223" t="n">
        <f>Coefficients!$A$2</f>
        <v>-3.7765953152866998</v>
      </c>
      <c r="B223" t="e">
        <f>(Games!#REF!)*(-1*Coefficients!$B$2)</f>
        <v>#REF!</v>
      </c>
      <c r="C223" t="e">
        <f>(VLOOKUP(Games!#REF!, Data!$B$2:$L$135, 4, FALSE)-VLOOKUP(Games!#REF!, Data!$B$2:$L$135, 4, FALSE))*Coefficients!$C$2</f>
        <v>#REF!</v>
      </c>
      <c r="D223" t="e">
        <f>(VLOOKUP(Games!#REF!, Data!$B$2:$L$135, 3, FALSE)-VLOOKUP(Games!#REF!, Data!$B$2:$L$135, 3, FALSE))*Coefficients!$D$2</f>
        <v>#REF!</v>
      </c>
      <c r="E223" t="e">
        <f>(VLOOKUP(Games!#REF!, Data!$B$2:$L$135, 5, FALSE)-VLOOKUP(Games!#REF!, Data!$B$2:$L$135, 5, FALSE))*Coefficients!$E$2</f>
        <v>#REF!</v>
      </c>
      <c r="F223" t="e">
        <f>(VLOOKUP(Games!#REF!, Data!$B$2:$L$135, 6, FALSE)-VLOOKUP(Games!#REF!, Data!$B$2:$L$135, 6, FALSE))*Coefficients!$F$2</f>
        <v>#REF!</v>
      </c>
      <c r="G223" t="e">
        <f>(VLOOKUP(Games!#REF!, Data!$B$2:$L$135, 7, FALSE)-VLOOKUP(Games!#REF!, Data!$B$2:$L$135, 7, FALSE))*Coefficients!$G$2</f>
        <v>#REF!</v>
      </c>
      <c r="H223" t="e">
        <f>(VLOOKUP(Games!#REF!, Data!$B$2:$L$135, 8, FALSE)-VLOOKUP(Games!#REF!, Data!$B$2:$L$135, 8, FALSE))*Coefficients!$H$2</f>
        <v>#REF!</v>
      </c>
      <c r="I223" t="e">
        <f>(VLOOKUP(Games!#REF!, Data!$B$2:$L$135, 9, FALSE)-VLOOKUP(Games!#REF!, Data!$B$2:$L$135, 9, FALSE))*Coefficients!$I$2</f>
        <v>#REF!</v>
      </c>
      <c r="J223" t="e">
        <f>IF(ISBLANK(Data!K223), Games!#REF!-Games!#REF!,VLOOKUP(Games!#REF!, Data!$B$2:$L$135, 10, FALSE)-VLOOKUP(Games!#REF!, Data!$B$2:$L$135, 10, FALSE))*Coefficients!$J$2</f>
        <v>#REF!</v>
      </c>
      <c r="K223" t="e">
        <f>(IF(AND(VLOOKUP(Games!#REF!, Data!$B$2:$L$135, 11, FALSE)=1, VLOOKUP(Games!#REF!, Data!$B$2:$L$135, 11, FALSE)&lt;&gt;1), 1,0))*Coefficients!K$2</f>
        <v>#REF!</v>
      </c>
      <c r="L223" t="e">
        <f>(IF(AND(VLOOKUP(Games!#REF!, Data!$B$2:$L$135, 11, FALSE)&lt;&gt;1, VLOOKUP(Games!#REF!, Data!$B$2:$L$135, 11, FALSE)=1), 1,0))*Coefficients!L$2</f>
        <v>#REF!</v>
      </c>
      <c r="O223" t="e">
        <f t="shared" si="4"/>
        <v>#REF!</v>
      </c>
    </row>
    <row r="224">
      <c r="A224" t="n">
        <f>Coefficients!$A$2</f>
        <v>-3.7765953152866998</v>
      </c>
      <c r="B224" t="e">
        <f>(Games!#REF!)*(-1*Coefficients!$B$2)</f>
        <v>#REF!</v>
      </c>
      <c r="C224" t="e">
        <f>(VLOOKUP(Games!#REF!, Data!$B$2:$L$135, 4, FALSE)-VLOOKUP(Games!#REF!, Data!$B$2:$L$135, 4, FALSE))*Coefficients!$C$2</f>
        <v>#REF!</v>
      </c>
      <c r="D224" t="e">
        <f>(VLOOKUP(Games!#REF!, Data!$B$2:$L$135, 3, FALSE)-VLOOKUP(Games!#REF!, Data!$B$2:$L$135, 3, FALSE))*Coefficients!$D$2</f>
        <v>#REF!</v>
      </c>
      <c r="E224" t="e">
        <f>(VLOOKUP(Games!#REF!, Data!$B$2:$L$135, 5, FALSE)-VLOOKUP(Games!#REF!, Data!$B$2:$L$135, 5, FALSE))*Coefficients!$E$2</f>
        <v>#REF!</v>
      </c>
      <c r="F224" t="e">
        <f>(VLOOKUP(Games!#REF!, Data!$B$2:$L$135, 6, FALSE)-VLOOKUP(Games!#REF!, Data!$B$2:$L$135, 6, FALSE))*Coefficients!$F$2</f>
        <v>#REF!</v>
      </c>
      <c r="G224" t="e">
        <f>(VLOOKUP(Games!#REF!, Data!$B$2:$L$135, 7, FALSE)-VLOOKUP(Games!#REF!, Data!$B$2:$L$135, 7, FALSE))*Coefficients!$G$2</f>
        <v>#REF!</v>
      </c>
      <c r="H224" t="e">
        <f>(VLOOKUP(Games!#REF!, Data!$B$2:$L$135, 8, FALSE)-VLOOKUP(Games!#REF!, Data!$B$2:$L$135, 8, FALSE))*Coefficients!$H$2</f>
        <v>#REF!</v>
      </c>
      <c r="I224" t="e">
        <f>(VLOOKUP(Games!#REF!, Data!$B$2:$L$135, 9, FALSE)-VLOOKUP(Games!#REF!, Data!$B$2:$L$135, 9, FALSE))*Coefficients!$I$2</f>
        <v>#REF!</v>
      </c>
      <c r="J224" t="e">
        <f>IF(ISBLANK(Data!K224), Games!#REF!-Games!#REF!,VLOOKUP(Games!#REF!, Data!$B$2:$L$135, 10, FALSE)-VLOOKUP(Games!#REF!, Data!$B$2:$L$135, 10, FALSE))*Coefficients!$J$2</f>
        <v>#REF!</v>
      </c>
      <c r="K224" t="e">
        <f>(IF(AND(VLOOKUP(Games!#REF!, Data!$B$2:$L$135, 11, FALSE)=1, VLOOKUP(Games!#REF!, Data!$B$2:$L$135, 11, FALSE)&lt;&gt;1), 1,0))*Coefficients!K$2</f>
        <v>#REF!</v>
      </c>
      <c r="L224" t="e">
        <f>(IF(AND(VLOOKUP(Games!#REF!, Data!$B$2:$L$135, 11, FALSE)&lt;&gt;1, VLOOKUP(Games!#REF!, Data!$B$2:$L$135, 11, FALSE)=1), 1,0))*Coefficients!L$2</f>
        <v>#REF!</v>
      </c>
      <c r="O224" t="e">
        <f t="shared" si="4"/>
        <v>#REF!</v>
      </c>
    </row>
    <row r="225">
      <c r="A225" t="n">
        <f>Coefficients!$A$2</f>
        <v>-3.7765953152866998</v>
      </c>
      <c r="B225" t="e">
        <f>(Games!#REF!)*(-1*Coefficients!$B$2)</f>
        <v>#REF!</v>
      </c>
      <c r="C225" t="e">
        <f>(VLOOKUP(Games!#REF!, Data!$B$2:$L$135, 4, FALSE)-VLOOKUP(Games!#REF!, Data!$B$2:$L$135, 4, FALSE))*Coefficients!$C$2</f>
        <v>#REF!</v>
      </c>
      <c r="D225" t="e">
        <f>(VLOOKUP(Games!#REF!, Data!$B$2:$L$135, 3, FALSE)-VLOOKUP(Games!#REF!, Data!$B$2:$L$135, 3, FALSE))*Coefficients!$D$2</f>
        <v>#REF!</v>
      </c>
      <c r="E225" t="e">
        <f>(VLOOKUP(Games!#REF!, Data!$B$2:$L$135, 5, FALSE)-VLOOKUP(Games!#REF!, Data!$B$2:$L$135, 5, FALSE))*Coefficients!$E$2</f>
        <v>#REF!</v>
      </c>
      <c r="F225" t="e">
        <f>(VLOOKUP(Games!#REF!, Data!$B$2:$L$135, 6, FALSE)-VLOOKUP(Games!#REF!, Data!$B$2:$L$135, 6, FALSE))*Coefficients!$F$2</f>
        <v>#REF!</v>
      </c>
      <c r="G225" t="e">
        <f>(VLOOKUP(Games!#REF!, Data!$B$2:$L$135, 7, FALSE)-VLOOKUP(Games!#REF!, Data!$B$2:$L$135, 7, FALSE))*Coefficients!$G$2</f>
        <v>#REF!</v>
      </c>
      <c r="H225" t="e">
        <f>(VLOOKUP(Games!#REF!, Data!$B$2:$L$135, 8, FALSE)-VLOOKUP(Games!#REF!, Data!$B$2:$L$135, 8, FALSE))*Coefficients!$H$2</f>
        <v>#REF!</v>
      </c>
      <c r="I225" t="e">
        <f>(VLOOKUP(Games!#REF!, Data!$B$2:$L$135, 9, FALSE)-VLOOKUP(Games!#REF!, Data!$B$2:$L$135, 9, FALSE))*Coefficients!$I$2</f>
        <v>#REF!</v>
      </c>
      <c r="J225" t="e">
        <f>IF(ISBLANK(Data!K225), Games!#REF!-Games!#REF!,VLOOKUP(Games!#REF!, Data!$B$2:$L$135, 10, FALSE)-VLOOKUP(Games!#REF!, Data!$B$2:$L$135, 10, FALSE))*Coefficients!$J$2</f>
        <v>#REF!</v>
      </c>
      <c r="K225" t="e">
        <f>(IF(AND(VLOOKUP(Games!#REF!, Data!$B$2:$L$135, 11, FALSE)=1, VLOOKUP(Games!#REF!, Data!$B$2:$L$135, 11, FALSE)&lt;&gt;1), 1,0))*Coefficients!K$2</f>
        <v>#REF!</v>
      </c>
      <c r="L225" t="e">
        <f>(IF(AND(VLOOKUP(Games!#REF!, Data!$B$2:$L$135, 11, FALSE)&lt;&gt;1, VLOOKUP(Games!#REF!, Data!$B$2:$L$135, 11, FALSE)=1), 1,0))*Coefficients!L$2</f>
        <v>#REF!</v>
      </c>
      <c r="O225" t="e">
        <f t="shared" si="4"/>
        <v>#REF!</v>
      </c>
    </row>
    <row r="226">
      <c r="A226" t="n">
        <f>Coefficients!$A$2</f>
        <v>-3.7765953152866998</v>
      </c>
      <c r="B226" t="e">
        <f>(Games!#REF!)*(-1*Coefficients!$B$2)</f>
        <v>#REF!</v>
      </c>
      <c r="C226" t="e">
        <f>(VLOOKUP(Games!#REF!, Data!$B$2:$L$135, 4, FALSE)-VLOOKUP(Games!#REF!, Data!$B$2:$L$135, 4, FALSE))*Coefficients!$C$2</f>
        <v>#REF!</v>
      </c>
      <c r="D226" t="e">
        <f>(VLOOKUP(Games!#REF!, Data!$B$2:$L$135, 3, FALSE)-VLOOKUP(Games!#REF!, Data!$B$2:$L$135, 3, FALSE))*Coefficients!$D$2</f>
        <v>#REF!</v>
      </c>
      <c r="E226" t="e">
        <f>(VLOOKUP(Games!#REF!, Data!$B$2:$L$135, 5, FALSE)-VLOOKUP(Games!#REF!, Data!$B$2:$L$135, 5, FALSE))*Coefficients!$E$2</f>
        <v>#REF!</v>
      </c>
      <c r="F226" t="e">
        <f>(VLOOKUP(Games!#REF!, Data!$B$2:$L$135, 6, FALSE)-VLOOKUP(Games!#REF!, Data!$B$2:$L$135, 6, FALSE))*Coefficients!$F$2</f>
        <v>#REF!</v>
      </c>
      <c r="G226" t="e">
        <f>(VLOOKUP(Games!#REF!, Data!$B$2:$L$135, 7, FALSE)-VLOOKUP(Games!#REF!, Data!$B$2:$L$135, 7, FALSE))*Coefficients!$G$2</f>
        <v>#REF!</v>
      </c>
      <c r="H226" t="e">
        <f>(VLOOKUP(Games!#REF!, Data!$B$2:$L$135, 8, FALSE)-VLOOKUP(Games!#REF!, Data!$B$2:$L$135, 8, FALSE))*Coefficients!$H$2</f>
        <v>#REF!</v>
      </c>
      <c r="I226" t="e">
        <f>(VLOOKUP(Games!#REF!, Data!$B$2:$L$135, 9, FALSE)-VLOOKUP(Games!#REF!, Data!$B$2:$L$135, 9, FALSE))*Coefficients!$I$2</f>
        <v>#REF!</v>
      </c>
      <c r="J226" t="e">
        <f>IF(ISBLANK(Data!K226), Games!#REF!-Games!#REF!,VLOOKUP(Games!#REF!, Data!$B$2:$L$135, 10, FALSE)-VLOOKUP(Games!#REF!, Data!$B$2:$L$135, 10, FALSE))*Coefficients!$J$2</f>
        <v>#REF!</v>
      </c>
      <c r="K226" t="e">
        <f>(IF(AND(VLOOKUP(Games!#REF!, Data!$B$2:$L$135, 11, FALSE)=1, VLOOKUP(Games!#REF!, Data!$B$2:$L$135, 11, FALSE)&lt;&gt;1), 1,0))*Coefficients!K$2</f>
        <v>#REF!</v>
      </c>
      <c r="L226" t="e">
        <f>(IF(AND(VLOOKUP(Games!#REF!, Data!$B$2:$L$135, 11, FALSE)&lt;&gt;1, VLOOKUP(Games!#REF!, Data!$B$2:$L$135, 11, FALSE)=1), 1,0))*Coefficients!L$2</f>
        <v>#REF!</v>
      </c>
      <c r="O226" t="e">
        <f t="shared" si="4"/>
        <v>#REF!</v>
      </c>
    </row>
    <row r="227">
      <c r="A227" t="n">
        <f>Coefficients!$A$2</f>
        <v>-3.7765953152866998</v>
      </c>
      <c r="B227" t="e">
        <f>(Games!#REF!)*(-1*Coefficients!$B$2)</f>
        <v>#REF!</v>
      </c>
      <c r="C227" t="e">
        <f>(VLOOKUP(Games!#REF!, Data!$B$2:$L$135, 4, FALSE)-VLOOKUP(Games!#REF!, Data!$B$2:$L$135, 4, FALSE))*Coefficients!$C$2</f>
        <v>#REF!</v>
      </c>
      <c r="D227" t="e">
        <f>(VLOOKUP(Games!#REF!, Data!$B$2:$L$135, 3, FALSE)-VLOOKUP(Games!#REF!, Data!$B$2:$L$135, 3, FALSE))*Coefficients!$D$2</f>
        <v>#REF!</v>
      </c>
      <c r="E227" t="e">
        <f>(VLOOKUP(Games!#REF!, Data!$B$2:$L$135, 5, FALSE)-VLOOKUP(Games!#REF!, Data!$B$2:$L$135, 5, FALSE))*Coefficients!$E$2</f>
        <v>#REF!</v>
      </c>
      <c r="F227" t="e">
        <f>(VLOOKUP(Games!#REF!, Data!$B$2:$L$135, 6, FALSE)-VLOOKUP(Games!#REF!, Data!$B$2:$L$135, 6, FALSE))*Coefficients!$F$2</f>
        <v>#REF!</v>
      </c>
      <c r="G227" t="e">
        <f>(VLOOKUP(Games!#REF!, Data!$B$2:$L$135, 7, FALSE)-VLOOKUP(Games!#REF!, Data!$B$2:$L$135, 7, FALSE))*Coefficients!$G$2</f>
        <v>#REF!</v>
      </c>
      <c r="H227" t="e">
        <f>(VLOOKUP(Games!#REF!, Data!$B$2:$L$135, 8, FALSE)-VLOOKUP(Games!#REF!, Data!$B$2:$L$135, 8, FALSE))*Coefficients!$H$2</f>
        <v>#REF!</v>
      </c>
      <c r="I227" t="e">
        <f>(VLOOKUP(Games!#REF!, Data!$B$2:$L$135, 9, FALSE)-VLOOKUP(Games!#REF!, Data!$B$2:$L$135, 9, FALSE))*Coefficients!$I$2</f>
        <v>#REF!</v>
      </c>
      <c r="J227" t="e">
        <f>IF(ISBLANK(Data!K227), Games!#REF!-Games!#REF!,VLOOKUP(Games!#REF!, Data!$B$2:$L$135, 10, FALSE)-VLOOKUP(Games!#REF!, Data!$B$2:$L$135, 10, FALSE))*Coefficients!$J$2</f>
        <v>#REF!</v>
      </c>
      <c r="K227" t="e">
        <f>(IF(AND(VLOOKUP(Games!#REF!, Data!$B$2:$L$135, 11, FALSE)=1, VLOOKUP(Games!#REF!, Data!$B$2:$L$135, 11, FALSE)&lt;&gt;1), 1,0))*Coefficients!K$2</f>
        <v>#REF!</v>
      </c>
      <c r="L227" t="e">
        <f>(IF(AND(VLOOKUP(Games!#REF!, Data!$B$2:$L$135, 11, FALSE)&lt;&gt;1, VLOOKUP(Games!#REF!, Data!$B$2:$L$135, 11, FALSE)=1), 1,0))*Coefficients!L$2</f>
        <v>#REF!</v>
      </c>
      <c r="O227" t="e">
        <f t="shared" si="4"/>
        <v>#REF!</v>
      </c>
    </row>
    <row r="228">
      <c r="A228" t="n">
        <f>Coefficients!$A$2</f>
        <v>-3.7765953152866998</v>
      </c>
      <c r="B228" t="e">
        <f>(Games!#REF!)*(-1*Coefficients!$B$2)</f>
        <v>#REF!</v>
      </c>
      <c r="C228" t="e">
        <f>(VLOOKUP(Games!#REF!, Data!$B$2:$L$135, 4, FALSE)-VLOOKUP(Games!#REF!, Data!$B$2:$L$135, 4, FALSE))*Coefficients!$C$2</f>
        <v>#REF!</v>
      </c>
      <c r="D228" t="e">
        <f>(VLOOKUP(Games!#REF!, Data!$B$2:$L$135, 3, FALSE)-VLOOKUP(Games!#REF!, Data!$B$2:$L$135, 3, FALSE))*Coefficients!$D$2</f>
        <v>#REF!</v>
      </c>
      <c r="E228" t="e">
        <f>(VLOOKUP(Games!#REF!, Data!$B$2:$L$135, 5, FALSE)-VLOOKUP(Games!#REF!, Data!$B$2:$L$135, 5, FALSE))*Coefficients!$E$2</f>
        <v>#REF!</v>
      </c>
      <c r="F228" t="e">
        <f>(VLOOKUP(Games!#REF!, Data!$B$2:$L$135, 6, FALSE)-VLOOKUP(Games!#REF!, Data!$B$2:$L$135, 6, FALSE))*Coefficients!$F$2</f>
        <v>#REF!</v>
      </c>
      <c r="G228" t="e">
        <f>(VLOOKUP(Games!#REF!, Data!$B$2:$L$135, 7, FALSE)-VLOOKUP(Games!#REF!, Data!$B$2:$L$135, 7, FALSE))*Coefficients!$G$2</f>
        <v>#REF!</v>
      </c>
      <c r="H228" t="e">
        <f>(VLOOKUP(Games!#REF!, Data!$B$2:$L$135, 8, FALSE)-VLOOKUP(Games!#REF!, Data!$B$2:$L$135, 8, FALSE))*Coefficients!$H$2</f>
        <v>#REF!</v>
      </c>
      <c r="I228" t="e">
        <f>(VLOOKUP(Games!#REF!, Data!$B$2:$L$135, 9, FALSE)-VLOOKUP(Games!#REF!, Data!$B$2:$L$135, 9, FALSE))*Coefficients!$I$2</f>
        <v>#REF!</v>
      </c>
      <c r="J228" t="e">
        <f>IF(ISBLANK(Data!K228), Games!#REF!-Games!#REF!,VLOOKUP(Games!#REF!, Data!$B$2:$L$135, 10, FALSE)-VLOOKUP(Games!#REF!, Data!$B$2:$L$135, 10, FALSE))*Coefficients!$J$2</f>
        <v>#REF!</v>
      </c>
      <c r="K228" t="e">
        <f>(IF(AND(VLOOKUP(Games!#REF!, Data!$B$2:$L$135, 11, FALSE)=1, VLOOKUP(Games!#REF!, Data!$B$2:$L$135, 11, FALSE)&lt;&gt;1), 1,0))*Coefficients!K$2</f>
        <v>#REF!</v>
      </c>
      <c r="L228" t="e">
        <f>(IF(AND(VLOOKUP(Games!#REF!, Data!$B$2:$L$135, 11, FALSE)&lt;&gt;1, VLOOKUP(Games!#REF!, Data!$B$2:$L$135, 11, FALSE)=1), 1,0))*Coefficients!L$2</f>
        <v>#REF!</v>
      </c>
      <c r="O228" t="e">
        <f t="shared" si="4"/>
        <v>#REF!</v>
      </c>
    </row>
    <row r="229">
      <c r="A229" t="n">
        <f>Coefficients!$A$2</f>
        <v>-3.7765953152866998</v>
      </c>
      <c r="B229" t="e">
        <f>(Games!#REF!)*(-1*Coefficients!$B$2)</f>
        <v>#REF!</v>
      </c>
      <c r="C229" t="e">
        <f>(VLOOKUP(Games!#REF!, Data!$B$2:$L$135, 4, FALSE)-VLOOKUP(Games!#REF!, Data!$B$2:$L$135, 4, FALSE))*Coefficients!$C$2</f>
        <v>#REF!</v>
      </c>
      <c r="D229" t="e">
        <f>(VLOOKUP(Games!#REF!, Data!$B$2:$L$135, 3, FALSE)-VLOOKUP(Games!#REF!, Data!$B$2:$L$135, 3, FALSE))*Coefficients!$D$2</f>
        <v>#REF!</v>
      </c>
      <c r="E229" t="e">
        <f>(VLOOKUP(Games!#REF!, Data!$B$2:$L$135, 5, FALSE)-VLOOKUP(Games!#REF!, Data!$B$2:$L$135, 5, FALSE))*Coefficients!$E$2</f>
        <v>#REF!</v>
      </c>
      <c r="F229" t="e">
        <f>(VLOOKUP(Games!#REF!, Data!$B$2:$L$135, 6, FALSE)-VLOOKUP(Games!#REF!, Data!$B$2:$L$135, 6, FALSE))*Coefficients!$F$2</f>
        <v>#REF!</v>
      </c>
      <c r="G229" t="e">
        <f>(VLOOKUP(Games!#REF!, Data!$B$2:$L$135, 7, FALSE)-VLOOKUP(Games!#REF!, Data!$B$2:$L$135, 7, FALSE))*Coefficients!$G$2</f>
        <v>#REF!</v>
      </c>
      <c r="H229" t="e">
        <f>(VLOOKUP(Games!#REF!, Data!$B$2:$L$135, 8, FALSE)-VLOOKUP(Games!#REF!, Data!$B$2:$L$135, 8, FALSE))*Coefficients!$H$2</f>
        <v>#REF!</v>
      </c>
      <c r="I229" t="e">
        <f>(VLOOKUP(Games!#REF!, Data!$B$2:$L$135, 9, FALSE)-VLOOKUP(Games!#REF!, Data!$B$2:$L$135, 9, FALSE))*Coefficients!$I$2</f>
        <v>#REF!</v>
      </c>
      <c r="J229" t="e">
        <f>IF(ISBLANK(Data!K229), Games!#REF!-Games!#REF!,VLOOKUP(Games!#REF!, Data!$B$2:$L$135, 10, FALSE)-VLOOKUP(Games!#REF!, Data!$B$2:$L$135, 10, FALSE))*Coefficients!$J$2</f>
        <v>#REF!</v>
      </c>
      <c r="K229" t="e">
        <f>(IF(AND(VLOOKUP(Games!#REF!, Data!$B$2:$L$135, 11, FALSE)=1, VLOOKUP(Games!#REF!, Data!$B$2:$L$135, 11, FALSE)&lt;&gt;1), 1,0))*Coefficients!K$2</f>
        <v>#REF!</v>
      </c>
      <c r="L229" t="e">
        <f>(IF(AND(VLOOKUP(Games!#REF!, Data!$B$2:$L$135, 11, FALSE)&lt;&gt;1, VLOOKUP(Games!#REF!, Data!$B$2:$L$135, 11, FALSE)=1), 1,0))*Coefficients!L$2</f>
        <v>#REF!</v>
      </c>
      <c r="O229" t="e">
        <f t="shared" si="4"/>
        <v>#REF!</v>
      </c>
    </row>
    <row r="230">
      <c r="A230" t="n">
        <f>Coefficients!$A$2</f>
        <v>-3.7765953152866998</v>
      </c>
      <c r="B230" t="e">
        <f>(Games!#REF!)*(-1*Coefficients!$B$2)</f>
        <v>#REF!</v>
      </c>
      <c r="C230" t="e">
        <f>(VLOOKUP(Games!#REF!, Data!$B$2:$L$135, 4, FALSE)-VLOOKUP(Games!#REF!, Data!$B$2:$L$135, 4, FALSE))*Coefficients!$C$2</f>
        <v>#REF!</v>
      </c>
      <c r="D230" t="e">
        <f>(VLOOKUP(Games!#REF!, Data!$B$2:$L$135, 3, FALSE)-VLOOKUP(Games!#REF!, Data!$B$2:$L$135, 3, FALSE))*Coefficients!$D$2</f>
        <v>#REF!</v>
      </c>
      <c r="E230" t="e">
        <f>(VLOOKUP(Games!#REF!, Data!$B$2:$L$135, 5, FALSE)-VLOOKUP(Games!#REF!, Data!$B$2:$L$135, 5, FALSE))*Coefficients!$E$2</f>
        <v>#REF!</v>
      </c>
      <c r="F230" t="e">
        <f>(VLOOKUP(Games!#REF!, Data!$B$2:$L$135, 6, FALSE)-VLOOKUP(Games!#REF!, Data!$B$2:$L$135, 6, FALSE))*Coefficients!$F$2</f>
        <v>#REF!</v>
      </c>
      <c r="G230" t="e">
        <f>(VLOOKUP(Games!#REF!, Data!$B$2:$L$135, 7, FALSE)-VLOOKUP(Games!#REF!, Data!$B$2:$L$135, 7, FALSE))*Coefficients!$G$2</f>
        <v>#REF!</v>
      </c>
      <c r="H230" t="e">
        <f>(VLOOKUP(Games!#REF!, Data!$B$2:$L$135, 8, FALSE)-VLOOKUP(Games!#REF!, Data!$B$2:$L$135, 8, FALSE))*Coefficients!$H$2</f>
        <v>#REF!</v>
      </c>
      <c r="I230" t="e">
        <f>(VLOOKUP(Games!#REF!, Data!$B$2:$L$135, 9, FALSE)-VLOOKUP(Games!#REF!, Data!$B$2:$L$135, 9, FALSE))*Coefficients!$I$2</f>
        <v>#REF!</v>
      </c>
      <c r="J230" t="e">
        <f>IF(ISBLANK(Data!K230), Games!#REF!-Games!#REF!,VLOOKUP(Games!#REF!, Data!$B$2:$L$135, 10, FALSE)-VLOOKUP(Games!#REF!, Data!$B$2:$L$135, 10, FALSE))*Coefficients!$J$2</f>
        <v>#REF!</v>
      </c>
      <c r="K230" t="e">
        <f>(IF(AND(VLOOKUP(Games!#REF!, Data!$B$2:$L$135, 11, FALSE)=1, VLOOKUP(Games!#REF!, Data!$B$2:$L$135, 11, FALSE)&lt;&gt;1), 1,0))*Coefficients!K$2</f>
        <v>#REF!</v>
      </c>
      <c r="L230" t="e">
        <f>(IF(AND(VLOOKUP(Games!#REF!, Data!$B$2:$L$135, 11, FALSE)&lt;&gt;1, VLOOKUP(Games!#REF!, Data!$B$2:$L$135, 11, FALSE)=1), 1,0))*Coefficients!L$2</f>
        <v>#REF!</v>
      </c>
      <c r="O230" t="e">
        <f t="shared" si="4"/>
        <v>#REF!</v>
      </c>
    </row>
    <row r="231">
      <c r="A231" t="n">
        <f>Coefficients!$A$2</f>
        <v>-3.7765953152866998</v>
      </c>
      <c r="B231" t="e">
        <f>(Games!#REF!)*(-1*Coefficients!$B$2)</f>
        <v>#REF!</v>
      </c>
      <c r="C231" t="e">
        <f>(VLOOKUP(Games!#REF!, Data!$B$2:$L$135, 4, FALSE)-VLOOKUP(Games!#REF!, Data!$B$2:$L$135, 4, FALSE))*Coefficients!$C$2</f>
        <v>#REF!</v>
      </c>
      <c r="D231" t="e">
        <f>(VLOOKUP(Games!#REF!, Data!$B$2:$L$135, 3, FALSE)-VLOOKUP(Games!#REF!, Data!$B$2:$L$135, 3, FALSE))*Coefficients!$D$2</f>
        <v>#REF!</v>
      </c>
      <c r="E231" t="e">
        <f>(VLOOKUP(Games!#REF!, Data!$B$2:$L$135, 5, FALSE)-VLOOKUP(Games!#REF!, Data!$B$2:$L$135, 5, FALSE))*Coefficients!$E$2</f>
        <v>#REF!</v>
      </c>
      <c r="F231" t="e">
        <f>(VLOOKUP(Games!#REF!, Data!$B$2:$L$135, 6, FALSE)-VLOOKUP(Games!#REF!, Data!$B$2:$L$135, 6, FALSE))*Coefficients!$F$2</f>
        <v>#REF!</v>
      </c>
      <c r="G231" t="e">
        <f>(VLOOKUP(Games!#REF!, Data!$B$2:$L$135, 7, FALSE)-VLOOKUP(Games!#REF!, Data!$B$2:$L$135, 7, FALSE))*Coefficients!$G$2</f>
        <v>#REF!</v>
      </c>
      <c r="H231" t="e">
        <f>(VLOOKUP(Games!#REF!, Data!$B$2:$L$135, 8, FALSE)-VLOOKUP(Games!#REF!, Data!$B$2:$L$135, 8, FALSE))*Coefficients!$H$2</f>
        <v>#REF!</v>
      </c>
      <c r="I231" t="e">
        <f>(VLOOKUP(Games!#REF!, Data!$B$2:$L$135, 9, FALSE)-VLOOKUP(Games!#REF!, Data!$B$2:$L$135, 9, FALSE))*Coefficients!$I$2</f>
        <v>#REF!</v>
      </c>
      <c r="J231" t="e">
        <f>IF(ISBLANK(Data!K231), Games!#REF!-Games!#REF!,VLOOKUP(Games!#REF!, Data!$B$2:$L$135, 10, FALSE)-VLOOKUP(Games!#REF!, Data!$B$2:$L$135, 10, FALSE))*Coefficients!$J$2</f>
        <v>#REF!</v>
      </c>
      <c r="K231" t="e">
        <f>(IF(AND(VLOOKUP(Games!#REF!, Data!$B$2:$L$135, 11, FALSE)=1, VLOOKUP(Games!#REF!, Data!$B$2:$L$135, 11, FALSE)&lt;&gt;1), 1,0))*Coefficients!K$2</f>
        <v>#REF!</v>
      </c>
      <c r="L231" t="e">
        <f>(IF(AND(VLOOKUP(Games!#REF!, Data!$B$2:$L$135, 11, FALSE)&lt;&gt;1, VLOOKUP(Games!#REF!, Data!$B$2:$L$135, 11, FALSE)=1), 1,0))*Coefficients!L$2</f>
        <v>#REF!</v>
      </c>
      <c r="O231" t="e">
        <f t="shared" si="4"/>
        <v>#REF!</v>
      </c>
    </row>
    <row r="232">
      <c r="A232" t="n">
        <f>Coefficients!$A$2</f>
        <v>-3.7765953152866998</v>
      </c>
      <c r="B232" t="e">
        <f>(Games!#REF!)*(-1*Coefficients!$B$2)</f>
        <v>#REF!</v>
      </c>
      <c r="C232" t="e">
        <f>(VLOOKUP(Games!#REF!, Data!$B$2:$L$135, 4, FALSE)-VLOOKUP(Games!#REF!, Data!$B$2:$L$135, 4, FALSE))*Coefficients!$C$2</f>
        <v>#REF!</v>
      </c>
      <c r="D232" t="e">
        <f>(VLOOKUP(Games!#REF!, Data!$B$2:$L$135, 3, FALSE)-VLOOKUP(Games!#REF!, Data!$B$2:$L$135, 3, FALSE))*Coefficients!$D$2</f>
        <v>#REF!</v>
      </c>
      <c r="E232" t="e">
        <f>(VLOOKUP(Games!#REF!, Data!$B$2:$L$135, 5, FALSE)-VLOOKUP(Games!#REF!, Data!$B$2:$L$135, 5, FALSE))*Coefficients!$E$2</f>
        <v>#REF!</v>
      </c>
      <c r="F232" t="e">
        <f>(VLOOKUP(Games!#REF!, Data!$B$2:$L$135, 6, FALSE)-VLOOKUP(Games!#REF!, Data!$B$2:$L$135, 6, FALSE))*Coefficients!$F$2</f>
        <v>#REF!</v>
      </c>
      <c r="G232" t="e">
        <f>(VLOOKUP(Games!#REF!, Data!$B$2:$L$135, 7, FALSE)-VLOOKUP(Games!#REF!, Data!$B$2:$L$135, 7, FALSE))*Coefficients!$G$2</f>
        <v>#REF!</v>
      </c>
      <c r="H232" t="e">
        <f>(VLOOKUP(Games!#REF!, Data!$B$2:$L$135, 8, FALSE)-VLOOKUP(Games!#REF!, Data!$B$2:$L$135, 8, FALSE))*Coefficients!$H$2</f>
        <v>#REF!</v>
      </c>
      <c r="I232" t="e">
        <f>(VLOOKUP(Games!#REF!, Data!$B$2:$L$135, 9, FALSE)-VLOOKUP(Games!#REF!, Data!$B$2:$L$135, 9, FALSE))*Coefficients!$I$2</f>
        <v>#REF!</v>
      </c>
      <c r="J232" t="e">
        <f>IF(ISBLANK(Data!K232), Games!#REF!-Games!#REF!,VLOOKUP(Games!#REF!, Data!$B$2:$L$135, 10, FALSE)-VLOOKUP(Games!#REF!, Data!$B$2:$L$135, 10, FALSE))*Coefficients!$J$2</f>
        <v>#REF!</v>
      </c>
      <c r="K232" t="e">
        <f>(IF(AND(VLOOKUP(Games!#REF!, Data!$B$2:$L$135, 11, FALSE)=1, VLOOKUP(Games!#REF!, Data!$B$2:$L$135, 11, FALSE)&lt;&gt;1), 1,0))*Coefficients!K$2</f>
        <v>#REF!</v>
      </c>
      <c r="L232" t="e">
        <f>(IF(AND(VLOOKUP(Games!#REF!, Data!$B$2:$L$135, 11, FALSE)&lt;&gt;1, VLOOKUP(Games!#REF!, Data!$B$2:$L$135, 11, FALSE)=1), 1,0))*Coefficients!L$2</f>
        <v>#REF!</v>
      </c>
      <c r="O232" t="e">
        <f t="shared" si="4"/>
        <v>#REF!</v>
      </c>
    </row>
    <row r="233">
      <c r="A233" t="n">
        <f>Coefficients!$A$2</f>
        <v>-3.7765953152866998</v>
      </c>
      <c r="B233" t="e">
        <f>(Games!#REF!)*(-1*Coefficients!$B$2)</f>
        <v>#REF!</v>
      </c>
      <c r="C233" t="e">
        <f>(VLOOKUP(Games!#REF!, Data!$B$2:$L$135, 4, FALSE)-VLOOKUP(Games!#REF!, Data!$B$2:$L$135, 4, FALSE))*Coefficients!$C$2</f>
        <v>#REF!</v>
      </c>
      <c r="D233" t="e">
        <f>(VLOOKUP(Games!#REF!, Data!$B$2:$L$135, 3, FALSE)-VLOOKUP(Games!#REF!, Data!$B$2:$L$135, 3, FALSE))*Coefficients!$D$2</f>
        <v>#REF!</v>
      </c>
      <c r="E233" t="e">
        <f>(VLOOKUP(Games!#REF!, Data!$B$2:$L$135, 5, FALSE)-VLOOKUP(Games!#REF!, Data!$B$2:$L$135, 5, FALSE))*Coefficients!$E$2</f>
        <v>#REF!</v>
      </c>
      <c r="F233" t="e">
        <f>(VLOOKUP(Games!#REF!, Data!$B$2:$L$135, 6, FALSE)-VLOOKUP(Games!#REF!, Data!$B$2:$L$135, 6, FALSE))*Coefficients!$F$2</f>
        <v>#REF!</v>
      </c>
      <c r="G233" t="e">
        <f>(VLOOKUP(Games!#REF!, Data!$B$2:$L$135, 7, FALSE)-VLOOKUP(Games!#REF!, Data!$B$2:$L$135, 7, FALSE))*Coefficients!$G$2</f>
        <v>#REF!</v>
      </c>
      <c r="H233" t="e">
        <f>(VLOOKUP(Games!#REF!, Data!$B$2:$L$135, 8, FALSE)-VLOOKUP(Games!#REF!, Data!$B$2:$L$135, 8, FALSE))*Coefficients!$H$2</f>
        <v>#REF!</v>
      </c>
      <c r="I233" t="e">
        <f>(VLOOKUP(Games!#REF!, Data!$B$2:$L$135, 9, FALSE)-VLOOKUP(Games!#REF!, Data!$B$2:$L$135, 9, FALSE))*Coefficients!$I$2</f>
        <v>#REF!</v>
      </c>
      <c r="J233" t="e">
        <f>IF(ISBLANK(Data!K233), Games!#REF!-Games!#REF!,VLOOKUP(Games!#REF!, Data!$B$2:$L$135, 10, FALSE)-VLOOKUP(Games!#REF!, Data!$B$2:$L$135, 10, FALSE))*Coefficients!$J$2</f>
        <v>#REF!</v>
      </c>
      <c r="K233" t="e">
        <f>(IF(AND(VLOOKUP(Games!#REF!, Data!$B$2:$L$135, 11, FALSE)=1, VLOOKUP(Games!#REF!, Data!$B$2:$L$135, 11, FALSE)&lt;&gt;1), 1,0))*Coefficients!K$2</f>
        <v>#REF!</v>
      </c>
      <c r="L233" t="e">
        <f>(IF(AND(VLOOKUP(Games!#REF!, Data!$B$2:$L$135, 11, FALSE)&lt;&gt;1, VLOOKUP(Games!#REF!, Data!$B$2:$L$135, 11, FALSE)=1), 1,0))*Coefficients!L$2</f>
        <v>#REF!</v>
      </c>
      <c r="O233" t="e">
        <f t="shared" si="4"/>
        <v>#REF!</v>
      </c>
    </row>
    <row r="234">
      <c r="A234" t="n">
        <f>Coefficients!$A$2</f>
        <v>-3.7765953152866998</v>
      </c>
      <c r="B234" t="e">
        <f>(Games!#REF!)*(-1*Coefficients!$B$2)</f>
        <v>#REF!</v>
      </c>
      <c r="C234" t="e">
        <f>(VLOOKUP(Games!#REF!, Data!$B$2:$L$135, 4, FALSE)-VLOOKUP(Games!#REF!, Data!$B$2:$L$135, 4, FALSE))*Coefficients!$C$2</f>
        <v>#REF!</v>
      </c>
      <c r="D234" t="e">
        <f>(VLOOKUP(Games!#REF!, Data!$B$2:$L$135, 3, FALSE)-VLOOKUP(Games!#REF!, Data!$B$2:$L$135, 3, FALSE))*Coefficients!$D$2</f>
        <v>#REF!</v>
      </c>
      <c r="E234" t="e">
        <f>(VLOOKUP(Games!#REF!, Data!$B$2:$L$135, 5, FALSE)-VLOOKUP(Games!#REF!, Data!$B$2:$L$135, 5, FALSE))*Coefficients!$E$2</f>
        <v>#REF!</v>
      </c>
      <c r="F234" t="e">
        <f>(VLOOKUP(Games!#REF!, Data!$B$2:$L$135, 6, FALSE)-VLOOKUP(Games!#REF!, Data!$B$2:$L$135, 6, FALSE))*Coefficients!$F$2</f>
        <v>#REF!</v>
      </c>
      <c r="G234" t="e">
        <f>(VLOOKUP(Games!#REF!, Data!$B$2:$L$135, 7, FALSE)-VLOOKUP(Games!#REF!, Data!$B$2:$L$135, 7, FALSE))*Coefficients!$G$2</f>
        <v>#REF!</v>
      </c>
      <c r="H234" t="e">
        <f>(VLOOKUP(Games!#REF!, Data!$B$2:$L$135, 8, FALSE)-VLOOKUP(Games!#REF!, Data!$B$2:$L$135, 8, FALSE))*Coefficients!$H$2</f>
        <v>#REF!</v>
      </c>
      <c r="I234" t="e">
        <f>(VLOOKUP(Games!#REF!, Data!$B$2:$L$135, 9, FALSE)-VLOOKUP(Games!#REF!, Data!$B$2:$L$135, 9, FALSE))*Coefficients!$I$2</f>
        <v>#REF!</v>
      </c>
      <c r="J234" t="e">
        <f>IF(ISBLANK(Data!K234), Games!#REF!-Games!#REF!,VLOOKUP(Games!#REF!, Data!$B$2:$L$135, 10, FALSE)-VLOOKUP(Games!#REF!, Data!$B$2:$L$135, 10, FALSE))*Coefficients!$J$2</f>
        <v>#REF!</v>
      </c>
      <c r="K234" t="e">
        <f>(IF(AND(VLOOKUP(Games!#REF!, Data!$B$2:$L$135, 11, FALSE)=1, VLOOKUP(Games!#REF!, Data!$B$2:$L$135, 11, FALSE)&lt;&gt;1), 1,0))*Coefficients!K$2</f>
        <v>#REF!</v>
      </c>
      <c r="L234" t="e">
        <f>(IF(AND(VLOOKUP(Games!#REF!, Data!$B$2:$L$135, 11, FALSE)&lt;&gt;1, VLOOKUP(Games!#REF!, Data!$B$2:$L$135, 11, FALSE)=1), 1,0))*Coefficients!L$2</f>
        <v>#REF!</v>
      </c>
      <c r="O234" t="e">
        <f t="shared" si="4"/>
        <v>#REF!</v>
      </c>
    </row>
    <row r="235">
      <c r="A235" t="n">
        <f>Coefficients!$A$2</f>
        <v>-3.7765953152866998</v>
      </c>
      <c r="B235" t="e">
        <f>(Games!#REF!)*(-1*Coefficients!$B$2)</f>
        <v>#REF!</v>
      </c>
      <c r="C235" t="e">
        <f>(VLOOKUP(Games!#REF!, Data!$B$2:$L$135, 4, FALSE)-VLOOKUP(Games!#REF!, Data!$B$2:$L$135, 4, FALSE))*Coefficients!$C$2</f>
        <v>#REF!</v>
      </c>
      <c r="D235" t="e">
        <f>(VLOOKUP(Games!#REF!, Data!$B$2:$L$135, 3, FALSE)-VLOOKUP(Games!#REF!, Data!$B$2:$L$135, 3, FALSE))*Coefficients!$D$2</f>
        <v>#REF!</v>
      </c>
      <c r="E235" t="e">
        <f>(VLOOKUP(Games!#REF!, Data!$B$2:$L$135, 5, FALSE)-VLOOKUP(Games!#REF!, Data!$B$2:$L$135, 5, FALSE))*Coefficients!$E$2</f>
        <v>#REF!</v>
      </c>
      <c r="F235" t="e">
        <f>(VLOOKUP(Games!#REF!, Data!$B$2:$L$135, 6, FALSE)-VLOOKUP(Games!#REF!, Data!$B$2:$L$135, 6, FALSE))*Coefficients!$F$2</f>
        <v>#REF!</v>
      </c>
      <c r="G235" t="e">
        <f>(VLOOKUP(Games!#REF!, Data!$B$2:$L$135, 7, FALSE)-VLOOKUP(Games!#REF!, Data!$B$2:$L$135, 7, FALSE))*Coefficients!$G$2</f>
        <v>#REF!</v>
      </c>
      <c r="H235" t="e">
        <f>(VLOOKUP(Games!#REF!, Data!$B$2:$L$135, 8, FALSE)-VLOOKUP(Games!#REF!, Data!$B$2:$L$135, 8, FALSE))*Coefficients!$H$2</f>
        <v>#REF!</v>
      </c>
      <c r="I235" t="e">
        <f>(VLOOKUP(Games!#REF!, Data!$B$2:$L$135, 9, FALSE)-VLOOKUP(Games!#REF!, Data!$B$2:$L$135, 9, FALSE))*Coefficients!$I$2</f>
        <v>#REF!</v>
      </c>
      <c r="J235" t="e">
        <f>IF(ISBLANK(Data!K235), Games!#REF!-Games!#REF!,VLOOKUP(Games!#REF!, Data!$B$2:$L$135, 10, FALSE)-VLOOKUP(Games!#REF!, Data!$B$2:$L$135, 10, FALSE))*Coefficients!$J$2</f>
        <v>#REF!</v>
      </c>
      <c r="K235" t="e">
        <f>(IF(AND(VLOOKUP(Games!#REF!, Data!$B$2:$L$135, 11, FALSE)=1, VLOOKUP(Games!#REF!, Data!$B$2:$L$135, 11, FALSE)&lt;&gt;1), 1,0))*Coefficients!K$2</f>
        <v>#REF!</v>
      </c>
      <c r="L235" t="e">
        <f>(IF(AND(VLOOKUP(Games!#REF!, Data!$B$2:$L$135, 11, FALSE)&lt;&gt;1, VLOOKUP(Games!#REF!, Data!$B$2:$L$135, 11, FALSE)=1), 1,0))*Coefficients!L$2</f>
        <v>#REF!</v>
      </c>
      <c r="O235" t="e">
        <f t="shared" si="4"/>
        <v>#REF!</v>
      </c>
    </row>
    <row r="236">
      <c r="A236" t="n">
        <f>Coefficients!$A$2</f>
        <v>-3.7765953152866998</v>
      </c>
      <c r="B236" t="e">
        <f>(Games!#REF!)*(-1*Coefficients!$B$2)</f>
        <v>#REF!</v>
      </c>
      <c r="C236" t="e">
        <f>(VLOOKUP(Games!#REF!, Data!$B$2:$L$135, 4, FALSE)-VLOOKUP(Games!#REF!, Data!$B$2:$L$135, 4, FALSE))*Coefficients!$C$2</f>
        <v>#REF!</v>
      </c>
      <c r="D236" t="e">
        <f>(VLOOKUP(Games!#REF!, Data!$B$2:$L$135, 3, FALSE)-VLOOKUP(Games!#REF!, Data!$B$2:$L$135, 3, FALSE))*Coefficients!$D$2</f>
        <v>#REF!</v>
      </c>
      <c r="E236" t="e">
        <f>(VLOOKUP(Games!#REF!, Data!$B$2:$L$135, 5, FALSE)-VLOOKUP(Games!#REF!, Data!$B$2:$L$135, 5, FALSE))*Coefficients!$E$2</f>
        <v>#REF!</v>
      </c>
      <c r="F236" t="e">
        <f>(VLOOKUP(Games!#REF!, Data!$B$2:$L$135, 6, FALSE)-VLOOKUP(Games!#REF!, Data!$B$2:$L$135, 6, FALSE))*Coefficients!$F$2</f>
        <v>#REF!</v>
      </c>
      <c r="G236" t="e">
        <f>(VLOOKUP(Games!#REF!, Data!$B$2:$L$135, 7, FALSE)-VLOOKUP(Games!#REF!, Data!$B$2:$L$135, 7, FALSE))*Coefficients!$G$2</f>
        <v>#REF!</v>
      </c>
      <c r="H236" t="e">
        <f>(VLOOKUP(Games!#REF!, Data!$B$2:$L$135, 8, FALSE)-VLOOKUP(Games!#REF!, Data!$B$2:$L$135, 8, FALSE))*Coefficients!$H$2</f>
        <v>#REF!</v>
      </c>
      <c r="I236" t="e">
        <f>(VLOOKUP(Games!#REF!, Data!$B$2:$L$135, 9, FALSE)-VLOOKUP(Games!#REF!, Data!$B$2:$L$135, 9, FALSE))*Coefficients!$I$2</f>
        <v>#REF!</v>
      </c>
      <c r="J236" t="e">
        <f>IF(ISBLANK(Data!K236), Games!#REF!-Games!#REF!,VLOOKUP(Games!#REF!, Data!$B$2:$L$135, 10, FALSE)-VLOOKUP(Games!#REF!, Data!$B$2:$L$135, 10, FALSE))*Coefficients!$J$2</f>
        <v>#REF!</v>
      </c>
      <c r="K236" t="e">
        <f>(IF(AND(VLOOKUP(Games!#REF!, Data!$B$2:$L$135, 11, FALSE)=1, VLOOKUP(Games!#REF!, Data!$B$2:$L$135, 11, FALSE)&lt;&gt;1), 1,0))*Coefficients!K$2</f>
        <v>#REF!</v>
      </c>
      <c r="L236" t="e">
        <f>(IF(AND(VLOOKUP(Games!#REF!, Data!$B$2:$L$135, 11, FALSE)&lt;&gt;1, VLOOKUP(Games!#REF!, Data!$B$2:$L$135, 11, FALSE)=1), 1,0))*Coefficients!L$2</f>
        <v>#REF!</v>
      </c>
      <c r="O236" t="e">
        <f t="shared" si="4"/>
        <v>#REF!</v>
      </c>
    </row>
    <row r="237">
      <c r="A237" t="n">
        <f>Coefficients!$A$2</f>
        <v>-3.7765953152866998</v>
      </c>
      <c r="B237" t="e">
        <f>(Games!#REF!)*(-1*Coefficients!$B$2)</f>
        <v>#REF!</v>
      </c>
      <c r="C237" t="e">
        <f>(VLOOKUP(Games!#REF!, Data!$B$2:$L$135, 4, FALSE)-VLOOKUP(Games!#REF!, Data!$B$2:$L$135, 4, FALSE))*Coefficients!$C$2</f>
        <v>#REF!</v>
      </c>
      <c r="D237" t="e">
        <f>(VLOOKUP(Games!#REF!, Data!$B$2:$L$135, 3, FALSE)-VLOOKUP(Games!#REF!, Data!$B$2:$L$135, 3, FALSE))*Coefficients!$D$2</f>
        <v>#REF!</v>
      </c>
      <c r="E237" t="e">
        <f>(VLOOKUP(Games!#REF!, Data!$B$2:$L$135, 5, FALSE)-VLOOKUP(Games!#REF!, Data!$B$2:$L$135, 5, FALSE))*Coefficients!$E$2</f>
        <v>#REF!</v>
      </c>
      <c r="F237" t="e">
        <f>(VLOOKUP(Games!#REF!, Data!$B$2:$L$135, 6, FALSE)-VLOOKUP(Games!#REF!, Data!$B$2:$L$135, 6, FALSE))*Coefficients!$F$2</f>
        <v>#REF!</v>
      </c>
      <c r="G237" t="e">
        <f>(VLOOKUP(Games!#REF!, Data!$B$2:$L$135, 7, FALSE)-VLOOKUP(Games!#REF!, Data!$B$2:$L$135, 7, FALSE))*Coefficients!$G$2</f>
        <v>#REF!</v>
      </c>
      <c r="H237" t="e">
        <f>(VLOOKUP(Games!#REF!, Data!$B$2:$L$135, 8, FALSE)-VLOOKUP(Games!#REF!, Data!$B$2:$L$135, 8, FALSE))*Coefficients!$H$2</f>
        <v>#REF!</v>
      </c>
      <c r="I237" t="e">
        <f>(VLOOKUP(Games!#REF!, Data!$B$2:$L$135, 9, FALSE)-VLOOKUP(Games!#REF!, Data!$B$2:$L$135, 9, FALSE))*Coefficients!$I$2</f>
        <v>#REF!</v>
      </c>
      <c r="J237" t="e">
        <f>IF(ISBLANK(Data!K237), Games!#REF!-Games!#REF!,VLOOKUP(Games!#REF!, Data!$B$2:$L$135, 10, FALSE)-VLOOKUP(Games!#REF!, Data!$B$2:$L$135, 10, FALSE))*Coefficients!$J$2</f>
        <v>#REF!</v>
      </c>
      <c r="K237" t="e">
        <f>(IF(AND(VLOOKUP(Games!#REF!, Data!$B$2:$L$135, 11, FALSE)=1, VLOOKUP(Games!#REF!, Data!$B$2:$L$135, 11, FALSE)&lt;&gt;1), 1,0))*Coefficients!K$2</f>
        <v>#REF!</v>
      </c>
      <c r="L237" t="e">
        <f>(IF(AND(VLOOKUP(Games!#REF!, Data!$B$2:$L$135, 11, FALSE)&lt;&gt;1, VLOOKUP(Games!#REF!, Data!$B$2:$L$135, 11, FALSE)=1), 1,0))*Coefficients!L$2</f>
        <v>#REF!</v>
      </c>
      <c r="O237" t="e">
        <f t="shared" si="4"/>
        <v>#REF!</v>
      </c>
    </row>
    <row r="238">
      <c r="A238" t="n">
        <f>Coefficients!$A$2</f>
        <v>-3.7765953152866998</v>
      </c>
      <c r="B238" t="e">
        <f>(Games!#REF!)*(-1*Coefficients!$B$2)</f>
        <v>#REF!</v>
      </c>
      <c r="C238" t="e">
        <f>(VLOOKUP(Games!#REF!, Data!$B$2:$L$135, 4, FALSE)-VLOOKUP(Games!#REF!, Data!$B$2:$L$135, 4, FALSE))*Coefficients!$C$2</f>
        <v>#REF!</v>
      </c>
      <c r="D238" t="e">
        <f>(VLOOKUP(Games!#REF!, Data!$B$2:$L$135, 3, FALSE)-VLOOKUP(Games!#REF!, Data!$B$2:$L$135, 3, FALSE))*Coefficients!$D$2</f>
        <v>#REF!</v>
      </c>
      <c r="E238" t="e">
        <f>(VLOOKUP(Games!#REF!, Data!$B$2:$L$135, 5, FALSE)-VLOOKUP(Games!#REF!, Data!$B$2:$L$135, 5, FALSE))*Coefficients!$E$2</f>
        <v>#REF!</v>
      </c>
      <c r="F238" t="e">
        <f>(VLOOKUP(Games!#REF!, Data!$B$2:$L$135, 6, FALSE)-VLOOKUP(Games!#REF!, Data!$B$2:$L$135, 6, FALSE))*Coefficients!$F$2</f>
        <v>#REF!</v>
      </c>
      <c r="G238" t="e">
        <f>(VLOOKUP(Games!#REF!, Data!$B$2:$L$135, 7, FALSE)-VLOOKUP(Games!#REF!, Data!$B$2:$L$135, 7, FALSE))*Coefficients!$G$2</f>
        <v>#REF!</v>
      </c>
      <c r="H238" t="e">
        <f>(VLOOKUP(Games!#REF!, Data!$B$2:$L$135, 8, FALSE)-VLOOKUP(Games!#REF!, Data!$B$2:$L$135, 8, FALSE))*Coefficients!$H$2</f>
        <v>#REF!</v>
      </c>
      <c r="I238" t="e">
        <f>(VLOOKUP(Games!#REF!, Data!$B$2:$L$135, 9, FALSE)-VLOOKUP(Games!#REF!, Data!$B$2:$L$135, 9, FALSE))*Coefficients!$I$2</f>
        <v>#REF!</v>
      </c>
      <c r="J238" t="e">
        <f>IF(ISBLANK(Data!K238), Games!#REF!-Games!#REF!,VLOOKUP(Games!#REF!, Data!$B$2:$L$135, 10, FALSE)-VLOOKUP(Games!#REF!, Data!$B$2:$L$135, 10, FALSE))*Coefficients!$J$2</f>
        <v>#REF!</v>
      </c>
      <c r="K238" t="e">
        <f>(IF(AND(VLOOKUP(Games!#REF!, Data!$B$2:$L$135, 11, FALSE)=1, VLOOKUP(Games!#REF!, Data!$B$2:$L$135, 11, FALSE)&lt;&gt;1), 1,0))*Coefficients!K$2</f>
        <v>#REF!</v>
      </c>
      <c r="L238" t="e">
        <f>(IF(AND(VLOOKUP(Games!#REF!, Data!$B$2:$L$135, 11, FALSE)&lt;&gt;1, VLOOKUP(Games!#REF!, Data!$B$2:$L$135, 11, FALSE)=1), 1,0))*Coefficients!L$2</f>
        <v>#REF!</v>
      </c>
      <c r="O238" t="e">
        <f t="shared" si="4"/>
        <v>#REF!</v>
      </c>
    </row>
    <row r="239">
      <c r="A239" t="n">
        <f>Coefficients!$A$2</f>
        <v>-3.7765953152866998</v>
      </c>
      <c r="B239" t="e">
        <f>(Games!#REF!)*(-1*Coefficients!$B$2)</f>
        <v>#REF!</v>
      </c>
      <c r="C239" t="e">
        <f>(VLOOKUP(Games!#REF!, Data!$B$2:$L$135, 4, FALSE)-VLOOKUP(Games!#REF!, Data!$B$2:$L$135, 4, FALSE))*Coefficients!$C$2</f>
        <v>#REF!</v>
      </c>
      <c r="D239" t="e">
        <f>(VLOOKUP(Games!#REF!, Data!$B$2:$L$135, 3, FALSE)-VLOOKUP(Games!#REF!, Data!$B$2:$L$135, 3, FALSE))*Coefficients!$D$2</f>
        <v>#REF!</v>
      </c>
      <c r="E239" t="e">
        <f>(VLOOKUP(Games!#REF!, Data!$B$2:$L$135, 5, FALSE)-VLOOKUP(Games!#REF!, Data!$B$2:$L$135, 5, FALSE))*Coefficients!$E$2</f>
        <v>#REF!</v>
      </c>
      <c r="F239" t="e">
        <f>(VLOOKUP(Games!#REF!, Data!$B$2:$L$135, 6, FALSE)-VLOOKUP(Games!#REF!, Data!$B$2:$L$135, 6, FALSE))*Coefficients!$F$2</f>
        <v>#REF!</v>
      </c>
      <c r="G239" t="e">
        <f>(VLOOKUP(Games!#REF!, Data!$B$2:$L$135, 7, FALSE)-VLOOKUP(Games!#REF!, Data!$B$2:$L$135, 7, FALSE))*Coefficients!$G$2</f>
        <v>#REF!</v>
      </c>
      <c r="H239" t="e">
        <f>(VLOOKUP(Games!#REF!, Data!$B$2:$L$135, 8, FALSE)-VLOOKUP(Games!#REF!, Data!$B$2:$L$135, 8, FALSE))*Coefficients!$H$2</f>
        <v>#REF!</v>
      </c>
      <c r="I239" t="e">
        <f>(VLOOKUP(Games!#REF!, Data!$B$2:$L$135, 9, FALSE)-VLOOKUP(Games!#REF!, Data!$B$2:$L$135, 9, FALSE))*Coefficients!$I$2</f>
        <v>#REF!</v>
      </c>
      <c r="J239" t="e">
        <f>IF(ISBLANK(Data!K239), Games!#REF!-Games!#REF!,VLOOKUP(Games!#REF!, Data!$B$2:$L$135, 10, FALSE)-VLOOKUP(Games!#REF!, Data!$B$2:$L$135, 10, FALSE))*Coefficients!$J$2</f>
        <v>#REF!</v>
      </c>
      <c r="K239" t="e">
        <f>(IF(AND(VLOOKUP(Games!#REF!, Data!$B$2:$L$135, 11, FALSE)=1, VLOOKUP(Games!#REF!, Data!$B$2:$L$135, 11, FALSE)&lt;&gt;1), 1,0))*Coefficients!K$2</f>
        <v>#REF!</v>
      </c>
      <c r="L239" t="e">
        <f>(IF(AND(VLOOKUP(Games!#REF!, Data!$B$2:$L$135, 11, FALSE)&lt;&gt;1, VLOOKUP(Games!#REF!, Data!$B$2:$L$135, 11, FALSE)=1), 1,0))*Coefficients!L$2</f>
        <v>#REF!</v>
      </c>
      <c r="O239" t="e">
        <f t="shared" si="4"/>
        <v>#REF!</v>
      </c>
    </row>
    <row r="240">
      <c r="A240" t="n">
        <f>Coefficients!$A$2</f>
        <v>-3.7765953152866998</v>
      </c>
      <c r="B240" t="e">
        <f>(Games!#REF!)*(-1*Coefficients!$B$2)</f>
        <v>#REF!</v>
      </c>
      <c r="C240" t="e">
        <f>(VLOOKUP(Games!#REF!, Data!$B$2:$L$135, 4, FALSE)-VLOOKUP(Games!#REF!, Data!$B$2:$L$135, 4, FALSE))*Coefficients!$C$2</f>
        <v>#REF!</v>
      </c>
      <c r="D240" t="e">
        <f>(VLOOKUP(Games!#REF!, Data!$B$2:$L$135, 3, FALSE)-VLOOKUP(Games!#REF!, Data!$B$2:$L$135, 3, FALSE))*Coefficients!$D$2</f>
        <v>#REF!</v>
      </c>
      <c r="E240" t="e">
        <f>(VLOOKUP(Games!#REF!, Data!$B$2:$L$135, 5, FALSE)-VLOOKUP(Games!#REF!, Data!$B$2:$L$135, 5, FALSE))*Coefficients!$E$2</f>
        <v>#REF!</v>
      </c>
      <c r="F240" t="e">
        <f>(VLOOKUP(Games!#REF!, Data!$B$2:$L$135, 6, FALSE)-VLOOKUP(Games!#REF!, Data!$B$2:$L$135, 6, FALSE))*Coefficients!$F$2</f>
        <v>#REF!</v>
      </c>
      <c r="G240" t="e">
        <f>(VLOOKUP(Games!#REF!, Data!$B$2:$L$135, 7, FALSE)-VLOOKUP(Games!#REF!, Data!$B$2:$L$135, 7, FALSE))*Coefficients!$G$2</f>
        <v>#REF!</v>
      </c>
      <c r="H240" t="e">
        <f>(VLOOKUP(Games!#REF!, Data!$B$2:$L$135, 8, FALSE)-VLOOKUP(Games!#REF!, Data!$B$2:$L$135, 8, FALSE))*Coefficients!$H$2</f>
        <v>#REF!</v>
      </c>
      <c r="I240" t="e">
        <f>(VLOOKUP(Games!#REF!, Data!$B$2:$L$135, 9, FALSE)-VLOOKUP(Games!#REF!, Data!$B$2:$L$135, 9, FALSE))*Coefficients!$I$2</f>
        <v>#REF!</v>
      </c>
      <c r="J240" t="e">
        <f>IF(ISBLANK(Data!K240), Games!#REF!-Games!#REF!,VLOOKUP(Games!#REF!, Data!$B$2:$L$135, 10, FALSE)-VLOOKUP(Games!#REF!, Data!$B$2:$L$135, 10, FALSE))*Coefficients!$J$2</f>
        <v>#REF!</v>
      </c>
      <c r="K240" t="e">
        <f>(IF(AND(VLOOKUP(Games!#REF!, Data!$B$2:$L$135, 11, FALSE)=1, VLOOKUP(Games!#REF!, Data!$B$2:$L$135, 11, FALSE)&lt;&gt;1), 1,0))*Coefficients!K$2</f>
        <v>#REF!</v>
      </c>
      <c r="L240" t="e">
        <f>(IF(AND(VLOOKUP(Games!#REF!, Data!$B$2:$L$135, 11, FALSE)&lt;&gt;1, VLOOKUP(Games!#REF!, Data!$B$2:$L$135, 11, FALSE)=1), 1,0))*Coefficients!L$2</f>
        <v>#REF!</v>
      </c>
      <c r="O240" t="e">
        <f t="shared" si="4"/>
        <v>#REF!</v>
      </c>
    </row>
    <row r="241">
      <c r="A241" t="n">
        <f>Coefficients!$A$2</f>
        <v>-3.7765953152866998</v>
      </c>
      <c r="B241" t="e">
        <f>(Games!#REF!)*(-1*Coefficients!$B$2)</f>
        <v>#REF!</v>
      </c>
      <c r="C241" t="e">
        <f>(VLOOKUP(Games!#REF!, Data!$B$2:$L$135, 4, FALSE)-VLOOKUP(Games!#REF!, Data!$B$2:$L$135, 4, FALSE))*Coefficients!$C$2</f>
        <v>#REF!</v>
      </c>
      <c r="D241" t="e">
        <f>(VLOOKUP(Games!#REF!, Data!$B$2:$L$135, 3, FALSE)-VLOOKUP(Games!#REF!, Data!$B$2:$L$135, 3, FALSE))*Coefficients!$D$2</f>
        <v>#REF!</v>
      </c>
      <c r="E241" t="e">
        <f>(VLOOKUP(Games!#REF!, Data!$B$2:$L$135, 5, FALSE)-VLOOKUP(Games!#REF!, Data!$B$2:$L$135, 5, FALSE))*Coefficients!$E$2</f>
        <v>#REF!</v>
      </c>
      <c r="F241" t="e">
        <f>(VLOOKUP(Games!#REF!, Data!$B$2:$L$135, 6, FALSE)-VLOOKUP(Games!#REF!, Data!$B$2:$L$135, 6, FALSE))*Coefficients!$F$2</f>
        <v>#REF!</v>
      </c>
      <c r="G241" t="e">
        <f>(VLOOKUP(Games!#REF!, Data!$B$2:$L$135, 7, FALSE)-VLOOKUP(Games!#REF!, Data!$B$2:$L$135, 7, FALSE))*Coefficients!$G$2</f>
        <v>#REF!</v>
      </c>
      <c r="H241" t="e">
        <f>(VLOOKUP(Games!#REF!, Data!$B$2:$L$135, 8, FALSE)-VLOOKUP(Games!#REF!, Data!$B$2:$L$135, 8, FALSE))*Coefficients!$H$2</f>
        <v>#REF!</v>
      </c>
      <c r="I241" t="e">
        <f>(VLOOKUP(Games!#REF!, Data!$B$2:$L$135, 9, FALSE)-VLOOKUP(Games!#REF!, Data!$B$2:$L$135, 9, FALSE))*Coefficients!$I$2</f>
        <v>#REF!</v>
      </c>
      <c r="J241" t="e">
        <f>IF(ISBLANK(Data!K241), Games!#REF!-Games!#REF!,VLOOKUP(Games!#REF!, Data!$B$2:$L$135, 10, FALSE)-VLOOKUP(Games!#REF!, Data!$B$2:$L$135, 10, FALSE))*Coefficients!$J$2</f>
        <v>#REF!</v>
      </c>
      <c r="K241" t="e">
        <f>(IF(AND(VLOOKUP(Games!#REF!, Data!$B$2:$L$135, 11, FALSE)=1, VLOOKUP(Games!#REF!, Data!$B$2:$L$135, 11, FALSE)&lt;&gt;1), 1,0))*Coefficients!K$2</f>
        <v>#REF!</v>
      </c>
      <c r="L241" t="e">
        <f>(IF(AND(VLOOKUP(Games!#REF!, Data!$B$2:$L$135, 11, FALSE)&lt;&gt;1, VLOOKUP(Games!#REF!, Data!$B$2:$L$135, 11, FALSE)=1), 1,0))*Coefficients!L$2</f>
        <v>#REF!</v>
      </c>
      <c r="O241" t="e">
        <f t="shared" si="4"/>
        <v>#REF!</v>
      </c>
    </row>
    <row r="242">
      <c r="A242" t="n">
        <f>Coefficients!$A$2</f>
        <v>-3.7765953152866998</v>
      </c>
      <c r="B242" t="e">
        <f>(Games!#REF!)*(-1*Coefficients!$B$2)</f>
        <v>#REF!</v>
      </c>
      <c r="C242" t="e">
        <f>(VLOOKUP(Games!#REF!, Data!$B$2:$L$135, 4, FALSE)-VLOOKUP(Games!#REF!, Data!$B$2:$L$135, 4, FALSE))*Coefficients!$C$2</f>
        <v>#REF!</v>
      </c>
      <c r="D242" t="e">
        <f>(VLOOKUP(Games!#REF!, Data!$B$2:$L$135, 3, FALSE)-VLOOKUP(Games!#REF!, Data!$B$2:$L$135, 3, FALSE))*Coefficients!$D$2</f>
        <v>#REF!</v>
      </c>
      <c r="E242" t="e">
        <f>(VLOOKUP(Games!#REF!, Data!$B$2:$L$135, 5, FALSE)-VLOOKUP(Games!#REF!, Data!$B$2:$L$135, 5, FALSE))*Coefficients!$E$2</f>
        <v>#REF!</v>
      </c>
      <c r="F242" t="e">
        <f>(VLOOKUP(Games!#REF!, Data!$B$2:$L$135, 6, FALSE)-VLOOKUP(Games!#REF!, Data!$B$2:$L$135, 6, FALSE))*Coefficients!$F$2</f>
        <v>#REF!</v>
      </c>
      <c r="G242" t="e">
        <f>(VLOOKUP(Games!#REF!, Data!$B$2:$L$135, 7, FALSE)-VLOOKUP(Games!#REF!, Data!$B$2:$L$135, 7, FALSE))*Coefficients!$G$2</f>
        <v>#REF!</v>
      </c>
      <c r="H242" t="e">
        <f>(VLOOKUP(Games!#REF!, Data!$B$2:$L$135, 8, FALSE)-VLOOKUP(Games!#REF!, Data!$B$2:$L$135, 8, FALSE))*Coefficients!$H$2</f>
        <v>#REF!</v>
      </c>
      <c r="I242" t="e">
        <f>(VLOOKUP(Games!#REF!, Data!$B$2:$L$135, 9, FALSE)-VLOOKUP(Games!#REF!, Data!$B$2:$L$135, 9, FALSE))*Coefficients!$I$2</f>
        <v>#REF!</v>
      </c>
      <c r="J242" t="e">
        <f>IF(ISBLANK(Data!K242), Games!#REF!-Games!#REF!,VLOOKUP(Games!#REF!, Data!$B$2:$L$135, 10, FALSE)-VLOOKUP(Games!#REF!, Data!$B$2:$L$135, 10, FALSE))*Coefficients!$J$2</f>
        <v>#REF!</v>
      </c>
      <c r="K242" t="e">
        <f>(IF(AND(VLOOKUP(Games!#REF!, Data!$B$2:$L$135, 11, FALSE)=1, VLOOKUP(Games!#REF!, Data!$B$2:$L$135, 11, FALSE)&lt;&gt;1), 1,0))*Coefficients!K$2</f>
        <v>#REF!</v>
      </c>
      <c r="L242" t="e">
        <f>(IF(AND(VLOOKUP(Games!#REF!, Data!$B$2:$L$135, 11, FALSE)&lt;&gt;1, VLOOKUP(Games!#REF!, Data!$B$2:$L$135, 11, FALSE)=1), 1,0))*Coefficients!L$2</f>
        <v>#REF!</v>
      </c>
      <c r="O242" t="e">
        <f t="shared" si="4"/>
        <v>#REF!</v>
      </c>
    </row>
    <row r="243">
      <c r="A243" t="n">
        <f>Coefficients!$A$2</f>
        <v>-3.7765953152866998</v>
      </c>
      <c r="B243" t="e">
        <f>(Games!#REF!)*(-1*Coefficients!$B$2)</f>
        <v>#REF!</v>
      </c>
      <c r="C243" t="e">
        <f>(VLOOKUP(Games!#REF!, Data!$B$2:$L$135, 4, FALSE)-VLOOKUP(Games!#REF!, Data!$B$2:$L$135, 4, FALSE))*Coefficients!$C$2</f>
        <v>#REF!</v>
      </c>
      <c r="D243" t="e">
        <f>(VLOOKUP(Games!#REF!, Data!$B$2:$L$135, 3, FALSE)-VLOOKUP(Games!#REF!, Data!$B$2:$L$135, 3, FALSE))*Coefficients!$D$2</f>
        <v>#REF!</v>
      </c>
      <c r="E243" t="e">
        <f>(VLOOKUP(Games!#REF!, Data!$B$2:$L$135, 5, FALSE)-VLOOKUP(Games!#REF!, Data!$B$2:$L$135, 5, FALSE))*Coefficients!$E$2</f>
        <v>#REF!</v>
      </c>
      <c r="F243" t="e">
        <f>(VLOOKUP(Games!#REF!, Data!$B$2:$L$135, 6, FALSE)-VLOOKUP(Games!#REF!, Data!$B$2:$L$135, 6, FALSE))*Coefficients!$F$2</f>
        <v>#REF!</v>
      </c>
      <c r="G243" t="e">
        <f>(VLOOKUP(Games!#REF!, Data!$B$2:$L$135, 7, FALSE)-VLOOKUP(Games!#REF!, Data!$B$2:$L$135, 7, FALSE))*Coefficients!$G$2</f>
        <v>#REF!</v>
      </c>
      <c r="H243" t="e">
        <f>(VLOOKUP(Games!#REF!, Data!$B$2:$L$135, 8, FALSE)-VLOOKUP(Games!#REF!, Data!$B$2:$L$135, 8, FALSE))*Coefficients!$H$2</f>
        <v>#REF!</v>
      </c>
      <c r="I243" t="e">
        <f>(VLOOKUP(Games!#REF!, Data!$B$2:$L$135, 9, FALSE)-VLOOKUP(Games!#REF!, Data!$B$2:$L$135, 9, FALSE))*Coefficients!$I$2</f>
        <v>#REF!</v>
      </c>
      <c r="J243" t="e">
        <f>IF(ISBLANK(Data!K243), Games!#REF!-Games!#REF!,VLOOKUP(Games!#REF!, Data!$B$2:$L$135, 10, FALSE)-VLOOKUP(Games!#REF!, Data!$B$2:$L$135, 10, FALSE))*Coefficients!$J$2</f>
        <v>#REF!</v>
      </c>
      <c r="K243" t="e">
        <f>(IF(AND(VLOOKUP(Games!#REF!, Data!$B$2:$L$135, 11, FALSE)=1, VLOOKUP(Games!#REF!, Data!$B$2:$L$135, 11, FALSE)&lt;&gt;1), 1,0))*Coefficients!K$2</f>
        <v>#REF!</v>
      </c>
      <c r="L243" t="e">
        <f>(IF(AND(VLOOKUP(Games!#REF!, Data!$B$2:$L$135, 11, FALSE)&lt;&gt;1, VLOOKUP(Games!#REF!, Data!$B$2:$L$135, 11, FALSE)=1), 1,0))*Coefficients!L$2</f>
        <v>#REF!</v>
      </c>
      <c r="O243" t="e">
        <f t="shared" si="4"/>
        <v>#REF!</v>
      </c>
    </row>
    <row r="244">
      <c r="A244" t="n">
        <f>Coefficients!$A$2</f>
        <v>-3.7765953152866998</v>
      </c>
      <c r="B244" t="e">
        <f>(Games!#REF!)*(-1*Coefficients!$B$2)</f>
        <v>#REF!</v>
      </c>
      <c r="C244" t="e">
        <f>(VLOOKUP(Games!#REF!, Data!$B$2:$L$135, 4, FALSE)-VLOOKUP(Games!#REF!, Data!$B$2:$L$135, 4, FALSE))*Coefficients!$C$2</f>
        <v>#REF!</v>
      </c>
      <c r="D244" t="e">
        <f>(VLOOKUP(Games!#REF!, Data!$B$2:$L$135, 3, FALSE)-VLOOKUP(Games!#REF!, Data!$B$2:$L$135, 3, FALSE))*Coefficients!$D$2</f>
        <v>#REF!</v>
      </c>
      <c r="E244" t="e">
        <f>(VLOOKUP(Games!#REF!, Data!$B$2:$L$135, 5, FALSE)-VLOOKUP(Games!#REF!, Data!$B$2:$L$135, 5, FALSE))*Coefficients!$E$2</f>
        <v>#REF!</v>
      </c>
      <c r="F244" t="e">
        <f>(VLOOKUP(Games!#REF!, Data!$B$2:$L$135, 6, FALSE)-VLOOKUP(Games!#REF!, Data!$B$2:$L$135, 6, FALSE))*Coefficients!$F$2</f>
        <v>#REF!</v>
      </c>
      <c r="G244" t="e">
        <f>(VLOOKUP(Games!#REF!, Data!$B$2:$L$135, 7, FALSE)-VLOOKUP(Games!#REF!, Data!$B$2:$L$135, 7, FALSE))*Coefficients!$G$2</f>
        <v>#REF!</v>
      </c>
      <c r="H244" t="e">
        <f>(VLOOKUP(Games!#REF!, Data!$B$2:$L$135, 8, FALSE)-VLOOKUP(Games!#REF!, Data!$B$2:$L$135, 8, FALSE))*Coefficients!$H$2</f>
        <v>#REF!</v>
      </c>
      <c r="I244" t="e">
        <f>(VLOOKUP(Games!#REF!, Data!$B$2:$L$135, 9, FALSE)-VLOOKUP(Games!#REF!, Data!$B$2:$L$135, 9, FALSE))*Coefficients!$I$2</f>
        <v>#REF!</v>
      </c>
      <c r="J244" t="e">
        <f>IF(ISBLANK(Data!K244), Games!#REF!-Games!#REF!,VLOOKUP(Games!#REF!, Data!$B$2:$L$135, 10, FALSE)-VLOOKUP(Games!#REF!, Data!$B$2:$L$135, 10, FALSE))*Coefficients!$J$2</f>
        <v>#REF!</v>
      </c>
      <c r="K244" t="e">
        <f>(IF(AND(VLOOKUP(Games!#REF!, Data!$B$2:$L$135, 11, FALSE)=1, VLOOKUP(Games!#REF!, Data!$B$2:$L$135, 11, FALSE)&lt;&gt;1), 1,0))*Coefficients!K$2</f>
        <v>#REF!</v>
      </c>
      <c r="L244" t="e">
        <f>(IF(AND(VLOOKUP(Games!#REF!, Data!$B$2:$L$135, 11, FALSE)&lt;&gt;1, VLOOKUP(Games!#REF!, Data!$B$2:$L$135, 11, FALSE)=1), 1,0))*Coefficients!L$2</f>
        <v>#REF!</v>
      </c>
      <c r="O244" t="e">
        <f t="shared" si="4"/>
        <v>#REF!</v>
      </c>
    </row>
    <row r="245">
      <c r="A245" t="n">
        <f>Coefficients!$A$2</f>
        <v>-3.7765953152866998</v>
      </c>
      <c r="B245" t="e">
        <f>(Games!#REF!)*(-1*Coefficients!$B$2)</f>
        <v>#REF!</v>
      </c>
      <c r="C245" t="e">
        <f>(VLOOKUP(Games!#REF!, Data!$B$2:$L$135, 4, FALSE)-VLOOKUP(Games!#REF!, Data!$B$2:$L$135, 4, FALSE))*Coefficients!$C$2</f>
        <v>#REF!</v>
      </c>
      <c r="D245" t="e">
        <f>(VLOOKUP(Games!#REF!, Data!$B$2:$L$135, 3, FALSE)-VLOOKUP(Games!#REF!, Data!$B$2:$L$135, 3, FALSE))*Coefficients!$D$2</f>
        <v>#REF!</v>
      </c>
      <c r="E245" t="e">
        <f>(VLOOKUP(Games!#REF!, Data!$B$2:$L$135, 5, FALSE)-VLOOKUP(Games!#REF!, Data!$B$2:$L$135, 5, FALSE))*Coefficients!$E$2</f>
        <v>#REF!</v>
      </c>
      <c r="F245" t="e">
        <f>(VLOOKUP(Games!#REF!, Data!$B$2:$L$135, 6, FALSE)-VLOOKUP(Games!#REF!, Data!$B$2:$L$135, 6, FALSE))*Coefficients!$F$2</f>
        <v>#REF!</v>
      </c>
      <c r="G245" t="e">
        <f>(VLOOKUP(Games!#REF!, Data!$B$2:$L$135, 7, FALSE)-VLOOKUP(Games!#REF!, Data!$B$2:$L$135, 7, FALSE))*Coefficients!$G$2</f>
        <v>#REF!</v>
      </c>
      <c r="H245" t="e">
        <f>(VLOOKUP(Games!#REF!, Data!$B$2:$L$135, 8, FALSE)-VLOOKUP(Games!#REF!, Data!$B$2:$L$135, 8, FALSE))*Coefficients!$H$2</f>
        <v>#REF!</v>
      </c>
      <c r="I245" t="e">
        <f>(VLOOKUP(Games!#REF!, Data!$B$2:$L$135, 9, FALSE)-VLOOKUP(Games!#REF!, Data!$B$2:$L$135, 9, FALSE))*Coefficients!$I$2</f>
        <v>#REF!</v>
      </c>
      <c r="J245" t="e">
        <f>IF(ISBLANK(Data!K245), Games!#REF!-Games!#REF!,VLOOKUP(Games!#REF!, Data!$B$2:$L$135, 10, FALSE)-VLOOKUP(Games!#REF!, Data!$B$2:$L$135, 10, FALSE))*Coefficients!$J$2</f>
        <v>#REF!</v>
      </c>
      <c r="K245" t="e">
        <f>(IF(AND(VLOOKUP(Games!#REF!, Data!$B$2:$L$135, 11, FALSE)=1, VLOOKUP(Games!#REF!, Data!$B$2:$L$135, 11, FALSE)&lt;&gt;1), 1,0))*Coefficients!K$2</f>
        <v>#REF!</v>
      </c>
      <c r="L245" t="e">
        <f>(IF(AND(VLOOKUP(Games!#REF!, Data!$B$2:$L$135, 11, FALSE)&lt;&gt;1, VLOOKUP(Games!#REF!, Data!$B$2:$L$135, 11, FALSE)=1), 1,0))*Coefficients!L$2</f>
        <v>#REF!</v>
      </c>
      <c r="O245" t="e">
        <f t="shared" si="4"/>
        <v>#REF!</v>
      </c>
    </row>
    <row r="246">
      <c r="A246" t="n">
        <f>Coefficients!$A$2</f>
        <v>-3.7765953152866998</v>
      </c>
      <c r="B246" t="e">
        <f>(Games!#REF!)*(-1*Coefficients!$B$2)</f>
        <v>#REF!</v>
      </c>
      <c r="C246" t="e">
        <f>(VLOOKUP(Games!#REF!, Data!$B$2:$L$135, 4, FALSE)-VLOOKUP(Games!#REF!, Data!$B$2:$L$135, 4, FALSE))*Coefficients!$C$2</f>
        <v>#REF!</v>
      </c>
      <c r="D246" t="e">
        <f>(VLOOKUP(Games!#REF!, Data!$B$2:$L$135, 3, FALSE)-VLOOKUP(Games!#REF!, Data!$B$2:$L$135, 3, FALSE))*Coefficients!$D$2</f>
        <v>#REF!</v>
      </c>
      <c r="E246" t="e">
        <f>(VLOOKUP(Games!#REF!, Data!$B$2:$L$135, 5, FALSE)-VLOOKUP(Games!#REF!, Data!$B$2:$L$135, 5, FALSE))*Coefficients!$E$2</f>
        <v>#REF!</v>
      </c>
      <c r="F246" t="e">
        <f>(VLOOKUP(Games!#REF!, Data!$B$2:$L$135, 6, FALSE)-VLOOKUP(Games!#REF!, Data!$B$2:$L$135, 6, FALSE))*Coefficients!$F$2</f>
        <v>#REF!</v>
      </c>
      <c r="G246" t="e">
        <f>(VLOOKUP(Games!#REF!, Data!$B$2:$L$135, 7, FALSE)-VLOOKUP(Games!#REF!, Data!$B$2:$L$135, 7, FALSE))*Coefficients!$G$2</f>
        <v>#REF!</v>
      </c>
      <c r="H246" t="e">
        <f>(VLOOKUP(Games!#REF!, Data!$B$2:$L$135, 8, FALSE)-VLOOKUP(Games!#REF!, Data!$B$2:$L$135, 8, FALSE))*Coefficients!$H$2</f>
        <v>#REF!</v>
      </c>
      <c r="I246" t="e">
        <f>(VLOOKUP(Games!#REF!, Data!$B$2:$L$135, 9, FALSE)-VLOOKUP(Games!#REF!, Data!$B$2:$L$135, 9, FALSE))*Coefficients!$I$2</f>
        <v>#REF!</v>
      </c>
      <c r="J246" t="e">
        <f>IF(ISBLANK(Data!K246), Games!#REF!-Games!#REF!,VLOOKUP(Games!#REF!, Data!$B$2:$L$135, 10, FALSE)-VLOOKUP(Games!#REF!, Data!$B$2:$L$135, 10, FALSE))*Coefficients!$J$2</f>
        <v>#REF!</v>
      </c>
      <c r="K246" t="e">
        <f>(IF(AND(VLOOKUP(Games!#REF!, Data!$B$2:$L$135, 11, FALSE)=1, VLOOKUP(Games!#REF!, Data!$B$2:$L$135, 11, FALSE)&lt;&gt;1), 1,0))*Coefficients!K$2</f>
        <v>#REF!</v>
      </c>
      <c r="L246" t="e">
        <f>(IF(AND(VLOOKUP(Games!#REF!, Data!$B$2:$L$135, 11, FALSE)&lt;&gt;1, VLOOKUP(Games!#REF!, Data!$B$2:$L$135, 11, FALSE)=1), 1,0))*Coefficients!L$2</f>
        <v>#REF!</v>
      </c>
      <c r="O246" t="e">
        <f t="shared" si="4"/>
        <v>#REF!</v>
      </c>
    </row>
    <row r="247">
      <c r="A247" t="n">
        <f>Coefficients!$A$2</f>
        <v>-3.7765953152866998</v>
      </c>
      <c r="B247" t="e">
        <f>(Games!#REF!)*(-1*Coefficients!$B$2)</f>
        <v>#REF!</v>
      </c>
      <c r="C247" t="e">
        <f>(VLOOKUP(Games!#REF!, Data!$B$2:$L$135, 4, FALSE)-VLOOKUP(Games!#REF!, Data!$B$2:$L$135, 4, FALSE))*Coefficients!$C$2</f>
        <v>#REF!</v>
      </c>
      <c r="D247" t="e">
        <f>(VLOOKUP(Games!#REF!, Data!$B$2:$L$135, 3, FALSE)-VLOOKUP(Games!#REF!, Data!$B$2:$L$135, 3, FALSE))*Coefficients!$D$2</f>
        <v>#REF!</v>
      </c>
      <c r="E247" t="e">
        <f>(VLOOKUP(Games!#REF!, Data!$B$2:$L$135, 5, FALSE)-VLOOKUP(Games!#REF!, Data!$B$2:$L$135, 5, FALSE))*Coefficients!$E$2</f>
        <v>#REF!</v>
      </c>
      <c r="F247" t="e">
        <f>(VLOOKUP(Games!#REF!, Data!$B$2:$L$135, 6, FALSE)-VLOOKUP(Games!#REF!, Data!$B$2:$L$135, 6, FALSE))*Coefficients!$F$2</f>
        <v>#REF!</v>
      </c>
      <c r="G247" t="e">
        <f>(VLOOKUP(Games!#REF!, Data!$B$2:$L$135, 7, FALSE)-VLOOKUP(Games!#REF!, Data!$B$2:$L$135, 7, FALSE))*Coefficients!$G$2</f>
        <v>#REF!</v>
      </c>
      <c r="H247" t="e">
        <f>(VLOOKUP(Games!#REF!, Data!$B$2:$L$135, 8, FALSE)-VLOOKUP(Games!#REF!, Data!$B$2:$L$135, 8, FALSE))*Coefficients!$H$2</f>
        <v>#REF!</v>
      </c>
      <c r="I247" t="e">
        <f>(VLOOKUP(Games!#REF!, Data!$B$2:$L$135, 9, FALSE)-VLOOKUP(Games!#REF!, Data!$B$2:$L$135, 9, FALSE))*Coefficients!$I$2</f>
        <v>#REF!</v>
      </c>
      <c r="J247" t="e">
        <f>IF(ISBLANK(Data!K247), Games!#REF!-Games!#REF!,VLOOKUP(Games!#REF!, Data!$B$2:$L$135, 10, FALSE)-VLOOKUP(Games!#REF!, Data!$B$2:$L$135, 10, FALSE))*Coefficients!$J$2</f>
        <v>#REF!</v>
      </c>
      <c r="K247" t="e">
        <f>(IF(AND(VLOOKUP(Games!#REF!, Data!$B$2:$L$135, 11, FALSE)=1, VLOOKUP(Games!#REF!, Data!$B$2:$L$135, 11, FALSE)&lt;&gt;1), 1,0))*Coefficients!K$2</f>
        <v>#REF!</v>
      </c>
      <c r="L247" t="e">
        <f>(IF(AND(VLOOKUP(Games!#REF!, Data!$B$2:$L$135, 11, FALSE)&lt;&gt;1, VLOOKUP(Games!#REF!, Data!$B$2:$L$135, 11, FALSE)=1), 1,0))*Coefficients!L$2</f>
        <v>#REF!</v>
      </c>
      <c r="O247" t="e">
        <f t="shared" si="4"/>
        <v>#REF!</v>
      </c>
    </row>
    <row r="248">
      <c r="A248" t="n">
        <f>Coefficients!$A$2</f>
        <v>-3.7765953152866998</v>
      </c>
      <c r="B248" t="e">
        <f>(Games!#REF!)*(-1*Coefficients!$B$2)</f>
        <v>#REF!</v>
      </c>
      <c r="C248" t="e">
        <f>(VLOOKUP(Games!#REF!, Data!$B$2:$L$135, 4, FALSE)-VLOOKUP(Games!#REF!, Data!$B$2:$L$135, 4, FALSE))*Coefficients!$C$2</f>
        <v>#REF!</v>
      </c>
      <c r="D248" t="e">
        <f>(VLOOKUP(Games!#REF!, Data!$B$2:$L$135, 3, FALSE)-VLOOKUP(Games!#REF!, Data!$B$2:$L$135, 3, FALSE))*Coefficients!$D$2</f>
        <v>#REF!</v>
      </c>
      <c r="E248" t="e">
        <f>(VLOOKUP(Games!#REF!, Data!$B$2:$L$135, 5, FALSE)-VLOOKUP(Games!#REF!, Data!$B$2:$L$135, 5, FALSE))*Coefficients!$E$2</f>
        <v>#REF!</v>
      </c>
      <c r="F248" t="e">
        <f>(VLOOKUP(Games!#REF!, Data!$B$2:$L$135, 6, FALSE)-VLOOKUP(Games!#REF!, Data!$B$2:$L$135, 6, FALSE))*Coefficients!$F$2</f>
        <v>#REF!</v>
      </c>
      <c r="G248" t="e">
        <f>(VLOOKUP(Games!#REF!, Data!$B$2:$L$135, 7, FALSE)-VLOOKUP(Games!#REF!, Data!$B$2:$L$135, 7, FALSE))*Coefficients!$G$2</f>
        <v>#REF!</v>
      </c>
      <c r="H248" t="e">
        <f>(VLOOKUP(Games!#REF!, Data!$B$2:$L$135, 8, FALSE)-VLOOKUP(Games!#REF!, Data!$B$2:$L$135, 8, FALSE))*Coefficients!$H$2</f>
        <v>#REF!</v>
      </c>
      <c r="I248" t="e">
        <f>(VLOOKUP(Games!#REF!, Data!$B$2:$L$135, 9, FALSE)-VLOOKUP(Games!#REF!, Data!$B$2:$L$135, 9, FALSE))*Coefficients!$I$2</f>
        <v>#REF!</v>
      </c>
      <c r="J248" t="e">
        <f>IF(ISBLANK(Data!K248), Games!#REF!-Games!#REF!,VLOOKUP(Games!#REF!, Data!$B$2:$L$135, 10, FALSE)-VLOOKUP(Games!#REF!, Data!$B$2:$L$135, 10, FALSE))*Coefficients!$J$2</f>
        <v>#REF!</v>
      </c>
      <c r="K248" t="e">
        <f>(IF(AND(VLOOKUP(Games!#REF!, Data!$B$2:$L$135, 11, FALSE)=1, VLOOKUP(Games!#REF!, Data!$B$2:$L$135, 11, FALSE)&lt;&gt;1), 1,0))*Coefficients!K$2</f>
        <v>#REF!</v>
      </c>
      <c r="L248" t="e">
        <f>(IF(AND(VLOOKUP(Games!#REF!, Data!$B$2:$L$135, 11, FALSE)&lt;&gt;1, VLOOKUP(Games!#REF!, Data!$B$2:$L$135, 11, FALSE)=1), 1,0))*Coefficients!L$2</f>
        <v>#REF!</v>
      </c>
      <c r="O248" t="e">
        <f t="shared" si="4"/>
        <v>#REF!</v>
      </c>
    </row>
    <row r="249">
      <c r="A249" t="n">
        <f>Coefficients!$A$2</f>
        <v>-3.7765953152866998</v>
      </c>
      <c r="B249" t="e">
        <f>(Games!#REF!)*(-1*Coefficients!$B$2)</f>
        <v>#REF!</v>
      </c>
      <c r="C249" t="e">
        <f>(VLOOKUP(Games!#REF!, Data!$B$2:$L$135, 4, FALSE)-VLOOKUP(Games!#REF!, Data!$B$2:$L$135, 4, FALSE))*Coefficients!$C$2</f>
        <v>#REF!</v>
      </c>
      <c r="D249" t="e">
        <f>(VLOOKUP(Games!#REF!, Data!$B$2:$L$135, 3, FALSE)-VLOOKUP(Games!#REF!, Data!$B$2:$L$135, 3, FALSE))*Coefficients!$D$2</f>
        <v>#REF!</v>
      </c>
      <c r="E249" t="e">
        <f>(VLOOKUP(Games!#REF!, Data!$B$2:$L$135, 5, FALSE)-VLOOKUP(Games!#REF!, Data!$B$2:$L$135, 5, FALSE))*Coefficients!$E$2</f>
        <v>#REF!</v>
      </c>
      <c r="F249" t="e">
        <f>(VLOOKUP(Games!#REF!, Data!$B$2:$L$135, 6, FALSE)-VLOOKUP(Games!#REF!, Data!$B$2:$L$135, 6, FALSE))*Coefficients!$F$2</f>
        <v>#REF!</v>
      </c>
      <c r="G249" t="e">
        <f>(VLOOKUP(Games!#REF!, Data!$B$2:$L$135, 7, FALSE)-VLOOKUP(Games!#REF!, Data!$B$2:$L$135, 7, FALSE))*Coefficients!$G$2</f>
        <v>#REF!</v>
      </c>
      <c r="H249" t="e">
        <f>(VLOOKUP(Games!#REF!, Data!$B$2:$L$135, 8, FALSE)-VLOOKUP(Games!#REF!, Data!$B$2:$L$135, 8, FALSE))*Coefficients!$H$2</f>
        <v>#REF!</v>
      </c>
      <c r="I249" t="e">
        <f>(VLOOKUP(Games!#REF!, Data!$B$2:$L$135, 9, FALSE)-VLOOKUP(Games!#REF!, Data!$B$2:$L$135, 9, FALSE))*Coefficients!$I$2</f>
        <v>#REF!</v>
      </c>
      <c r="J249" t="e">
        <f>IF(ISBLANK(Data!K249), Games!#REF!-Games!#REF!,VLOOKUP(Games!#REF!, Data!$B$2:$L$135, 10, FALSE)-VLOOKUP(Games!#REF!, Data!$B$2:$L$135, 10, FALSE))*Coefficients!$J$2</f>
        <v>#REF!</v>
      </c>
      <c r="K249" t="e">
        <f>(IF(AND(VLOOKUP(Games!#REF!, Data!$B$2:$L$135, 11, FALSE)=1, VLOOKUP(Games!#REF!, Data!$B$2:$L$135, 11, FALSE)&lt;&gt;1), 1,0))*Coefficients!K$2</f>
        <v>#REF!</v>
      </c>
      <c r="L249" t="e">
        <f>(IF(AND(VLOOKUP(Games!#REF!, Data!$B$2:$L$135, 11, FALSE)&lt;&gt;1, VLOOKUP(Games!#REF!, Data!$B$2:$L$135, 11, FALSE)=1), 1,0))*Coefficients!L$2</f>
        <v>#REF!</v>
      </c>
      <c r="O249" t="e">
        <f t="shared" si="4"/>
        <v>#REF!</v>
      </c>
    </row>
    <row r="250">
      <c r="A250" t="n">
        <f>Coefficients!$A$2</f>
        <v>-3.7765953152866998</v>
      </c>
      <c r="B250" t="e">
        <f>(Games!#REF!)*(-1*Coefficients!$B$2)</f>
        <v>#REF!</v>
      </c>
      <c r="C250" t="e">
        <f>(VLOOKUP(Games!#REF!, Data!$B$2:$L$135, 4, FALSE)-VLOOKUP(Games!#REF!, Data!$B$2:$L$135, 4, FALSE))*Coefficients!$C$2</f>
        <v>#REF!</v>
      </c>
      <c r="D250" t="e">
        <f>(VLOOKUP(Games!#REF!, Data!$B$2:$L$135, 3, FALSE)-VLOOKUP(Games!#REF!, Data!$B$2:$L$135, 3, FALSE))*Coefficients!$D$2</f>
        <v>#REF!</v>
      </c>
      <c r="E250" t="e">
        <f>(VLOOKUP(Games!#REF!, Data!$B$2:$L$135, 5, FALSE)-VLOOKUP(Games!#REF!, Data!$B$2:$L$135, 5, FALSE))*Coefficients!$E$2</f>
        <v>#REF!</v>
      </c>
      <c r="F250" t="e">
        <f>(VLOOKUP(Games!#REF!, Data!$B$2:$L$135, 6, FALSE)-VLOOKUP(Games!#REF!, Data!$B$2:$L$135, 6, FALSE))*Coefficients!$F$2</f>
        <v>#REF!</v>
      </c>
      <c r="G250" t="e">
        <f>(VLOOKUP(Games!#REF!, Data!$B$2:$L$135, 7, FALSE)-VLOOKUP(Games!#REF!, Data!$B$2:$L$135, 7, FALSE))*Coefficients!$G$2</f>
        <v>#REF!</v>
      </c>
      <c r="H250" t="e">
        <f>(VLOOKUP(Games!#REF!, Data!$B$2:$L$135, 8, FALSE)-VLOOKUP(Games!#REF!, Data!$B$2:$L$135, 8, FALSE))*Coefficients!$H$2</f>
        <v>#REF!</v>
      </c>
      <c r="I250" t="e">
        <f>(VLOOKUP(Games!#REF!, Data!$B$2:$L$135, 9, FALSE)-VLOOKUP(Games!#REF!, Data!$B$2:$L$135, 9, FALSE))*Coefficients!$I$2</f>
        <v>#REF!</v>
      </c>
      <c r="J250" t="e">
        <f>IF(ISBLANK(Data!K250), Games!#REF!-Games!#REF!,VLOOKUP(Games!#REF!, Data!$B$2:$L$135, 10, FALSE)-VLOOKUP(Games!#REF!, Data!$B$2:$L$135, 10, FALSE))*Coefficients!$J$2</f>
        <v>#REF!</v>
      </c>
      <c r="K250" t="e">
        <f>(IF(AND(VLOOKUP(Games!#REF!, Data!$B$2:$L$135, 11, FALSE)=1, VLOOKUP(Games!#REF!, Data!$B$2:$L$135, 11, FALSE)&lt;&gt;1), 1,0))*Coefficients!K$2</f>
        <v>#REF!</v>
      </c>
      <c r="L250" t="e">
        <f>(IF(AND(VLOOKUP(Games!#REF!, Data!$B$2:$L$135, 11, FALSE)&lt;&gt;1, VLOOKUP(Games!#REF!, Data!$B$2:$L$135, 11, FALSE)=1), 1,0))*Coefficients!L$2</f>
        <v>#REF!</v>
      </c>
      <c r="O250" t="e">
        <f t="shared" si="4"/>
        <v>#REF!</v>
      </c>
    </row>
    <row r="251">
      <c r="A251" t="n">
        <f>Coefficients!$A$2</f>
        <v>-3.7765953152866998</v>
      </c>
      <c r="B251" t="e">
        <f>(Games!#REF!)*(-1*Coefficients!$B$2)</f>
        <v>#REF!</v>
      </c>
      <c r="C251" t="e">
        <f>(VLOOKUP(Games!#REF!, Data!$B$2:$L$135, 4, FALSE)-VLOOKUP(Games!#REF!, Data!$B$2:$L$135, 4, FALSE))*Coefficients!$C$2</f>
        <v>#REF!</v>
      </c>
      <c r="D251" t="e">
        <f>(VLOOKUP(Games!#REF!, Data!$B$2:$L$135, 3, FALSE)-VLOOKUP(Games!#REF!, Data!$B$2:$L$135, 3, FALSE))*Coefficients!$D$2</f>
        <v>#REF!</v>
      </c>
      <c r="E251" t="e">
        <f>(VLOOKUP(Games!#REF!, Data!$B$2:$L$135, 5, FALSE)-VLOOKUP(Games!#REF!, Data!$B$2:$L$135, 5, FALSE))*Coefficients!$E$2</f>
        <v>#REF!</v>
      </c>
      <c r="F251" t="e">
        <f>(VLOOKUP(Games!#REF!, Data!$B$2:$L$135, 6, FALSE)-VLOOKUP(Games!#REF!, Data!$B$2:$L$135, 6, FALSE))*Coefficients!$F$2</f>
        <v>#REF!</v>
      </c>
      <c r="G251" t="e">
        <f>(VLOOKUP(Games!#REF!, Data!$B$2:$L$135, 7, FALSE)-VLOOKUP(Games!#REF!, Data!$B$2:$L$135, 7, FALSE))*Coefficients!$G$2</f>
        <v>#REF!</v>
      </c>
      <c r="H251" t="e">
        <f>(VLOOKUP(Games!#REF!, Data!$B$2:$L$135, 8, FALSE)-VLOOKUP(Games!#REF!, Data!$B$2:$L$135, 8, FALSE))*Coefficients!$H$2</f>
        <v>#REF!</v>
      </c>
      <c r="I251" t="e">
        <f>(VLOOKUP(Games!#REF!, Data!$B$2:$L$135, 9, FALSE)-VLOOKUP(Games!#REF!, Data!$B$2:$L$135, 9, FALSE))*Coefficients!$I$2</f>
        <v>#REF!</v>
      </c>
      <c r="J251" t="e">
        <f>IF(ISBLANK(Data!K251), Games!#REF!-Games!#REF!,VLOOKUP(Games!#REF!, Data!$B$2:$L$135, 10, FALSE)-VLOOKUP(Games!#REF!, Data!$B$2:$L$135, 10, FALSE))*Coefficients!$J$2</f>
        <v>#REF!</v>
      </c>
      <c r="K251" t="e">
        <f>(IF(AND(VLOOKUP(Games!#REF!, Data!$B$2:$L$135, 11, FALSE)=1, VLOOKUP(Games!#REF!, Data!$B$2:$L$135, 11, FALSE)&lt;&gt;1), 1,0))*Coefficients!K$2</f>
        <v>#REF!</v>
      </c>
      <c r="L251" t="e">
        <f>(IF(AND(VLOOKUP(Games!#REF!, Data!$B$2:$L$135, 11, FALSE)&lt;&gt;1, VLOOKUP(Games!#REF!, Data!$B$2:$L$135, 11, FALSE)=1), 1,0))*Coefficients!L$2</f>
        <v>#REF!</v>
      </c>
      <c r="O251" t="e">
        <f t="shared" si="4"/>
        <v>#REF!</v>
      </c>
    </row>
    <row r="252">
      <c r="A252" t="n">
        <f>Coefficients!$A$2</f>
        <v>-3.7765953152866998</v>
      </c>
      <c r="B252" t="e">
        <f>(Games!#REF!)*(-1*Coefficients!$B$2)</f>
        <v>#REF!</v>
      </c>
      <c r="C252" t="e">
        <f>(VLOOKUP(Games!#REF!, Data!$B$2:$L$135, 4, FALSE)-VLOOKUP(Games!#REF!, Data!$B$2:$L$135, 4, FALSE))*Coefficients!$C$2</f>
        <v>#REF!</v>
      </c>
      <c r="D252" t="e">
        <f>(VLOOKUP(Games!#REF!, Data!$B$2:$L$135, 3, FALSE)-VLOOKUP(Games!#REF!, Data!$B$2:$L$135, 3, FALSE))*Coefficients!$D$2</f>
        <v>#REF!</v>
      </c>
      <c r="E252" t="e">
        <f>(VLOOKUP(Games!#REF!, Data!$B$2:$L$135, 5, FALSE)-VLOOKUP(Games!#REF!, Data!$B$2:$L$135, 5, FALSE))*Coefficients!$E$2</f>
        <v>#REF!</v>
      </c>
      <c r="F252" t="e">
        <f>(VLOOKUP(Games!#REF!, Data!$B$2:$L$135, 6, FALSE)-VLOOKUP(Games!#REF!, Data!$B$2:$L$135, 6, FALSE))*Coefficients!$F$2</f>
        <v>#REF!</v>
      </c>
      <c r="G252" t="e">
        <f>(VLOOKUP(Games!#REF!, Data!$B$2:$L$135, 7, FALSE)-VLOOKUP(Games!#REF!, Data!$B$2:$L$135, 7, FALSE))*Coefficients!$G$2</f>
        <v>#REF!</v>
      </c>
      <c r="H252" t="e">
        <f>(VLOOKUP(Games!#REF!, Data!$B$2:$L$135, 8, FALSE)-VLOOKUP(Games!#REF!, Data!$B$2:$L$135, 8, FALSE))*Coefficients!$H$2</f>
        <v>#REF!</v>
      </c>
      <c r="I252" t="e">
        <f>(VLOOKUP(Games!#REF!, Data!$B$2:$L$135, 9, FALSE)-VLOOKUP(Games!#REF!, Data!$B$2:$L$135, 9, FALSE))*Coefficients!$I$2</f>
        <v>#REF!</v>
      </c>
      <c r="J252" t="e">
        <f>IF(ISBLANK(Data!K252), Games!#REF!-Games!#REF!,VLOOKUP(Games!#REF!, Data!$B$2:$L$135, 10, FALSE)-VLOOKUP(Games!#REF!, Data!$B$2:$L$135, 10, FALSE))*Coefficients!$J$2</f>
        <v>#REF!</v>
      </c>
      <c r="K252" t="e">
        <f>(IF(AND(VLOOKUP(Games!#REF!, Data!$B$2:$L$135, 11, FALSE)=1, VLOOKUP(Games!#REF!, Data!$B$2:$L$135, 11, FALSE)&lt;&gt;1), 1,0))*Coefficients!K$2</f>
        <v>#REF!</v>
      </c>
      <c r="L252" t="e">
        <f>(IF(AND(VLOOKUP(Games!#REF!, Data!$B$2:$L$135, 11, FALSE)&lt;&gt;1, VLOOKUP(Games!#REF!, Data!$B$2:$L$135, 11, FALSE)=1), 1,0))*Coefficients!L$2</f>
        <v>#REF!</v>
      </c>
      <c r="O252" t="e">
        <f t="shared" si="4"/>
        <v>#REF!</v>
      </c>
    </row>
    <row r="253">
      <c r="A253" t="n">
        <f>Coefficients!$A$2</f>
        <v>-3.7765953152866998</v>
      </c>
      <c r="B253" t="e">
        <f>(Games!#REF!)*(-1*Coefficients!$B$2)</f>
        <v>#REF!</v>
      </c>
      <c r="C253" t="e">
        <f>(VLOOKUP(Games!#REF!, Data!$B$2:$L$135, 4, FALSE)-VLOOKUP(Games!#REF!, Data!$B$2:$L$135, 4, FALSE))*Coefficients!$C$2</f>
        <v>#REF!</v>
      </c>
      <c r="D253" t="e">
        <f>(VLOOKUP(Games!#REF!, Data!$B$2:$L$135, 3, FALSE)-VLOOKUP(Games!#REF!, Data!$B$2:$L$135, 3, FALSE))*Coefficients!$D$2</f>
        <v>#REF!</v>
      </c>
      <c r="E253" t="e">
        <f>(VLOOKUP(Games!#REF!, Data!$B$2:$L$135, 5, FALSE)-VLOOKUP(Games!#REF!, Data!$B$2:$L$135, 5, FALSE))*Coefficients!$E$2</f>
        <v>#REF!</v>
      </c>
      <c r="F253" t="e">
        <f>(VLOOKUP(Games!#REF!, Data!$B$2:$L$135, 6, FALSE)-VLOOKUP(Games!#REF!, Data!$B$2:$L$135, 6, FALSE))*Coefficients!$F$2</f>
        <v>#REF!</v>
      </c>
      <c r="G253" t="e">
        <f>(VLOOKUP(Games!#REF!, Data!$B$2:$L$135, 7, FALSE)-VLOOKUP(Games!#REF!, Data!$B$2:$L$135, 7, FALSE))*Coefficients!$G$2</f>
        <v>#REF!</v>
      </c>
      <c r="H253" t="e">
        <f>(VLOOKUP(Games!#REF!, Data!$B$2:$L$135, 8, FALSE)-VLOOKUP(Games!#REF!, Data!$B$2:$L$135, 8, FALSE))*Coefficients!$H$2</f>
        <v>#REF!</v>
      </c>
      <c r="I253" t="e">
        <f>(VLOOKUP(Games!#REF!, Data!$B$2:$L$135, 9, FALSE)-VLOOKUP(Games!#REF!, Data!$B$2:$L$135, 9, FALSE))*Coefficients!$I$2</f>
        <v>#REF!</v>
      </c>
      <c r="J253" t="e">
        <f>IF(ISBLANK(Data!K253), Games!#REF!-Games!#REF!,VLOOKUP(Games!#REF!, Data!$B$2:$L$135, 10, FALSE)-VLOOKUP(Games!#REF!, Data!$B$2:$L$135, 10, FALSE))*Coefficients!$J$2</f>
        <v>#REF!</v>
      </c>
      <c r="K253" t="e">
        <f>(IF(AND(VLOOKUP(Games!#REF!, Data!$B$2:$L$135, 11, FALSE)=1, VLOOKUP(Games!#REF!, Data!$B$2:$L$135, 11, FALSE)&lt;&gt;1), 1,0))*Coefficients!K$2</f>
        <v>#REF!</v>
      </c>
      <c r="L253" t="e">
        <f>(IF(AND(VLOOKUP(Games!#REF!, Data!$B$2:$L$135, 11, FALSE)&lt;&gt;1, VLOOKUP(Games!#REF!, Data!$B$2:$L$135, 11, FALSE)=1), 1,0))*Coefficients!L$2</f>
        <v>#REF!</v>
      </c>
      <c r="O253" t="e">
        <f t="shared" si="4"/>
        <v>#REF!</v>
      </c>
    </row>
    <row r="254">
      <c r="A254" t="n">
        <f>Coefficients!$A$2</f>
        <v>-3.7765953152866998</v>
      </c>
      <c r="B254" t="e">
        <f>(Games!#REF!)*(-1*Coefficients!$B$2)</f>
        <v>#REF!</v>
      </c>
      <c r="C254" t="e">
        <f>(VLOOKUP(Games!#REF!, Data!$B$2:$L$135, 4, FALSE)-VLOOKUP(Games!#REF!, Data!$B$2:$L$135, 4, FALSE))*Coefficients!$C$2</f>
        <v>#REF!</v>
      </c>
      <c r="D254" t="e">
        <f>(VLOOKUP(Games!#REF!, Data!$B$2:$L$135, 3, FALSE)-VLOOKUP(Games!#REF!, Data!$B$2:$L$135, 3, FALSE))*Coefficients!$D$2</f>
        <v>#REF!</v>
      </c>
      <c r="E254" t="e">
        <f>(VLOOKUP(Games!#REF!, Data!$B$2:$L$135, 5, FALSE)-VLOOKUP(Games!#REF!, Data!$B$2:$L$135, 5, FALSE))*Coefficients!$E$2</f>
        <v>#REF!</v>
      </c>
      <c r="F254" t="e">
        <f>(VLOOKUP(Games!#REF!, Data!$B$2:$L$135, 6, FALSE)-VLOOKUP(Games!#REF!, Data!$B$2:$L$135, 6, FALSE))*Coefficients!$F$2</f>
        <v>#REF!</v>
      </c>
      <c r="G254" t="e">
        <f>(VLOOKUP(Games!#REF!, Data!$B$2:$L$135, 7, FALSE)-VLOOKUP(Games!#REF!, Data!$B$2:$L$135, 7, FALSE))*Coefficients!$G$2</f>
        <v>#REF!</v>
      </c>
      <c r="H254" t="e">
        <f>(VLOOKUP(Games!#REF!, Data!$B$2:$L$135, 8, FALSE)-VLOOKUP(Games!#REF!, Data!$B$2:$L$135, 8, FALSE))*Coefficients!$H$2</f>
        <v>#REF!</v>
      </c>
      <c r="I254" t="e">
        <f>(VLOOKUP(Games!#REF!, Data!$B$2:$L$135, 9, FALSE)-VLOOKUP(Games!#REF!, Data!$B$2:$L$135, 9, FALSE))*Coefficients!$I$2</f>
        <v>#REF!</v>
      </c>
      <c r="J254" t="e">
        <f>IF(ISBLANK(Data!K254), Games!#REF!-Games!#REF!,VLOOKUP(Games!#REF!, Data!$B$2:$L$135, 10, FALSE)-VLOOKUP(Games!#REF!, Data!$B$2:$L$135, 10, FALSE))*Coefficients!$J$2</f>
        <v>#REF!</v>
      </c>
      <c r="K254" t="e">
        <f>(IF(AND(VLOOKUP(Games!#REF!, Data!$B$2:$L$135, 11, FALSE)=1, VLOOKUP(Games!#REF!, Data!$B$2:$L$135, 11, FALSE)&lt;&gt;1), 1,0))*Coefficients!K$2</f>
        <v>#REF!</v>
      </c>
      <c r="L254" t="e">
        <f>(IF(AND(VLOOKUP(Games!#REF!, Data!$B$2:$L$135, 11, FALSE)&lt;&gt;1, VLOOKUP(Games!#REF!, Data!$B$2:$L$135, 11, FALSE)=1), 1,0))*Coefficients!L$2</f>
        <v>#REF!</v>
      </c>
      <c r="O254" t="e">
        <f t="shared" si="4"/>
        <v>#REF!</v>
      </c>
    </row>
    <row r="255">
      <c r="A255" t="n">
        <f>Coefficients!$A$2</f>
        <v>-3.7765953152866998</v>
      </c>
      <c r="B255" t="e">
        <f>(Games!#REF!)*(-1*Coefficients!$B$2)</f>
        <v>#REF!</v>
      </c>
      <c r="C255" t="e">
        <f>(VLOOKUP(Games!#REF!, Data!$B$2:$L$135, 4, FALSE)-VLOOKUP(Games!#REF!, Data!$B$2:$L$135, 4, FALSE))*Coefficients!$C$2</f>
        <v>#REF!</v>
      </c>
      <c r="D255" t="e">
        <f>(VLOOKUP(Games!#REF!, Data!$B$2:$L$135, 3, FALSE)-VLOOKUP(Games!#REF!, Data!$B$2:$L$135, 3, FALSE))*Coefficients!$D$2</f>
        <v>#REF!</v>
      </c>
      <c r="E255" t="e">
        <f>(VLOOKUP(Games!#REF!, Data!$B$2:$L$135, 5, FALSE)-VLOOKUP(Games!#REF!, Data!$B$2:$L$135, 5, FALSE))*Coefficients!$E$2</f>
        <v>#REF!</v>
      </c>
      <c r="F255" t="e">
        <f>(VLOOKUP(Games!#REF!, Data!$B$2:$L$135, 6, FALSE)-VLOOKUP(Games!#REF!, Data!$B$2:$L$135, 6, FALSE))*Coefficients!$F$2</f>
        <v>#REF!</v>
      </c>
      <c r="G255" t="e">
        <f>(VLOOKUP(Games!#REF!, Data!$B$2:$L$135, 7, FALSE)-VLOOKUP(Games!#REF!, Data!$B$2:$L$135, 7, FALSE))*Coefficients!$G$2</f>
        <v>#REF!</v>
      </c>
      <c r="H255" t="e">
        <f>(VLOOKUP(Games!#REF!, Data!$B$2:$L$135, 8, FALSE)-VLOOKUP(Games!#REF!, Data!$B$2:$L$135, 8, FALSE))*Coefficients!$H$2</f>
        <v>#REF!</v>
      </c>
      <c r="I255" t="e">
        <f>(VLOOKUP(Games!#REF!, Data!$B$2:$L$135, 9, FALSE)-VLOOKUP(Games!#REF!, Data!$B$2:$L$135, 9, FALSE))*Coefficients!$I$2</f>
        <v>#REF!</v>
      </c>
      <c r="J255" t="e">
        <f>IF(ISBLANK(Data!K255), Games!#REF!-Games!#REF!,VLOOKUP(Games!#REF!, Data!$B$2:$L$135, 10, FALSE)-VLOOKUP(Games!#REF!, Data!$B$2:$L$135, 10, FALSE))*Coefficients!$J$2</f>
        <v>#REF!</v>
      </c>
      <c r="K255" t="e">
        <f>(IF(AND(VLOOKUP(Games!#REF!, Data!$B$2:$L$135, 11, FALSE)=1, VLOOKUP(Games!#REF!, Data!$B$2:$L$135, 11, FALSE)&lt;&gt;1), 1,0))*Coefficients!K$2</f>
        <v>#REF!</v>
      </c>
      <c r="L255" t="e">
        <f>(IF(AND(VLOOKUP(Games!#REF!, Data!$B$2:$L$135, 11, FALSE)&lt;&gt;1, VLOOKUP(Games!#REF!, Data!$B$2:$L$135, 11, FALSE)=1), 1,0))*Coefficients!L$2</f>
        <v>#REF!</v>
      </c>
      <c r="O255" t="e">
        <f t="shared" si="4"/>
        <v>#REF!</v>
      </c>
    </row>
    <row r="256">
      <c r="A256" t="n">
        <f>Coefficients!$A$2</f>
        <v>-3.7765953152866998</v>
      </c>
      <c r="B256" t="e">
        <f>(Games!#REF!)*(-1*Coefficients!$B$2)</f>
        <v>#REF!</v>
      </c>
      <c r="C256" t="e">
        <f>(VLOOKUP(Games!#REF!, Data!$B$2:$L$135, 4, FALSE)-VLOOKUP(Games!#REF!, Data!$B$2:$L$135, 4, FALSE))*Coefficients!$C$2</f>
        <v>#REF!</v>
      </c>
      <c r="D256" t="e">
        <f>(VLOOKUP(Games!#REF!, Data!$B$2:$L$135, 3, FALSE)-VLOOKUP(Games!#REF!, Data!$B$2:$L$135, 3, FALSE))*Coefficients!$D$2</f>
        <v>#REF!</v>
      </c>
      <c r="E256" t="e">
        <f>(VLOOKUP(Games!#REF!, Data!$B$2:$L$135, 5, FALSE)-VLOOKUP(Games!#REF!, Data!$B$2:$L$135, 5, FALSE))*Coefficients!$E$2</f>
        <v>#REF!</v>
      </c>
      <c r="F256" t="e">
        <f>(VLOOKUP(Games!#REF!, Data!$B$2:$L$135, 6, FALSE)-VLOOKUP(Games!#REF!, Data!$B$2:$L$135, 6, FALSE))*Coefficients!$F$2</f>
        <v>#REF!</v>
      </c>
      <c r="G256" t="e">
        <f>(VLOOKUP(Games!#REF!, Data!$B$2:$L$135, 7, FALSE)-VLOOKUP(Games!#REF!, Data!$B$2:$L$135, 7, FALSE))*Coefficients!$G$2</f>
        <v>#REF!</v>
      </c>
      <c r="H256" t="e">
        <f>(VLOOKUP(Games!#REF!, Data!$B$2:$L$135, 8, FALSE)-VLOOKUP(Games!#REF!, Data!$B$2:$L$135, 8, FALSE))*Coefficients!$H$2</f>
        <v>#REF!</v>
      </c>
      <c r="I256" t="e">
        <f>(VLOOKUP(Games!#REF!, Data!$B$2:$L$135, 9, FALSE)-VLOOKUP(Games!#REF!, Data!$B$2:$L$135, 9, FALSE))*Coefficients!$I$2</f>
        <v>#REF!</v>
      </c>
      <c r="J256" t="e">
        <f>IF(ISBLANK(Data!K256), Games!#REF!-Games!#REF!,VLOOKUP(Games!#REF!, Data!$B$2:$L$135, 10, FALSE)-VLOOKUP(Games!#REF!, Data!$B$2:$L$135, 10, FALSE))*Coefficients!$J$2</f>
        <v>#REF!</v>
      </c>
      <c r="K256" t="e">
        <f>(IF(AND(VLOOKUP(Games!#REF!, Data!$B$2:$L$135, 11, FALSE)=1, VLOOKUP(Games!#REF!, Data!$B$2:$L$135, 11, FALSE)&lt;&gt;1), 1,0))*Coefficients!K$2</f>
        <v>#REF!</v>
      </c>
      <c r="L256" t="e">
        <f>(IF(AND(VLOOKUP(Games!#REF!, Data!$B$2:$L$135, 11, FALSE)&lt;&gt;1, VLOOKUP(Games!#REF!, Data!$B$2:$L$135, 11, FALSE)=1), 1,0))*Coefficients!L$2</f>
        <v>#REF!</v>
      </c>
      <c r="O256" t="e">
        <f t="shared" si="4"/>
        <v>#REF!</v>
      </c>
    </row>
    <row r="257">
      <c r="A257" t="n">
        <f>Coefficients!$A$2</f>
        <v>-3.7765953152866998</v>
      </c>
      <c r="B257" t="e">
        <f>(Games!#REF!)*(-1*Coefficients!$B$2)</f>
        <v>#REF!</v>
      </c>
      <c r="C257" t="e">
        <f>(VLOOKUP(Games!#REF!, Data!$B$2:$L$135, 4, FALSE)-VLOOKUP(Games!#REF!, Data!$B$2:$L$135, 4, FALSE))*Coefficients!$C$2</f>
        <v>#REF!</v>
      </c>
      <c r="D257" t="e">
        <f>(VLOOKUP(Games!#REF!, Data!$B$2:$L$135, 3, FALSE)-VLOOKUP(Games!#REF!, Data!$B$2:$L$135, 3, FALSE))*Coefficients!$D$2</f>
        <v>#REF!</v>
      </c>
      <c r="E257" t="e">
        <f>(VLOOKUP(Games!#REF!, Data!$B$2:$L$135, 5, FALSE)-VLOOKUP(Games!#REF!, Data!$B$2:$L$135, 5, FALSE))*Coefficients!$E$2</f>
        <v>#REF!</v>
      </c>
      <c r="F257" t="e">
        <f>(VLOOKUP(Games!#REF!, Data!$B$2:$L$135, 6, FALSE)-VLOOKUP(Games!#REF!, Data!$B$2:$L$135, 6, FALSE))*Coefficients!$F$2</f>
        <v>#REF!</v>
      </c>
      <c r="G257" t="e">
        <f>(VLOOKUP(Games!#REF!, Data!$B$2:$L$135, 7, FALSE)-VLOOKUP(Games!#REF!, Data!$B$2:$L$135, 7, FALSE))*Coefficients!$G$2</f>
        <v>#REF!</v>
      </c>
      <c r="H257" t="e">
        <f>(VLOOKUP(Games!#REF!, Data!$B$2:$L$135, 8, FALSE)-VLOOKUP(Games!#REF!, Data!$B$2:$L$135, 8, FALSE))*Coefficients!$H$2</f>
        <v>#REF!</v>
      </c>
      <c r="I257" t="e">
        <f>(VLOOKUP(Games!#REF!, Data!$B$2:$L$135, 9, FALSE)-VLOOKUP(Games!#REF!, Data!$B$2:$L$135, 9, FALSE))*Coefficients!$I$2</f>
        <v>#REF!</v>
      </c>
      <c r="J257" t="e">
        <f>IF(ISBLANK(Data!K257), Games!#REF!-Games!#REF!,VLOOKUP(Games!#REF!, Data!$B$2:$L$135, 10, FALSE)-VLOOKUP(Games!#REF!, Data!$B$2:$L$135, 10, FALSE))*Coefficients!$J$2</f>
        <v>#REF!</v>
      </c>
      <c r="K257" t="e">
        <f>(IF(AND(VLOOKUP(Games!#REF!, Data!$B$2:$L$135, 11, FALSE)=1, VLOOKUP(Games!#REF!, Data!$B$2:$L$135, 11, FALSE)&lt;&gt;1), 1,0))*Coefficients!K$2</f>
        <v>#REF!</v>
      </c>
      <c r="L257" t="e">
        <f>(IF(AND(VLOOKUP(Games!#REF!, Data!$B$2:$L$135, 11, FALSE)&lt;&gt;1, VLOOKUP(Games!#REF!, Data!$B$2:$L$135, 11, FALSE)=1), 1,0))*Coefficients!L$2</f>
        <v>#REF!</v>
      </c>
      <c r="O257" t="e">
        <f t="shared" si="4"/>
        <v>#REF!</v>
      </c>
    </row>
    <row r="258">
      <c r="A258" t="n">
        <f>Coefficients!$A$2</f>
        <v>-3.7765953152866998</v>
      </c>
      <c r="B258" t="e">
        <f>(Games!#REF!)*(-1*Coefficients!$B$2)</f>
        <v>#REF!</v>
      </c>
      <c r="C258" t="e">
        <f>(VLOOKUP(Games!#REF!, Data!$B$2:$L$135, 4, FALSE)-VLOOKUP(Games!#REF!, Data!$B$2:$L$135, 4, FALSE))*Coefficients!$C$2</f>
        <v>#REF!</v>
      </c>
      <c r="D258" t="e">
        <f>(VLOOKUP(Games!#REF!, Data!$B$2:$L$135, 3, FALSE)-VLOOKUP(Games!#REF!, Data!$B$2:$L$135, 3, FALSE))*Coefficients!$D$2</f>
        <v>#REF!</v>
      </c>
      <c r="E258" t="e">
        <f>(VLOOKUP(Games!#REF!, Data!$B$2:$L$135, 5, FALSE)-VLOOKUP(Games!#REF!, Data!$B$2:$L$135, 5, FALSE))*Coefficients!$E$2</f>
        <v>#REF!</v>
      </c>
      <c r="F258" t="e">
        <f>(VLOOKUP(Games!#REF!, Data!$B$2:$L$135, 6, FALSE)-VLOOKUP(Games!#REF!, Data!$B$2:$L$135, 6, FALSE))*Coefficients!$F$2</f>
        <v>#REF!</v>
      </c>
      <c r="G258" t="e">
        <f>(VLOOKUP(Games!#REF!, Data!$B$2:$L$135, 7, FALSE)-VLOOKUP(Games!#REF!, Data!$B$2:$L$135, 7, FALSE))*Coefficients!$G$2</f>
        <v>#REF!</v>
      </c>
      <c r="H258" t="e">
        <f>(VLOOKUP(Games!#REF!, Data!$B$2:$L$135, 8, FALSE)-VLOOKUP(Games!#REF!, Data!$B$2:$L$135, 8, FALSE))*Coefficients!$H$2</f>
        <v>#REF!</v>
      </c>
      <c r="I258" t="e">
        <f>(VLOOKUP(Games!#REF!, Data!$B$2:$L$135, 9, FALSE)-VLOOKUP(Games!#REF!, Data!$B$2:$L$135, 9, FALSE))*Coefficients!$I$2</f>
        <v>#REF!</v>
      </c>
      <c r="J258" t="e">
        <f>IF(ISBLANK(Data!K258), Games!#REF!-Games!#REF!,VLOOKUP(Games!#REF!, Data!$B$2:$L$135, 10, FALSE)-VLOOKUP(Games!#REF!, Data!$B$2:$L$135, 10, FALSE))*Coefficients!$J$2</f>
        <v>#REF!</v>
      </c>
      <c r="K258" t="e">
        <f>(IF(AND(VLOOKUP(Games!#REF!, Data!$B$2:$L$135, 11, FALSE)=1, VLOOKUP(Games!#REF!, Data!$B$2:$L$135, 11, FALSE)&lt;&gt;1), 1,0))*Coefficients!K$2</f>
        <v>#REF!</v>
      </c>
      <c r="L258" t="e">
        <f>(IF(AND(VLOOKUP(Games!#REF!, Data!$B$2:$L$135, 11, FALSE)&lt;&gt;1, VLOOKUP(Games!#REF!, Data!$B$2:$L$135, 11, FALSE)=1), 1,0))*Coefficients!L$2</f>
        <v>#REF!</v>
      </c>
      <c r="O258" t="e">
        <f t="shared" si="4"/>
        <v>#REF!</v>
      </c>
    </row>
    <row r="259">
      <c r="A259" t="n">
        <f>Coefficients!$A$2</f>
        <v>-3.7765953152866998</v>
      </c>
      <c r="B259" t="e">
        <f>(Games!#REF!)*(-1*Coefficients!$B$2)</f>
        <v>#REF!</v>
      </c>
      <c r="C259" t="e">
        <f>(VLOOKUP(Games!#REF!, Data!$B$2:$L$135, 4, FALSE)-VLOOKUP(Games!#REF!, Data!$B$2:$L$135, 4, FALSE))*Coefficients!$C$2</f>
        <v>#REF!</v>
      </c>
      <c r="D259" t="e">
        <f>(VLOOKUP(Games!#REF!, Data!$B$2:$L$135, 3, FALSE)-VLOOKUP(Games!#REF!, Data!$B$2:$L$135, 3, FALSE))*Coefficients!$D$2</f>
        <v>#REF!</v>
      </c>
      <c r="E259" t="e">
        <f>(VLOOKUP(Games!#REF!, Data!$B$2:$L$135, 5, FALSE)-VLOOKUP(Games!#REF!, Data!$B$2:$L$135, 5, FALSE))*Coefficients!$E$2</f>
        <v>#REF!</v>
      </c>
      <c r="F259" t="e">
        <f>(VLOOKUP(Games!#REF!, Data!$B$2:$L$135, 6, FALSE)-VLOOKUP(Games!#REF!, Data!$B$2:$L$135, 6, FALSE))*Coefficients!$F$2</f>
        <v>#REF!</v>
      </c>
      <c r="G259" t="e">
        <f>(VLOOKUP(Games!#REF!, Data!$B$2:$L$135, 7, FALSE)-VLOOKUP(Games!#REF!, Data!$B$2:$L$135, 7, FALSE))*Coefficients!$G$2</f>
        <v>#REF!</v>
      </c>
      <c r="H259" t="e">
        <f>(VLOOKUP(Games!#REF!, Data!$B$2:$L$135, 8, FALSE)-VLOOKUP(Games!#REF!, Data!$B$2:$L$135, 8, FALSE))*Coefficients!$H$2</f>
        <v>#REF!</v>
      </c>
      <c r="I259" t="e">
        <f>(VLOOKUP(Games!#REF!, Data!$B$2:$L$135, 9, FALSE)-VLOOKUP(Games!#REF!, Data!$B$2:$L$135, 9, FALSE))*Coefficients!$I$2</f>
        <v>#REF!</v>
      </c>
      <c r="J259" t="e">
        <f>IF(ISBLANK(Data!K259), Games!#REF!-Games!#REF!,VLOOKUP(Games!#REF!, Data!$B$2:$L$135, 10, FALSE)-VLOOKUP(Games!#REF!, Data!$B$2:$L$135, 10, FALSE))*Coefficients!$J$2</f>
        <v>#REF!</v>
      </c>
      <c r="K259" t="e">
        <f>(IF(AND(VLOOKUP(Games!#REF!, Data!$B$2:$L$135, 11, FALSE)=1, VLOOKUP(Games!#REF!, Data!$B$2:$L$135, 11, FALSE)&lt;&gt;1), 1,0))*Coefficients!K$2</f>
        <v>#REF!</v>
      </c>
      <c r="L259" t="e">
        <f>(IF(AND(VLOOKUP(Games!#REF!, Data!$B$2:$L$135, 11, FALSE)&lt;&gt;1, VLOOKUP(Games!#REF!, Data!$B$2:$L$135, 11, FALSE)=1), 1,0))*Coefficients!L$2</f>
        <v>#REF!</v>
      </c>
      <c r="O259" t="e">
        <f t="shared" ref="O259:O322" si="5">SUM(A259:L259)</f>
        <v>#REF!</v>
      </c>
    </row>
    <row r="260">
      <c r="A260" t="n">
        <f>Coefficients!$A$2</f>
        <v>-3.7765953152866998</v>
      </c>
      <c r="B260" t="e">
        <f>(Games!#REF!)*(-1*Coefficients!$B$2)</f>
        <v>#REF!</v>
      </c>
      <c r="C260" t="e">
        <f>(VLOOKUP(Games!#REF!, Data!$B$2:$L$135, 4, FALSE)-VLOOKUP(Games!#REF!, Data!$B$2:$L$135, 4, FALSE))*Coefficients!$C$2</f>
        <v>#REF!</v>
      </c>
      <c r="D260" t="e">
        <f>(VLOOKUP(Games!#REF!, Data!$B$2:$L$135, 3, FALSE)-VLOOKUP(Games!#REF!, Data!$B$2:$L$135, 3, FALSE))*Coefficients!$D$2</f>
        <v>#REF!</v>
      </c>
      <c r="E260" t="e">
        <f>(VLOOKUP(Games!#REF!, Data!$B$2:$L$135, 5, FALSE)-VLOOKUP(Games!#REF!, Data!$B$2:$L$135, 5, FALSE))*Coefficients!$E$2</f>
        <v>#REF!</v>
      </c>
      <c r="F260" t="e">
        <f>(VLOOKUP(Games!#REF!, Data!$B$2:$L$135, 6, FALSE)-VLOOKUP(Games!#REF!, Data!$B$2:$L$135, 6, FALSE))*Coefficients!$F$2</f>
        <v>#REF!</v>
      </c>
      <c r="G260" t="e">
        <f>(VLOOKUP(Games!#REF!, Data!$B$2:$L$135, 7, FALSE)-VLOOKUP(Games!#REF!, Data!$B$2:$L$135, 7, FALSE))*Coefficients!$G$2</f>
        <v>#REF!</v>
      </c>
      <c r="H260" t="e">
        <f>(VLOOKUP(Games!#REF!, Data!$B$2:$L$135, 8, FALSE)-VLOOKUP(Games!#REF!, Data!$B$2:$L$135, 8, FALSE))*Coefficients!$H$2</f>
        <v>#REF!</v>
      </c>
      <c r="I260" t="e">
        <f>(VLOOKUP(Games!#REF!, Data!$B$2:$L$135, 9, FALSE)-VLOOKUP(Games!#REF!, Data!$B$2:$L$135, 9, FALSE))*Coefficients!$I$2</f>
        <v>#REF!</v>
      </c>
      <c r="J260" t="e">
        <f>IF(ISBLANK(Data!K260), Games!#REF!-Games!#REF!,VLOOKUP(Games!#REF!, Data!$B$2:$L$135, 10, FALSE)-VLOOKUP(Games!#REF!, Data!$B$2:$L$135, 10, FALSE))*Coefficients!$J$2</f>
        <v>#REF!</v>
      </c>
      <c r="K260" t="e">
        <f>(IF(AND(VLOOKUP(Games!#REF!, Data!$B$2:$L$135, 11, FALSE)=1, VLOOKUP(Games!#REF!, Data!$B$2:$L$135, 11, FALSE)&lt;&gt;1), 1,0))*Coefficients!K$2</f>
        <v>#REF!</v>
      </c>
      <c r="L260" t="e">
        <f>(IF(AND(VLOOKUP(Games!#REF!, Data!$B$2:$L$135, 11, FALSE)&lt;&gt;1, VLOOKUP(Games!#REF!, Data!$B$2:$L$135, 11, FALSE)=1), 1,0))*Coefficients!L$2</f>
        <v>#REF!</v>
      </c>
      <c r="O260" t="e">
        <f t="shared" si="5"/>
        <v>#REF!</v>
      </c>
    </row>
    <row r="261">
      <c r="A261" t="n">
        <f>Coefficients!$A$2</f>
        <v>-3.7765953152866998</v>
      </c>
      <c r="B261" t="e">
        <f>(Games!#REF!)*(-1*Coefficients!$B$2)</f>
        <v>#REF!</v>
      </c>
      <c r="C261" t="e">
        <f>(VLOOKUP(Games!#REF!, Data!$B$2:$L$135, 4, FALSE)-VLOOKUP(Games!#REF!, Data!$B$2:$L$135, 4, FALSE))*Coefficients!$C$2</f>
        <v>#REF!</v>
      </c>
      <c r="D261" t="e">
        <f>(VLOOKUP(Games!#REF!, Data!$B$2:$L$135, 3, FALSE)-VLOOKUP(Games!#REF!, Data!$B$2:$L$135, 3, FALSE))*Coefficients!$D$2</f>
        <v>#REF!</v>
      </c>
      <c r="E261" t="e">
        <f>(VLOOKUP(Games!#REF!, Data!$B$2:$L$135, 5, FALSE)-VLOOKUP(Games!#REF!, Data!$B$2:$L$135, 5, FALSE))*Coefficients!$E$2</f>
        <v>#REF!</v>
      </c>
      <c r="F261" t="e">
        <f>(VLOOKUP(Games!#REF!, Data!$B$2:$L$135, 6, FALSE)-VLOOKUP(Games!#REF!, Data!$B$2:$L$135, 6, FALSE))*Coefficients!$F$2</f>
        <v>#REF!</v>
      </c>
      <c r="G261" t="e">
        <f>(VLOOKUP(Games!#REF!, Data!$B$2:$L$135, 7, FALSE)-VLOOKUP(Games!#REF!, Data!$B$2:$L$135, 7, FALSE))*Coefficients!$G$2</f>
        <v>#REF!</v>
      </c>
      <c r="H261" t="e">
        <f>(VLOOKUP(Games!#REF!, Data!$B$2:$L$135, 8, FALSE)-VLOOKUP(Games!#REF!, Data!$B$2:$L$135, 8, FALSE))*Coefficients!$H$2</f>
        <v>#REF!</v>
      </c>
      <c r="I261" t="e">
        <f>(VLOOKUP(Games!#REF!, Data!$B$2:$L$135, 9, FALSE)-VLOOKUP(Games!#REF!, Data!$B$2:$L$135, 9, FALSE))*Coefficients!$I$2</f>
        <v>#REF!</v>
      </c>
      <c r="J261" t="e">
        <f>IF(ISBLANK(Data!K261), Games!#REF!-Games!#REF!,VLOOKUP(Games!#REF!, Data!$B$2:$L$135, 10, FALSE)-VLOOKUP(Games!#REF!, Data!$B$2:$L$135, 10, FALSE))*Coefficients!$J$2</f>
        <v>#REF!</v>
      </c>
      <c r="K261" t="e">
        <f>(IF(AND(VLOOKUP(Games!#REF!, Data!$B$2:$L$135, 11, FALSE)=1, VLOOKUP(Games!#REF!, Data!$B$2:$L$135, 11, FALSE)&lt;&gt;1), 1,0))*Coefficients!K$2</f>
        <v>#REF!</v>
      </c>
      <c r="L261" t="e">
        <f>(IF(AND(VLOOKUP(Games!#REF!, Data!$B$2:$L$135, 11, FALSE)&lt;&gt;1, VLOOKUP(Games!#REF!, Data!$B$2:$L$135, 11, FALSE)=1), 1,0))*Coefficients!L$2</f>
        <v>#REF!</v>
      </c>
      <c r="O261" t="e">
        <f t="shared" si="5"/>
        <v>#REF!</v>
      </c>
    </row>
    <row r="262">
      <c r="A262" t="n">
        <f>Coefficients!$A$2</f>
        <v>-3.7765953152866998</v>
      </c>
      <c r="B262" t="e">
        <f>(Games!#REF!)*(-1*Coefficients!$B$2)</f>
        <v>#REF!</v>
      </c>
      <c r="C262" t="e">
        <f>(VLOOKUP(Games!#REF!, Data!$B$2:$L$135, 4, FALSE)-VLOOKUP(Games!#REF!, Data!$B$2:$L$135, 4, FALSE))*Coefficients!$C$2</f>
        <v>#REF!</v>
      </c>
      <c r="D262" t="e">
        <f>(VLOOKUP(Games!#REF!, Data!$B$2:$L$135, 3, FALSE)-VLOOKUP(Games!#REF!, Data!$B$2:$L$135, 3, FALSE))*Coefficients!$D$2</f>
        <v>#REF!</v>
      </c>
      <c r="E262" t="e">
        <f>(VLOOKUP(Games!#REF!, Data!$B$2:$L$135, 5, FALSE)-VLOOKUP(Games!#REF!, Data!$B$2:$L$135, 5, FALSE))*Coefficients!$E$2</f>
        <v>#REF!</v>
      </c>
      <c r="F262" t="e">
        <f>(VLOOKUP(Games!#REF!, Data!$B$2:$L$135, 6, FALSE)-VLOOKUP(Games!#REF!, Data!$B$2:$L$135, 6, FALSE))*Coefficients!$F$2</f>
        <v>#REF!</v>
      </c>
      <c r="G262" t="e">
        <f>(VLOOKUP(Games!#REF!, Data!$B$2:$L$135, 7, FALSE)-VLOOKUP(Games!#REF!, Data!$B$2:$L$135, 7, FALSE))*Coefficients!$G$2</f>
        <v>#REF!</v>
      </c>
      <c r="H262" t="e">
        <f>(VLOOKUP(Games!#REF!, Data!$B$2:$L$135, 8, FALSE)-VLOOKUP(Games!#REF!, Data!$B$2:$L$135, 8, FALSE))*Coefficients!$H$2</f>
        <v>#REF!</v>
      </c>
      <c r="I262" t="e">
        <f>(VLOOKUP(Games!#REF!, Data!$B$2:$L$135, 9, FALSE)-VLOOKUP(Games!#REF!, Data!$B$2:$L$135, 9, FALSE))*Coefficients!$I$2</f>
        <v>#REF!</v>
      </c>
      <c r="J262" t="e">
        <f>IF(ISBLANK(Data!K262), Games!#REF!-Games!#REF!,VLOOKUP(Games!#REF!, Data!$B$2:$L$135, 10, FALSE)-VLOOKUP(Games!#REF!, Data!$B$2:$L$135, 10, FALSE))*Coefficients!$J$2</f>
        <v>#REF!</v>
      </c>
      <c r="K262" t="e">
        <f>(IF(AND(VLOOKUP(Games!#REF!, Data!$B$2:$L$135, 11, FALSE)=1, VLOOKUP(Games!#REF!, Data!$B$2:$L$135, 11, FALSE)&lt;&gt;1), 1,0))*Coefficients!K$2</f>
        <v>#REF!</v>
      </c>
      <c r="L262" t="e">
        <f>(IF(AND(VLOOKUP(Games!#REF!, Data!$B$2:$L$135, 11, FALSE)&lt;&gt;1, VLOOKUP(Games!#REF!, Data!$B$2:$L$135, 11, FALSE)=1), 1,0))*Coefficients!L$2</f>
        <v>#REF!</v>
      </c>
      <c r="O262" t="e">
        <f t="shared" si="5"/>
        <v>#REF!</v>
      </c>
    </row>
    <row r="263">
      <c r="A263" t="n">
        <f>Coefficients!$A$2</f>
        <v>-3.7765953152866998</v>
      </c>
      <c r="B263" t="e">
        <f>(Games!#REF!)*(-1*Coefficients!$B$2)</f>
        <v>#REF!</v>
      </c>
      <c r="C263" t="e">
        <f>(VLOOKUP(Games!#REF!, Data!$B$2:$L$135, 4, FALSE)-VLOOKUP(Games!#REF!, Data!$B$2:$L$135, 4, FALSE))*Coefficients!$C$2</f>
        <v>#REF!</v>
      </c>
      <c r="D263" t="e">
        <f>(VLOOKUP(Games!#REF!, Data!$B$2:$L$135, 3, FALSE)-VLOOKUP(Games!#REF!, Data!$B$2:$L$135, 3, FALSE))*Coefficients!$D$2</f>
        <v>#REF!</v>
      </c>
      <c r="E263" t="e">
        <f>(VLOOKUP(Games!#REF!, Data!$B$2:$L$135, 5, FALSE)-VLOOKUP(Games!#REF!, Data!$B$2:$L$135, 5, FALSE))*Coefficients!$E$2</f>
        <v>#REF!</v>
      </c>
      <c r="F263" t="e">
        <f>(VLOOKUP(Games!#REF!, Data!$B$2:$L$135, 6, FALSE)-VLOOKUP(Games!#REF!, Data!$B$2:$L$135, 6, FALSE))*Coefficients!$F$2</f>
        <v>#REF!</v>
      </c>
      <c r="G263" t="e">
        <f>(VLOOKUP(Games!#REF!, Data!$B$2:$L$135, 7, FALSE)-VLOOKUP(Games!#REF!, Data!$B$2:$L$135, 7, FALSE))*Coefficients!$G$2</f>
        <v>#REF!</v>
      </c>
      <c r="H263" t="e">
        <f>(VLOOKUP(Games!#REF!, Data!$B$2:$L$135, 8, FALSE)-VLOOKUP(Games!#REF!, Data!$B$2:$L$135, 8, FALSE))*Coefficients!$H$2</f>
        <v>#REF!</v>
      </c>
      <c r="I263" t="e">
        <f>(VLOOKUP(Games!#REF!, Data!$B$2:$L$135, 9, FALSE)-VLOOKUP(Games!#REF!, Data!$B$2:$L$135, 9, FALSE))*Coefficients!$I$2</f>
        <v>#REF!</v>
      </c>
      <c r="J263" t="e">
        <f>IF(ISBLANK(Data!K263), Games!#REF!-Games!#REF!,VLOOKUP(Games!#REF!, Data!$B$2:$L$135, 10, FALSE)-VLOOKUP(Games!#REF!, Data!$B$2:$L$135, 10, FALSE))*Coefficients!$J$2</f>
        <v>#REF!</v>
      </c>
      <c r="K263" t="e">
        <f>(IF(AND(VLOOKUP(Games!#REF!, Data!$B$2:$L$135, 11, FALSE)=1, VLOOKUP(Games!#REF!, Data!$B$2:$L$135, 11, FALSE)&lt;&gt;1), 1,0))*Coefficients!K$2</f>
        <v>#REF!</v>
      </c>
      <c r="L263" t="e">
        <f>(IF(AND(VLOOKUP(Games!#REF!, Data!$B$2:$L$135, 11, FALSE)&lt;&gt;1, VLOOKUP(Games!#REF!, Data!$B$2:$L$135, 11, FALSE)=1), 1,0))*Coefficients!L$2</f>
        <v>#REF!</v>
      </c>
      <c r="O263" t="e">
        <f t="shared" si="5"/>
        <v>#REF!</v>
      </c>
    </row>
    <row r="264">
      <c r="A264" t="n">
        <f>Coefficients!$A$2</f>
        <v>-3.7765953152866998</v>
      </c>
      <c r="B264" t="e">
        <f>(Games!#REF!)*(-1*Coefficients!$B$2)</f>
        <v>#REF!</v>
      </c>
      <c r="C264" t="e">
        <f>(VLOOKUP(Games!#REF!, Data!$B$2:$L$135, 4, FALSE)-VLOOKUP(Games!#REF!, Data!$B$2:$L$135, 4, FALSE))*Coefficients!$C$2</f>
        <v>#REF!</v>
      </c>
      <c r="D264" t="e">
        <f>(VLOOKUP(Games!#REF!, Data!$B$2:$L$135, 3, FALSE)-VLOOKUP(Games!#REF!, Data!$B$2:$L$135, 3, FALSE))*Coefficients!$D$2</f>
        <v>#REF!</v>
      </c>
      <c r="E264" t="e">
        <f>(VLOOKUP(Games!#REF!, Data!$B$2:$L$135, 5, FALSE)-VLOOKUP(Games!#REF!, Data!$B$2:$L$135, 5, FALSE))*Coefficients!$E$2</f>
        <v>#REF!</v>
      </c>
      <c r="F264" t="e">
        <f>(VLOOKUP(Games!#REF!, Data!$B$2:$L$135, 6, FALSE)-VLOOKUP(Games!#REF!, Data!$B$2:$L$135, 6, FALSE))*Coefficients!$F$2</f>
        <v>#REF!</v>
      </c>
      <c r="G264" t="e">
        <f>(VLOOKUP(Games!#REF!, Data!$B$2:$L$135, 7, FALSE)-VLOOKUP(Games!#REF!, Data!$B$2:$L$135, 7, FALSE))*Coefficients!$G$2</f>
        <v>#REF!</v>
      </c>
      <c r="H264" t="e">
        <f>(VLOOKUP(Games!#REF!, Data!$B$2:$L$135, 8, FALSE)-VLOOKUP(Games!#REF!, Data!$B$2:$L$135, 8, FALSE))*Coefficients!$H$2</f>
        <v>#REF!</v>
      </c>
      <c r="I264" t="e">
        <f>(VLOOKUP(Games!#REF!, Data!$B$2:$L$135, 9, FALSE)-VLOOKUP(Games!#REF!, Data!$B$2:$L$135, 9, FALSE))*Coefficients!$I$2</f>
        <v>#REF!</v>
      </c>
      <c r="J264" t="e">
        <f>IF(ISBLANK(Data!K264), Games!#REF!-Games!#REF!,VLOOKUP(Games!#REF!, Data!$B$2:$L$135, 10, FALSE)-VLOOKUP(Games!#REF!, Data!$B$2:$L$135, 10, FALSE))*Coefficients!$J$2</f>
        <v>#REF!</v>
      </c>
      <c r="K264" t="e">
        <f>(IF(AND(VLOOKUP(Games!#REF!, Data!$B$2:$L$135, 11, FALSE)=1, VLOOKUP(Games!#REF!, Data!$B$2:$L$135, 11, FALSE)&lt;&gt;1), 1,0))*Coefficients!K$2</f>
        <v>#REF!</v>
      </c>
      <c r="L264" t="e">
        <f>(IF(AND(VLOOKUP(Games!#REF!, Data!$B$2:$L$135, 11, FALSE)&lt;&gt;1, VLOOKUP(Games!#REF!, Data!$B$2:$L$135, 11, FALSE)=1), 1,0))*Coefficients!L$2</f>
        <v>#REF!</v>
      </c>
      <c r="O264" t="e">
        <f t="shared" si="5"/>
        <v>#REF!</v>
      </c>
    </row>
    <row r="265">
      <c r="A265" t="n">
        <f>Coefficients!$A$2</f>
        <v>-3.7765953152866998</v>
      </c>
      <c r="B265" t="e">
        <f>(Games!#REF!)*(-1*Coefficients!$B$2)</f>
        <v>#REF!</v>
      </c>
      <c r="C265" t="e">
        <f>(VLOOKUP(Games!#REF!, Data!$B$2:$L$135, 4, FALSE)-VLOOKUP(Games!#REF!, Data!$B$2:$L$135, 4, FALSE))*Coefficients!$C$2</f>
        <v>#REF!</v>
      </c>
      <c r="D265" t="e">
        <f>(VLOOKUP(Games!#REF!, Data!$B$2:$L$135, 3, FALSE)-VLOOKUP(Games!#REF!, Data!$B$2:$L$135, 3, FALSE))*Coefficients!$D$2</f>
        <v>#REF!</v>
      </c>
      <c r="E265" t="e">
        <f>(VLOOKUP(Games!#REF!, Data!$B$2:$L$135, 5, FALSE)-VLOOKUP(Games!#REF!, Data!$B$2:$L$135, 5, FALSE))*Coefficients!$E$2</f>
        <v>#REF!</v>
      </c>
      <c r="F265" t="e">
        <f>(VLOOKUP(Games!#REF!, Data!$B$2:$L$135, 6, FALSE)-VLOOKUP(Games!#REF!, Data!$B$2:$L$135, 6, FALSE))*Coefficients!$F$2</f>
        <v>#REF!</v>
      </c>
      <c r="G265" t="e">
        <f>(VLOOKUP(Games!#REF!, Data!$B$2:$L$135, 7, FALSE)-VLOOKUP(Games!#REF!, Data!$B$2:$L$135, 7, FALSE))*Coefficients!$G$2</f>
        <v>#REF!</v>
      </c>
      <c r="H265" t="e">
        <f>(VLOOKUP(Games!#REF!, Data!$B$2:$L$135, 8, FALSE)-VLOOKUP(Games!#REF!, Data!$B$2:$L$135, 8, FALSE))*Coefficients!$H$2</f>
        <v>#REF!</v>
      </c>
      <c r="I265" t="e">
        <f>(VLOOKUP(Games!#REF!, Data!$B$2:$L$135, 9, FALSE)-VLOOKUP(Games!#REF!, Data!$B$2:$L$135, 9, FALSE))*Coefficients!$I$2</f>
        <v>#REF!</v>
      </c>
      <c r="J265" t="e">
        <f>IF(ISBLANK(Data!K265), Games!#REF!-Games!#REF!,VLOOKUP(Games!#REF!, Data!$B$2:$L$135, 10, FALSE)-VLOOKUP(Games!#REF!, Data!$B$2:$L$135, 10, FALSE))*Coefficients!$J$2</f>
        <v>#REF!</v>
      </c>
      <c r="K265" t="e">
        <f>(IF(AND(VLOOKUP(Games!#REF!, Data!$B$2:$L$135, 11, FALSE)=1, VLOOKUP(Games!#REF!, Data!$B$2:$L$135, 11, FALSE)&lt;&gt;1), 1,0))*Coefficients!K$2</f>
        <v>#REF!</v>
      </c>
      <c r="L265" t="e">
        <f>(IF(AND(VLOOKUP(Games!#REF!, Data!$B$2:$L$135, 11, FALSE)&lt;&gt;1, VLOOKUP(Games!#REF!, Data!$B$2:$L$135, 11, FALSE)=1), 1,0))*Coefficients!L$2</f>
        <v>#REF!</v>
      </c>
      <c r="O265" t="e">
        <f t="shared" si="5"/>
        <v>#REF!</v>
      </c>
    </row>
    <row r="266">
      <c r="A266" t="n">
        <f>Coefficients!$A$2</f>
        <v>-3.7765953152866998</v>
      </c>
      <c r="B266" t="e">
        <f>(Games!#REF!)*(-1*Coefficients!$B$2)</f>
        <v>#REF!</v>
      </c>
      <c r="C266" t="e">
        <f>(VLOOKUP(Games!#REF!, Data!$B$2:$L$135, 4, FALSE)-VLOOKUP(Games!#REF!, Data!$B$2:$L$135, 4, FALSE))*Coefficients!$C$2</f>
        <v>#REF!</v>
      </c>
      <c r="D266" t="e">
        <f>(VLOOKUP(Games!#REF!, Data!$B$2:$L$135, 3, FALSE)-VLOOKUP(Games!#REF!, Data!$B$2:$L$135, 3, FALSE))*Coefficients!$D$2</f>
        <v>#REF!</v>
      </c>
      <c r="E266" t="e">
        <f>(VLOOKUP(Games!#REF!, Data!$B$2:$L$135, 5, FALSE)-VLOOKUP(Games!#REF!, Data!$B$2:$L$135, 5, FALSE))*Coefficients!$E$2</f>
        <v>#REF!</v>
      </c>
      <c r="F266" t="e">
        <f>(VLOOKUP(Games!#REF!, Data!$B$2:$L$135, 6, FALSE)-VLOOKUP(Games!#REF!, Data!$B$2:$L$135, 6, FALSE))*Coefficients!$F$2</f>
        <v>#REF!</v>
      </c>
      <c r="G266" t="e">
        <f>(VLOOKUP(Games!#REF!, Data!$B$2:$L$135, 7, FALSE)-VLOOKUP(Games!#REF!, Data!$B$2:$L$135, 7, FALSE))*Coefficients!$G$2</f>
        <v>#REF!</v>
      </c>
      <c r="H266" t="e">
        <f>(VLOOKUP(Games!#REF!, Data!$B$2:$L$135, 8, FALSE)-VLOOKUP(Games!#REF!, Data!$B$2:$L$135, 8, FALSE))*Coefficients!$H$2</f>
        <v>#REF!</v>
      </c>
      <c r="I266" t="e">
        <f>(VLOOKUP(Games!#REF!, Data!$B$2:$L$135, 9, FALSE)-VLOOKUP(Games!#REF!, Data!$B$2:$L$135, 9, FALSE))*Coefficients!$I$2</f>
        <v>#REF!</v>
      </c>
      <c r="J266" t="e">
        <f>IF(ISBLANK(Data!K266), Games!#REF!-Games!#REF!,VLOOKUP(Games!#REF!, Data!$B$2:$L$135, 10, FALSE)-VLOOKUP(Games!#REF!, Data!$B$2:$L$135, 10, FALSE))*Coefficients!$J$2</f>
        <v>#REF!</v>
      </c>
      <c r="K266" t="e">
        <f>(IF(AND(VLOOKUP(Games!#REF!, Data!$B$2:$L$135, 11, FALSE)=1, VLOOKUP(Games!#REF!, Data!$B$2:$L$135, 11, FALSE)&lt;&gt;1), 1,0))*Coefficients!K$2</f>
        <v>#REF!</v>
      </c>
      <c r="L266" t="e">
        <f>(IF(AND(VLOOKUP(Games!#REF!, Data!$B$2:$L$135, 11, FALSE)&lt;&gt;1, VLOOKUP(Games!#REF!, Data!$B$2:$L$135, 11, FALSE)=1), 1,0))*Coefficients!L$2</f>
        <v>#REF!</v>
      </c>
      <c r="O266" t="e">
        <f t="shared" si="5"/>
        <v>#REF!</v>
      </c>
    </row>
    <row r="267">
      <c r="A267" t="n">
        <f>Coefficients!$A$2</f>
        <v>-3.7765953152866998</v>
      </c>
      <c r="B267" t="e">
        <f>(Games!#REF!)*(-1*Coefficients!$B$2)</f>
        <v>#REF!</v>
      </c>
      <c r="C267" t="e">
        <f>(VLOOKUP(Games!#REF!, Data!$B$2:$L$135, 4, FALSE)-VLOOKUP(Games!#REF!, Data!$B$2:$L$135, 4, FALSE))*Coefficients!$C$2</f>
        <v>#REF!</v>
      </c>
      <c r="D267" t="e">
        <f>(VLOOKUP(Games!#REF!, Data!$B$2:$L$135, 3, FALSE)-VLOOKUP(Games!#REF!, Data!$B$2:$L$135, 3, FALSE))*Coefficients!$D$2</f>
        <v>#REF!</v>
      </c>
      <c r="E267" t="e">
        <f>(VLOOKUP(Games!#REF!, Data!$B$2:$L$135, 5, FALSE)-VLOOKUP(Games!#REF!, Data!$B$2:$L$135, 5, FALSE))*Coefficients!$E$2</f>
        <v>#REF!</v>
      </c>
      <c r="F267" t="e">
        <f>(VLOOKUP(Games!#REF!, Data!$B$2:$L$135, 6, FALSE)-VLOOKUP(Games!#REF!, Data!$B$2:$L$135, 6, FALSE))*Coefficients!$F$2</f>
        <v>#REF!</v>
      </c>
      <c r="G267" t="e">
        <f>(VLOOKUP(Games!#REF!, Data!$B$2:$L$135, 7, FALSE)-VLOOKUP(Games!#REF!, Data!$B$2:$L$135, 7, FALSE))*Coefficients!$G$2</f>
        <v>#REF!</v>
      </c>
      <c r="H267" t="e">
        <f>(VLOOKUP(Games!#REF!, Data!$B$2:$L$135, 8, FALSE)-VLOOKUP(Games!#REF!, Data!$B$2:$L$135, 8, FALSE))*Coefficients!$H$2</f>
        <v>#REF!</v>
      </c>
      <c r="I267" t="e">
        <f>(VLOOKUP(Games!#REF!, Data!$B$2:$L$135, 9, FALSE)-VLOOKUP(Games!#REF!, Data!$B$2:$L$135, 9, FALSE))*Coefficients!$I$2</f>
        <v>#REF!</v>
      </c>
      <c r="J267" t="e">
        <f>IF(ISBLANK(Data!K267), Games!#REF!-Games!#REF!,VLOOKUP(Games!#REF!, Data!$B$2:$L$135, 10, FALSE)-VLOOKUP(Games!#REF!, Data!$B$2:$L$135, 10, FALSE))*Coefficients!$J$2</f>
        <v>#REF!</v>
      </c>
      <c r="K267" t="e">
        <f>(IF(AND(VLOOKUP(Games!#REF!, Data!$B$2:$L$135, 11, FALSE)=1, VLOOKUP(Games!#REF!, Data!$B$2:$L$135, 11, FALSE)&lt;&gt;1), 1,0))*Coefficients!K$2</f>
        <v>#REF!</v>
      </c>
      <c r="L267" t="e">
        <f>(IF(AND(VLOOKUP(Games!#REF!, Data!$B$2:$L$135, 11, FALSE)&lt;&gt;1, VLOOKUP(Games!#REF!, Data!$B$2:$L$135, 11, FALSE)=1), 1,0))*Coefficients!L$2</f>
        <v>#REF!</v>
      </c>
      <c r="O267" t="e">
        <f t="shared" si="5"/>
        <v>#REF!</v>
      </c>
    </row>
    <row r="268">
      <c r="A268" t="n">
        <f>Coefficients!$A$2</f>
        <v>-3.7765953152866998</v>
      </c>
      <c r="B268" t="e">
        <f>(Games!#REF!)*(-1*Coefficients!$B$2)</f>
        <v>#REF!</v>
      </c>
      <c r="C268" t="e">
        <f>(VLOOKUP(Games!#REF!, Data!$B$2:$L$135, 4, FALSE)-VLOOKUP(Games!#REF!, Data!$B$2:$L$135, 4, FALSE))*Coefficients!$C$2</f>
        <v>#REF!</v>
      </c>
      <c r="D268" t="e">
        <f>(VLOOKUP(Games!#REF!, Data!$B$2:$L$135, 3, FALSE)-VLOOKUP(Games!#REF!, Data!$B$2:$L$135, 3, FALSE))*Coefficients!$D$2</f>
        <v>#REF!</v>
      </c>
      <c r="E268" t="e">
        <f>(VLOOKUP(Games!#REF!, Data!$B$2:$L$135, 5, FALSE)-VLOOKUP(Games!#REF!, Data!$B$2:$L$135, 5, FALSE))*Coefficients!$E$2</f>
        <v>#REF!</v>
      </c>
      <c r="F268" t="e">
        <f>(VLOOKUP(Games!#REF!, Data!$B$2:$L$135, 6, FALSE)-VLOOKUP(Games!#REF!, Data!$B$2:$L$135, 6, FALSE))*Coefficients!$F$2</f>
        <v>#REF!</v>
      </c>
      <c r="G268" t="e">
        <f>(VLOOKUP(Games!#REF!, Data!$B$2:$L$135, 7, FALSE)-VLOOKUP(Games!#REF!, Data!$B$2:$L$135, 7, FALSE))*Coefficients!$G$2</f>
        <v>#REF!</v>
      </c>
      <c r="H268" t="e">
        <f>(VLOOKUP(Games!#REF!, Data!$B$2:$L$135, 8, FALSE)-VLOOKUP(Games!#REF!, Data!$B$2:$L$135, 8, FALSE))*Coefficients!$H$2</f>
        <v>#REF!</v>
      </c>
      <c r="I268" t="e">
        <f>(VLOOKUP(Games!#REF!, Data!$B$2:$L$135, 9, FALSE)-VLOOKUP(Games!#REF!, Data!$B$2:$L$135, 9, FALSE))*Coefficients!$I$2</f>
        <v>#REF!</v>
      </c>
      <c r="J268" t="e">
        <f>IF(ISBLANK(Data!K268), Games!#REF!-Games!#REF!,VLOOKUP(Games!#REF!, Data!$B$2:$L$135, 10, FALSE)-VLOOKUP(Games!#REF!, Data!$B$2:$L$135, 10, FALSE))*Coefficients!$J$2</f>
        <v>#REF!</v>
      </c>
      <c r="K268" t="e">
        <f>(IF(AND(VLOOKUP(Games!#REF!, Data!$B$2:$L$135, 11, FALSE)=1, VLOOKUP(Games!#REF!, Data!$B$2:$L$135, 11, FALSE)&lt;&gt;1), 1,0))*Coefficients!K$2</f>
        <v>#REF!</v>
      </c>
      <c r="L268" t="e">
        <f>(IF(AND(VLOOKUP(Games!#REF!, Data!$B$2:$L$135, 11, FALSE)&lt;&gt;1, VLOOKUP(Games!#REF!, Data!$B$2:$L$135, 11, FALSE)=1), 1,0))*Coefficients!L$2</f>
        <v>#REF!</v>
      </c>
      <c r="O268" t="e">
        <f t="shared" si="5"/>
        <v>#REF!</v>
      </c>
    </row>
    <row r="269">
      <c r="A269" t="n">
        <f>Coefficients!$A$2</f>
        <v>-3.7765953152866998</v>
      </c>
      <c r="B269" t="e">
        <f>(Games!#REF!)*(-1*Coefficients!$B$2)</f>
        <v>#REF!</v>
      </c>
      <c r="C269" t="e">
        <f>(VLOOKUP(Games!#REF!, Data!$B$2:$L$135, 4, FALSE)-VLOOKUP(Games!#REF!, Data!$B$2:$L$135, 4, FALSE))*Coefficients!$C$2</f>
        <v>#REF!</v>
      </c>
      <c r="D269" t="e">
        <f>(VLOOKUP(Games!#REF!, Data!$B$2:$L$135, 3, FALSE)-VLOOKUP(Games!#REF!, Data!$B$2:$L$135, 3, FALSE))*Coefficients!$D$2</f>
        <v>#REF!</v>
      </c>
      <c r="E269" t="e">
        <f>(VLOOKUP(Games!#REF!, Data!$B$2:$L$135, 5, FALSE)-VLOOKUP(Games!#REF!, Data!$B$2:$L$135, 5, FALSE))*Coefficients!$E$2</f>
        <v>#REF!</v>
      </c>
      <c r="F269" t="e">
        <f>(VLOOKUP(Games!#REF!, Data!$B$2:$L$135, 6, FALSE)-VLOOKUP(Games!#REF!, Data!$B$2:$L$135, 6, FALSE))*Coefficients!$F$2</f>
        <v>#REF!</v>
      </c>
      <c r="G269" t="e">
        <f>(VLOOKUP(Games!#REF!, Data!$B$2:$L$135, 7, FALSE)-VLOOKUP(Games!#REF!, Data!$B$2:$L$135, 7, FALSE))*Coefficients!$G$2</f>
        <v>#REF!</v>
      </c>
      <c r="H269" t="e">
        <f>(VLOOKUP(Games!#REF!, Data!$B$2:$L$135, 8, FALSE)-VLOOKUP(Games!#REF!, Data!$B$2:$L$135, 8, FALSE))*Coefficients!$H$2</f>
        <v>#REF!</v>
      </c>
      <c r="I269" t="e">
        <f>(VLOOKUP(Games!#REF!, Data!$B$2:$L$135, 9, FALSE)-VLOOKUP(Games!#REF!, Data!$B$2:$L$135, 9, FALSE))*Coefficients!$I$2</f>
        <v>#REF!</v>
      </c>
      <c r="J269" t="e">
        <f>IF(ISBLANK(Data!K269), Games!#REF!-Games!#REF!,VLOOKUP(Games!#REF!, Data!$B$2:$L$135, 10, FALSE)-VLOOKUP(Games!#REF!, Data!$B$2:$L$135, 10, FALSE))*Coefficients!$J$2</f>
        <v>#REF!</v>
      </c>
      <c r="K269" t="e">
        <f>(IF(AND(VLOOKUP(Games!#REF!, Data!$B$2:$L$135, 11, FALSE)=1, VLOOKUP(Games!#REF!, Data!$B$2:$L$135, 11, FALSE)&lt;&gt;1), 1,0))*Coefficients!K$2</f>
        <v>#REF!</v>
      </c>
      <c r="L269" t="e">
        <f>(IF(AND(VLOOKUP(Games!#REF!, Data!$B$2:$L$135, 11, FALSE)&lt;&gt;1, VLOOKUP(Games!#REF!, Data!$B$2:$L$135, 11, FALSE)=1), 1,0))*Coefficients!L$2</f>
        <v>#REF!</v>
      </c>
      <c r="O269" t="e">
        <f t="shared" si="5"/>
        <v>#REF!</v>
      </c>
    </row>
    <row r="270">
      <c r="A270" t="n">
        <f>Coefficients!$A$2</f>
        <v>-3.7765953152866998</v>
      </c>
      <c r="B270" t="e">
        <f>(Games!#REF!)*(-1*Coefficients!$B$2)</f>
        <v>#REF!</v>
      </c>
      <c r="C270" t="e">
        <f>(VLOOKUP(Games!#REF!, Data!$B$2:$L$135, 4, FALSE)-VLOOKUP(Games!#REF!, Data!$B$2:$L$135, 4, FALSE))*Coefficients!$C$2</f>
        <v>#REF!</v>
      </c>
      <c r="D270" t="e">
        <f>(VLOOKUP(Games!#REF!, Data!$B$2:$L$135, 3, FALSE)-VLOOKUP(Games!#REF!, Data!$B$2:$L$135, 3, FALSE))*Coefficients!$D$2</f>
        <v>#REF!</v>
      </c>
      <c r="E270" t="e">
        <f>(VLOOKUP(Games!#REF!, Data!$B$2:$L$135, 5, FALSE)-VLOOKUP(Games!#REF!, Data!$B$2:$L$135, 5, FALSE))*Coefficients!$E$2</f>
        <v>#REF!</v>
      </c>
      <c r="F270" t="e">
        <f>(VLOOKUP(Games!#REF!, Data!$B$2:$L$135, 6, FALSE)-VLOOKUP(Games!#REF!, Data!$B$2:$L$135, 6, FALSE))*Coefficients!$F$2</f>
        <v>#REF!</v>
      </c>
      <c r="G270" t="e">
        <f>(VLOOKUP(Games!#REF!, Data!$B$2:$L$135, 7, FALSE)-VLOOKUP(Games!#REF!, Data!$B$2:$L$135, 7, FALSE))*Coefficients!$G$2</f>
        <v>#REF!</v>
      </c>
      <c r="H270" t="e">
        <f>(VLOOKUP(Games!#REF!, Data!$B$2:$L$135, 8, FALSE)-VLOOKUP(Games!#REF!, Data!$B$2:$L$135, 8, FALSE))*Coefficients!$H$2</f>
        <v>#REF!</v>
      </c>
      <c r="I270" t="e">
        <f>(VLOOKUP(Games!#REF!, Data!$B$2:$L$135, 9, FALSE)-VLOOKUP(Games!#REF!, Data!$B$2:$L$135, 9, FALSE))*Coefficients!$I$2</f>
        <v>#REF!</v>
      </c>
      <c r="J270" t="e">
        <f>IF(ISBLANK(Data!K270), Games!#REF!-Games!#REF!,VLOOKUP(Games!#REF!, Data!$B$2:$L$135, 10, FALSE)-VLOOKUP(Games!#REF!, Data!$B$2:$L$135, 10, FALSE))*Coefficients!$J$2</f>
        <v>#REF!</v>
      </c>
      <c r="K270" t="e">
        <f>(IF(AND(VLOOKUP(Games!#REF!, Data!$B$2:$L$135, 11, FALSE)=1, VLOOKUP(Games!#REF!, Data!$B$2:$L$135, 11, FALSE)&lt;&gt;1), 1,0))*Coefficients!K$2</f>
        <v>#REF!</v>
      </c>
      <c r="L270" t="e">
        <f>(IF(AND(VLOOKUP(Games!#REF!, Data!$B$2:$L$135, 11, FALSE)&lt;&gt;1, VLOOKUP(Games!#REF!, Data!$B$2:$L$135, 11, FALSE)=1), 1,0))*Coefficients!L$2</f>
        <v>#REF!</v>
      </c>
      <c r="O270" t="e">
        <f t="shared" si="5"/>
        <v>#REF!</v>
      </c>
    </row>
    <row r="271">
      <c r="A271" t="n">
        <f>Coefficients!$A$2</f>
        <v>-3.7765953152866998</v>
      </c>
      <c r="B271" t="e">
        <f>(Games!#REF!)*(-1*Coefficients!$B$2)</f>
        <v>#REF!</v>
      </c>
      <c r="C271" t="e">
        <f>(VLOOKUP(Games!#REF!, Data!$B$2:$L$135, 4, FALSE)-VLOOKUP(Games!#REF!, Data!$B$2:$L$135, 4, FALSE))*Coefficients!$C$2</f>
        <v>#REF!</v>
      </c>
      <c r="D271" t="e">
        <f>(VLOOKUP(Games!#REF!, Data!$B$2:$L$135, 3, FALSE)-VLOOKUP(Games!#REF!, Data!$B$2:$L$135, 3, FALSE))*Coefficients!$D$2</f>
        <v>#REF!</v>
      </c>
      <c r="E271" t="e">
        <f>(VLOOKUP(Games!#REF!, Data!$B$2:$L$135, 5, FALSE)-VLOOKUP(Games!#REF!, Data!$B$2:$L$135, 5, FALSE))*Coefficients!$E$2</f>
        <v>#REF!</v>
      </c>
      <c r="F271" t="e">
        <f>(VLOOKUP(Games!#REF!, Data!$B$2:$L$135, 6, FALSE)-VLOOKUP(Games!#REF!, Data!$B$2:$L$135, 6, FALSE))*Coefficients!$F$2</f>
        <v>#REF!</v>
      </c>
      <c r="G271" t="e">
        <f>(VLOOKUP(Games!#REF!, Data!$B$2:$L$135, 7, FALSE)-VLOOKUP(Games!#REF!, Data!$B$2:$L$135, 7, FALSE))*Coefficients!$G$2</f>
        <v>#REF!</v>
      </c>
      <c r="H271" t="e">
        <f>(VLOOKUP(Games!#REF!, Data!$B$2:$L$135, 8, FALSE)-VLOOKUP(Games!#REF!, Data!$B$2:$L$135, 8, FALSE))*Coefficients!$H$2</f>
        <v>#REF!</v>
      </c>
      <c r="I271" t="e">
        <f>(VLOOKUP(Games!#REF!, Data!$B$2:$L$135, 9, FALSE)-VLOOKUP(Games!#REF!, Data!$B$2:$L$135, 9, FALSE))*Coefficients!$I$2</f>
        <v>#REF!</v>
      </c>
      <c r="J271" t="e">
        <f>IF(ISBLANK(Data!K271), Games!#REF!-Games!#REF!,VLOOKUP(Games!#REF!, Data!$B$2:$L$135, 10, FALSE)-VLOOKUP(Games!#REF!, Data!$B$2:$L$135, 10, FALSE))*Coefficients!$J$2</f>
        <v>#REF!</v>
      </c>
      <c r="K271" t="e">
        <f>(IF(AND(VLOOKUP(Games!#REF!, Data!$B$2:$L$135, 11, FALSE)=1, VLOOKUP(Games!#REF!, Data!$B$2:$L$135, 11, FALSE)&lt;&gt;1), 1,0))*Coefficients!K$2</f>
        <v>#REF!</v>
      </c>
      <c r="L271" t="e">
        <f>(IF(AND(VLOOKUP(Games!#REF!, Data!$B$2:$L$135, 11, FALSE)&lt;&gt;1, VLOOKUP(Games!#REF!, Data!$B$2:$L$135, 11, FALSE)=1), 1,0))*Coefficients!L$2</f>
        <v>#REF!</v>
      </c>
      <c r="O271" t="e">
        <f t="shared" si="5"/>
        <v>#REF!</v>
      </c>
    </row>
    <row r="272">
      <c r="A272" t="n">
        <f>Coefficients!$A$2</f>
        <v>-3.7765953152866998</v>
      </c>
      <c r="B272" t="e">
        <f>(Games!#REF!)*(-1*Coefficients!$B$2)</f>
        <v>#REF!</v>
      </c>
      <c r="C272" t="e">
        <f>(VLOOKUP(Games!#REF!, Data!$B$2:$L$135, 4, FALSE)-VLOOKUP(Games!#REF!, Data!$B$2:$L$135, 4, FALSE))*Coefficients!$C$2</f>
        <v>#REF!</v>
      </c>
      <c r="D272" t="e">
        <f>(VLOOKUP(Games!#REF!, Data!$B$2:$L$135, 3, FALSE)-VLOOKUP(Games!#REF!, Data!$B$2:$L$135, 3, FALSE))*Coefficients!$D$2</f>
        <v>#REF!</v>
      </c>
      <c r="E272" t="e">
        <f>(VLOOKUP(Games!#REF!, Data!$B$2:$L$135, 5, FALSE)-VLOOKUP(Games!#REF!, Data!$B$2:$L$135, 5, FALSE))*Coefficients!$E$2</f>
        <v>#REF!</v>
      </c>
      <c r="F272" t="e">
        <f>(VLOOKUP(Games!#REF!, Data!$B$2:$L$135, 6, FALSE)-VLOOKUP(Games!#REF!, Data!$B$2:$L$135, 6, FALSE))*Coefficients!$F$2</f>
        <v>#REF!</v>
      </c>
      <c r="G272" t="e">
        <f>(VLOOKUP(Games!#REF!, Data!$B$2:$L$135, 7, FALSE)-VLOOKUP(Games!#REF!, Data!$B$2:$L$135, 7, FALSE))*Coefficients!$G$2</f>
        <v>#REF!</v>
      </c>
      <c r="H272" t="e">
        <f>(VLOOKUP(Games!#REF!, Data!$B$2:$L$135, 8, FALSE)-VLOOKUP(Games!#REF!, Data!$B$2:$L$135, 8, FALSE))*Coefficients!$H$2</f>
        <v>#REF!</v>
      </c>
      <c r="I272" t="e">
        <f>(VLOOKUP(Games!#REF!, Data!$B$2:$L$135, 9, FALSE)-VLOOKUP(Games!#REF!, Data!$B$2:$L$135, 9, FALSE))*Coefficients!$I$2</f>
        <v>#REF!</v>
      </c>
      <c r="J272" t="e">
        <f>IF(ISBLANK(Data!K272), Games!#REF!-Games!#REF!,VLOOKUP(Games!#REF!, Data!$B$2:$L$135, 10, FALSE)-VLOOKUP(Games!#REF!, Data!$B$2:$L$135, 10, FALSE))*Coefficients!$J$2</f>
        <v>#REF!</v>
      </c>
      <c r="K272" t="e">
        <f>(IF(AND(VLOOKUP(Games!#REF!, Data!$B$2:$L$135, 11, FALSE)=1, VLOOKUP(Games!#REF!, Data!$B$2:$L$135, 11, FALSE)&lt;&gt;1), 1,0))*Coefficients!K$2</f>
        <v>#REF!</v>
      </c>
      <c r="L272" t="e">
        <f>(IF(AND(VLOOKUP(Games!#REF!, Data!$B$2:$L$135, 11, FALSE)&lt;&gt;1, VLOOKUP(Games!#REF!, Data!$B$2:$L$135, 11, FALSE)=1), 1,0))*Coefficients!L$2</f>
        <v>#REF!</v>
      </c>
      <c r="O272" t="e">
        <f t="shared" si="5"/>
        <v>#REF!</v>
      </c>
    </row>
    <row r="273">
      <c r="A273" t="n">
        <f>Coefficients!$A$2</f>
        <v>-3.7765953152866998</v>
      </c>
      <c r="B273" t="e">
        <f>(Games!#REF!)*(-1*Coefficients!$B$2)</f>
        <v>#REF!</v>
      </c>
      <c r="C273" t="e">
        <f>(VLOOKUP(Games!#REF!, Data!$B$2:$L$135, 4, FALSE)-VLOOKUP(Games!#REF!, Data!$B$2:$L$135, 4, FALSE))*Coefficients!$C$2</f>
        <v>#REF!</v>
      </c>
      <c r="D273" t="e">
        <f>(VLOOKUP(Games!#REF!, Data!$B$2:$L$135, 3, FALSE)-VLOOKUP(Games!#REF!, Data!$B$2:$L$135, 3, FALSE))*Coefficients!$D$2</f>
        <v>#REF!</v>
      </c>
      <c r="E273" t="e">
        <f>(VLOOKUP(Games!#REF!, Data!$B$2:$L$135, 5, FALSE)-VLOOKUP(Games!#REF!, Data!$B$2:$L$135, 5, FALSE))*Coefficients!$E$2</f>
        <v>#REF!</v>
      </c>
      <c r="F273" t="e">
        <f>(VLOOKUP(Games!#REF!, Data!$B$2:$L$135, 6, FALSE)-VLOOKUP(Games!#REF!, Data!$B$2:$L$135, 6, FALSE))*Coefficients!$F$2</f>
        <v>#REF!</v>
      </c>
      <c r="G273" t="e">
        <f>(VLOOKUP(Games!#REF!, Data!$B$2:$L$135, 7, FALSE)-VLOOKUP(Games!#REF!, Data!$B$2:$L$135, 7, FALSE))*Coefficients!$G$2</f>
        <v>#REF!</v>
      </c>
      <c r="H273" t="e">
        <f>(VLOOKUP(Games!#REF!, Data!$B$2:$L$135, 8, FALSE)-VLOOKUP(Games!#REF!, Data!$B$2:$L$135, 8, FALSE))*Coefficients!$H$2</f>
        <v>#REF!</v>
      </c>
      <c r="I273" t="e">
        <f>(VLOOKUP(Games!#REF!, Data!$B$2:$L$135, 9, FALSE)-VLOOKUP(Games!#REF!, Data!$B$2:$L$135, 9, FALSE))*Coefficients!$I$2</f>
        <v>#REF!</v>
      </c>
      <c r="J273" t="e">
        <f>IF(ISBLANK(Data!K273), Games!#REF!-Games!#REF!,VLOOKUP(Games!#REF!, Data!$B$2:$L$135, 10, FALSE)-VLOOKUP(Games!#REF!, Data!$B$2:$L$135, 10, FALSE))*Coefficients!$J$2</f>
        <v>#REF!</v>
      </c>
      <c r="K273" t="e">
        <f>(IF(AND(VLOOKUP(Games!#REF!, Data!$B$2:$L$135, 11, FALSE)=1, VLOOKUP(Games!#REF!, Data!$B$2:$L$135, 11, FALSE)&lt;&gt;1), 1,0))*Coefficients!K$2</f>
        <v>#REF!</v>
      </c>
      <c r="L273" t="e">
        <f>(IF(AND(VLOOKUP(Games!#REF!, Data!$B$2:$L$135, 11, FALSE)&lt;&gt;1, VLOOKUP(Games!#REF!, Data!$B$2:$L$135, 11, FALSE)=1), 1,0))*Coefficients!L$2</f>
        <v>#REF!</v>
      </c>
      <c r="O273" t="e">
        <f t="shared" si="5"/>
        <v>#REF!</v>
      </c>
    </row>
    <row r="274">
      <c r="A274" t="n">
        <f>Coefficients!$A$2</f>
        <v>-3.7765953152866998</v>
      </c>
      <c r="B274" t="e">
        <f>(Games!#REF!)*(-1*Coefficients!$B$2)</f>
        <v>#REF!</v>
      </c>
      <c r="C274" t="e">
        <f>(VLOOKUP(Games!#REF!, Data!$B$2:$L$135, 4, FALSE)-VLOOKUP(Games!#REF!, Data!$B$2:$L$135, 4, FALSE))*Coefficients!$C$2</f>
        <v>#REF!</v>
      </c>
      <c r="D274" t="e">
        <f>(VLOOKUP(Games!#REF!, Data!$B$2:$L$135, 3, FALSE)-VLOOKUP(Games!#REF!, Data!$B$2:$L$135, 3, FALSE))*Coefficients!$D$2</f>
        <v>#REF!</v>
      </c>
      <c r="E274" t="e">
        <f>(VLOOKUP(Games!#REF!, Data!$B$2:$L$135, 5, FALSE)-VLOOKUP(Games!#REF!, Data!$B$2:$L$135, 5, FALSE))*Coefficients!$E$2</f>
        <v>#REF!</v>
      </c>
      <c r="F274" t="e">
        <f>(VLOOKUP(Games!#REF!, Data!$B$2:$L$135, 6, FALSE)-VLOOKUP(Games!#REF!, Data!$B$2:$L$135, 6, FALSE))*Coefficients!$F$2</f>
        <v>#REF!</v>
      </c>
      <c r="G274" t="e">
        <f>(VLOOKUP(Games!#REF!, Data!$B$2:$L$135, 7, FALSE)-VLOOKUP(Games!#REF!, Data!$B$2:$L$135, 7, FALSE))*Coefficients!$G$2</f>
        <v>#REF!</v>
      </c>
      <c r="H274" t="e">
        <f>(VLOOKUP(Games!#REF!, Data!$B$2:$L$135, 8, FALSE)-VLOOKUP(Games!#REF!, Data!$B$2:$L$135, 8, FALSE))*Coefficients!$H$2</f>
        <v>#REF!</v>
      </c>
      <c r="I274" t="e">
        <f>(VLOOKUP(Games!#REF!, Data!$B$2:$L$135, 9, FALSE)-VLOOKUP(Games!#REF!, Data!$B$2:$L$135, 9, FALSE))*Coefficients!$I$2</f>
        <v>#REF!</v>
      </c>
      <c r="J274" t="e">
        <f>IF(ISBLANK(Data!K274), Games!#REF!-Games!#REF!,VLOOKUP(Games!#REF!, Data!$B$2:$L$135, 10, FALSE)-VLOOKUP(Games!#REF!, Data!$B$2:$L$135, 10, FALSE))*Coefficients!$J$2</f>
        <v>#REF!</v>
      </c>
      <c r="K274" t="e">
        <f>(IF(AND(VLOOKUP(Games!#REF!, Data!$B$2:$L$135, 11, FALSE)=1, VLOOKUP(Games!#REF!, Data!$B$2:$L$135, 11, FALSE)&lt;&gt;1), 1,0))*Coefficients!K$2</f>
        <v>#REF!</v>
      </c>
      <c r="L274" t="e">
        <f>(IF(AND(VLOOKUP(Games!#REF!, Data!$B$2:$L$135, 11, FALSE)&lt;&gt;1, VLOOKUP(Games!#REF!, Data!$B$2:$L$135, 11, FALSE)=1), 1,0))*Coefficients!L$2</f>
        <v>#REF!</v>
      </c>
      <c r="O274" t="e">
        <f t="shared" si="5"/>
        <v>#REF!</v>
      </c>
    </row>
    <row r="275">
      <c r="A275" t="n">
        <f>Coefficients!$A$2</f>
        <v>-3.7765953152866998</v>
      </c>
      <c r="B275" t="e">
        <f>(Games!#REF!)*(-1*Coefficients!$B$2)</f>
        <v>#REF!</v>
      </c>
      <c r="C275" t="e">
        <f>(VLOOKUP(Games!#REF!, Data!$B$2:$L$135, 4, FALSE)-VLOOKUP(Games!#REF!, Data!$B$2:$L$135, 4, FALSE))*Coefficients!$C$2</f>
        <v>#REF!</v>
      </c>
      <c r="D275" t="e">
        <f>(VLOOKUP(Games!#REF!, Data!$B$2:$L$135, 3, FALSE)-VLOOKUP(Games!#REF!, Data!$B$2:$L$135, 3, FALSE))*Coefficients!$D$2</f>
        <v>#REF!</v>
      </c>
      <c r="E275" t="e">
        <f>(VLOOKUP(Games!#REF!, Data!$B$2:$L$135, 5, FALSE)-VLOOKUP(Games!#REF!, Data!$B$2:$L$135, 5, FALSE))*Coefficients!$E$2</f>
        <v>#REF!</v>
      </c>
      <c r="F275" t="e">
        <f>(VLOOKUP(Games!#REF!, Data!$B$2:$L$135, 6, FALSE)-VLOOKUP(Games!#REF!, Data!$B$2:$L$135, 6, FALSE))*Coefficients!$F$2</f>
        <v>#REF!</v>
      </c>
      <c r="G275" t="e">
        <f>(VLOOKUP(Games!#REF!, Data!$B$2:$L$135, 7, FALSE)-VLOOKUP(Games!#REF!, Data!$B$2:$L$135, 7, FALSE))*Coefficients!$G$2</f>
        <v>#REF!</v>
      </c>
      <c r="H275" t="e">
        <f>(VLOOKUP(Games!#REF!, Data!$B$2:$L$135, 8, FALSE)-VLOOKUP(Games!#REF!, Data!$B$2:$L$135, 8, FALSE))*Coefficients!$H$2</f>
        <v>#REF!</v>
      </c>
      <c r="I275" t="e">
        <f>(VLOOKUP(Games!#REF!, Data!$B$2:$L$135, 9, FALSE)-VLOOKUP(Games!#REF!, Data!$B$2:$L$135, 9, FALSE))*Coefficients!$I$2</f>
        <v>#REF!</v>
      </c>
      <c r="J275" t="e">
        <f>IF(ISBLANK(Data!K275), Games!#REF!-Games!#REF!,VLOOKUP(Games!#REF!, Data!$B$2:$L$135, 10, FALSE)-VLOOKUP(Games!#REF!, Data!$B$2:$L$135, 10, FALSE))*Coefficients!$J$2</f>
        <v>#REF!</v>
      </c>
      <c r="K275" t="e">
        <f>(IF(AND(VLOOKUP(Games!#REF!, Data!$B$2:$L$135, 11, FALSE)=1, VLOOKUP(Games!#REF!, Data!$B$2:$L$135, 11, FALSE)&lt;&gt;1), 1,0))*Coefficients!K$2</f>
        <v>#REF!</v>
      </c>
      <c r="L275" t="e">
        <f>(IF(AND(VLOOKUP(Games!#REF!, Data!$B$2:$L$135, 11, FALSE)&lt;&gt;1, VLOOKUP(Games!#REF!, Data!$B$2:$L$135, 11, FALSE)=1), 1,0))*Coefficients!L$2</f>
        <v>#REF!</v>
      </c>
      <c r="O275" t="e">
        <f t="shared" si="5"/>
        <v>#REF!</v>
      </c>
    </row>
    <row r="276">
      <c r="A276" t="n">
        <f>Coefficients!$A$2</f>
        <v>-3.7765953152866998</v>
      </c>
      <c r="B276" t="e">
        <f>(Games!#REF!)*(-1*Coefficients!$B$2)</f>
        <v>#REF!</v>
      </c>
      <c r="C276" t="e">
        <f>(VLOOKUP(Games!#REF!, Data!$B$2:$L$135, 4, FALSE)-VLOOKUP(Games!#REF!, Data!$B$2:$L$135, 4, FALSE))*Coefficients!$C$2</f>
        <v>#REF!</v>
      </c>
      <c r="D276" t="e">
        <f>(VLOOKUP(Games!#REF!, Data!$B$2:$L$135, 3, FALSE)-VLOOKUP(Games!#REF!, Data!$B$2:$L$135, 3, FALSE))*Coefficients!$D$2</f>
        <v>#REF!</v>
      </c>
      <c r="E276" t="e">
        <f>(VLOOKUP(Games!#REF!, Data!$B$2:$L$135, 5, FALSE)-VLOOKUP(Games!#REF!, Data!$B$2:$L$135, 5, FALSE))*Coefficients!$E$2</f>
        <v>#REF!</v>
      </c>
      <c r="F276" t="e">
        <f>(VLOOKUP(Games!#REF!, Data!$B$2:$L$135, 6, FALSE)-VLOOKUP(Games!#REF!, Data!$B$2:$L$135, 6, FALSE))*Coefficients!$F$2</f>
        <v>#REF!</v>
      </c>
      <c r="G276" t="e">
        <f>(VLOOKUP(Games!#REF!, Data!$B$2:$L$135, 7, FALSE)-VLOOKUP(Games!#REF!, Data!$B$2:$L$135, 7, FALSE))*Coefficients!$G$2</f>
        <v>#REF!</v>
      </c>
      <c r="H276" t="e">
        <f>(VLOOKUP(Games!#REF!, Data!$B$2:$L$135, 8, FALSE)-VLOOKUP(Games!#REF!, Data!$B$2:$L$135, 8, FALSE))*Coefficients!$H$2</f>
        <v>#REF!</v>
      </c>
      <c r="I276" t="e">
        <f>(VLOOKUP(Games!#REF!, Data!$B$2:$L$135, 9, FALSE)-VLOOKUP(Games!#REF!, Data!$B$2:$L$135, 9, FALSE))*Coefficients!$I$2</f>
        <v>#REF!</v>
      </c>
      <c r="J276" t="e">
        <f>IF(ISBLANK(Data!K276), Games!#REF!-Games!#REF!,VLOOKUP(Games!#REF!, Data!$B$2:$L$135, 10, FALSE)-VLOOKUP(Games!#REF!, Data!$B$2:$L$135, 10, FALSE))*Coefficients!$J$2</f>
        <v>#REF!</v>
      </c>
      <c r="K276" t="e">
        <f>(IF(AND(VLOOKUP(Games!#REF!, Data!$B$2:$L$135, 11, FALSE)=1, VLOOKUP(Games!#REF!, Data!$B$2:$L$135, 11, FALSE)&lt;&gt;1), 1,0))*Coefficients!K$2</f>
        <v>#REF!</v>
      </c>
      <c r="L276" t="e">
        <f>(IF(AND(VLOOKUP(Games!#REF!, Data!$B$2:$L$135, 11, FALSE)&lt;&gt;1, VLOOKUP(Games!#REF!, Data!$B$2:$L$135, 11, FALSE)=1), 1,0))*Coefficients!L$2</f>
        <v>#REF!</v>
      </c>
      <c r="O276" t="e">
        <f t="shared" si="5"/>
        <v>#REF!</v>
      </c>
    </row>
    <row r="277">
      <c r="A277" t="n">
        <f>Coefficients!$A$2</f>
        <v>-3.7765953152866998</v>
      </c>
      <c r="B277" t="e">
        <f>(Games!#REF!)*(-1*Coefficients!$B$2)</f>
        <v>#REF!</v>
      </c>
      <c r="C277" t="e">
        <f>(VLOOKUP(Games!#REF!, Data!$B$2:$L$135, 4, FALSE)-VLOOKUP(Games!#REF!, Data!$B$2:$L$135, 4, FALSE))*Coefficients!$C$2</f>
        <v>#REF!</v>
      </c>
      <c r="D277" t="e">
        <f>(VLOOKUP(Games!#REF!, Data!$B$2:$L$135, 3, FALSE)-VLOOKUP(Games!#REF!, Data!$B$2:$L$135, 3, FALSE))*Coefficients!$D$2</f>
        <v>#REF!</v>
      </c>
      <c r="E277" t="e">
        <f>(VLOOKUP(Games!#REF!, Data!$B$2:$L$135, 5, FALSE)-VLOOKUP(Games!#REF!, Data!$B$2:$L$135, 5, FALSE))*Coefficients!$E$2</f>
        <v>#REF!</v>
      </c>
      <c r="F277" t="e">
        <f>(VLOOKUP(Games!#REF!, Data!$B$2:$L$135, 6, FALSE)-VLOOKUP(Games!#REF!, Data!$B$2:$L$135, 6, FALSE))*Coefficients!$F$2</f>
        <v>#REF!</v>
      </c>
      <c r="G277" t="e">
        <f>(VLOOKUP(Games!#REF!, Data!$B$2:$L$135, 7, FALSE)-VLOOKUP(Games!#REF!, Data!$B$2:$L$135, 7, FALSE))*Coefficients!$G$2</f>
        <v>#REF!</v>
      </c>
      <c r="H277" t="e">
        <f>(VLOOKUP(Games!#REF!, Data!$B$2:$L$135, 8, FALSE)-VLOOKUP(Games!#REF!, Data!$B$2:$L$135, 8, FALSE))*Coefficients!$H$2</f>
        <v>#REF!</v>
      </c>
      <c r="I277" t="e">
        <f>(VLOOKUP(Games!#REF!, Data!$B$2:$L$135, 9, FALSE)-VLOOKUP(Games!#REF!, Data!$B$2:$L$135, 9, FALSE))*Coefficients!$I$2</f>
        <v>#REF!</v>
      </c>
      <c r="J277" t="e">
        <f>IF(ISBLANK(Data!K277), Games!#REF!-Games!#REF!,VLOOKUP(Games!#REF!, Data!$B$2:$L$135, 10, FALSE)-VLOOKUP(Games!#REF!, Data!$B$2:$L$135, 10, FALSE))*Coefficients!$J$2</f>
        <v>#REF!</v>
      </c>
      <c r="K277" t="e">
        <f>(IF(AND(VLOOKUP(Games!#REF!, Data!$B$2:$L$135, 11, FALSE)=1, VLOOKUP(Games!#REF!, Data!$B$2:$L$135, 11, FALSE)&lt;&gt;1), 1,0))*Coefficients!K$2</f>
        <v>#REF!</v>
      </c>
      <c r="L277" t="e">
        <f>(IF(AND(VLOOKUP(Games!#REF!, Data!$B$2:$L$135, 11, FALSE)&lt;&gt;1, VLOOKUP(Games!#REF!, Data!$B$2:$L$135, 11, FALSE)=1), 1,0))*Coefficients!L$2</f>
        <v>#REF!</v>
      </c>
      <c r="O277" t="e">
        <f t="shared" si="5"/>
        <v>#REF!</v>
      </c>
    </row>
    <row r="278">
      <c r="A278" t="n">
        <f>Coefficients!$A$2</f>
        <v>-3.7765953152866998</v>
      </c>
      <c r="B278" t="e">
        <f>(Games!#REF!)*(-1*Coefficients!$B$2)</f>
        <v>#REF!</v>
      </c>
      <c r="C278" t="e">
        <f>(VLOOKUP(Games!#REF!, Data!$B$2:$L$135, 4, FALSE)-VLOOKUP(Games!#REF!, Data!$B$2:$L$135, 4, FALSE))*Coefficients!$C$2</f>
        <v>#REF!</v>
      </c>
      <c r="D278" t="e">
        <f>(VLOOKUP(Games!#REF!, Data!$B$2:$L$135, 3, FALSE)-VLOOKUP(Games!#REF!, Data!$B$2:$L$135, 3, FALSE))*Coefficients!$D$2</f>
        <v>#REF!</v>
      </c>
      <c r="E278" t="e">
        <f>(VLOOKUP(Games!#REF!, Data!$B$2:$L$135, 5, FALSE)-VLOOKUP(Games!#REF!, Data!$B$2:$L$135, 5, FALSE))*Coefficients!$E$2</f>
        <v>#REF!</v>
      </c>
      <c r="F278" t="e">
        <f>(VLOOKUP(Games!#REF!, Data!$B$2:$L$135, 6, FALSE)-VLOOKUP(Games!#REF!, Data!$B$2:$L$135, 6, FALSE))*Coefficients!$F$2</f>
        <v>#REF!</v>
      </c>
      <c r="G278" t="e">
        <f>(VLOOKUP(Games!#REF!, Data!$B$2:$L$135, 7, FALSE)-VLOOKUP(Games!#REF!, Data!$B$2:$L$135, 7, FALSE))*Coefficients!$G$2</f>
        <v>#REF!</v>
      </c>
      <c r="H278" t="e">
        <f>(VLOOKUP(Games!#REF!, Data!$B$2:$L$135, 8, FALSE)-VLOOKUP(Games!#REF!, Data!$B$2:$L$135, 8, FALSE))*Coefficients!$H$2</f>
        <v>#REF!</v>
      </c>
      <c r="I278" t="e">
        <f>(VLOOKUP(Games!#REF!, Data!$B$2:$L$135, 9, FALSE)-VLOOKUP(Games!#REF!, Data!$B$2:$L$135, 9, FALSE))*Coefficients!$I$2</f>
        <v>#REF!</v>
      </c>
      <c r="J278" t="e">
        <f>IF(ISBLANK(Data!K278), Games!#REF!-Games!#REF!,VLOOKUP(Games!#REF!, Data!$B$2:$L$135, 10, FALSE)-VLOOKUP(Games!#REF!, Data!$B$2:$L$135, 10, FALSE))*Coefficients!$J$2</f>
        <v>#REF!</v>
      </c>
      <c r="K278" t="e">
        <f>(IF(AND(VLOOKUP(Games!#REF!, Data!$B$2:$L$135, 11, FALSE)=1, VLOOKUP(Games!#REF!, Data!$B$2:$L$135, 11, FALSE)&lt;&gt;1), 1,0))*Coefficients!K$2</f>
        <v>#REF!</v>
      </c>
      <c r="L278" t="e">
        <f>(IF(AND(VLOOKUP(Games!#REF!, Data!$B$2:$L$135, 11, FALSE)&lt;&gt;1, VLOOKUP(Games!#REF!, Data!$B$2:$L$135, 11, FALSE)=1), 1,0))*Coefficients!L$2</f>
        <v>#REF!</v>
      </c>
      <c r="O278" t="e">
        <f t="shared" si="5"/>
        <v>#REF!</v>
      </c>
    </row>
    <row r="279">
      <c r="A279" t="n">
        <f>Coefficients!$A$2</f>
        <v>-3.7765953152866998</v>
      </c>
      <c r="B279" t="e">
        <f>(Games!#REF!)*(-1*Coefficients!$B$2)</f>
        <v>#REF!</v>
      </c>
      <c r="C279" t="e">
        <f>(VLOOKUP(Games!#REF!, Data!$B$2:$L$135, 4, FALSE)-VLOOKUP(Games!#REF!, Data!$B$2:$L$135, 4, FALSE))*Coefficients!$C$2</f>
        <v>#REF!</v>
      </c>
      <c r="D279" t="e">
        <f>(VLOOKUP(Games!#REF!, Data!$B$2:$L$135, 3, FALSE)-VLOOKUP(Games!#REF!, Data!$B$2:$L$135, 3, FALSE))*Coefficients!$D$2</f>
        <v>#REF!</v>
      </c>
      <c r="E279" t="e">
        <f>(VLOOKUP(Games!#REF!, Data!$B$2:$L$135, 5, FALSE)-VLOOKUP(Games!#REF!, Data!$B$2:$L$135, 5, FALSE))*Coefficients!$E$2</f>
        <v>#REF!</v>
      </c>
      <c r="F279" t="e">
        <f>(VLOOKUP(Games!#REF!, Data!$B$2:$L$135, 6, FALSE)-VLOOKUP(Games!#REF!, Data!$B$2:$L$135, 6, FALSE))*Coefficients!$F$2</f>
        <v>#REF!</v>
      </c>
      <c r="G279" t="e">
        <f>(VLOOKUP(Games!#REF!, Data!$B$2:$L$135, 7, FALSE)-VLOOKUP(Games!#REF!, Data!$B$2:$L$135, 7, FALSE))*Coefficients!$G$2</f>
        <v>#REF!</v>
      </c>
      <c r="H279" t="e">
        <f>(VLOOKUP(Games!#REF!, Data!$B$2:$L$135, 8, FALSE)-VLOOKUP(Games!#REF!, Data!$B$2:$L$135, 8, FALSE))*Coefficients!$H$2</f>
        <v>#REF!</v>
      </c>
      <c r="I279" t="e">
        <f>(VLOOKUP(Games!#REF!, Data!$B$2:$L$135, 9, FALSE)-VLOOKUP(Games!#REF!, Data!$B$2:$L$135, 9, FALSE))*Coefficients!$I$2</f>
        <v>#REF!</v>
      </c>
      <c r="J279" t="e">
        <f>IF(ISBLANK(Data!K279), Games!#REF!-Games!#REF!,VLOOKUP(Games!#REF!, Data!$B$2:$L$135, 10, FALSE)-VLOOKUP(Games!#REF!, Data!$B$2:$L$135, 10, FALSE))*Coefficients!$J$2</f>
        <v>#REF!</v>
      </c>
      <c r="K279" t="e">
        <f>(IF(AND(VLOOKUP(Games!#REF!, Data!$B$2:$L$135, 11, FALSE)=1, VLOOKUP(Games!#REF!, Data!$B$2:$L$135, 11, FALSE)&lt;&gt;1), 1,0))*Coefficients!K$2</f>
        <v>#REF!</v>
      </c>
      <c r="L279" t="e">
        <f>(IF(AND(VLOOKUP(Games!#REF!, Data!$B$2:$L$135, 11, FALSE)&lt;&gt;1, VLOOKUP(Games!#REF!, Data!$B$2:$L$135, 11, FALSE)=1), 1,0))*Coefficients!L$2</f>
        <v>#REF!</v>
      </c>
      <c r="O279" t="e">
        <f t="shared" si="5"/>
        <v>#REF!</v>
      </c>
    </row>
    <row r="280">
      <c r="A280" t="n">
        <f>Coefficients!$A$2</f>
        <v>-3.7765953152866998</v>
      </c>
      <c r="B280" t="e">
        <f>(Games!#REF!)*(-1*Coefficients!$B$2)</f>
        <v>#REF!</v>
      </c>
      <c r="C280" t="e">
        <f>(VLOOKUP(Games!#REF!, Data!$B$2:$L$135, 4, FALSE)-VLOOKUP(Games!#REF!, Data!$B$2:$L$135, 4, FALSE))*Coefficients!$C$2</f>
        <v>#REF!</v>
      </c>
      <c r="D280" t="e">
        <f>(VLOOKUP(Games!#REF!, Data!$B$2:$L$135, 3, FALSE)-VLOOKUP(Games!#REF!, Data!$B$2:$L$135, 3, FALSE))*Coefficients!$D$2</f>
        <v>#REF!</v>
      </c>
      <c r="E280" t="e">
        <f>(VLOOKUP(Games!#REF!, Data!$B$2:$L$135, 5, FALSE)-VLOOKUP(Games!#REF!, Data!$B$2:$L$135, 5, FALSE))*Coefficients!$E$2</f>
        <v>#REF!</v>
      </c>
      <c r="F280" t="e">
        <f>(VLOOKUP(Games!#REF!, Data!$B$2:$L$135, 6, FALSE)-VLOOKUP(Games!#REF!, Data!$B$2:$L$135, 6, FALSE))*Coefficients!$F$2</f>
        <v>#REF!</v>
      </c>
      <c r="G280" t="e">
        <f>(VLOOKUP(Games!#REF!, Data!$B$2:$L$135, 7, FALSE)-VLOOKUP(Games!#REF!, Data!$B$2:$L$135, 7, FALSE))*Coefficients!$G$2</f>
        <v>#REF!</v>
      </c>
      <c r="H280" t="e">
        <f>(VLOOKUP(Games!#REF!, Data!$B$2:$L$135, 8, FALSE)-VLOOKUP(Games!#REF!, Data!$B$2:$L$135, 8, FALSE))*Coefficients!$H$2</f>
        <v>#REF!</v>
      </c>
      <c r="I280" t="e">
        <f>(VLOOKUP(Games!#REF!, Data!$B$2:$L$135, 9, FALSE)-VLOOKUP(Games!#REF!, Data!$B$2:$L$135, 9, FALSE))*Coefficients!$I$2</f>
        <v>#REF!</v>
      </c>
      <c r="J280" t="e">
        <f>IF(ISBLANK(Data!K280), Games!#REF!-Games!#REF!,VLOOKUP(Games!#REF!, Data!$B$2:$L$135, 10, FALSE)-VLOOKUP(Games!#REF!, Data!$B$2:$L$135, 10, FALSE))*Coefficients!$J$2</f>
        <v>#REF!</v>
      </c>
      <c r="K280" t="e">
        <f>(IF(AND(VLOOKUP(Games!#REF!, Data!$B$2:$L$135, 11, FALSE)=1, VLOOKUP(Games!#REF!, Data!$B$2:$L$135, 11, FALSE)&lt;&gt;1), 1,0))*Coefficients!K$2</f>
        <v>#REF!</v>
      </c>
      <c r="L280" t="e">
        <f>(IF(AND(VLOOKUP(Games!#REF!, Data!$B$2:$L$135, 11, FALSE)&lt;&gt;1, VLOOKUP(Games!#REF!, Data!$B$2:$L$135, 11, FALSE)=1), 1,0))*Coefficients!L$2</f>
        <v>#REF!</v>
      </c>
      <c r="O280" t="e">
        <f t="shared" si="5"/>
        <v>#REF!</v>
      </c>
    </row>
    <row r="281">
      <c r="A281" t="n">
        <f>Coefficients!$A$2</f>
        <v>-3.7765953152866998</v>
      </c>
      <c r="B281" t="e">
        <f>(Games!#REF!)*(-1*Coefficients!$B$2)</f>
        <v>#REF!</v>
      </c>
      <c r="C281" t="e">
        <f>(VLOOKUP(Games!#REF!, Data!$B$2:$L$135, 4, FALSE)-VLOOKUP(Games!#REF!, Data!$B$2:$L$135, 4, FALSE))*Coefficients!$C$2</f>
        <v>#REF!</v>
      </c>
      <c r="D281" t="e">
        <f>(VLOOKUP(Games!#REF!, Data!$B$2:$L$135, 3, FALSE)-VLOOKUP(Games!#REF!, Data!$B$2:$L$135, 3, FALSE))*Coefficients!$D$2</f>
        <v>#REF!</v>
      </c>
      <c r="E281" t="e">
        <f>(VLOOKUP(Games!#REF!, Data!$B$2:$L$135, 5, FALSE)-VLOOKUP(Games!#REF!, Data!$B$2:$L$135, 5, FALSE))*Coefficients!$E$2</f>
        <v>#REF!</v>
      </c>
      <c r="F281" t="e">
        <f>(VLOOKUP(Games!#REF!, Data!$B$2:$L$135, 6, FALSE)-VLOOKUP(Games!#REF!, Data!$B$2:$L$135, 6, FALSE))*Coefficients!$F$2</f>
        <v>#REF!</v>
      </c>
      <c r="G281" t="e">
        <f>(VLOOKUP(Games!#REF!, Data!$B$2:$L$135, 7, FALSE)-VLOOKUP(Games!#REF!, Data!$B$2:$L$135, 7, FALSE))*Coefficients!$G$2</f>
        <v>#REF!</v>
      </c>
      <c r="H281" t="e">
        <f>(VLOOKUP(Games!#REF!, Data!$B$2:$L$135, 8, FALSE)-VLOOKUP(Games!#REF!, Data!$B$2:$L$135, 8, FALSE))*Coefficients!$H$2</f>
        <v>#REF!</v>
      </c>
      <c r="I281" t="e">
        <f>(VLOOKUP(Games!#REF!, Data!$B$2:$L$135, 9, FALSE)-VLOOKUP(Games!#REF!, Data!$B$2:$L$135, 9, FALSE))*Coefficients!$I$2</f>
        <v>#REF!</v>
      </c>
      <c r="J281" t="e">
        <f>IF(ISBLANK(Data!K281), Games!#REF!-Games!#REF!,VLOOKUP(Games!#REF!, Data!$B$2:$L$135, 10, FALSE)-VLOOKUP(Games!#REF!, Data!$B$2:$L$135, 10, FALSE))*Coefficients!$J$2</f>
        <v>#REF!</v>
      </c>
      <c r="K281" t="e">
        <f>(IF(AND(VLOOKUP(Games!#REF!, Data!$B$2:$L$135, 11, FALSE)=1, VLOOKUP(Games!#REF!, Data!$B$2:$L$135, 11, FALSE)&lt;&gt;1), 1,0))*Coefficients!K$2</f>
        <v>#REF!</v>
      </c>
      <c r="L281" t="e">
        <f>(IF(AND(VLOOKUP(Games!#REF!, Data!$B$2:$L$135, 11, FALSE)&lt;&gt;1, VLOOKUP(Games!#REF!, Data!$B$2:$L$135, 11, FALSE)=1), 1,0))*Coefficients!L$2</f>
        <v>#REF!</v>
      </c>
      <c r="O281" t="e">
        <f t="shared" si="5"/>
        <v>#REF!</v>
      </c>
    </row>
    <row r="282">
      <c r="A282" t="n">
        <f>Coefficients!$A$2</f>
        <v>-3.7765953152866998</v>
      </c>
      <c r="B282" t="e">
        <f>(Games!#REF!)*(-1*Coefficients!$B$2)</f>
        <v>#REF!</v>
      </c>
      <c r="C282" t="e">
        <f>(VLOOKUP(Games!#REF!, Data!$B$2:$L$135, 4, FALSE)-VLOOKUP(Games!#REF!, Data!$B$2:$L$135, 4, FALSE))*Coefficients!$C$2</f>
        <v>#REF!</v>
      </c>
      <c r="D282" t="e">
        <f>(VLOOKUP(Games!#REF!, Data!$B$2:$L$135, 3, FALSE)-VLOOKUP(Games!#REF!, Data!$B$2:$L$135, 3, FALSE))*Coefficients!$D$2</f>
        <v>#REF!</v>
      </c>
      <c r="E282" t="e">
        <f>(VLOOKUP(Games!#REF!, Data!$B$2:$L$135, 5, FALSE)-VLOOKUP(Games!#REF!, Data!$B$2:$L$135, 5, FALSE))*Coefficients!$E$2</f>
        <v>#REF!</v>
      </c>
      <c r="F282" t="e">
        <f>(VLOOKUP(Games!#REF!, Data!$B$2:$L$135, 6, FALSE)-VLOOKUP(Games!#REF!, Data!$B$2:$L$135, 6, FALSE))*Coefficients!$F$2</f>
        <v>#REF!</v>
      </c>
      <c r="G282" t="e">
        <f>(VLOOKUP(Games!#REF!, Data!$B$2:$L$135, 7, FALSE)-VLOOKUP(Games!#REF!, Data!$B$2:$L$135, 7, FALSE))*Coefficients!$G$2</f>
        <v>#REF!</v>
      </c>
      <c r="H282" t="e">
        <f>(VLOOKUP(Games!#REF!, Data!$B$2:$L$135, 8, FALSE)-VLOOKUP(Games!#REF!, Data!$B$2:$L$135, 8, FALSE))*Coefficients!$H$2</f>
        <v>#REF!</v>
      </c>
      <c r="I282" t="e">
        <f>(VLOOKUP(Games!#REF!, Data!$B$2:$L$135, 9, FALSE)-VLOOKUP(Games!#REF!, Data!$B$2:$L$135, 9, FALSE))*Coefficients!$I$2</f>
        <v>#REF!</v>
      </c>
      <c r="J282" t="e">
        <f>IF(ISBLANK(Data!K282), Games!#REF!-Games!#REF!,VLOOKUP(Games!#REF!, Data!$B$2:$L$135, 10, FALSE)-VLOOKUP(Games!#REF!, Data!$B$2:$L$135, 10, FALSE))*Coefficients!$J$2</f>
        <v>#REF!</v>
      </c>
      <c r="K282" t="e">
        <f>(IF(AND(VLOOKUP(Games!#REF!, Data!$B$2:$L$135, 11, FALSE)=1, VLOOKUP(Games!#REF!, Data!$B$2:$L$135, 11, FALSE)&lt;&gt;1), 1,0))*Coefficients!K$2</f>
        <v>#REF!</v>
      </c>
      <c r="L282" t="e">
        <f>(IF(AND(VLOOKUP(Games!#REF!, Data!$B$2:$L$135, 11, FALSE)&lt;&gt;1, VLOOKUP(Games!#REF!, Data!$B$2:$L$135, 11, FALSE)=1), 1,0))*Coefficients!L$2</f>
        <v>#REF!</v>
      </c>
      <c r="O282" t="e">
        <f t="shared" si="5"/>
        <v>#REF!</v>
      </c>
    </row>
    <row r="283">
      <c r="A283" t="n">
        <f>Coefficients!$A$2</f>
        <v>-3.7765953152866998</v>
      </c>
      <c r="B283" t="e">
        <f>(Games!#REF!)*(-1*Coefficients!$B$2)</f>
        <v>#REF!</v>
      </c>
      <c r="C283" t="e">
        <f>(VLOOKUP(Games!#REF!, Data!$B$2:$L$135, 4, FALSE)-VLOOKUP(Games!#REF!, Data!$B$2:$L$135, 4, FALSE))*Coefficients!$C$2</f>
        <v>#REF!</v>
      </c>
      <c r="D283" t="e">
        <f>(VLOOKUP(Games!#REF!, Data!$B$2:$L$135, 3, FALSE)-VLOOKUP(Games!#REF!, Data!$B$2:$L$135, 3, FALSE))*Coefficients!$D$2</f>
        <v>#REF!</v>
      </c>
      <c r="E283" t="e">
        <f>(VLOOKUP(Games!#REF!, Data!$B$2:$L$135, 5, FALSE)-VLOOKUP(Games!#REF!, Data!$B$2:$L$135, 5, FALSE))*Coefficients!$E$2</f>
        <v>#REF!</v>
      </c>
      <c r="F283" t="e">
        <f>(VLOOKUP(Games!#REF!, Data!$B$2:$L$135, 6, FALSE)-VLOOKUP(Games!#REF!, Data!$B$2:$L$135, 6, FALSE))*Coefficients!$F$2</f>
        <v>#REF!</v>
      </c>
      <c r="G283" t="e">
        <f>(VLOOKUP(Games!#REF!, Data!$B$2:$L$135, 7, FALSE)-VLOOKUP(Games!#REF!, Data!$B$2:$L$135, 7, FALSE))*Coefficients!$G$2</f>
        <v>#REF!</v>
      </c>
      <c r="H283" t="e">
        <f>(VLOOKUP(Games!#REF!, Data!$B$2:$L$135, 8, FALSE)-VLOOKUP(Games!#REF!, Data!$B$2:$L$135, 8, FALSE))*Coefficients!$H$2</f>
        <v>#REF!</v>
      </c>
      <c r="I283" t="e">
        <f>(VLOOKUP(Games!#REF!, Data!$B$2:$L$135, 9, FALSE)-VLOOKUP(Games!#REF!, Data!$B$2:$L$135, 9, FALSE))*Coefficients!$I$2</f>
        <v>#REF!</v>
      </c>
      <c r="J283" t="e">
        <f>IF(ISBLANK(Data!K283), Games!#REF!-Games!#REF!,VLOOKUP(Games!#REF!, Data!$B$2:$L$135, 10, FALSE)-VLOOKUP(Games!#REF!, Data!$B$2:$L$135, 10, FALSE))*Coefficients!$J$2</f>
        <v>#REF!</v>
      </c>
      <c r="K283" t="e">
        <f>(IF(AND(VLOOKUP(Games!#REF!, Data!$B$2:$L$135, 11, FALSE)=1, VLOOKUP(Games!#REF!, Data!$B$2:$L$135, 11, FALSE)&lt;&gt;1), 1,0))*Coefficients!K$2</f>
        <v>#REF!</v>
      </c>
      <c r="L283" t="e">
        <f>(IF(AND(VLOOKUP(Games!#REF!, Data!$B$2:$L$135, 11, FALSE)&lt;&gt;1, VLOOKUP(Games!#REF!, Data!$B$2:$L$135, 11, FALSE)=1), 1,0))*Coefficients!L$2</f>
        <v>#REF!</v>
      </c>
      <c r="O283" t="e">
        <f t="shared" si="5"/>
        <v>#REF!</v>
      </c>
    </row>
    <row r="284">
      <c r="A284" t="n">
        <f>Coefficients!$A$2</f>
        <v>-3.7765953152866998</v>
      </c>
      <c r="B284" t="e">
        <f>(Games!#REF!)*(-1*Coefficients!$B$2)</f>
        <v>#REF!</v>
      </c>
      <c r="C284" t="e">
        <f>(VLOOKUP(Games!#REF!, Data!$B$2:$L$135, 4, FALSE)-VLOOKUP(Games!#REF!, Data!$B$2:$L$135, 4, FALSE))*Coefficients!$C$2</f>
        <v>#REF!</v>
      </c>
      <c r="D284" t="e">
        <f>(VLOOKUP(Games!#REF!, Data!$B$2:$L$135, 3, FALSE)-VLOOKUP(Games!#REF!, Data!$B$2:$L$135, 3, FALSE))*Coefficients!$D$2</f>
        <v>#REF!</v>
      </c>
      <c r="E284" t="e">
        <f>(VLOOKUP(Games!#REF!, Data!$B$2:$L$135, 5, FALSE)-VLOOKUP(Games!#REF!, Data!$B$2:$L$135, 5, FALSE))*Coefficients!$E$2</f>
        <v>#REF!</v>
      </c>
      <c r="F284" t="e">
        <f>(VLOOKUP(Games!#REF!, Data!$B$2:$L$135, 6, FALSE)-VLOOKUP(Games!#REF!, Data!$B$2:$L$135, 6, FALSE))*Coefficients!$F$2</f>
        <v>#REF!</v>
      </c>
      <c r="G284" t="e">
        <f>(VLOOKUP(Games!#REF!, Data!$B$2:$L$135, 7, FALSE)-VLOOKUP(Games!#REF!, Data!$B$2:$L$135, 7, FALSE))*Coefficients!$G$2</f>
        <v>#REF!</v>
      </c>
      <c r="H284" t="e">
        <f>(VLOOKUP(Games!#REF!, Data!$B$2:$L$135, 8, FALSE)-VLOOKUP(Games!#REF!, Data!$B$2:$L$135, 8, FALSE))*Coefficients!$H$2</f>
        <v>#REF!</v>
      </c>
      <c r="I284" t="e">
        <f>(VLOOKUP(Games!#REF!, Data!$B$2:$L$135, 9, FALSE)-VLOOKUP(Games!#REF!, Data!$B$2:$L$135, 9, FALSE))*Coefficients!$I$2</f>
        <v>#REF!</v>
      </c>
      <c r="J284" t="e">
        <f>IF(ISBLANK(Data!K284), Games!#REF!-Games!#REF!,VLOOKUP(Games!#REF!, Data!$B$2:$L$135, 10, FALSE)-VLOOKUP(Games!#REF!, Data!$B$2:$L$135, 10, FALSE))*Coefficients!$J$2</f>
        <v>#REF!</v>
      </c>
      <c r="K284" t="e">
        <f>(IF(AND(VLOOKUP(Games!#REF!, Data!$B$2:$L$135, 11, FALSE)=1, VLOOKUP(Games!#REF!, Data!$B$2:$L$135, 11, FALSE)&lt;&gt;1), 1,0))*Coefficients!K$2</f>
        <v>#REF!</v>
      </c>
      <c r="L284" t="e">
        <f>(IF(AND(VLOOKUP(Games!#REF!, Data!$B$2:$L$135, 11, FALSE)&lt;&gt;1, VLOOKUP(Games!#REF!, Data!$B$2:$L$135, 11, FALSE)=1), 1,0))*Coefficients!L$2</f>
        <v>#REF!</v>
      </c>
      <c r="O284" t="e">
        <f t="shared" si="5"/>
        <v>#REF!</v>
      </c>
    </row>
    <row r="285">
      <c r="A285" t="n">
        <f>Coefficients!$A$2</f>
        <v>-3.7765953152866998</v>
      </c>
      <c r="B285" t="e">
        <f>(Games!#REF!)*(-1*Coefficients!$B$2)</f>
        <v>#REF!</v>
      </c>
      <c r="C285" t="e">
        <f>(VLOOKUP(Games!#REF!, Data!$B$2:$L$135, 4, FALSE)-VLOOKUP(Games!#REF!, Data!$B$2:$L$135, 4, FALSE))*Coefficients!$C$2</f>
        <v>#REF!</v>
      </c>
      <c r="D285" t="e">
        <f>(VLOOKUP(Games!#REF!, Data!$B$2:$L$135, 3, FALSE)-VLOOKUP(Games!#REF!, Data!$B$2:$L$135, 3, FALSE))*Coefficients!$D$2</f>
        <v>#REF!</v>
      </c>
      <c r="E285" t="e">
        <f>(VLOOKUP(Games!#REF!, Data!$B$2:$L$135, 5, FALSE)-VLOOKUP(Games!#REF!, Data!$B$2:$L$135, 5, FALSE))*Coefficients!$E$2</f>
        <v>#REF!</v>
      </c>
      <c r="F285" t="e">
        <f>(VLOOKUP(Games!#REF!, Data!$B$2:$L$135, 6, FALSE)-VLOOKUP(Games!#REF!, Data!$B$2:$L$135, 6, FALSE))*Coefficients!$F$2</f>
        <v>#REF!</v>
      </c>
      <c r="G285" t="e">
        <f>(VLOOKUP(Games!#REF!, Data!$B$2:$L$135, 7, FALSE)-VLOOKUP(Games!#REF!, Data!$B$2:$L$135, 7, FALSE))*Coefficients!$G$2</f>
        <v>#REF!</v>
      </c>
      <c r="H285" t="e">
        <f>(VLOOKUP(Games!#REF!, Data!$B$2:$L$135, 8, FALSE)-VLOOKUP(Games!#REF!, Data!$B$2:$L$135, 8, FALSE))*Coefficients!$H$2</f>
        <v>#REF!</v>
      </c>
      <c r="I285" t="e">
        <f>(VLOOKUP(Games!#REF!, Data!$B$2:$L$135, 9, FALSE)-VLOOKUP(Games!#REF!, Data!$B$2:$L$135, 9, FALSE))*Coefficients!$I$2</f>
        <v>#REF!</v>
      </c>
      <c r="J285" t="e">
        <f>IF(ISBLANK(Data!K285), Games!#REF!-Games!#REF!,VLOOKUP(Games!#REF!, Data!$B$2:$L$135, 10, FALSE)-VLOOKUP(Games!#REF!, Data!$B$2:$L$135, 10, FALSE))*Coefficients!$J$2</f>
        <v>#REF!</v>
      </c>
      <c r="K285" t="e">
        <f>(IF(AND(VLOOKUP(Games!#REF!, Data!$B$2:$L$135, 11, FALSE)=1, VLOOKUP(Games!#REF!, Data!$B$2:$L$135, 11, FALSE)&lt;&gt;1), 1,0))*Coefficients!K$2</f>
        <v>#REF!</v>
      </c>
      <c r="L285" t="e">
        <f>(IF(AND(VLOOKUP(Games!#REF!, Data!$B$2:$L$135, 11, FALSE)&lt;&gt;1, VLOOKUP(Games!#REF!, Data!$B$2:$L$135, 11, FALSE)=1), 1,0))*Coefficients!L$2</f>
        <v>#REF!</v>
      </c>
      <c r="O285" t="e">
        <f t="shared" si="5"/>
        <v>#REF!</v>
      </c>
    </row>
    <row r="286">
      <c r="A286" t="n">
        <f>Coefficients!$A$2</f>
        <v>-3.7765953152866998</v>
      </c>
      <c r="B286" t="e">
        <f>(Games!#REF!)*(-1*Coefficients!$B$2)</f>
        <v>#REF!</v>
      </c>
      <c r="C286" t="e">
        <f>(VLOOKUP(Games!#REF!, Data!$B$2:$L$135, 4, FALSE)-VLOOKUP(Games!#REF!, Data!$B$2:$L$135, 4, FALSE))*Coefficients!$C$2</f>
        <v>#REF!</v>
      </c>
      <c r="D286" t="e">
        <f>(VLOOKUP(Games!#REF!, Data!$B$2:$L$135, 3, FALSE)-VLOOKUP(Games!#REF!, Data!$B$2:$L$135, 3, FALSE))*Coefficients!$D$2</f>
        <v>#REF!</v>
      </c>
      <c r="E286" t="e">
        <f>(VLOOKUP(Games!#REF!, Data!$B$2:$L$135, 5, FALSE)-VLOOKUP(Games!#REF!, Data!$B$2:$L$135, 5, FALSE))*Coefficients!$E$2</f>
        <v>#REF!</v>
      </c>
      <c r="F286" t="e">
        <f>(VLOOKUP(Games!#REF!, Data!$B$2:$L$135, 6, FALSE)-VLOOKUP(Games!#REF!, Data!$B$2:$L$135, 6, FALSE))*Coefficients!$F$2</f>
        <v>#REF!</v>
      </c>
      <c r="G286" t="e">
        <f>(VLOOKUP(Games!#REF!, Data!$B$2:$L$135, 7, FALSE)-VLOOKUP(Games!#REF!, Data!$B$2:$L$135, 7, FALSE))*Coefficients!$G$2</f>
        <v>#REF!</v>
      </c>
      <c r="H286" t="e">
        <f>(VLOOKUP(Games!#REF!, Data!$B$2:$L$135, 8, FALSE)-VLOOKUP(Games!#REF!, Data!$B$2:$L$135, 8, FALSE))*Coefficients!$H$2</f>
        <v>#REF!</v>
      </c>
      <c r="I286" t="e">
        <f>(VLOOKUP(Games!#REF!, Data!$B$2:$L$135, 9, FALSE)-VLOOKUP(Games!#REF!, Data!$B$2:$L$135, 9, FALSE))*Coefficients!$I$2</f>
        <v>#REF!</v>
      </c>
      <c r="J286" t="e">
        <f>IF(ISBLANK(Data!K286), Games!#REF!-Games!#REF!,VLOOKUP(Games!#REF!, Data!$B$2:$L$135, 10, FALSE)-VLOOKUP(Games!#REF!, Data!$B$2:$L$135, 10, FALSE))*Coefficients!$J$2</f>
        <v>#REF!</v>
      </c>
      <c r="K286" t="e">
        <f>(IF(AND(VLOOKUP(Games!#REF!, Data!$B$2:$L$135, 11, FALSE)=1, VLOOKUP(Games!#REF!, Data!$B$2:$L$135, 11, FALSE)&lt;&gt;1), 1,0))*Coefficients!K$2</f>
        <v>#REF!</v>
      </c>
      <c r="L286" t="e">
        <f>(IF(AND(VLOOKUP(Games!#REF!, Data!$B$2:$L$135, 11, FALSE)&lt;&gt;1, VLOOKUP(Games!#REF!, Data!$B$2:$L$135, 11, FALSE)=1), 1,0))*Coefficients!L$2</f>
        <v>#REF!</v>
      </c>
      <c r="O286" t="e">
        <f t="shared" si="5"/>
        <v>#REF!</v>
      </c>
    </row>
    <row r="287">
      <c r="A287" t="n">
        <f>Coefficients!$A$2</f>
        <v>-3.7765953152866998</v>
      </c>
      <c r="B287" t="e">
        <f>(Games!#REF!)*(-1*Coefficients!$B$2)</f>
        <v>#REF!</v>
      </c>
      <c r="C287" t="e">
        <f>(VLOOKUP(Games!#REF!, Data!$B$2:$L$135, 4, FALSE)-VLOOKUP(Games!#REF!, Data!$B$2:$L$135, 4, FALSE))*Coefficients!$C$2</f>
        <v>#REF!</v>
      </c>
      <c r="D287" t="e">
        <f>(VLOOKUP(Games!#REF!, Data!$B$2:$L$135, 3, FALSE)-VLOOKUP(Games!#REF!, Data!$B$2:$L$135, 3, FALSE))*Coefficients!$D$2</f>
        <v>#REF!</v>
      </c>
      <c r="E287" t="e">
        <f>(VLOOKUP(Games!#REF!, Data!$B$2:$L$135, 5, FALSE)-VLOOKUP(Games!#REF!, Data!$B$2:$L$135, 5, FALSE))*Coefficients!$E$2</f>
        <v>#REF!</v>
      </c>
      <c r="F287" t="e">
        <f>(VLOOKUP(Games!#REF!, Data!$B$2:$L$135, 6, FALSE)-VLOOKUP(Games!#REF!, Data!$B$2:$L$135, 6, FALSE))*Coefficients!$F$2</f>
        <v>#REF!</v>
      </c>
      <c r="G287" t="e">
        <f>(VLOOKUP(Games!#REF!, Data!$B$2:$L$135, 7, FALSE)-VLOOKUP(Games!#REF!, Data!$B$2:$L$135, 7, FALSE))*Coefficients!$G$2</f>
        <v>#REF!</v>
      </c>
      <c r="H287" t="e">
        <f>(VLOOKUP(Games!#REF!, Data!$B$2:$L$135, 8, FALSE)-VLOOKUP(Games!#REF!, Data!$B$2:$L$135, 8, FALSE))*Coefficients!$H$2</f>
        <v>#REF!</v>
      </c>
      <c r="I287" t="e">
        <f>(VLOOKUP(Games!#REF!, Data!$B$2:$L$135, 9, FALSE)-VLOOKUP(Games!#REF!, Data!$B$2:$L$135, 9, FALSE))*Coefficients!$I$2</f>
        <v>#REF!</v>
      </c>
      <c r="J287" t="e">
        <f>IF(ISBLANK(Data!K287), Games!#REF!-Games!#REF!,VLOOKUP(Games!#REF!, Data!$B$2:$L$135, 10, FALSE)-VLOOKUP(Games!#REF!, Data!$B$2:$L$135, 10, FALSE))*Coefficients!$J$2</f>
        <v>#REF!</v>
      </c>
      <c r="K287" t="e">
        <f>(IF(AND(VLOOKUP(Games!#REF!, Data!$B$2:$L$135, 11, FALSE)=1, VLOOKUP(Games!#REF!, Data!$B$2:$L$135, 11, FALSE)&lt;&gt;1), 1,0))*Coefficients!K$2</f>
        <v>#REF!</v>
      </c>
      <c r="L287" t="e">
        <f>(IF(AND(VLOOKUP(Games!#REF!, Data!$B$2:$L$135, 11, FALSE)&lt;&gt;1, VLOOKUP(Games!#REF!, Data!$B$2:$L$135, 11, FALSE)=1), 1,0))*Coefficients!L$2</f>
        <v>#REF!</v>
      </c>
      <c r="O287" t="e">
        <f t="shared" si="5"/>
        <v>#REF!</v>
      </c>
    </row>
    <row r="288">
      <c r="A288" t="n">
        <f>Coefficients!$A$2</f>
        <v>-3.7765953152866998</v>
      </c>
      <c r="B288" t="e">
        <f>(Games!#REF!)*(-1*Coefficients!$B$2)</f>
        <v>#REF!</v>
      </c>
      <c r="C288" t="e">
        <f>(VLOOKUP(Games!#REF!, Data!$B$2:$L$135, 4, FALSE)-VLOOKUP(Games!#REF!, Data!$B$2:$L$135, 4, FALSE))*Coefficients!$C$2</f>
        <v>#REF!</v>
      </c>
      <c r="D288" t="e">
        <f>(VLOOKUP(Games!#REF!, Data!$B$2:$L$135, 3, FALSE)-VLOOKUP(Games!#REF!, Data!$B$2:$L$135, 3, FALSE))*Coefficients!$D$2</f>
        <v>#REF!</v>
      </c>
      <c r="E288" t="e">
        <f>(VLOOKUP(Games!#REF!, Data!$B$2:$L$135, 5, FALSE)-VLOOKUP(Games!#REF!, Data!$B$2:$L$135, 5, FALSE))*Coefficients!$E$2</f>
        <v>#REF!</v>
      </c>
      <c r="F288" t="e">
        <f>(VLOOKUP(Games!#REF!, Data!$B$2:$L$135, 6, FALSE)-VLOOKUP(Games!#REF!, Data!$B$2:$L$135, 6, FALSE))*Coefficients!$F$2</f>
        <v>#REF!</v>
      </c>
      <c r="G288" t="e">
        <f>(VLOOKUP(Games!#REF!, Data!$B$2:$L$135, 7, FALSE)-VLOOKUP(Games!#REF!, Data!$B$2:$L$135, 7, FALSE))*Coefficients!$G$2</f>
        <v>#REF!</v>
      </c>
      <c r="H288" t="e">
        <f>(VLOOKUP(Games!#REF!, Data!$B$2:$L$135, 8, FALSE)-VLOOKUP(Games!#REF!, Data!$B$2:$L$135, 8, FALSE))*Coefficients!$H$2</f>
        <v>#REF!</v>
      </c>
      <c r="I288" t="e">
        <f>(VLOOKUP(Games!#REF!, Data!$B$2:$L$135, 9, FALSE)-VLOOKUP(Games!#REF!, Data!$B$2:$L$135, 9, FALSE))*Coefficients!$I$2</f>
        <v>#REF!</v>
      </c>
      <c r="J288" t="e">
        <f>IF(ISBLANK(Data!K288), Games!#REF!-Games!#REF!,VLOOKUP(Games!#REF!, Data!$B$2:$L$135, 10, FALSE)-VLOOKUP(Games!#REF!, Data!$B$2:$L$135, 10, FALSE))*Coefficients!$J$2</f>
        <v>#REF!</v>
      </c>
      <c r="K288" t="e">
        <f>(IF(AND(VLOOKUP(Games!#REF!, Data!$B$2:$L$135, 11, FALSE)=1, VLOOKUP(Games!#REF!, Data!$B$2:$L$135, 11, FALSE)&lt;&gt;1), 1,0))*Coefficients!K$2</f>
        <v>#REF!</v>
      </c>
      <c r="L288" t="e">
        <f>(IF(AND(VLOOKUP(Games!#REF!, Data!$B$2:$L$135, 11, FALSE)&lt;&gt;1, VLOOKUP(Games!#REF!, Data!$B$2:$L$135, 11, FALSE)=1), 1,0))*Coefficients!L$2</f>
        <v>#REF!</v>
      </c>
      <c r="O288" t="e">
        <f t="shared" si="5"/>
        <v>#REF!</v>
      </c>
    </row>
    <row r="289">
      <c r="A289" t="n">
        <f>Coefficients!$A$2</f>
        <v>-3.7765953152866998</v>
      </c>
      <c r="B289" t="e">
        <f>(Games!#REF!)*(-1*Coefficients!$B$2)</f>
        <v>#REF!</v>
      </c>
      <c r="C289" t="e">
        <f>(VLOOKUP(Games!#REF!, Data!$B$2:$L$135, 4, FALSE)-VLOOKUP(Games!#REF!, Data!$B$2:$L$135, 4, FALSE))*Coefficients!$C$2</f>
        <v>#REF!</v>
      </c>
      <c r="D289" t="e">
        <f>(VLOOKUP(Games!#REF!, Data!$B$2:$L$135, 3, FALSE)-VLOOKUP(Games!#REF!, Data!$B$2:$L$135, 3, FALSE))*Coefficients!$D$2</f>
        <v>#REF!</v>
      </c>
      <c r="E289" t="e">
        <f>(VLOOKUP(Games!#REF!, Data!$B$2:$L$135, 5, FALSE)-VLOOKUP(Games!#REF!, Data!$B$2:$L$135, 5, FALSE))*Coefficients!$E$2</f>
        <v>#REF!</v>
      </c>
      <c r="F289" t="e">
        <f>(VLOOKUP(Games!#REF!, Data!$B$2:$L$135, 6, FALSE)-VLOOKUP(Games!#REF!, Data!$B$2:$L$135, 6, FALSE))*Coefficients!$F$2</f>
        <v>#REF!</v>
      </c>
      <c r="G289" t="e">
        <f>(VLOOKUP(Games!#REF!, Data!$B$2:$L$135, 7, FALSE)-VLOOKUP(Games!#REF!, Data!$B$2:$L$135, 7, FALSE))*Coefficients!$G$2</f>
        <v>#REF!</v>
      </c>
      <c r="H289" t="e">
        <f>(VLOOKUP(Games!#REF!, Data!$B$2:$L$135, 8, FALSE)-VLOOKUP(Games!#REF!, Data!$B$2:$L$135, 8, FALSE))*Coefficients!$H$2</f>
        <v>#REF!</v>
      </c>
      <c r="I289" t="e">
        <f>(VLOOKUP(Games!#REF!, Data!$B$2:$L$135, 9, FALSE)-VLOOKUP(Games!#REF!, Data!$B$2:$L$135, 9, FALSE))*Coefficients!$I$2</f>
        <v>#REF!</v>
      </c>
      <c r="J289" t="e">
        <f>IF(ISBLANK(Data!K289), Games!#REF!-Games!#REF!,VLOOKUP(Games!#REF!, Data!$B$2:$L$135, 10, FALSE)-VLOOKUP(Games!#REF!, Data!$B$2:$L$135, 10, FALSE))*Coefficients!$J$2</f>
        <v>#REF!</v>
      </c>
      <c r="K289" t="e">
        <f>(IF(AND(VLOOKUP(Games!#REF!, Data!$B$2:$L$135, 11, FALSE)=1, VLOOKUP(Games!#REF!, Data!$B$2:$L$135, 11, FALSE)&lt;&gt;1), 1,0))*Coefficients!K$2</f>
        <v>#REF!</v>
      </c>
      <c r="L289" t="e">
        <f>(IF(AND(VLOOKUP(Games!#REF!, Data!$B$2:$L$135, 11, FALSE)&lt;&gt;1, VLOOKUP(Games!#REF!, Data!$B$2:$L$135, 11, FALSE)=1), 1,0))*Coefficients!L$2</f>
        <v>#REF!</v>
      </c>
      <c r="O289" t="e">
        <f t="shared" si="5"/>
        <v>#REF!</v>
      </c>
    </row>
    <row r="290">
      <c r="A290" t="n">
        <f>Coefficients!$A$2</f>
        <v>-3.7765953152866998</v>
      </c>
      <c r="B290" t="e">
        <f>(Games!#REF!)*(-1*Coefficients!$B$2)</f>
        <v>#REF!</v>
      </c>
      <c r="C290" t="e">
        <f>(VLOOKUP(Games!#REF!, Data!$B$2:$L$135, 4, FALSE)-VLOOKUP(Games!#REF!, Data!$B$2:$L$135, 4, FALSE))*Coefficients!$C$2</f>
        <v>#REF!</v>
      </c>
      <c r="D290" t="e">
        <f>(VLOOKUP(Games!#REF!, Data!$B$2:$L$135, 3, FALSE)-VLOOKUP(Games!#REF!, Data!$B$2:$L$135, 3, FALSE))*Coefficients!$D$2</f>
        <v>#REF!</v>
      </c>
      <c r="E290" t="e">
        <f>(VLOOKUP(Games!#REF!, Data!$B$2:$L$135, 5, FALSE)-VLOOKUP(Games!#REF!, Data!$B$2:$L$135, 5, FALSE))*Coefficients!$E$2</f>
        <v>#REF!</v>
      </c>
      <c r="F290" t="e">
        <f>(VLOOKUP(Games!#REF!, Data!$B$2:$L$135, 6, FALSE)-VLOOKUP(Games!#REF!, Data!$B$2:$L$135, 6, FALSE))*Coefficients!$F$2</f>
        <v>#REF!</v>
      </c>
      <c r="G290" t="e">
        <f>(VLOOKUP(Games!#REF!, Data!$B$2:$L$135, 7, FALSE)-VLOOKUP(Games!#REF!, Data!$B$2:$L$135, 7, FALSE))*Coefficients!$G$2</f>
        <v>#REF!</v>
      </c>
      <c r="H290" t="e">
        <f>(VLOOKUP(Games!#REF!, Data!$B$2:$L$135, 8, FALSE)-VLOOKUP(Games!#REF!, Data!$B$2:$L$135, 8, FALSE))*Coefficients!$H$2</f>
        <v>#REF!</v>
      </c>
      <c r="I290" t="e">
        <f>(VLOOKUP(Games!#REF!, Data!$B$2:$L$135, 9, FALSE)-VLOOKUP(Games!#REF!, Data!$B$2:$L$135, 9, FALSE))*Coefficients!$I$2</f>
        <v>#REF!</v>
      </c>
      <c r="J290" t="e">
        <f>IF(ISBLANK(Data!K290), Games!#REF!-Games!#REF!,VLOOKUP(Games!#REF!, Data!$B$2:$L$135, 10, FALSE)-VLOOKUP(Games!#REF!, Data!$B$2:$L$135, 10, FALSE))*Coefficients!$J$2</f>
        <v>#REF!</v>
      </c>
      <c r="K290" t="e">
        <f>(IF(AND(VLOOKUP(Games!#REF!, Data!$B$2:$L$135, 11, FALSE)=1, VLOOKUP(Games!#REF!, Data!$B$2:$L$135, 11, FALSE)&lt;&gt;1), 1,0))*Coefficients!K$2</f>
        <v>#REF!</v>
      </c>
      <c r="L290" t="e">
        <f>(IF(AND(VLOOKUP(Games!#REF!, Data!$B$2:$L$135, 11, FALSE)&lt;&gt;1, VLOOKUP(Games!#REF!, Data!$B$2:$L$135, 11, FALSE)=1), 1,0))*Coefficients!L$2</f>
        <v>#REF!</v>
      </c>
      <c r="O290" t="e">
        <f t="shared" si="5"/>
        <v>#REF!</v>
      </c>
    </row>
    <row r="291">
      <c r="A291" t="n">
        <f>Coefficients!$A$2</f>
        <v>-3.7765953152866998</v>
      </c>
      <c r="B291" t="e">
        <f>(Games!#REF!)*(-1*Coefficients!$B$2)</f>
        <v>#REF!</v>
      </c>
      <c r="C291" t="e">
        <f>(VLOOKUP(Games!#REF!, Data!$B$2:$L$135, 4, FALSE)-VLOOKUP(Games!#REF!, Data!$B$2:$L$135, 4, FALSE))*Coefficients!$C$2</f>
        <v>#REF!</v>
      </c>
      <c r="D291" t="e">
        <f>(VLOOKUP(Games!#REF!, Data!$B$2:$L$135, 3, FALSE)-VLOOKUP(Games!#REF!, Data!$B$2:$L$135, 3, FALSE))*Coefficients!$D$2</f>
        <v>#REF!</v>
      </c>
      <c r="E291" t="e">
        <f>(VLOOKUP(Games!#REF!, Data!$B$2:$L$135, 5, FALSE)-VLOOKUP(Games!#REF!, Data!$B$2:$L$135, 5, FALSE))*Coefficients!$E$2</f>
        <v>#REF!</v>
      </c>
      <c r="F291" t="e">
        <f>(VLOOKUP(Games!#REF!, Data!$B$2:$L$135, 6, FALSE)-VLOOKUP(Games!#REF!, Data!$B$2:$L$135, 6, FALSE))*Coefficients!$F$2</f>
        <v>#REF!</v>
      </c>
      <c r="G291" t="e">
        <f>(VLOOKUP(Games!#REF!, Data!$B$2:$L$135, 7, FALSE)-VLOOKUP(Games!#REF!, Data!$B$2:$L$135, 7, FALSE))*Coefficients!$G$2</f>
        <v>#REF!</v>
      </c>
      <c r="H291" t="e">
        <f>(VLOOKUP(Games!#REF!, Data!$B$2:$L$135, 8, FALSE)-VLOOKUP(Games!#REF!, Data!$B$2:$L$135, 8, FALSE))*Coefficients!$H$2</f>
        <v>#REF!</v>
      </c>
      <c r="I291" t="e">
        <f>(VLOOKUP(Games!#REF!, Data!$B$2:$L$135, 9, FALSE)-VLOOKUP(Games!#REF!, Data!$B$2:$L$135, 9, FALSE))*Coefficients!$I$2</f>
        <v>#REF!</v>
      </c>
      <c r="J291" t="e">
        <f>IF(ISBLANK(Data!K291), Games!#REF!-Games!#REF!,VLOOKUP(Games!#REF!, Data!$B$2:$L$135, 10, FALSE)-VLOOKUP(Games!#REF!, Data!$B$2:$L$135, 10, FALSE))*Coefficients!$J$2</f>
        <v>#REF!</v>
      </c>
      <c r="K291" t="e">
        <f>(IF(AND(VLOOKUP(Games!#REF!, Data!$B$2:$L$135, 11, FALSE)=1, VLOOKUP(Games!#REF!, Data!$B$2:$L$135, 11, FALSE)&lt;&gt;1), 1,0))*Coefficients!K$2</f>
        <v>#REF!</v>
      </c>
      <c r="L291" t="e">
        <f>(IF(AND(VLOOKUP(Games!#REF!, Data!$B$2:$L$135, 11, FALSE)&lt;&gt;1, VLOOKUP(Games!#REF!, Data!$B$2:$L$135, 11, FALSE)=1), 1,0))*Coefficients!L$2</f>
        <v>#REF!</v>
      </c>
      <c r="O291" t="e">
        <f t="shared" si="5"/>
        <v>#REF!</v>
      </c>
    </row>
    <row r="292">
      <c r="A292" t="n">
        <f>Coefficients!$A$2</f>
        <v>-3.7765953152866998</v>
      </c>
      <c r="B292" t="e">
        <f>(Games!#REF!)*(-1*Coefficients!$B$2)</f>
        <v>#REF!</v>
      </c>
      <c r="C292" t="e">
        <f>(VLOOKUP(Games!#REF!, Data!$B$2:$L$135, 4, FALSE)-VLOOKUP(Games!#REF!, Data!$B$2:$L$135, 4, FALSE))*Coefficients!$C$2</f>
        <v>#REF!</v>
      </c>
      <c r="D292" t="e">
        <f>(VLOOKUP(Games!#REF!, Data!$B$2:$L$135, 3, FALSE)-VLOOKUP(Games!#REF!, Data!$B$2:$L$135, 3, FALSE))*Coefficients!$D$2</f>
        <v>#REF!</v>
      </c>
      <c r="E292" t="e">
        <f>(VLOOKUP(Games!#REF!, Data!$B$2:$L$135, 5, FALSE)-VLOOKUP(Games!#REF!, Data!$B$2:$L$135, 5, FALSE))*Coefficients!$E$2</f>
        <v>#REF!</v>
      </c>
      <c r="F292" t="e">
        <f>(VLOOKUP(Games!#REF!, Data!$B$2:$L$135, 6, FALSE)-VLOOKUP(Games!#REF!, Data!$B$2:$L$135, 6, FALSE))*Coefficients!$F$2</f>
        <v>#REF!</v>
      </c>
      <c r="G292" t="e">
        <f>(VLOOKUP(Games!#REF!, Data!$B$2:$L$135, 7, FALSE)-VLOOKUP(Games!#REF!, Data!$B$2:$L$135, 7, FALSE))*Coefficients!$G$2</f>
        <v>#REF!</v>
      </c>
      <c r="H292" t="e">
        <f>(VLOOKUP(Games!#REF!, Data!$B$2:$L$135, 8, FALSE)-VLOOKUP(Games!#REF!, Data!$B$2:$L$135, 8, FALSE))*Coefficients!$H$2</f>
        <v>#REF!</v>
      </c>
      <c r="I292" t="e">
        <f>(VLOOKUP(Games!#REF!, Data!$B$2:$L$135, 9, FALSE)-VLOOKUP(Games!#REF!, Data!$B$2:$L$135, 9, FALSE))*Coefficients!$I$2</f>
        <v>#REF!</v>
      </c>
      <c r="J292" t="e">
        <f>IF(ISBLANK(Data!K292), Games!#REF!-Games!#REF!,VLOOKUP(Games!#REF!, Data!$B$2:$L$135, 10, FALSE)-VLOOKUP(Games!#REF!, Data!$B$2:$L$135, 10, FALSE))*Coefficients!$J$2</f>
        <v>#REF!</v>
      </c>
      <c r="K292" t="e">
        <f>(IF(AND(VLOOKUP(Games!#REF!, Data!$B$2:$L$135, 11, FALSE)=1, VLOOKUP(Games!#REF!, Data!$B$2:$L$135, 11, FALSE)&lt;&gt;1), 1,0))*Coefficients!K$2</f>
        <v>#REF!</v>
      </c>
      <c r="L292" t="e">
        <f>(IF(AND(VLOOKUP(Games!#REF!, Data!$B$2:$L$135, 11, FALSE)&lt;&gt;1, VLOOKUP(Games!#REF!, Data!$B$2:$L$135, 11, FALSE)=1), 1,0))*Coefficients!L$2</f>
        <v>#REF!</v>
      </c>
      <c r="O292" t="e">
        <f t="shared" si="5"/>
        <v>#REF!</v>
      </c>
    </row>
    <row r="293">
      <c r="A293" t="n">
        <f>Coefficients!$A$2</f>
        <v>-3.7765953152866998</v>
      </c>
      <c r="B293" t="e">
        <f>(Games!#REF!)*(-1*Coefficients!$B$2)</f>
        <v>#REF!</v>
      </c>
      <c r="C293" t="e">
        <f>(VLOOKUP(Games!#REF!, Data!$B$2:$L$135, 4, FALSE)-VLOOKUP(Games!#REF!, Data!$B$2:$L$135, 4, FALSE))*Coefficients!$C$2</f>
        <v>#REF!</v>
      </c>
      <c r="D293" t="e">
        <f>(VLOOKUP(Games!#REF!, Data!$B$2:$L$135, 3, FALSE)-VLOOKUP(Games!#REF!, Data!$B$2:$L$135, 3, FALSE))*Coefficients!$D$2</f>
        <v>#REF!</v>
      </c>
      <c r="E293" t="e">
        <f>(VLOOKUP(Games!#REF!, Data!$B$2:$L$135, 5, FALSE)-VLOOKUP(Games!#REF!, Data!$B$2:$L$135, 5, FALSE))*Coefficients!$E$2</f>
        <v>#REF!</v>
      </c>
      <c r="F293" t="e">
        <f>(VLOOKUP(Games!#REF!, Data!$B$2:$L$135, 6, FALSE)-VLOOKUP(Games!#REF!, Data!$B$2:$L$135, 6, FALSE))*Coefficients!$F$2</f>
        <v>#REF!</v>
      </c>
      <c r="G293" t="e">
        <f>(VLOOKUP(Games!#REF!, Data!$B$2:$L$135, 7, FALSE)-VLOOKUP(Games!#REF!, Data!$B$2:$L$135, 7, FALSE))*Coefficients!$G$2</f>
        <v>#REF!</v>
      </c>
      <c r="H293" t="e">
        <f>(VLOOKUP(Games!#REF!, Data!$B$2:$L$135, 8, FALSE)-VLOOKUP(Games!#REF!, Data!$B$2:$L$135, 8, FALSE))*Coefficients!$H$2</f>
        <v>#REF!</v>
      </c>
      <c r="I293" t="e">
        <f>(VLOOKUP(Games!#REF!, Data!$B$2:$L$135, 9, FALSE)-VLOOKUP(Games!#REF!, Data!$B$2:$L$135, 9, FALSE))*Coefficients!$I$2</f>
        <v>#REF!</v>
      </c>
      <c r="J293" t="e">
        <f>IF(ISBLANK(Data!K293), Games!#REF!-Games!#REF!,VLOOKUP(Games!#REF!, Data!$B$2:$L$135, 10, FALSE)-VLOOKUP(Games!#REF!, Data!$B$2:$L$135, 10, FALSE))*Coefficients!$J$2</f>
        <v>#REF!</v>
      </c>
      <c r="K293" t="e">
        <f>(IF(AND(VLOOKUP(Games!#REF!, Data!$B$2:$L$135, 11, FALSE)=1, VLOOKUP(Games!#REF!, Data!$B$2:$L$135, 11, FALSE)&lt;&gt;1), 1,0))*Coefficients!K$2</f>
        <v>#REF!</v>
      </c>
      <c r="L293" t="e">
        <f>(IF(AND(VLOOKUP(Games!#REF!, Data!$B$2:$L$135, 11, FALSE)&lt;&gt;1, VLOOKUP(Games!#REF!, Data!$B$2:$L$135, 11, FALSE)=1), 1,0))*Coefficients!L$2</f>
        <v>#REF!</v>
      </c>
      <c r="O293" t="e">
        <f t="shared" si="5"/>
        <v>#REF!</v>
      </c>
    </row>
    <row r="294">
      <c r="A294" t="n">
        <f>Coefficients!$A$2</f>
        <v>-3.7765953152866998</v>
      </c>
      <c r="B294" t="e">
        <f>(Games!#REF!)*(-1*Coefficients!$B$2)</f>
        <v>#REF!</v>
      </c>
      <c r="C294" t="e">
        <f>(VLOOKUP(Games!#REF!, Data!$B$2:$L$135, 4, FALSE)-VLOOKUP(Games!#REF!, Data!$B$2:$L$135, 4, FALSE))*Coefficients!$C$2</f>
        <v>#REF!</v>
      </c>
      <c r="D294" t="e">
        <f>(VLOOKUP(Games!#REF!, Data!$B$2:$L$135, 3, FALSE)-VLOOKUP(Games!#REF!, Data!$B$2:$L$135, 3, FALSE))*Coefficients!$D$2</f>
        <v>#REF!</v>
      </c>
      <c r="E294" t="e">
        <f>(VLOOKUP(Games!#REF!, Data!$B$2:$L$135, 5, FALSE)-VLOOKUP(Games!#REF!, Data!$B$2:$L$135, 5, FALSE))*Coefficients!$E$2</f>
        <v>#REF!</v>
      </c>
      <c r="F294" t="e">
        <f>(VLOOKUP(Games!#REF!, Data!$B$2:$L$135, 6, FALSE)-VLOOKUP(Games!#REF!, Data!$B$2:$L$135, 6, FALSE))*Coefficients!$F$2</f>
        <v>#REF!</v>
      </c>
      <c r="G294" t="e">
        <f>(VLOOKUP(Games!#REF!, Data!$B$2:$L$135, 7, FALSE)-VLOOKUP(Games!#REF!, Data!$B$2:$L$135, 7, FALSE))*Coefficients!$G$2</f>
        <v>#REF!</v>
      </c>
      <c r="H294" t="e">
        <f>(VLOOKUP(Games!#REF!, Data!$B$2:$L$135, 8, FALSE)-VLOOKUP(Games!#REF!, Data!$B$2:$L$135, 8, FALSE))*Coefficients!$H$2</f>
        <v>#REF!</v>
      </c>
      <c r="I294" t="e">
        <f>(VLOOKUP(Games!#REF!, Data!$B$2:$L$135, 9, FALSE)-VLOOKUP(Games!#REF!, Data!$B$2:$L$135, 9, FALSE))*Coefficients!$I$2</f>
        <v>#REF!</v>
      </c>
      <c r="J294" t="e">
        <f>IF(ISBLANK(Data!K294), Games!#REF!-Games!#REF!,VLOOKUP(Games!#REF!, Data!$B$2:$L$135, 10, FALSE)-VLOOKUP(Games!#REF!, Data!$B$2:$L$135, 10, FALSE))*Coefficients!$J$2</f>
        <v>#REF!</v>
      </c>
      <c r="K294" t="e">
        <f>(IF(AND(VLOOKUP(Games!#REF!, Data!$B$2:$L$135, 11, FALSE)=1, VLOOKUP(Games!#REF!, Data!$B$2:$L$135, 11, FALSE)&lt;&gt;1), 1,0))*Coefficients!K$2</f>
        <v>#REF!</v>
      </c>
      <c r="L294" t="e">
        <f>(IF(AND(VLOOKUP(Games!#REF!, Data!$B$2:$L$135, 11, FALSE)&lt;&gt;1, VLOOKUP(Games!#REF!, Data!$B$2:$L$135, 11, FALSE)=1), 1,0))*Coefficients!L$2</f>
        <v>#REF!</v>
      </c>
      <c r="O294" t="e">
        <f t="shared" si="5"/>
        <v>#REF!</v>
      </c>
    </row>
    <row r="295">
      <c r="A295" t="n">
        <f>Coefficients!$A$2</f>
        <v>-3.7765953152866998</v>
      </c>
      <c r="B295" t="e">
        <f>(Games!#REF!)*(-1*Coefficients!$B$2)</f>
        <v>#REF!</v>
      </c>
      <c r="C295" t="e">
        <f>(VLOOKUP(Games!#REF!, Data!$B$2:$L$135, 4, FALSE)-VLOOKUP(Games!#REF!, Data!$B$2:$L$135, 4, FALSE))*Coefficients!$C$2</f>
        <v>#REF!</v>
      </c>
      <c r="D295" t="e">
        <f>(VLOOKUP(Games!#REF!, Data!$B$2:$L$135, 3, FALSE)-VLOOKUP(Games!#REF!, Data!$B$2:$L$135, 3, FALSE))*Coefficients!$D$2</f>
        <v>#REF!</v>
      </c>
      <c r="E295" t="e">
        <f>(VLOOKUP(Games!#REF!, Data!$B$2:$L$135, 5, FALSE)-VLOOKUP(Games!#REF!, Data!$B$2:$L$135, 5, FALSE))*Coefficients!$E$2</f>
        <v>#REF!</v>
      </c>
      <c r="F295" t="e">
        <f>(VLOOKUP(Games!#REF!, Data!$B$2:$L$135, 6, FALSE)-VLOOKUP(Games!#REF!, Data!$B$2:$L$135, 6, FALSE))*Coefficients!$F$2</f>
        <v>#REF!</v>
      </c>
      <c r="G295" t="e">
        <f>(VLOOKUP(Games!#REF!, Data!$B$2:$L$135, 7, FALSE)-VLOOKUP(Games!#REF!, Data!$B$2:$L$135, 7, FALSE))*Coefficients!$G$2</f>
        <v>#REF!</v>
      </c>
      <c r="H295" t="e">
        <f>(VLOOKUP(Games!#REF!, Data!$B$2:$L$135, 8, FALSE)-VLOOKUP(Games!#REF!, Data!$B$2:$L$135, 8, FALSE))*Coefficients!$H$2</f>
        <v>#REF!</v>
      </c>
      <c r="I295" t="e">
        <f>(VLOOKUP(Games!#REF!, Data!$B$2:$L$135, 9, FALSE)-VLOOKUP(Games!#REF!, Data!$B$2:$L$135, 9, FALSE))*Coefficients!$I$2</f>
        <v>#REF!</v>
      </c>
      <c r="J295" t="e">
        <f>IF(ISBLANK(Data!K295), Games!#REF!-Games!#REF!,VLOOKUP(Games!#REF!, Data!$B$2:$L$135, 10, FALSE)-VLOOKUP(Games!#REF!, Data!$B$2:$L$135, 10, FALSE))*Coefficients!$J$2</f>
        <v>#REF!</v>
      </c>
      <c r="K295" t="e">
        <f>(IF(AND(VLOOKUP(Games!#REF!, Data!$B$2:$L$135, 11, FALSE)=1, VLOOKUP(Games!#REF!, Data!$B$2:$L$135, 11, FALSE)&lt;&gt;1), 1,0))*Coefficients!K$2</f>
        <v>#REF!</v>
      </c>
      <c r="L295" t="e">
        <f>(IF(AND(VLOOKUP(Games!#REF!, Data!$B$2:$L$135, 11, FALSE)&lt;&gt;1, VLOOKUP(Games!#REF!, Data!$B$2:$L$135, 11, FALSE)=1), 1,0))*Coefficients!L$2</f>
        <v>#REF!</v>
      </c>
      <c r="O295" t="e">
        <f t="shared" si="5"/>
        <v>#REF!</v>
      </c>
    </row>
    <row r="296">
      <c r="A296" t="n">
        <f>Coefficients!$A$2</f>
        <v>-3.7765953152866998</v>
      </c>
      <c r="B296" t="e">
        <f>(Games!#REF!)*(-1*Coefficients!$B$2)</f>
        <v>#REF!</v>
      </c>
      <c r="C296" t="e">
        <f>(VLOOKUP(Games!#REF!, Data!$B$2:$L$135, 4, FALSE)-VLOOKUP(Games!#REF!, Data!$B$2:$L$135, 4, FALSE))*Coefficients!$C$2</f>
        <v>#REF!</v>
      </c>
      <c r="D296" t="e">
        <f>(VLOOKUP(Games!#REF!, Data!$B$2:$L$135, 3, FALSE)-VLOOKUP(Games!#REF!, Data!$B$2:$L$135, 3, FALSE))*Coefficients!$D$2</f>
        <v>#REF!</v>
      </c>
      <c r="E296" t="e">
        <f>(VLOOKUP(Games!#REF!, Data!$B$2:$L$135, 5, FALSE)-VLOOKUP(Games!#REF!, Data!$B$2:$L$135, 5, FALSE))*Coefficients!$E$2</f>
        <v>#REF!</v>
      </c>
      <c r="F296" t="e">
        <f>(VLOOKUP(Games!#REF!, Data!$B$2:$L$135, 6, FALSE)-VLOOKUP(Games!#REF!, Data!$B$2:$L$135, 6, FALSE))*Coefficients!$F$2</f>
        <v>#REF!</v>
      </c>
      <c r="G296" t="e">
        <f>(VLOOKUP(Games!#REF!, Data!$B$2:$L$135, 7, FALSE)-VLOOKUP(Games!#REF!, Data!$B$2:$L$135, 7, FALSE))*Coefficients!$G$2</f>
        <v>#REF!</v>
      </c>
      <c r="H296" t="e">
        <f>(VLOOKUP(Games!#REF!, Data!$B$2:$L$135, 8, FALSE)-VLOOKUP(Games!#REF!, Data!$B$2:$L$135, 8, FALSE))*Coefficients!$H$2</f>
        <v>#REF!</v>
      </c>
      <c r="I296" t="e">
        <f>(VLOOKUP(Games!#REF!, Data!$B$2:$L$135, 9, FALSE)-VLOOKUP(Games!#REF!, Data!$B$2:$L$135, 9, FALSE))*Coefficients!$I$2</f>
        <v>#REF!</v>
      </c>
      <c r="J296" t="e">
        <f>IF(ISBLANK(Data!K296), Games!#REF!-Games!#REF!,VLOOKUP(Games!#REF!, Data!$B$2:$L$135, 10, FALSE)-VLOOKUP(Games!#REF!, Data!$B$2:$L$135, 10, FALSE))*Coefficients!$J$2</f>
        <v>#REF!</v>
      </c>
      <c r="K296" t="e">
        <f>(IF(AND(VLOOKUP(Games!#REF!, Data!$B$2:$L$135, 11, FALSE)=1, VLOOKUP(Games!#REF!, Data!$B$2:$L$135, 11, FALSE)&lt;&gt;1), 1,0))*Coefficients!K$2</f>
        <v>#REF!</v>
      </c>
      <c r="L296" t="e">
        <f>(IF(AND(VLOOKUP(Games!#REF!, Data!$B$2:$L$135, 11, FALSE)&lt;&gt;1, VLOOKUP(Games!#REF!, Data!$B$2:$L$135, 11, FALSE)=1), 1,0))*Coefficients!L$2</f>
        <v>#REF!</v>
      </c>
      <c r="O296" t="e">
        <f t="shared" si="5"/>
        <v>#REF!</v>
      </c>
    </row>
    <row r="297">
      <c r="A297" t="n">
        <f>Coefficients!$A$2</f>
        <v>-3.7765953152866998</v>
      </c>
      <c r="B297" t="e">
        <f>(Games!#REF!)*(-1*Coefficients!$B$2)</f>
        <v>#REF!</v>
      </c>
      <c r="C297" t="e">
        <f>(VLOOKUP(Games!#REF!, Data!$B$2:$L$135, 4, FALSE)-VLOOKUP(Games!#REF!, Data!$B$2:$L$135, 4, FALSE))*Coefficients!$C$2</f>
        <v>#REF!</v>
      </c>
      <c r="D297" t="e">
        <f>(VLOOKUP(Games!#REF!, Data!$B$2:$L$135, 3, FALSE)-VLOOKUP(Games!#REF!, Data!$B$2:$L$135, 3, FALSE))*Coefficients!$D$2</f>
        <v>#REF!</v>
      </c>
      <c r="E297" t="e">
        <f>(VLOOKUP(Games!#REF!, Data!$B$2:$L$135, 5, FALSE)-VLOOKUP(Games!#REF!, Data!$B$2:$L$135, 5, FALSE))*Coefficients!$E$2</f>
        <v>#REF!</v>
      </c>
      <c r="F297" t="e">
        <f>(VLOOKUP(Games!#REF!, Data!$B$2:$L$135, 6, FALSE)-VLOOKUP(Games!#REF!, Data!$B$2:$L$135, 6, FALSE))*Coefficients!$F$2</f>
        <v>#REF!</v>
      </c>
      <c r="G297" t="e">
        <f>(VLOOKUP(Games!#REF!, Data!$B$2:$L$135, 7, FALSE)-VLOOKUP(Games!#REF!, Data!$B$2:$L$135, 7, FALSE))*Coefficients!$G$2</f>
        <v>#REF!</v>
      </c>
      <c r="H297" t="e">
        <f>(VLOOKUP(Games!#REF!, Data!$B$2:$L$135, 8, FALSE)-VLOOKUP(Games!#REF!, Data!$B$2:$L$135, 8, FALSE))*Coefficients!$H$2</f>
        <v>#REF!</v>
      </c>
      <c r="I297" t="e">
        <f>(VLOOKUP(Games!#REF!, Data!$B$2:$L$135, 9, FALSE)-VLOOKUP(Games!#REF!, Data!$B$2:$L$135, 9, FALSE))*Coefficients!$I$2</f>
        <v>#REF!</v>
      </c>
      <c r="J297" t="e">
        <f>IF(ISBLANK(Data!K297), Games!#REF!-Games!#REF!,VLOOKUP(Games!#REF!, Data!$B$2:$L$135, 10, FALSE)-VLOOKUP(Games!#REF!, Data!$B$2:$L$135, 10, FALSE))*Coefficients!$J$2</f>
        <v>#REF!</v>
      </c>
      <c r="K297" t="e">
        <f>(IF(AND(VLOOKUP(Games!#REF!, Data!$B$2:$L$135, 11, FALSE)=1, VLOOKUP(Games!#REF!, Data!$B$2:$L$135, 11, FALSE)&lt;&gt;1), 1,0))*Coefficients!K$2</f>
        <v>#REF!</v>
      </c>
      <c r="L297" t="e">
        <f>(IF(AND(VLOOKUP(Games!#REF!, Data!$B$2:$L$135, 11, FALSE)&lt;&gt;1, VLOOKUP(Games!#REF!, Data!$B$2:$L$135, 11, FALSE)=1), 1,0))*Coefficients!L$2</f>
        <v>#REF!</v>
      </c>
      <c r="O297" t="e">
        <f t="shared" si="5"/>
        <v>#REF!</v>
      </c>
    </row>
    <row r="298">
      <c r="A298" t="n">
        <f>Coefficients!$A$2</f>
        <v>-3.7765953152866998</v>
      </c>
      <c r="B298" t="e">
        <f>(Games!#REF!)*(-1*Coefficients!$B$2)</f>
        <v>#REF!</v>
      </c>
      <c r="C298" t="e">
        <f>(VLOOKUP(Games!#REF!, Data!$B$2:$L$135, 4, FALSE)-VLOOKUP(Games!#REF!, Data!$B$2:$L$135, 4, FALSE))*Coefficients!$C$2</f>
        <v>#REF!</v>
      </c>
      <c r="D298" t="e">
        <f>(VLOOKUP(Games!#REF!, Data!$B$2:$L$135, 3, FALSE)-VLOOKUP(Games!#REF!, Data!$B$2:$L$135, 3, FALSE))*Coefficients!$D$2</f>
        <v>#REF!</v>
      </c>
      <c r="E298" t="e">
        <f>(VLOOKUP(Games!#REF!, Data!$B$2:$L$135, 5, FALSE)-VLOOKUP(Games!#REF!, Data!$B$2:$L$135, 5, FALSE))*Coefficients!$E$2</f>
        <v>#REF!</v>
      </c>
      <c r="F298" t="e">
        <f>(VLOOKUP(Games!#REF!, Data!$B$2:$L$135, 6, FALSE)-VLOOKUP(Games!#REF!, Data!$B$2:$L$135, 6, FALSE))*Coefficients!$F$2</f>
        <v>#REF!</v>
      </c>
      <c r="G298" t="e">
        <f>(VLOOKUP(Games!#REF!, Data!$B$2:$L$135, 7, FALSE)-VLOOKUP(Games!#REF!, Data!$B$2:$L$135, 7, FALSE))*Coefficients!$G$2</f>
        <v>#REF!</v>
      </c>
      <c r="H298" t="e">
        <f>(VLOOKUP(Games!#REF!, Data!$B$2:$L$135, 8, FALSE)-VLOOKUP(Games!#REF!, Data!$B$2:$L$135, 8, FALSE))*Coefficients!$H$2</f>
        <v>#REF!</v>
      </c>
      <c r="I298" t="e">
        <f>(VLOOKUP(Games!#REF!, Data!$B$2:$L$135, 9, FALSE)-VLOOKUP(Games!#REF!, Data!$B$2:$L$135, 9, FALSE))*Coefficients!$I$2</f>
        <v>#REF!</v>
      </c>
      <c r="J298" t="e">
        <f>IF(ISBLANK(Data!K298), Games!#REF!-Games!#REF!,VLOOKUP(Games!#REF!, Data!$B$2:$L$135, 10, FALSE)-VLOOKUP(Games!#REF!, Data!$B$2:$L$135, 10, FALSE))*Coefficients!$J$2</f>
        <v>#REF!</v>
      </c>
      <c r="K298" t="e">
        <f>(IF(AND(VLOOKUP(Games!#REF!, Data!$B$2:$L$135, 11, FALSE)=1, VLOOKUP(Games!#REF!, Data!$B$2:$L$135, 11, FALSE)&lt;&gt;1), 1,0))*Coefficients!K$2</f>
        <v>#REF!</v>
      </c>
      <c r="L298" t="e">
        <f>(IF(AND(VLOOKUP(Games!#REF!, Data!$B$2:$L$135, 11, FALSE)&lt;&gt;1, VLOOKUP(Games!#REF!, Data!$B$2:$L$135, 11, FALSE)=1), 1,0))*Coefficients!L$2</f>
        <v>#REF!</v>
      </c>
      <c r="O298" t="e">
        <f t="shared" si="5"/>
        <v>#REF!</v>
      </c>
    </row>
    <row r="299">
      <c r="A299" t="n">
        <f>Coefficients!$A$2</f>
        <v>-3.7765953152866998</v>
      </c>
      <c r="B299" t="e">
        <f>(Games!#REF!)*(-1*Coefficients!$B$2)</f>
        <v>#REF!</v>
      </c>
      <c r="C299" t="e">
        <f>(VLOOKUP(Games!#REF!, Data!$B$2:$L$135, 4, FALSE)-VLOOKUP(Games!#REF!, Data!$B$2:$L$135, 4, FALSE))*Coefficients!$C$2</f>
        <v>#REF!</v>
      </c>
      <c r="D299" t="e">
        <f>(VLOOKUP(Games!#REF!, Data!$B$2:$L$135, 3, FALSE)-VLOOKUP(Games!#REF!, Data!$B$2:$L$135, 3, FALSE))*Coefficients!$D$2</f>
        <v>#REF!</v>
      </c>
      <c r="E299" t="e">
        <f>(VLOOKUP(Games!#REF!, Data!$B$2:$L$135, 5, FALSE)-VLOOKUP(Games!#REF!, Data!$B$2:$L$135, 5, FALSE))*Coefficients!$E$2</f>
        <v>#REF!</v>
      </c>
      <c r="F299" t="e">
        <f>(VLOOKUP(Games!#REF!, Data!$B$2:$L$135, 6, FALSE)-VLOOKUP(Games!#REF!, Data!$B$2:$L$135, 6, FALSE))*Coefficients!$F$2</f>
        <v>#REF!</v>
      </c>
      <c r="G299" t="e">
        <f>(VLOOKUP(Games!#REF!, Data!$B$2:$L$135, 7, FALSE)-VLOOKUP(Games!#REF!, Data!$B$2:$L$135, 7, FALSE))*Coefficients!$G$2</f>
        <v>#REF!</v>
      </c>
      <c r="H299" t="e">
        <f>(VLOOKUP(Games!#REF!, Data!$B$2:$L$135, 8, FALSE)-VLOOKUP(Games!#REF!, Data!$B$2:$L$135, 8, FALSE))*Coefficients!$H$2</f>
        <v>#REF!</v>
      </c>
      <c r="I299" t="e">
        <f>(VLOOKUP(Games!#REF!, Data!$B$2:$L$135, 9, FALSE)-VLOOKUP(Games!#REF!, Data!$B$2:$L$135, 9, FALSE))*Coefficients!$I$2</f>
        <v>#REF!</v>
      </c>
      <c r="J299" t="e">
        <f>IF(ISBLANK(Data!K299), Games!#REF!-Games!#REF!,VLOOKUP(Games!#REF!, Data!$B$2:$L$135, 10, FALSE)-VLOOKUP(Games!#REF!, Data!$B$2:$L$135, 10, FALSE))*Coefficients!$J$2</f>
        <v>#REF!</v>
      </c>
      <c r="K299" t="e">
        <f>(IF(AND(VLOOKUP(Games!#REF!, Data!$B$2:$L$135, 11, FALSE)=1, VLOOKUP(Games!#REF!, Data!$B$2:$L$135, 11, FALSE)&lt;&gt;1), 1,0))*Coefficients!K$2</f>
        <v>#REF!</v>
      </c>
      <c r="L299" t="e">
        <f>(IF(AND(VLOOKUP(Games!#REF!, Data!$B$2:$L$135, 11, FALSE)&lt;&gt;1, VLOOKUP(Games!#REF!, Data!$B$2:$L$135, 11, FALSE)=1), 1,0))*Coefficients!L$2</f>
        <v>#REF!</v>
      </c>
      <c r="O299" t="e">
        <f t="shared" si="5"/>
        <v>#REF!</v>
      </c>
    </row>
    <row r="300">
      <c r="A300" t="n">
        <f>Coefficients!$A$2</f>
        <v>-3.7765953152866998</v>
      </c>
      <c r="B300" t="e">
        <f>(Games!#REF!)*(-1*Coefficients!$B$2)</f>
        <v>#REF!</v>
      </c>
      <c r="C300" t="e">
        <f>(VLOOKUP(Games!#REF!, Data!$B$2:$L$135, 4, FALSE)-VLOOKUP(Games!#REF!, Data!$B$2:$L$135, 4, FALSE))*Coefficients!$C$2</f>
        <v>#REF!</v>
      </c>
      <c r="D300" t="e">
        <f>(VLOOKUP(Games!#REF!, Data!$B$2:$L$135, 3, FALSE)-VLOOKUP(Games!#REF!, Data!$B$2:$L$135, 3, FALSE))*Coefficients!$D$2</f>
        <v>#REF!</v>
      </c>
      <c r="E300" t="e">
        <f>(VLOOKUP(Games!#REF!, Data!$B$2:$L$135, 5, FALSE)-VLOOKUP(Games!#REF!, Data!$B$2:$L$135, 5, FALSE))*Coefficients!$E$2</f>
        <v>#REF!</v>
      </c>
      <c r="F300" t="e">
        <f>(VLOOKUP(Games!#REF!, Data!$B$2:$L$135, 6, FALSE)-VLOOKUP(Games!#REF!, Data!$B$2:$L$135, 6, FALSE))*Coefficients!$F$2</f>
        <v>#REF!</v>
      </c>
      <c r="G300" t="e">
        <f>(VLOOKUP(Games!#REF!, Data!$B$2:$L$135, 7, FALSE)-VLOOKUP(Games!#REF!, Data!$B$2:$L$135, 7, FALSE))*Coefficients!$G$2</f>
        <v>#REF!</v>
      </c>
      <c r="H300" t="e">
        <f>(VLOOKUP(Games!#REF!, Data!$B$2:$L$135, 8, FALSE)-VLOOKUP(Games!#REF!, Data!$B$2:$L$135, 8, FALSE))*Coefficients!$H$2</f>
        <v>#REF!</v>
      </c>
      <c r="I300" t="e">
        <f>(VLOOKUP(Games!#REF!, Data!$B$2:$L$135, 9, FALSE)-VLOOKUP(Games!#REF!, Data!$B$2:$L$135, 9, FALSE))*Coefficients!$I$2</f>
        <v>#REF!</v>
      </c>
      <c r="J300" t="e">
        <f>IF(ISBLANK(Data!K300), Games!#REF!-Games!#REF!,VLOOKUP(Games!#REF!, Data!$B$2:$L$135, 10, FALSE)-VLOOKUP(Games!#REF!, Data!$B$2:$L$135, 10, FALSE))*Coefficients!$J$2</f>
        <v>#REF!</v>
      </c>
      <c r="K300" t="e">
        <f>(IF(AND(VLOOKUP(Games!#REF!, Data!$B$2:$L$135, 11, FALSE)=1, VLOOKUP(Games!#REF!, Data!$B$2:$L$135, 11, FALSE)&lt;&gt;1), 1,0))*Coefficients!K$2</f>
        <v>#REF!</v>
      </c>
      <c r="L300" t="e">
        <f>(IF(AND(VLOOKUP(Games!#REF!, Data!$B$2:$L$135, 11, FALSE)&lt;&gt;1, VLOOKUP(Games!#REF!, Data!$B$2:$L$135, 11, FALSE)=1), 1,0))*Coefficients!L$2</f>
        <v>#REF!</v>
      </c>
      <c r="O300" t="e">
        <f t="shared" si="5"/>
        <v>#REF!</v>
      </c>
    </row>
    <row r="301">
      <c r="A301" t="n">
        <f>Coefficients!$A$2</f>
        <v>-3.7765953152866998</v>
      </c>
      <c r="B301" t="e">
        <f>(Games!#REF!)*(-1*Coefficients!$B$2)</f>
        <v>#REF!</v>
      </c>
      <c r="C301" t="e">
        <f>(VLOOKUP(Games!#REF!, Data!$B$2:$L$135, 4, FALSE)-VLOOKUP(Games!#REF!, Data!$B$2:$L$135, 4, FALSE))*Coefficients!$C$2</f>
        <v>#REF!</v>
      </c>
      <c r="D301" t="e">
        <f>(VLOOKUP(Games!#REF!, Data!$B$2:$L$135, 3, FALSE)-VLOOKUP(Games!#REF!, Data!$B$2:$L$135, 3, FALSE))*Coefficients!$D$2</f>
        <v>#REF!</v>
      </c>
      <c r="E301" t="e">
        <f>(VLOOKUP(Games!#REF!, Data!$B$2:$L$135, 5, FALSE)-VLOOKUP(Games!#REF!, Data!$B$2:$L$135, 5, FALSE))*Coefficients!$E$2</f>
        <v>#REF!</v>
      </c>
      <c r="F301" t="e">
        <f>(VLOOKUP(Games!#REF!, Data!$B$2:$L$135, 6, FALSE)-VLOOKUP(Games!#REF!, Data!$B$2:$L$135, 6, FALSE))*Coefficients!$F$2</f>
        <v>#REF!</v>
      </c>
      <c r="G301" t="e">
        <f>(VLOOKUP(Games!#REF!, Data!$B$2:$L$135, 7, FALSE)-VLOOKUP(Games!#REF!, Data!$B$2:$L$135, 7, FALSE))*Coefficients!$G$2</f>
        <v>#REF!</v>
      </c>
      <c r="H301" t="e">
        <f>(VLOOKUP(Games!#REF!, Data!$B$2:$L$135, 8, FALSE)-VLOOKUP(Games!#REF!, Data!$B$2:$L$135, 8, FALSE))*Coefficients!$H$2</f>
        <v>#REF!</v>
      </c>
      <c r="I301" t="e">
        <f>(VLOOKUP(Games!#REF!, Data!$B$2:$L$135, 9, FALSE)-VLOOKUP(Games!#REF!, Data!$B$2:$L$135, 9, FALSE))*Coefficients!$I$2</f>
        <v>#REF!</v>
      </c>
      <c r="J301" t="e">
        <f>IF(ISBLANK(Data!K301), Games!#REF!-Games!#REF!,VLOOKUP(Games!#REF!, Data!$B$2:$L$135, 10, FALSE)-VLOOKUP(Games!#REF!, Data!$B$2:$L$135, 10, FALSE))*Coefficients!$J$2</f>
        <v>#REF!</v>
      </c>
      <c r="K301" t="e">
        <f>(IF(AND(VLOOKUP(Games!#REF!, Data!$B$2:$L$135, 11, FALSE)=1, VLOOKUP(Games!#REF!, Data!$B$2:$L$135, 11, FALSE)&lt;&gt;1), 1,0))*Coefficients!K$2</f>
        <v>#REF!</v>
      </c>
      <c r="L301" t="e">
        <f>(IF(AND(VLOOKUP(Games!#REF!, Data!$B$2:$L$135, 11, FALSE)&lt;&gt;1, VLOOKUP(Games!#REF!, Data!$B$2:$L$135, 11, FALSE)=1), 1,0))*Coefficients!L$2</f>
        <v>#REF!</v>
      </c>
      <c r="O301" t="e">
        <f t="shared" si="5"/>
        <v>#REF!</v>
      </c>
    </row>
    <row r="302">
      <c r="A302" t="n">
        <f>Coefficients!$A$2</f>
        <v>-3.7765953152866998</v>
      </c>
      <c r="B302" t="e">
        <f>(Games!#REF!)*(-1*Coefficients!$B$2)</f>
        <v>#REF!</v>
      </c>
      <c r="C302" t="e">
        <f>(VLOOKUP(Games!#REF!, Data!$B$2:$L$135, 4, FALSE)-VLOOKUP(Games!#REF!, Data!$B$2:$L$135, 4, FALSE))*Coefficients!$C$2</f>
        <v>#REF!</v>
      </c>
      <c r="D302" t="e">
        <f>(VLOOKUP(Games!#REF!, Data!$B$2:$L$135, 3, FALSE)-VLOOKUP(Games!#REF!, Data!$B$2:$L$135, 3, FALSE))*Coefficients!$D$2</f>
        <v>#REF!</v>
      </c>
      <c r="E302" t="e">
        <f>(VLOOKUP(Games!#REF!, Data!$B$2:$L$135, 5, FALSE)-VLOOKUP(Games!#REF!, Data!$B$2:$L$135, 5, FALSE))*Coefficients!$E$2</f>
        <v>#REF!</v>
      </c>
      <c r="F302" t="e">
        <f>(VLOOKUP(Games!#REF!, Data!$B$2:$L$135, 6, FALSE)-VLOOKUP(Games!#REF!, Data!$B$2:$L$135, 6, FALSE))*Coefficients!$F$2</f>
        <v>#REF!</v>
      </c>
      <c r="G302" t="e">
        <f>(VLOOKUP(Games!#REF!, Data!$B$2:$L$135, 7, FALSE)-VLOOKUP(Games!#REF!, Data!$B$2:$L$135, 7, FALSE))*Coefficients!$G$2</f>
        <v>#REF!</v>
      </c>
      <c r="H302" t="e">
        <f>(VLOOKUP(Games!#REF!, Data!$B$2:$L$135, 8, FALSE)-VLOOKUP(Games!#REF!, Data!$B$2:$L$135, 8, FALSE))*Coefficients!$H$2</f>
        <v>#REF!</v>
      </c>
      <c r="I302" t="e">
        <f>(VLOOKUP(Games!#REF!, Data!$B$2:$L$135, 9, FALSE)-VLOOKUP(Games!#REF!, Data!$B$2:$L$135, 9, FALSE))*Coefficients!$I$2</f>
        <v>#REF!</v>
      </c>
      <c r="J302" t="e">
        <f>IF(ISBLANK(Data!K302), Games!#REF!-Games!#REF!,VLOOKUP(Games!#REF!, Data!$B$2:$L$135, 10, FALSE)-VLOOKUP(Games!#REF!, Data!$B$2:$L$135, 10, FALSE))*Coefficients!$J$2</f>
        <v>#REF!</v>
      </c>
      <c r="K302" t="e">
        <f>(IF(AND(VLOOKUP(Games!#REF!, Data!$B$2:$L$135, 11, FALSE)=1, VLOOKUP(Games!#REF!, Data!$B$2:$L$135, 11, FALSE)&lt;&gt;1), 1,0))*Coefficients!K$2</f>
        <v>#REF!</v>
      </c>
      <c r="L302" t="e">
        <f>(IF(AND(VLOOKUP(Games!#REF!, Data!$B$2:$L$135, 11, FALSE)&lt;&gt;1, VLOOKUP(Games!#REF!, Data!$B$2:$L$135, 11, FALSE)=1), 1,0))*Coefficients!L$2</f>
        <v>#REF!</v>
      </c>
      <c r="O302" t="e">
        <f t="shared" si="5"/>
        <v>#REF!</v>
      </c>
    </row>
    <row r="303">
      <c r="A303" t="n">
        <f>Coefficients!$A$2</f>
        <v>-3.7765953152866998</v>
      </c>
      <c r="B303" t="e">
        <f>(Games!#REF!)*(-1*Coefficients!$B$2)</f>
        <v>#REF!</v>
      </c>
      <c r="C303" t="e">
        <f>(VLOOKUP(Games!#REF!, Data!$B$2:$L$135, 4, FALSE)-VLOOKUP(Games!#REF!, Data!$B$2:$L$135, 4, FALSE))*Coefficients!$C$2</f>
        <v>#REF!</v>
      </c>
      <c r="D303" t="e">
        <f>(VLOOKUP(Games!#REF!, Data!$B$2:$L$135, 3, FALSE)-VLOOKUP(Games!#REF!, Data!$B$2:$L$135, 3, FALSE))*Coefficients!$D$2</f>
        <v>#REF!</v>
      </c>
      <c r="E303" t="e">
        <f>(VLOOKUP(Games!#REF!, Data!$B$2:$L$135, 5, FALSE)-VLOOKUP(Games!#REF!, Data!$B$2:$L$135, 5, FALSE))*Coefficients!$E$2</f>
        <v>#REF!</v>
      </c>
      <c r="F303" t="e">
        <f>(VLOOKUP(Games!#REF!, Data!$B$2:$L$135, 6, FALSE)-VLOOKUP(Games!#REF!, Data!$B$2:$L$135, 6, FALSE))*Coefficients!$F$2</f>
        <v>#REF!</v>
      </c>
      <c r="G303" t="e">
        <f>(VLOOKUP(Games!#REF!, Data!$B$2:$L$135, 7, FALSE)-VLOOKUP(Games!#REF!, Data!$B$2:$L$135, 7, FALSE))*Coefficients!$G$2</f>
        <v>#REF!</v>
      </c>
      <c r="H303" t="e">
        <f>(VLOOKUP(Games!#REF!, Data!$B$2:$L$135, 8, FALSE)-VLOOKUP(Games!#REF!, Data!$B$2:$L$135, 8, FALSE))*Coefficients!$H$2</f>
        <v>#REF!</v>
      </c>
      <c r="I303" t="e">
        <f>(VLOOKUP(Games!#REF!, Data!$B$2:$L$135, 9, FALSE)-VLOOKUP(Games!#REF!, Data!$B$2:$L$135, 9, FALSE))*Coefficients!$I$2</f>
        <v>#REF!</v>
      </c>
      <c r="J303" t="e">
        <f>IF(ISBLANK(Data!K303), Games!#REF!-Games!#REF!,VLOOKUP(Games!#REF!, Data!$B$2:$L$135, 10, FALSE)-VLOOKUP(Games!#REF!, Data!$B$2:$L$135, 10, FALSE))*Coefficients!$J$2</f>
        <v>#REF!</v>
      </c>
      <c r="K303" t="e">
        <f>(IF(AND(VLOOKUP(Games!#REF!, Data!$B$2:$L$135, 11, FALSE)=1, VLOOKUP(Games!#REF!, Data!$B$2:$L$135, 11, FALSE)&lt;&gt;1), 1,0))*Coefficients!K$2</f>
        <v>#REF!</v>
      </c>
      <c r="L303" t="e">
        <f>(IF(AND(VLOOKUP(Games!#REF!, Data!$B$2:$L$135, 11, FALSE)&lt;&gt;1, VLOOKUP(Games!#REF!, Data!$B$2:$L$135, 11, FALSE)=1), 1,0))*Coefficients!L$2</f>
        <v>#REF!</v>
      </c>
      <c r="O303" t="e">
        <f t="shared" si="5"/>
        <v>#REF!</v>
      </c>
    </row>
    <row r="304">
      <c r="A304" t="n">
        <f>Coefficients!$A$2</f>
        <v>-3.7765953152866998</v>
      </c>
      <c r="B304" t="e">
        <f>(Games!#REF!)*(-1*Coefficients!$B$2)</f>
        <v>#REF!</v>
      </c>
      <c r="C304" t="e">
        <f>(VLOOKUP(Games!#REF!, Data!$B$2:$L$135, 4, FALSE)-VLOOKUP(Games!#REF!, Data!$B$2:$L$135, 4, FALSE))*Coefficients!$C$2</f>
        <v>#REF!</v>
      </c>
      <c r="D304" t="e">
        <f>(VLOOKUP(Games!#REF!, Data!$B$2:$L$135, 3, FALSE)-VLOOKUP(Games!#REF!, Data!$B$2:$L$135, 3, FALSE))*Coefficients!$D$2</f>
        <v>#REF!</v>
      </c>
      <c r="E304" t="e">
        <f>(VLOOKUP(Games!#REF!, Data!$B$2:$L$135, 5, FALSE)-VLOOKUP(Games!#REF!, Data!$B$2:$L$135, 5, FALSE))*Coefficients!$E$2</f>
        <v>#REF!</v>
      </c>
      <c r="F304" t="e">
        <f>(VLOOKUP(Games!#REF!, Data!$B$2:$L$135, 6, FALSE)-VLOOKUP(Games!#REF!, Data!$B$2:$L$135, 6, FALSE))*Coefficients!$F$2</f>
        <v>#REF!</v>
      </c>
      <c r="G304" t="e">
        <f>(VLOOKUP(Games!#REF!, Data!$B$2:$L$135, 7, FALSE)-VLOOKUP(Games!#REF!, Data!$B$2:$L$135, 7, FALSE))*Coefficients!$G$2</f>
        <v>#REF!</v>
      </c>
      <c r="H304" t="e">
        <f>(VLOOKUP(Games!#REF!, Data!$B$2:$L$135, 8, FALSE)-VLOOKUP(Games!#REF!, Data!$B$2:$L$135, 8, FALSE))*Coefficients!$H$2</f>
        <v>#REF!</v>
      </c>
      <c r="I304" t="e">
        <f>(VLOOKUP(Games!#REF!, Data!$B$2:$L$135, 9, FALSE)-VLOOKUP(Games!#REF!, Data!$B$2:$L$135, 9, FALSE))*Coefficients!$I$2</f>
        <v>#REF!</v>
      </c>
      <c r="J304" t="e">
        <f>IF(ISBLANK(Data!K304), Games!#REF!-Games!#REF!,VLOOKUP(Games!#REF!, Data!$B$2:$L$135, 10, FALSE)-VLOOKUP(Games!#REF!, Data!$B$2:$L$135, 10, FALSE))*Coefficients!$J$2</f>
        <v>#REF!</v>
      </c>
      <c r="K304" t="e">
        <f>(IF(AND(VLOOKUP(Games!#REF!, Data!$B$2:$L$135, 11, FALSE)=1, VLOOKUP(Games!#REF!, Data!$B$2:$L$135, 11, FALSE)&lt;&gt;1), 1,0))*Coefficients!K$2</f>
        <v>#REF!</v>
      </c>
      <c r="L304" t="e">
        <f>(IF(AND(VLOOKUP(Games!#REF!, Data!$B$2:$L$135, 11, FALSE)&lt;&gt;1, VLOOKUP(Games!#REF!, Data!$B$2:$L$135, 11, FALSE)=1), 1,0))*Coefficients!L$2</f>
        <v>#REF!</v>
      </c>
      <c r="O304" t="e">
        <f t="shared" si="5"/>
        <v>#REF!</v>
      </c>
    </row>
    <row r="305">
      <c r="A305" t="n">
        <f>Coefficients!$A$2</f>
        <v>-3.7765953152866998</v>
      </c>
      <c r="B305" t="e">
        <f>(Games!#REF!)*(-1*Coefficients!$B$2)</f>
        <v>#REF!</v>
      </c>
      <c r="C305" t="e">
        <f>(VLOOKUP(Games!#REF!, Data!$B$2:$L$135, 4, FALSE)-VLOOKUP(Games!#REF!, Data!$B$2:$L$135, 4, FALSE))*Coefficients!$C$2</f>
        <v>#REF!</v>
      </c>
      <c r="D305" t="e">
        <f>(VLOOKUP(Games!#REF!, Data!$B$2:$L$135, 3, FALSE)-VLOOKUP(Games!#REF!, Data!$B$2:$L$135, 3, FALSE))*Coefficients!$D$2</f>
        <v>#REF!</v>
      </c>
      <c r="E305" t="e">
        <f>(VLOOKUP(Games!#REF!, Data!$B$2:$L$135, 5, FALSE)-VLOOKUP(Games!#REF!, Data!$B$2:$L$135, 5, FALSE))*Coefficients!$E$2</f>
        <v>#REF!</v>
      </c>
      <c r="F305" t="e">
        <f>(VLOOKUP(Games!#REF!, Data!$B$2:$L$135, 6, FALSE)-VLOOKUP(Games!#REF!, Data!$B$2:$L$135, 6, FALSE))*Coefficients!$F$2</f>
        <v>#REF!</v>
      </c>
      <c r="G305" t="e">
        <f>(VLOOKUP(Games!#REF!, Data!$B$2:$L$135, 7, FALSE)-VLOOKUP(Games!#REF!, Data!$B$2:$L$135, 7, FALSE))*Coefficients!$G$2</f>
        <v>#REF!</v>
      </c>
      <c r="H305" t="e">
        <f>(VLOOKUP(Games!#REF!, Data!$B$2:$L$135, 8, FALSE)-VLOOKUP(Games!#REF!, Data!$B$2:$L$135, 8, FALSE))*Coefficients!$H$2</f>
        <v>#REF!</v>
      </c>
      <c r="I305" t="e">
        <f>(VLOOKUP(Games!#REF!, Data!$B$2:$L$135, 9, FALSE)-VLOOKUP(Games!#REF!, Data!$B$2:$L$135, 9, FALSE))*Coefficients!$I$2</f>
        <v>#REF!</v>
      </c>
      <c r="J305" t="e">
        <f>IF(ISBLANK(Data!K305), Games!#REF!-Games!#REF!,VLOOKUP(Games!#REF!, Data!$B$2:$L$135, 10, FALSE)-VLOOKUP(Games!#REF!, Data!$B$2:$L$135, 10, FALSE))*Coefficients!$J$2</f>
        <v>#REF!</v>
      </c>
      <c r="K305" t="e">
        <f>(IF(AND(VLOOKUP(Games!#REF!, Data!$B$2:$L$135, 11, FALSE)=1, VLOOKUP(Games!#REF!, Data!$B$2:$L$135, 11, FALSE)&lt;&gt;1), 1,0))*Coefficients!K$2</f>
        <v>#REF!</v>
      </c>
      <c r="L305" t="e">
        <f>(IF(AND(VLOOKUP(Games!#REF!, Data!$B$2:$L$135, 11, FALSE)&lt;&gt;1, VLOOKUP(Games!#REF!, Data!$B$2:$L$135, 11, FALSE)=1), 1,0))*Coefficients!L$2</f>
        <v>#REF!</v>
      </c>
      <c r="O305" t="e">
        <f t="shared" si="5"/>
        <v>#REF!</v>
      </c>
    </row>
    <row r="306">
      <c r="A306" t="n">
        <f>Coefficients!$A$2</f>
        <v>-3.7765953152866998</v>
      </c>
      <c r="B306" t="e">
        <f>(Games!#REF!)*(-1*Coefficients!$B$2)</f>
        <v>#REF!</v>
      </c>
      <c r="C306" t="e">
        <f>(VLOOKUP(Games!#REF!, Data!$B$2:$L$135, 4, FALSE)-VLOOKUP(Games!#REF!, Data!$B$2:$L$135, 4, FALSE))*Coefficients!$C$2</f>
        <v>#REF!</v>
      </c>
      <c r="D306" t="e">
        <f>(VLOOKUP(Games!#REF!, Data!$B$2:$L$135, 3, FALSE)-VLOOKUP(Games!#REF!, Data!$B$2:$L$135, 3, FALSE))*Coefficients!$D$2</f>
        <v>#REF!</v>
      </c>
      <c r="E306" t="e">
        <f>(VLOOKUP(Games!#REF!, Data!$B$2:$L$135, 5, FALSE)-VLOOKUP(Games!#REF!, Data!$B$2:$L$135, 5, FALSE))*Coefficients!$E$2</f>
        <v>#REF!</v>
      </c>
      <c r="F306" t="e">
        <f>(VLOOKUP(Games!#REF!, Data!$B$2:$L$135, 6, FALSE)-VLOOKUP(Games!#REF!, Data!$B$2:$L$135, 6, FALSE))*Coefficients!$F$2</f>
        <v>#REF!</v>
      </c>
      <c r="G306" t="e">
        <f>(VLOOKUP(Games!#REF!, Data!$B$2:$L$135, 7, FALSE)-VLOOKUP(Games!#REF!, Data!$B$2:$L$135, 7, FALSE))*Coefficients!$G$2</f>
        <v>#REF!</v>
      </c>
      <c r="H306" t="e">
        <f>(VLOOKUP(Games!#REF!, Data!$B$2:$L$135, 8, FALSE)-VLOOKUP(Games!#REF!, Data!$B$2:$L$135, 8, FALSE))*Coefficients!$H$2</f>
        <v>#REF!</v>
      </c>
      <c r="I306" t="e">
        <f>(VLOOKUP(Games!#REF!, Data!$B$2:$L$135, 9, FALSE)-VLOOKUP(Games!#REF!, Data!$B$2:$L$135, 9, FALSE))*Coefficients!$I$2</f>
        <v>#REF!</v>
      </c>
      <c r="J306" t="e">
        <f>IF(ISBLANK(Data!K306), Games!#REF!-Games!#REF!,VLOOKUP(Games!#REF!, Data!$B$2:$L$135, 10, FALSE)-VLOOKUP(Games!#REF!, Data!$B$2:$L$135, 10, FALSE))*Coefficients!$J$2</f>
        <v>#REF!</v>
      </c>
      <c r="K306" t="e">
        <f>(IF(AND(VLOOKUP(Games!#REF!, Data!$B$2:$L$135, 11, FALSE)=1, VLOOKUP(Games!#REF!, Data!$B$2:$L$135, 11, FALSE)&lt;&gt;1), 1,0))*Coefficients!K$2</f>
        <v>#REF!</v>
      </c>
      <c r="L306" t="e">
        <f>(IF(AND(VLOOKUP(Games!#REF!, Data!$B$2:$L$135, 11, FALSE)&lt;&gt;1, VLOOKUP(Games!#REF!, Data!$B$2:$L$135, 11, FALSE)=1), 1,0))*Coefficients!L$2</f>
        <v>#REF!</v>
      </c>
      <c r="O306" t="e">
        <f t="shared" si="5"/>
        <v>#REF!</v>
      </c>
    </row>
    <row r="307">
      <c r="A307" t="n">
        <f>Coefficients!$A$2</f>
        <v>-3.7765953152866998</v>
      </c>
      <c r="B307" t="e">
        <f>(Games!#REF!)*(-1*Coefficients!$B$2)</f>
        <v>#REF!</v>
      </c>
      <c r="C307" t="e">
        <f>(VLOOKUP(Games!#REF!, Data!$B$2:$L$135, 4, FALSE)-VLOOKUP(Games!#REF!, Data!$B$2:$L$135, 4, FALSE))*Coefficients!$C$2</f>
        <v>#REF!</v>
      </c>
      <c r="D307" t="e">
        <f>(VLOOKUP(Games!#REF!, Data!$B$2:$L$135, 3, FALSE)-VLOOKUP(Games!#REF!, Data!$B$2:$L$135, 3, FALSE))*Coefficients!$D$2</f>
        <v>#REF!</v>
      </c>
      <c r="E307" t="e">
        <f>(VLOOKUP(Games!#REF!, Data!$B$2:$L$135, 5, FALSE)-VLOOKUP(Games!#REF!, Data!$B$2:$L$135, 5, FALSE))*Coefficients!$E$2</f>
        <v>#REF!</v>
      </c>
      <c r="F307" t="e">
        <f>(VLOOKUP(Games!#REF!, Data!$B$2:$L$135, 6, FALSE)-VLOOKUP(Games!#REF!, Data!$B$2:$L$135, 6, FALSE))*Coefficients!$F$2</f>
        <v>#REF!</v>
      </c>
      <c r="G307" t="e">
        <f>(VLOOKUP(Games!#REF!, Data!$B$2:$L$135, 7, FALSE)-VLOOKUP(Games!#REF!, Data!$B$2:$L$135, 7, FALSE))*Coefficients!$G$2</f>
        <v>#REF!</v>
      </c>
      <c r="H307" t="e">
        <f>(VLOOKUP(Games!#REF!, Data!$B$2:$L$135, 8, FALSE)-VLOOKUP(Games!#REF!, Data!$B$2:$L$135, 8, FALSE))*Coefficients!$H$2</f>
        <v>#REF!</v>
      </c>
      <c r="I307" t="e">
        <f>(VLOOKUP(Games!#REF!, Data!$B$2:$L$135, 9, FALSE)-VLOOKUP(Games!#REF!, Data!$B$2:$L$135, 9, FALSE))*Coefficients!$I$2</f>
        <v>#REF!</v>
      </c>
      <c r="J307" t="e">
        <f>IF(ISBLANK(Data!K307), Games!#REF!-Games!#REF!,VLOOKUP(Games!#REF!, Data!$B$2:$L$135, 10, FALSE)-VLOOKUP(Games!#REF!, Data!$B$2:$L$135, 10, FALSE))*Coefficients!$J$2</f>
        <v>#REF!</v>
      </c>
      <c r="K307" t="e">
        <f>(IF(AND(VLOOKUP(Games!#REF!, Data!$B$2:$L$135, 11, FALSE)=1, VLOOKUP(Games!#REF!, Data!$B$2:$L$135, 11, FALSE)&lt;&gt;1), 1,0))*Coefficients!K$2</f>
        <v>#REF!</v>
      </c>
      <c r="L307" t="e">
        <f>(IF(AND(VLOOKUP(Games!#REF!, Data!$B$2:$L$135, 11, FALSE)&lt;&gt;1, VLOOKUP(Games!#REF!, Data!$B$2:$L$135, 11, FALSE)=1), 1,0))*Coefficients!L$2</f>
        <v>#REF!</v>
      </c>
      <c r="O307" t="e">
        <f t="shared" si="5"/>
        <v>#REF!</v>
      </c>
    </row>
    <row r="308">
      <c r="A308" t="n">
        <f>Coefficients!$A$2</f>
        <v>-3.7765953152866998</v>
      </c>
      <c r="B308" t="e">
        <f>(Games!#REF!)*(-1*Coefficients!$B$2)</f>
        <v>#REF!</v>
      </c>
      <c r="C308" t="e">
        <f>(VLOOKUP(Games!#REF!, Data!$B$2:$L$135, 4, FALSE)-VLOOKUP(Games!#REF!, Data!$B$2:$L$135, 4, FALSE))*Coefficients!$C$2</f>
        <v>#REF!</v>
      </c>
      <c r="D308" t="e">
        <f>(VLOOKUP(Games!#REF!, Data!$B$2:$L$135, 3, FALSE)-VLOOKUP(Games!#REF!, Data!$B$2:$L$135, 3, FALSE))*Coefficients!$D$2</f>
        <v>#REF!</v>
      </c>
      <c r="E308" t="e">
        <f>(VLOOKUP(Games!#REF!, Data!$B$2:$L$135, 5, FALSE)-VLOOKUP(Games!#REF!, Data!$B$2:$L$135, 5, FALSE))*Coefficients!$E$2</f>
        <v>#REF!</v>
      </c>
      <c r="F308" t="e">
        <f>(VLOOKUP(Games!#REF!, Data!$B$2:$L$135, 6, FALSE)-VLOOKUP(Games!#REF!, Data!$B$2:$L$135, 6, FALSE))*Coefficients!$F$2</f>
        <v>#REF!</v>
      </c>
      <c r="G308" t="e">
        <f>(VLOOKUP(Games!#REF!, Data!$B$2:$L$135, 7, FALSE)-VLOOKUP(Games!#REF!, Data!$B$2:$L$135, 7, FALSE))*Coefficients!$G$2</f>
        <v>#REF!</v>
      </c>
      <c r="H308" t="e">
        <f>(VLOOKUP(Games!#REF!, Data!$B$2:$L$135, 8, FALSE)-VLOOKUP(Games!#REF!, Data!$B$2:$L$135, 8, FALSE))*Coefficients!$H$2</f>
        <v>#REF!</v>
      </c>
      <c r="I308" t="e">
        <f>(VLOOKUP(Games!#REF!, Data!$B$2:$L$135, 9, FALSE)-VLOOKUP(Games!#REF!, Data!$B$2:$L$135, 9, FALSE))*Coefficients!$I$2</f>
        <v>#REF!</v>
      </c>
      <c r="J308" t="e">
        <f>IF(ISBLANK(Data!K308), Games!#REF!-Games!#REF!,VLOOKUP(Games!#REF!, Data!$B$2:$L$135, 10, FALSE)-VLOOKUP(Games!#REF!, Data!$B$2:$L$135, 10, FALSE))*Coefficients!$J$2</f>
        <v>#REF!</v>
      </c>
      <c r="K308" t="e">
        <f>(IF(AND(VLOOKUP(Games!#REF!, Data!$B$2:$L$135, 11, FALSE)=1, VLOOKUP(Games!#REF!, Data!$B$2:$L$135, 11, FALSE)&lt;&gt;1), 1,0))*Coefficients!K$2</f>
        <v>#REF!</v>
      </c>
      <c r="L308" t="e">
        <f>(IF(AND(VLOOKUP(Games!#REF!, Data!$B$2:$L$135, 11, FALSE)&lt;&gt;1, VLOOKUP(Games!#REF!, Data!$B$2:$L$135, 11, FALSE)=1), 1,0))*Coefficients!L$2</f>
        <v>#REF!</v>
      </c>
      <c r="O308" t="e">
        <f t="shared" si="5"/>
        <v>#REF!</v>
      </c>
    </row>
    <row r="309">
      <c r="A309" t="n">
        <f>Coefficients!$A$2</f>
        <v>-3.7765953152866998</v>
      </c>
      <c r="B309" t="e">
        <f>(Games!#REF!)*(-1*Coefficients!$B$2)</f>
        <v>#REF!</v>
      </c>
      <c r="C309" t="e">
        <f>(VLOOKUP(Games!#REF!, Data!$B$2:$L$135, 4, FALSE)-VLOOKUP(Games!#REF!, Data!$B$2:$L$135, 4, FALSE))*Coefficients!$C$2</f>
        <v>#REF!</v>
      </c>
      <c r="D309" t="e">
        <f>(VLOOKUP(Games!#REF!, Data!$B$2:$L$135, 3, FALSE)-VLOOKUP(Games!#REF!, Data!$B$2:$L$135, 3, FALSE))*Coefficients!$D$2</f>
        <v>#REF!</v>
      </c>
      <c r="E309" t="e">
        <f>(VLOOKUP(Games!#REF!, Data!$B$2:$L$135, 5, FALSE)-VLOOKUP(Games!#REF!, Data!$B$2:$L$135, 5, FALSE))*Coefficients!$E$2</f>
        <v>#REF!</v>
      </c>
      <c r="F309" t="e">
        <f>(VLOOKUP(Games!#REF!, Data!$B$2:$L$135, 6, FALSE)-VLOOKUP(Games!#REF!, Data!$B$2:$L$135, 6, FALSE))*Coefficients!$F$2</f>
        <v>#REF!</v>
      </c>
      <c r="G309" t="e">
        <f>(VLOOKUP(Games!#REF!, Data!$B$2:$L$135, 7, FALSE)-VLOOKUP(Games!#REF!, Data!$B$2:$L$135, 7, FALSE))*Coefficients!$G$2</f>
        <v>#REF!</v>
      </c>
      <c r="H309" t="e">
        <f>(VLOOKUP(Games!#REF!, Data!$B$2:$L$135, 8, FALSE)-VLOOKUP(Games!#REF!, Data!$B$2:$L$135, 8, FALSE))*Coefficients!$H$2</f>
        <v>#REF!</v>
      </c>
      <c r="I309" t="e">
        <f>(VLOOKUP(Games!#REF!, Data!$B$2:$L$135, 9, FALSE)-VLOOKUP(Games!#REF!, Data!$B$2:$L$135, 9, FALSE))*Coefficients!$I$2</f>
        <v>#REF!</v>
      </c>
      <c r="J309" t="e">
        <f>IF(ISBLANK(Data!K309), Games!#REF!-Games!#REF!,VLOOKUP(Games!#REF!, Data!$B$2:$L$135, 10, FALSE)-VLOOKUP(Games!#REF!, Data!$B$2:$L$135, 10, FALSE))*Coefficients!$J$2</f>
        <v>#REF!</v>
      </c>
      <c r="K309" t="e">
        <f>(IF(AND(VLOOKUP(Games!#REF!, Data!$B$2:$L$135, 11, FALSE)=1, VLOOKUP(Games!#REF!, Data!$B$2:$L$135, 11, FALSE)&lt;&gt;1), 1,0))*Coefficients!K$2</f>
        <v>#REF!</v>
      </c>
      <c r="L309" t="e">
        <f>(IF(AND(VLOOKUP(Games!#REF!, Data!$B$2:$L$135, 11, FALSE)&lt;&gt;1, VLOOKUP(Games!#REF!, Data!$B$2:$L$135, 11, FALSE)=1), 1,0))*Coefficients!L$2</f>
        <v>#REF!</v>
      </c>
      <c r="O309" t="e">
        <f t="shared" si="5"/>
        <v>#REF!</v>
      </c>
    </row>
    <row r="310">
      <c r="A310" t="n">
        <f>Coefficients!$A$2</f>
        <v>-3.7765953152866998</v>
      </c>
      <c r="B310" t="e">
        <f>(Games!#REF!)*(-1*Coefficients!$B$2)</f>
        <v>#REF!</v>
      </c>
      <c r="C310" t="e">
        <f>(VLOOKUP(Games!#REF!, Data!$B$2:$L$135, 4, FALSE)-VLOOKUP(Games!#REF!, Data!$B$2:$L$135, 4, FALSE))*Coefficients!$C$2</f>
        <v>#REF!</v>
      </c>
      <c r="D310" t="e">
        <f>(VLOOKUP(Games!#REF!, Data!$B$2:$L$135, 3, FALSE)-VLOOKUP(Games!#REF!, Data!$B$2:$L$135, 3, FALSE))*Coefficients!$D$2</f>
        <v>#REF!</v>
      </c>
      <c r="E310" t="e">
        <f>(VLOOKUP(Games!#REF!, Data!$B$2:$L$135, 5, FALSE)-VLOOKUP(Games!#REF!, Data!$B$2:$L$135, 5, FALSE))*Coefficients!$E$2</f>
        <v>#REF!</v>
      </c>
      <c r="F310" t="e">
        <f>(VLOOKUP(Games!#REF!, Data!$B$2:$L$135, 6, FALSE)-VLOOKUP(Games!#REF!, Data!$B$2:$L$135, 6, FALSE))*Coefficients!$F$2</f>
        <v>#REF!</v>
      </c>
      <c r="G310" t="e">
        <f>(VLOOKUP(Games!#REF!, Data!$B$2:$L$135, 7, FALSE)-VLOOKUP(Games!#REF!, Data!$B$2:$L$135, 7, FALSE))*Coefficients!$G$2</f>
        <v>#REF!</v>
      </c>
      <c r="H310" t="e">
        <f>(VLOOKUP(Games!#REF!, Data!$B$2:$L$135, 8, FALSE)-VLOOKUP(Games!#REF!, Data!$B$2:$L$135, 8, FALSE))*Coefficients!$H$2</f>
        <v>#REF!</v>
      </c>
      <c r="I310" t="e">
        <f>(VLOOKUP(Games!#REF!, Data!$B$2:$L$135, 9, FALSE)-VLOOKUP(Games!#REF!, Data!$B$2:$L$135, 9, FALSE))*Coefficients!$I$2</f>
        <v>#REF!</v>
      </c>
      <c r="J310" t="e">
        <f>IF(ISBLANK(Data!K310), Games!#REF!-Games!#REF!,VLOOKUP(Games!#REF!, Data!$B$2:$L$135, 10, FALSE)-VLOOKUP(Games!#REF!, Data!$B$2:$L$135, 10, FALSE))*Coefficients!$J$2</f>
        <v>#REF!</v>
      </c>
      <c r="K310" t="e">
        <f>(IF(AND(VLOOKUP(Games!#REF!, Data!$B$2:$L$135, 11, FALSE)=1, VLOOKUP(Games!#REF!, Data!$B$2:$L$135, 11, FALSE)&lt;&gt;1), 1,0))*Coefficients!K$2</f>
        <v>#REF!</v>
      </c>
      <c r="L310" t="e">
        <f>(IF(AND(VLOOKUP(Games!#REF!, Data!$B$2:$L$135, 11, FALSE)&lt;&gt;1, VLOOKUP(Games!#REF!, Data!$B$2:$L$135, 11, FALSE)=1), 1,0))*Coefficients!L$2</f>
        <v>#REF!</v>
      </c>
      <c r="O310" t="e">
        <f t="shared" si="5"/>
        <v>#REF!</v>
      </c>
    </row>
    <row r="311">
      <c r="A311" t="n">
        <f>Coefficients!$A$2</f>
        <v>-3.7765953152866998</v>
      </c>
      <c r="B311" t="e">
        <f>(Games!#REF!)*(-1*Coefficients!$B$2)</f>
        <v>#REF!</v>
      </c>
      <c r="C311" t="e">
        <f>(VLOOKUP(Games!#REF!, Data!$B$2:$L$135, 4, FALSE)-VLOOKUP(Games!#REF!, Data!$B$2:$L$135, 4, FALSE))*Coefficients!$C$2</f>
        <v>#REF!</v>
      </c>
      <c r="D311" t="e">
        <f>(VLOOKUP(Games!#REF!, Data!$B$2:$L$135, 3, FALSE)-VLOOKUP(Games!#REF!, Data!$B$2:$L$135, 3, FALSE))*Coefficients!$D$2</f>
        <v>#REF!</v>
      </c>
      <c r="E311" t="e">
        <f>(VLOOKUP(Games!#REF!, Data!$B$2:$L$135, 5, FALSE)-VLOOKUP(Games!#REF!, Data!$B$2:$L$135, 5, FALSE))*Coefficients!$E$2</f>
        <v>#REF!</v>
      </c>
      <c r="F311" t="e">
        <f>(VLOOKUP(Games!#REF!, Data!$B$2:$L$135, 6, FALSE)-VLOOKUP(Games!#REF!, Data!$B$2:$L$135, 6, FALSE))*Coefficients!$F$2</f>
        <v>#REF!</v>
      </c>
      <c r="G311" t="e">
        <f>(VLOOKUP(Games!#REF!, Data!$B$2:$L$135, 7, FALSE)-VLOOKUP(Games!#REF!, Data!$B$2:$L$135, 7, FALSE))*Coefficients!$G$2</f>
        <v>#REF!</v>
      </c>
      <c r="H311" t="e">
        <f>(VLOOKUP(Games!#REF!, Data!$B$2:$L$135, 8, FALSE)-VLOOKUP(Games!#REF!, Data!$B$2:$L$135, 8, FALSE))*Coefficients!$H$2</f>
        <v>#REF!</v>
      </c>
      <c r="I311" t="e">
        <f>(VLOOKUP(Games!#REF!, Data!$B$2:$L$135, 9, FALSE)-VLOOKUP(Games!#REF!, Data!$B$2:$L$135, 9, FALSE))*Coefficients!$I$2</f>
        <v>#REF!</v>
      </c>
      <c r="J311" t="e">
        <f>IF(ISBLANK(Data!K311), Games!#REF!-Games!#REF!,VLOOKUP(Games!#REF!, Data!$B$2:$L$135, 10, FALSE)-VLOOKUP(Games!#REF!, Data!$B$2:$L$135, 10, FALSE))*Coefficients!$J$2</f>
        <v>#REF!</v>
      </c>
      <c r="K311" t="e">
        <f>(IF(AND(VLOOKUP(Games!#REF!, Data!$B$2:$L$135, 11, FALSE)=1, VLOOKUP(Games!#REF!, Data!$B$2:$L$135, 11, FALSE)&lt;&gt;1), 1,0))*Coefficients!K$2</f>
        <v>#REF!</v>
      </c>
      <c r="L311" t="e">
        <f>(IF(AND(VLOOKUP(Games!#REF!, Data!$B$2:$L$135, 11, FALSE)&lt;&gt;1, VLOOKUP(Games!#REF!, Data!$B$2:$L$135, 11, FALSE)=1), 1,0))*Coefficients!L$2</f>
        <v>#REF!</v>
      </c>
      <c r="O311" t="e">
        <f t="shared" si="5"/>
        <v>#REF!</v>
      </c>
    </row>
    <row r="312">
      <c r="A312" t="n">
        <f>Coefficients!$A$2</f>
        <v>-3.7765953152866998</v>
      </c>
      <c r="B312" t="e">
        <f>(Games!#REF!)*(-1*Coefficients!$B$2)</f>
        <v>#REF!</v>
      </c>
      <c r="C312" t="e">
        <f>(VLOOKUP(Games!#REF!, Data!$B$2:$L$135, 4, FALSE)-VLOOKUP(Games!#REF!, Data!$B$2:$L$135, 4, FALSE))*Coefficients!$C$2</f>
        <v>#REF!</v>
      </c>
      <c r="D312" t="e">
        <f>(VLOOKUP(Games!#REF!, Data!$B$2:$L$135, 3, FALSE)-VLOOKUP(Games!#REF!, Data!$B$2:$L$135, 3, FALSE))*Coefficients!$D$2</f>
        <v>#REF!</v>
      </c>
      <c r="E312" t="e">
        <f>(VLOOKUP(Games!#REF!, Data!$B$2:$L$135, 5, FALSE)-VLOOKUP(Games!#REF!, Data!$B$2:$L$135, 5, FALSE))*Coefficients!$E$2</f>
        <v>#REF!</v>
      </c>
      <c r="F312" t="e">
        <f>(VLOOKUP(Games!#REF!, Data!$B$2:$L$135, 6, FALSE)-VLOOKUP(Games!#REF!, Data!$B$2:$L$135, 6, FALSE))*Coefficients!$F$2</f>
        <v>#REF!</v>
      </c>
      <c r="G312" t="e">
        <f>(VLOOKUP(Games!#REF!, Data!$B$2:$L$135, 7, FALSE)-VLOOKUP(Games!#REF!, Data!$B$2:$L$135, 7, FALSE))*Coefficients!$G$2</f>
        <v>#REF!</v>
      </c>
      <c r="H312" t="e">
        <f>(VLOOKUP(Games!#REF!, Data!$B$2:$L$135, 8, FALSE)-VLOOKUP(Games!#REF!, Data!$B$2:$L$135, 8, FALSE))*Coefficients!$H$2</f>
        <v>#REF!</v>
      </c>
      <c r="I312" t="e">
        <f>(VLOOKUP(Games!#REF!, Data!$B$2:$L$135, 9, FALSE)-VLOOKUP(Games!#REF!, Data!$B$2:$L$135, 9, FALSE))*Coefficients!$I$2</f>
        <v>#REF!</v>
      </c>
      <c r="J312" t="e">
        <f>IF(ISBLANK(Data!K312), Games!#REF!-Games!#REF!,VLOOKUP(Games!#REF!, Data!$B$2:$L$135, 10, FALSE)-VLOOKUP(Games!#REF!, Data!$B$2:$L$135, 10, FALSE))*Coefficients!$J$2</f>
        <v>#REF!</v>
      </c>
      <c r="K312" t="e">
        <f>(IF(AND(VLOOKUP(Games!#REF!, Data!$B$2:$L$135, 11, FALSE)=1, VLOOKUP(Games!#REF!, Data!$B$2:$L$135, 11, FALSE)&lt;&gt;1), 1,0))*Coefficients!K$2</f>
        <v>#REF!</v>
      </c>
      <c r="L312" t="e">
        <f>(IF(AND(VLOOKUP(Games!#REF!, Data!$B$2:$L$135, 11, FALSE)&lt;&gt;1, VLOOKUP(Games!#REF!, Data!$B$2:$L$135, 11, FALSE)=1), 1,0))*Coefficients!L$2</f>
        <v>#REF!</v>
      </c>
      <c r="O312" t="e">
        <f t="shared" si="5"/>
        <v>#REF!</v>
      </c>
    </row>
    <row r="313">
      <c r="A313" t="n">
        <f>Coefficients!$A$2</f>
        <v>-3.7765953152866998</v>
      </c>
      <c r="B313" t="e">
        <f>(Games!#REF!)*(-1*Coefficients!$B$2)</f>
        <v>#REF!</v>
      </c>
      <c r="C313" t="e">
        <f>(VLOOKUP(Games!#REF!, Data!$B$2:$L$135, 4, FALSE)-VLOOKUP(Games!#REF!, Data!$B$2:$L$135, 4, FALSE))*Coefficients!$C$2</f>
        <v>#REF!</v>
      </c>
      <c r="D313" t="e">
        <f>(VLOOKUP(Games!#REF!, Data!$B$2:$L$135, 3, FALSE)-VLOOKUP(Games!#REF!, Data!$B$2:$L$135, 3, FALSE))*Coefficients!$D$2</f>
        <v>#REF!</v>
      </c>
      <c r="E313" t="e">
        <f>(VLOOKUP(Games!#REF!, Data!$B$2:$L$135, 5, FALSE)-VLOOKUP(Games!#REF!, Data!$B$2:$L$135, 5, FALSE))*Coefficients!$E$2</f>
        <v>#REF!</v>
      </c>
      <c r="F313" t="e">
        <f>(VLOOKUP(Games!#REF!, Data!$B$2:$L$135, 6, FALSE)-VLOOKUP(Games!#REF!, Data!$B$2:$L$135, 6, FALSE))*Coefficients!$F$2</f>
        <v>#REF!</v>
      </c>
      <c r="G313" t="e">
        <f>(VLOOKUP(Games!#REF!, Data!$B$2:$L$135, 7, FALSE)-VLOOKUP(Games!#REF!, Data!$B$2:$L$135, 7, FALSE))*Coefficients!$G$2</f>
        <v>#REF!</v>
      </c>
      <c r="H313" t="e">
        <f>(VLOOKUP(Games!#REF!, Data!$B$2:$L$135, 8, FALSE)-VLOOKUP(Games!#REF!, Data!$B$2:$L$135, 8, FALSE))*Coefficients!$H$2</f>
        <v>#REF!</v>
      </c>
      <c r="I313" t="e">
        <f>(VLOOKUP(Games!#REF!, Data!$B$2:$L$135, 9, FALSE)-VLOOKUP(Games!#REF!, Data!$B$2:$L$135, 9, FALSE))*Coefficients!$I$2</f>
        <v>#REF!</v>
      </c>
      <c r="J313" t="e">
        <f>IF(ISBLANK(Data!K313), Games!#REF!-Games!#REF!,VLOOKUP(Games!#REF!, Data!$B$2:$L$135, 10, FALSE)-VLOOKUP(Games!#REF!, Data!$B$2:$L$135, 10, FALSE))*Coefficients!$J$2</f>
        <v>#REF!</v>
      </c>
      <c r="K313" t="e">
        <f>(IF(AND(VLOOKUP(Games!#REF!, Data!$B$2:$L$135, 11, FALSE)=1, VLOOKUP(Games!#REF!, Data!$B$2:$L$135, 11, FALSE)&lt;&gt;1), 1,0))*Coefficients!K$2</f>
        <v>#REF!</v>
      </c>
      <c r="L313" t="e">
        <f>(IF(AND(VLOOKUP(Games!#REF!, Data!$B$2:$L$135, 11, FALSE)&lt;&gt;1, VLOOKUP(Games!#REF!, Data!$B$2:$L$135, 11, FALSE)=1), 1,0))*Coefficients!L$2</f>
        <v>#REF!</v>
      </c>
      <c r="O313" t="e">
        <f t="shared" si="5"/>
        <v>#REF!</v>
      </c>
    </row>
    <row r="314">
      <c r="A314" t="n">
        <f>Coefficients!$A$2</f>
        <v>-3.7765953152866998</v>
      </c>
      <c r="B314" t="e">
        <f>(Games!#REF!)*(-1*Coefficients!$B$2)</f>
        <v>#REF!</v>
      </c>
      <c r="C314" t="e">
        <f>(VLOOKUP(Games!#REF!, Data!$B$2:$L$135, 4, FALSE)-VLOOKUP(Games!#REF!, Data!$B$2:$L$135, 4, FALSE))*Coefficients!$C$2</f>
        <v>#REF!</v>
      </c>
      <c r="D314" t="e">
        <f>(VLOOKUP(Games!#REF!, Data!$B$2:$L$135, 3, FALSE)-VLOOKUP(Games!#REF!, Data!$B$2:$L$135, 3, FALSE))*Coefficients!$D$2</f>
        <v>#REF!</v>
      </c>
      <c r="E314" t="e">
        <f>(VLOOKUP(Games!#REF!, Data!$B$2:$L$135, 5, FALSE)-VLOOKUP(Games!#REF!, Data!$B$2:$L$135, 5, FALSE))*Coefficients!$E$2</f>
        <v>#REF!</v>
      </c>
      <c r="F314" t="e">
        <f>(VLOOKUP(Games!#REF!, Data!$B$2:$L$135, 6, FALSE)-VLOOKUP(Games!#REF!, Data!$B$2:$L$135, 6, FALSE))*Coefficients!$F$2</f>
        <v>#REF!</v>
      </c>
      <c r="G314" t="e">
        <f>(VLOOKUP(Games!#REF!, Data!$B$2:$L$135, 7, FALSE)-VLOOKUP(Games!#REF!, Data!$B$2:$L$135, 7, FALSE))*Coefficients!$G$2</f>
        <v>#REF!</v>
      </c>
      <c r="H314" t="e">
        <f>(VLOOKUP(Games!#REF!, Data!$B$2:$L$135, 8, FALSE)-VLOOKUP(Games!#REF!, Data!$B$2:$L$135, 8, FALSE))*Coefficients!$H$2</f>
        <v>#REF!</v>
      </c>
      <c r="I314" t="e">
        <f>(VLOOKUP(Games!#REF!, Data!$B$2:$L$135, 9, FALSE)-VLOOKUP(Games!#REF!, Data!$B$2:$L$135, 9, FALSE))*Coefficients!$I$2</f>
        <v>#REF!</v>
      </c>
      <c r="J314" t="e">
        <f>IF(ISBLANK(Data!K314), Games!#REF!-Games!#REF!,VLOOKUP(Games!#REF!, Data!$B$2:$L$135, 10, FALSE)-VLOOKUP(Games!#REF!, Data!$B$2:$L$135, 10, FALSE))*Coefficients!$J$2</f>
        <v>#REF!</v>
      </c>
      <c r="K314" t="e">
        <f>(IF(AND(VLOOKUP(Games!#REF!, Data!$B$2:$L$135, 11, FALSE)=1, VLOOKUP(Games!#REF!, Data!$B$2:$L$135, 11, FALSE)&lt;&gt;1), 1,0))*Coefficients!K$2</f>
        <v>#REF!</v>
      </c>
      <c r="L314" t="e">
        <f>(IF(AND(VLOOKUP(Games!#REF!, Data!$B$2:$L$135, 11, FALSE)&lt;&gt;1, VLOOKUP(Games!#REF!, Data!$B$2:$L$135, 11, FALSE)=1), 1,0))*Coefficients!L$2</f>
        <v>#REF!</v>
      </c>
      <c r="O314" t="e">
        <f t="shared" si="5"/>
        <v>#REF!</v>
      </c>
    </row>
    <row r="315">
      <c r="A315" t="n">
        <f>Coefficients!$A$2</f>
        <v>-3.7765953152866998</v>
      </c>
      <c r="B315" t="e">
        <f>(Games!#REF!)*(-1*Coefficients!$B$2)</f>
        <v>#REF!</v>
      </c>
      <c r="C315" t="e">
        <f>(VLOOKUP(Games!#REF!, Data!$B$2:$L$135, 4, FALSE)-VLOOKUP(Games!#REF!, Data!$B$2:$L$135, 4, FALSE))*Coefficients!$C$2</f>
        <v>#REF!</v>
      </c>
      <c r="D315" t="e">
        <f>(VLOOKUP(Games!#REF!, Data!$B$2:$L$135, 3, FALSE)-VLOOKUP(Games!#REF!, Data!$B$2:$L$135, 3, FALSE))*Coefficients!$D$2</f>
        <v>#REF!</v>
      </c>
      <c r="E315" t="e">
        <f>(VLOOKUP(Games!#REF!, Data!$B$2:$L$135, 5, FALSE)-VLOOKUP(Games!#REF!, Data!$B$2:$L$135, 5, FALSE))*Coefficients!$E$2</f>
        <v>#REF!</v>
      </c>
      <c r="F315" t="e">
        <f>(VLOOKUP(Games!#REF!, Data!$B$2:$L$135, 6, FALSE)-VLOOKUP(Games!#REF!, Data!$B$2:$L$135, 6, FALSE))*Coefficients!$F$2</f>
        <v>#REF!</v>
      </c>
      <c r="G315" t="e">
        <f>(VLOOKUP(Games!#REF!, Data!$B$2:$L$135, 7, FALSE)-VLOOKUP(Games!#REF!, Data!$B$2:$L$135, 7, FALSE))*Coefficients!$G$2</f>
        <v>#REF!</v>
      </c>
      <c r="H315" t="e">
        <f>(VLOOKUP(Games!#REF!, Data!$B$2:$L$135, 8, FALSE)-VLOOKUP(Games!#REF!, Data!$B$2:$L$135, 8, FALSE))*Coefficients!$H$2</f>
        <v>#REF!</v>
      </c>
      <c r="I315" t="e">
        <f>(VLOOKUP(Games!#REF!, Data!$B$2:$L$135, 9, FALSE)-VLOOKUP(Games!#REF!, Data!$B$2:$L$135, 9, FALSE))*Coefficients!$I$2</f>
        <v>#REF!</v>
      </c>
      <c r="J315" t="e">
        <f>IF(ISBLANK(Data!K315), Games!#REF!-Games!#REF!,VLOOKUP(Games!#REF!, Data!$B$2:$L$135, 10, FALSE)-VLOOKUP(Games!#REF!, Data!$B$2:$L$135, 10, FALSE))*Coefficients!$J$2</f>
        <v>#REF!</v>
      </c>
      <c r="K315" t="e">
        <f>(IF(AND(VLOOKUP(Games!#REF!, Data!$B$2:$L$135, 11, FALSE)=1, VLOOKUP(Games!#REF!, Data!$B$2:$L$135, 11, FALSE)&lt;&gt;1), 1,0))*Coefficients!K$2</f>
        <v>#REF!</v>
      </c>
      <c r="L315" t="e">
        <f>(IF(AND(VLOOKUP(Games!#REF!, Data!$B$2:$L$135, 11, FALSE)&lt;&gt;1, VLOOKUP(Games!#REF!, Data!$B$2:$L$135, 11, FALSE)=1), 1,0))*Coefficients!L$2</f>
        <v>#REF!</v>
      </c>
      <c r="O315" t="e">
        <f t="shared" si="5"/>
        <v>#REF!</v>
      </c>
    </row>
    <row r="316">
      <c r="A316" t="n">
        <f>Coefficients!$A$2</f>
        <v>-3.7765953152866998</v>
      </c>
      <c r="B316" t="e">
        <f>(Games!#REF!)*(-1*Coefficients!$B$2)</f>
        <v>#REF!</v>
      </c>
      <c r="C316" t="e">
        <f>(VLOOKUP(Games!#REF!, Data!$B$2:$L$135, 4, FALSE)-VLOOKUP(Games!#REF!, Data!$B$2:$L$135, 4, FALSE))*Coefficients!$C$2</f>
        <v>#REF!</v>
      </c>
      <c r="D316" t="e">
        <f>(VLOOKUP(Games!#REF!, Data!$B$2:$L$135, 3, FALSE)-VLOOKUP(Games!#REF!, Data!$B$2:$L$135, 3, FALSE))*Coefficients!$D$2</f>
        <v>#REF!</v>
      </c>
      <c r="E316" t="e">
        <f>(VLOOKUP(Games!#REF!, Data!$B$2:$L$135, 5, FALSE)-VLOOKUP(Games!#REF!, Data!$B$2:$L$135, 5, FALSE))*Coefficients!$E$2</f>
        <v>#REF!</v>
      </c>
      <c r="F316" t="e">
        <f>(VLOOKUP(Games!#REF!, Data!$B$2:$L$135, 6, FALSE)-VLOOKUP(Games!#REF!, Data!$B$2:$L$135, 6, FALSE))*Coefficients!$F$2</f>
        <v>#REF!</v>
      </c>
      <c r="G316" t="e">
        <f>(VLOOKUP(Games!#REF!, Data!$B$2:$L$135, 7, FALSE)-VLOOKUP(Games!#REF!, Data!$B$2:$L$135, 7, FALSE))*Coefficients!$G$2</f>
        <v>#REF!</v>
      </c>
      <c r="H316" t="e">
        <f>(VLOOKUP(Games!#REF!, Data!$B$2:$L$135, 8, FALSE)-VLOOKUP(Games!#REF!, Data!$B$2:$L$135, 8, FALSE))*Coefficients!$H$2</f>
        <v>#REF!</v>
      </c>
      <c r="I316" t="e">
        <f>(VLOOKUP(Games!#REF!, Data!$B$2:$L$135, 9, FALSE)-VLOOKUP(Games!#REF!, Data!$B$2:$L$135, 9, FALSE))*Coefficients!$I$2</f>
        <v>#REF!</v>
      </c>
      <c r="J316" t="e">
        <f>IF(ISBLANK(Data!K316), Games!#REF!-Games!#REF!,VLOOKUP(Games!#REF!, Data!$B$2:$L$135, 10, FALSE)-VLOOKUP(Games!#REF!, Data!$B$2:$L$135, 10, FALSE))*Coefficients!$J$2</f>
        <v>#REF!</v>
      </c>
      <c r="K316" t="e">
        <f>(IF(AND(VLOOKUP(Games!#REF!, Data!$B$2:$L$135, 11, FALSE)=1, VLOOKUP(Games!#REF!, Data!$B$2:$L$135, 11, FALSE)&lt;&gt;1), 1,0))*Coefficients!K$2</f>
        <v>#REF!</v>
      </c>
      <c r="L316" t="e">
        <f>(IF(AND(VLOOKUP(Games!#REF!, Data!$B$2:$L$135, 11, FALSE)&lt;&gt;1, VLOOKUP(Games!#REF!, Data!$B$2:$L$135, 11, FALSE)=1), 1,0))*Coefficients!L$2</f>
        <v>#REF!</v>
      </c>
      <c r="O316" t="e">
        <f t="shared" si="5"/>
        <v>#REF!</v>
      </c>
    </row>
    <row r="317">
      <c r="A317" t="n">
        <f>Coefficients!$A$2</f>
        <v>-3.7765953152866998</v>
      </c>
      <c r="B317" t="e">
        <f>(Games!#REF!)*(-1*Coefficients!$B$2)</f>
        <v>#REF!</v>
      </c>
      <c r="C317" t="e">
        <f>(VLOOKUP(Games!#REF!, Data!$B$2:$L$135, 4, FALSE)-VLOOKUP(Games!#REF!, Data!$B$2:$L$135, 4, FALSE))*Coefficients!$C$2</f>
        <v>#REF!</v>
      </c>
      <c r="D317" t="e">
        <f>(VLOOKUP(Games!#REF!, Data!$B$2:$L$135, 3, FALSE)-VLOOKUP(Games!#REF!, Data!$B$2:$L$135, 3, FALSE))*Coefficients!$D$2</f>
        <v>#REF!</v>
      </c>
      <c r="E317" t="e">
        <f>(VLOOKUP(Games!#REF!, Data!$B$2:$L$135, 5, FALSE)-VLOOKUP(Games!#REF!, Data!$B$2:$L$135, 5, FALSE))*Coefficients!$E$2</f>
        <v>#REF!</v>
      </c>
      <c r="F317" t="e">
        <f>(VLOOKUP(Games!#REF!, Data!$B$2:$L$135, 6, FALSE)-VLOOKUP(Games!#REF!, Data!$B$2:$L$135, 6, FALSE))*Coefficients!$F$2</f>
        <v>#REF!</v>
      </c>
      <c r="G317" t="e">
        <f>(VLOOKUP(Games!#REF!, Data!$B$2:$L$135, 7, FALSE)-VLOOKUP(Games!#REF!, Data!$B$2:$L$135, 7, FALSE))*Coefficients!$G$2</f>
        <v>#REF!</v>
      </c>
      <c r="H317" t="e">
        <f>(VLOOKUP(Games!#REF!, Data!$B$2:$L$135, 8, FALSE)-VLOOKUP(Games!#REF!, Data!$B$2:$L$135, 8, FALSE))*Coefficients!$H$2</f>
        <v>#REF!</v>
      </c>
      <c r="I317" t="e">
        <f>(VLOOKUP(Games!#REF!, Data!$B$2:$L$135, 9, FALSE)-VLOOKUP(Games!#REF!, Data!$B$2:$L$135, 9, FALSE))*Coefficients!$I$2</f>
        <v>#REF!</v>
      </c>
      <c r="J317" t="e">
        <f>IF(ISBLANK(Data!K317), Games!#REF!-Games!#REF!,VLOOKUP(Games!#REF!, Data!$B$2:$L$135, 10, FALSE)-VLOOKUP(Games!#REF!, Data!$B$2:$L$135, 10, FALSE))*Coefficients!$J$2</f>
        <v>#REF!</v>
      </c>
      <c r="K317" t="e">
        <f>(IF(AND(VLOOKUP(Games!#REF!, Data!$B$2:$L$135, 11, FALSE)=1, VLOOKUP(Games!#REF!, Data!$B$2:$L$135, 11, FALSE)&lt;&gt;1), 1,0))*Coefficients!K$2</f>
        <v>#REF!</v>
      </c>
      <c r="L317" t="e">
        <f>(IF(AND(VLOOKUP(Games!#REF!, Data!$B$2:$L$135, 11, FALSE)&lt;&gt;1, VLOOKUP(Games!#REF!, Data!$B$2:$L$135, 11, FALSE)=1), 1,0))*Coefficients!L$2</f>
        <v>#REF!</v>
      </c>
      <c r="O317" t="e">
        <f t="shared" si="5"/>
        <v>#REF!</v>
      </c>
    </row>
    <row r="318">
      <c r="A318" t="n">
        <f>Coefficients!$A$2</f>
        <v>-3.7765953152866998</v>
      </c>
      <c r="B318" t="e">
        <f>(Games!#REF!)*(-1*Coefficients!$B$2)</f>
        <v>#REF!</v>
      </c>
      <c r="C318" t="e">
        <f>(VLOOKUP(Games!#REF!, Data!$B$2:$L$135, 4, FALSE)-VLOOKUP(Games!#REF!, Data!$B$2:$L$135, 4, FALSE))*Coefficients!$C$2</f>
        <v>#REF!</v>
      </c>
      <c r="D318" t="e">
        <f>(VLOOKUP(Games!#REF!, Data!$B$2:$L$135, 3, FALSE)-VLOOKUP(Games!#REF!, Data!$B$2:$L$135, 3, FALSE))*Coefficients!$D$2</f>
        <v>#REF!</v>
      </c>
      <c r="E318" t="e">
        <f>(VLOOKUP(Games!#REF!, Data!$B$2:$L$135, 5, FALSE)-VLOOKUP(Games!#REF!, Data!$B$2:$L$135, 5, FALSE))*Coefficients!$E$2</f>
        <v>#REF!</v>
      </c>
      <c r="F318" t="e">
        <f>(VLOOKUP(Games!#REF!, Data!$B$2:$L$135, 6, FALSE)-VLOOKUP(Games!#REF!, Data!$B$2:$L$135, 6, FALSE))*Coefficients!$F$2</f>
        <v>#REF!</v>
      </c>
      <c r="G318" t="e">
        <f>(VLOOKUP(Games!#REF!, Data!$B$2:$L$135, 7, FALSE)-VLOOKUP(Games!#REF!, Data!$B$2:$L$135, 7, FALSE))*Coefficients!$G$2</f>
        <v>#REF!</v>
      </c>
      <c r="H318" t="e">
        <f>(VLOOKUP(Games!#REF!, Data!$B$2:$L$135, 8, FALSE)-VLOOKUP(Games!#REF!, Data!$B$2:$L$135, 8, FALSE))*Coefficients!$H$2</f>
        <v>#REF!</v>
      </c>
      <c r="I318" t="e">
        <f>(VLOOKUP(Games!#REF!, Data!$B$2:$L$135, 9, FALSE)-VLOOKUP(Games!#REF!, Data!$B$2:$L$135, 9, FALSE))*Coefficients!$I$2</f>
        <v>#REF!</v>
      </c>
      <c r="J318" t="e">
        <f>IF(ISBLANK(Data!K318), Games!#REF!-Games!#REF!,VLOOKUP(Games!#REF!, Data!$B$2:$L$135, 10, FALSE)-VLOOKUP(Games!#REF!, Data!$B$2:$L$135, 10, FALSE))*Coefficients!$J$2</f>
        <v>#REF!</v>
      </c>
      <c r="K318" t="e">
        <f>(IF(AND(VLOOKUP(Games!#REF!, Data!$B$2:$L$135, 11, FALSE)=1, VLOOKUP(Games!#REF!, Data!$B$2:$L$135, 11, FALSE)&lt;&gt;1), 1,0))*Coefficients!K$2</f>
        <v>#REF!</v>
      </c>
      <c r="L318" t="e">
        <f>(IF(AND(VLOOKUP(Games!#REF!, Data!$B$2:$L$135, 11, FALSE)&lt;&gt;1, VLOOKUP(Games!#REF!, Data!$B$2:$L$135, 11, FALSE)=1), 1,0))*Coefficients!L$2</f>
        <v>#REF!</v>
      </c>
      <c r="O318" t="e">
        <f t="shared" si="5"/>
        <v>#REF!</v>
      </c>
    </row>
    <row r="319">
      <c r="A319" t="n">
        <f>Coefficients!$A$2</f>
        <v>-3.7765953152866998</v>
      </c>
      <c r="B319" t="e">
        <f>(Games!#REF!)*(-1*Coefficients!$B$2)</f>
        <v>#REF!</v>
      </c>
      <c r="C319" t="e">
        <f>(VLOOKUP(Games!#REF!, Data!$B$2:$L$135, 4, FALSE)-VLOOKUP(Games!#REF!, Data!$B$2:$L$135, 4, FALSE))*Coefficients!$C$2</f>
        <v>#REF!</v>
      </c>
      <c r="D319" t="e">
        <f>(VLOOKUP(Games!#REF!, Data!$B$2:$L$135, 3, FALSE)-VLOOKUP(Games!#REF!, Data!$B$2:$L$135, 3, FALSE))*Coefficients!$D$2</f>
        <v>#REF!</v>
      </c>
      <c r="E319" t="e">
        <f>(VLOOKUP(Games!#REF!, Data!$B$2:$L$135, 5, FALSE)-VLOOKUP(Games!#REF!, Data!$B$2:$L$135, 5, FALSE))*Coefficients!$E$2</f>
        <v>#REF!</v>
      </c>
      <c r="F319" t="e">
        <f>(VLOOKUP(Games!#REF!, Data!$B$2:$L$135, 6, FALSE)-VLOOKUP(Games!#REF!, Data!$B$2:$L$135, 6, FALSE))*Coefficients!$F$2</f>
        <v>#REF!</v>
      </c>
      <c r="G319" t="e">
        <f>(VLOOKUP(Games!#REF!, Data!$B$2:$L$135, 7, FALSE)-VLOOKUP(Games!#REF!, Data!$B$2:$L$135, 7, FALSE))*Coefficients!$G$2</f>
        <v>#REF!</v>
      </c>
      <c r="H319" t="e">
        <f>(VLOOKUP(Games!#REF!, Data!$B$2:$L$135, 8, FALSE)-VLOOKUP(Games!#REF!, Data!$B$2:$L$135, 8, FALSE))*Coefficients!$H$2</f>
        <v>#REF!</v>
      </c>
      <c r="I319" t="e">
        <f>(VLOOKUP(Games!#REF!, Data!$B$2:$L$135, 9, FALSE)-VLOOKUP(Games!#REF!, Data!$B$2:$L$135, 9, FALSE))*Coefficients!$I$2</f>
        <v>#REF!</v>
      </c>
      <c r="J319" t="e">
        <f>IF(ISBLANK(Data!K319), Games!#REF!-Games!#REF!,VLOOKUP(Games!#REF!, Data!$B$2:$L$135, 10, FALSE)-VLOOKUP(Games!#REF!, Data!$B$2:$L$135, 10, FALSE))*Coefficients!$J$2</f>
        <v>#REF!</v>
      </c>
      <c r="K319" t="e">
        <f>(IF(AND(VLOOKUP(Games!#REF!, Data!$B$2:$L$135, 11, FALSE)=1, VLOOKUP(Games!#REF!, Data!$B$2:$L$135, 11, FALSE)&lt;&gt;1), 1,0))*Coefficients!K$2</f>
        <v>#REF!</v>
      </c>
      <c r="L319" t="e">
        <f>(IF(AND(VLOOKUP(Games!#REF!, Data!$B$2:$L$135, 11, FALSE)&lt;&gt;1, VLOOKUP(Games!#REF!, Data!$B$2:$L$135, 11, FALSE)=1), 1,0))*Coefficients!L$2</f>
        <v>#REF!</v>
      </c>
      <c r="O319" t="e">
        <f t="shared" si="5"/>
        <v>#REF!</v>
      </c>
    </row>
    <row r="320">
      <c r="A320" t="n">
        <f>Coefficients!$A$2</f>
        <v>-3.7765953152866998</v>
      </c>
      <c r="B320" t="e">
        <f>(Games!#REF!)*(-1*Coefficients!$B$2)</f>
        <v>#REF!</v>
      </c>
      <c r="C320" t="e">
        <f>(VLOOKUP(Games!#REF!, Data!$B$2:$L$135, 4, FALSE)-VLOOKUP(Games!#REF!, Data!$B$2:$L$135, 4, FALSE))*Coefficients!$C$2</f>
        <v>#REF!</v>
      </c>
      <c r="D320" t="e">
        <f>(VLOOKUP(Games!#REF!, Data!$B$2:$L$135, 3, FALSE)-VLOOKUP(Games!#REF!, Data!$B$2:$L$135, 3, FALSE))*Coefficients!$D$2</f>
        <v>#REF!</v>
      </c>
      <c r="E320" t="e">
        <f>(VLOOKUP(Games!#REF!, Data!$B$2:$L$135, 5, FALSE)-VLOOKUP(Games!#REF!, Data!$B$2:$L$135, 5, FALSE))*Coefficients!$E$2</f>
        <v>#REF!</v>
      </c>
      <c r="F320" t="e">
        <f>(VLOOKUP(Games!#REF!, Data!$B$2:$L$135, 6, FALSE)-VLOOKUP(Games!#REF!, Data!$B$2:$L$135, 6, FALSE))*Coefficients!$F$2</f>
        <v>#REF!</v>
      </c>
      <c r="G320" t="e">
        <f>(VLOOKUP(Games!#REF!, Data!$B$2:$L$135, 7, FALSE)-VLOOKUP(Games!#REF!, Data!$B$2:$L$135, 7, FALSE))*Coefficients!$G$2</f>
        <v>#REF!</v>
      </c>
      <c r="H320" t="e">
        <f>(VLOOKUP(Games!#REF!, Data!$B$2:$L$135, 8, FALSE)-VLOOKUP(Games!#REF!, Data!$B$2:$L$135, 8, FALSE))*Coefficients!$H$2</f>
        <v>#REF!</v>
      </c>
      <c r="I320" t="e">
        <f>(VLOOKUP(Games!#REF!, Data!$B$2:$L$135, 9, FALSE)-VLOOKUP(Games!#REF!, Data!$B$2:$L$135, 9, FALSE))*Coefficients!$I$2</f>
        <v>#REF!</v>
      </c>
      <c r="J320" t="e">
        <f>IF(ISBLANK(Data!K320), Games!#REF!-Games!#REF!,VLOOKUP(Games!#REF!, Data!$B$2:$L$135, 10, FALSE)-VLOOKUP(Games!#REF!, Data!$B$2:$L$135, 10, FALSE))*Coefficients!$J$2</f>
        <v>#REF!</v>
      </c>
      <c r="K320" t="e">
        <f>(IF(AND(VLOOKUP(Games!#REF!, Data!$B$2:$L$135, 11, FALSE)=1, VLOOKUP(Games!#REF!, Data!$B$2:$L$135, 11, FALSE)&lt;&gt;1), 1,0))*Coefficients!K$2</f>
        <v>#REF!</v>
      </c>
      <c r="L320" t="e">
        <f>(IF(AND(VLOOKUP(Games!#REF!, Data!$B$2:$L$135, 11, FALSE)&lt;&gt;1, VLOOKUP(Games!#REF!, Data!$B$2:$L$135, 11, FALSE)=1), 1,0))*Coefficients!L$2</f>
        <v>#REF!</v>
      </c>
      <c r="O320" t="e">
        <f t="shared" si="5"/>
        <v>#REF!</v>
      </c>
    </row>
    <row r="321">
      <c r="A321" t="n">
        <f>Coefficients!$A$2</f>
        <v>-3.7765953152866998</v>
      </c>
      <c r="B321" t="e">
        <f>(Games!#REF!)*(-1*Coefficients!$B$2)</f>
        <v>#REF!</v>
      </c>
      <c r="C321" t="e">
        <f>(VLOOKUP(Games!#REF!, Data!$B$2:$L$135, 4, FALSE)-VLOOKUP(Games!#REF!, Data!$B$2:$L$135, 4, FALSE))*Coefficients!$C$2</f>
        <v>#REF!</v>
      </c>
      <c r="D321" t="e">
        <f>(VLOOKUP(Games!#REF!, Data!$B$2:$L$135, 3, FALSE)-VLOOKUP(Games!#REF!, Data!$B$2:$L$135, 3, FALSE))*Coefficients!$D$2</f>
        <v>#REF!</v>
      </c>
      <c r="E321" t="e">
        <f>(VLOOKUP(Games!#REF!, Data!$B$2:$L$135, 5, FALSE)-VLOOKUP(Games!#REF!, Data!$B$2:$L$135, 5, FALSE))*Coefficients!$E$2</f>
        <v>#REF!</v>
      </c>
      <c r="F321" t="e">
        <f>(VLOOKUP(Games!#REF!, Data!$B$2:$L$135, 6, FALSE)-VLOOKUP(Games!#REF!, Data!$B$2:$L$135, 6, FALSE))*Coefficients!$F$2</f>
        <v>#REF!</v>
      </c>
      <c r="G321" t="e">
        <f>(VLOOKUP(Games!#REF!, Data!$B$2:$L$135, 7, FALSE)-VLOOKUP(Games!#REF!, Data!$B$2:$L$135, 7, FALSE))*Coefficients!$G$2</f>
        <v>#REF!</v>
      </c>
      <c r="H321" t="e">
        <f>(VLOOKUP(Games!#REF!, Data!$B$2:$L$135, 8, FALSE)-VLOOKUP(Games!#REF!, Data!$B$2:$L$135, 8, FALSE))*Coefficients!$H$2</f>
        <v>#REF!</v>
      </c>
      <c r="I321" t="e">
        <f>(VLOOKUP(Games!#REF!, Data!$B$2:$L$135, 9, FALSE)-VLOOKUP(Games!#REF!, Data!$B$2:$L$135, 9, FALSE))*Coefficients!$I$2</f>
        <v>#REF!</v>
      </c>
      <c r="J321" t="e">
        <f>IF(ISBLANK(Data!K321), Games!#REF!-Games!#REF!,VLOOKUP(Games!#REF!, Data!$B$2:$L$135, 10, FALSE)-VLOOKUP(Games!#REF!, Data!$B$2:$L$135, 10, FALSE))*Coefficients!$J$2</f>
        <v>#REF!</v>
      </c>
      <c r="K321" t="e">
        <f>(IF(AND(VLOOKUP(Games!#REF!, Data!$B$2:$L$135, 11, FALSE)=1, VLOOKUP(Games!#REF!, Data!$B$2:$L$135, 11, FALSE)&lt;&gt;1), 1,0))*Coefficients!K$2</f>
        <v>#REF!</v>
      </c>
      <c r="L321" t="e">
        <f>(IF(AND(VLOOKUP(Games!#REF!, Data!$B$2:$L$135, 11, FALSE)&lt;&gt;1, VLOOKUP(Games!#REF!, Data!$B$2:$L$135, 11, FALSE)=1), 1,0))*Coefficients!L$2</f>
        <v>#REF!</v>
      </c>
      <c r="O321" t="e">
        <f t="shared" si="5"/>
        <v>#REF!</v>
      </c>
    </row>
    <row r="322">
      <c r="A322" t="n">
        <f>Coefficients!$A$2</f>
        <v>-3.7765953152866998</v>
      </c>
      <c r="B322" t="e">
        <f>(Games!#REF!)*(-1*Coefficients!$B$2)</f>
        <v>#REF!</v>
      </c>
      <c r="C322" t="e">
        <f>(VLOOKUP(Games!#REF!, Data!$B$2:$L$135, 4, FALSE)-VLOOKUP(Games!#REF!, Data!$B$2:$L$135, 4, FALSE))*Coefficients!$C$2</f>
        <v>#REF!</v>
      </c>
      <c r="D322" t="e">
        <f>(VLOOKUP(Games!#REF!, Data!$B$2:$L$135, 3, FALSE)-VLOOKUP(Games!#REF!, Data!$B$2:$L$135, 3, FALSE))*Coefficients!$D$2</f>
        <v>#REF!</v>
      </c>
      <c r="E322" t="e">
        <f>(VLOOKUP(Games!#REF!, Data!$B$2:$L$135, 5, FALSE)-VLOOKUP(Games!#REF!, Data!$B$2:$L$135, 5, FALSE))*Coefficients!$E$2</f>
        <v>#REF!</v>
      </c>
      <c r="F322" t="e">
        <f>(VLOOKUP(Games!#REF!, Data!$B$2:$L$135, 6, FALSE)-VLOOKUP(Games!#REF!, Data!$B$2:$L$135, 6, FALSE))*Coefficients!$F$2</f>
        <v>#REF!</v>
      </c>
      <c r="G322" t="e">
        <f>(VLOOKUP(Games!#REF!, Data!$B$2:$L$135, 7, FALSE)-VLOOKUP(Games!#REF!, Data!$B$2:$L$135, 7, FALSE))*Coefficients!$G$2</f>
        <v>#REF!</v>
      </c>
      <c r="H322" t="e">
        <f>(VLOOKUP(Games!#REF!, Data!$B$2:$L$135, 8, FALSE)-VLOOKUP(Games!#REF!, Data!$B$2:$L$135, 8, FALSE))*Coefficients!$H$2</f>
        <v>#REF!</v>
      </c>
      <c r="I322" t="e">
        <f>(VLOOKUP(Games!#REF!, Data!$B$2:$L$135, 9, FALSE)-VLOOKUP(Games!#REF!, Data!$B$2:$L$135, 9, FALSE))*Coefficients!$I$2</f>
        <v>#REF!</v>
      </c>
      <c r="J322" t="e">
        <f>IF(ISBLANK(Data!K322), Games!#REF!-Games!#REF!,VLOOKUP(Games!#REF!, Data!$B$2:$L$135, 10, FALSE)-VLOOKUP(Games!#REF!, Data!$B$2:$L$135, 10, FALSE))*Coefficients!$J$2</f>
        <v>#REF!</v>
      </c>
      <c r="K322" t="e">
        <f>(IF(AND(VLOOKUP(Games!#REF!, Data!$B$2:$L$135, 11, FALSE)=1, VLOOKUP(Games!#REF!, Data!$B$2:$L$135, 11, FALSE)&lt;&gt;1), 1,0))*Coefficients!K$2</f>
        <v>#REF!</v>
      </c>
      <c r="L322" t="e">
        <f>(IF(AND(VLOOKUP(Games!#REF!, Data!$B$2:$L$135, 11, FALSE)&lt;&gt;1, VLOOKUP(Games!#REF!, Data!$B$2:$L$135, 11, FALSE)=1), 1,0))*Coefficients!L$2</f>
        <v>#REF!</v>
      </c>
      <c r="O322" t="e">
        <f t="shared" si="5"/>
        <v>#REF!</v>
      </c>
    </row>
    <row r="323">
      <c r="A323" t="n">
        <f>Coefficients!$A$2</f>
        <v>-3.7765953152866998</v>
      </c>
      <c r="B323" t="e">
        <f>(Games!#REF!)*(-1*Coefficients!$B$2)</f>
        <v>#REF!</v>
      </c>
      <c r="C323" t="e">
        <f>(VLOOKUP(Games!#REF!, Data!$B$2:$L$135, 4, FALSE)-VLOOKUP(Games!#REF!, Data!$B$2:$L$135, 4, FALSE))*Coefficients!$C$2</f>
        <v>#REF!</v>
      </c>
      <c r="D323" t="e">
        <f>(VLOOKUP(Games!#REF!, Data!$B$2:$L$135, 3, FALSE)-VLOOKUP(Games!#REF!, Data!$B$2:$L$135, 3, FALSE))*Coefficients!$D$2</f>
        <v>#REF!</v>
      </c>
      <c r="E323" t="e">
        <f>(VLOOKUP(Games!#REF!, Data!$B$2:$L$135, 5, FALSE)-VLOOKUP(Games!#REF!, Data!$B$2:$L$135, 5, FALSE))*Coefficients!$E$2</f>
        <v>#REF!</v>
      </c>
      <c r="F323" t="e">
        <f>(VLOOKUP(Games!#REF!, Data!$B$2:$L$135, 6, FALSE)-VLOOKUP(Games!#REF!, Data!$B$2:$L$135, 6, FALSE))*Coefficients!$F$2</f>
        <v>#REF!</v>
      </c>
      <c r="G323" t="e">
        <f>(VLOOKUP(Games!#REF!, Data!$B$2:$L$135, 7, FALSE)-VLOOKUP(Games!#REF!, Data!$B$2:$L$135, 7, FALSE))*Coefficients!$G$2</f>
        <v>#REF!</v>
      </c>
      <c r="H323" t="e">
        <f>(VLOOKUP(Games!#REF!, Data!$B$2:$L$135, 8, FALSE)-VLOOKUP(Games!#REF!, Data!$B$2:$L$135, 8, FALSE))*Coefficients!$H$2</f>
        <v>#REF!</v>
      </c>
      <c r="I323" t="e">
        <f>(VLOOKUP(Games!#REF!, Data!$B$2:$L$135, 9, FALSE)-VLOOKUP(Games!#REF!, Data!$B$2:$L$135, 9, FALSE))*Coefficients!$I$2</f>
        <v>#REF!</v>
      </c>
      <c r="J323" t="e">
        <f>IF(ISBLANK(Data!K323), Games!#REF!-Games!#REF!,VLOOKUP(Games!#REF!, Data!$B$2:$L$135, 10, FALSE)-VLOOKUP(Games!#REF!, Data!$B$2:$L$135, 10, FALSE))*Coefficients!$J$2</f>
        <v>#REF!</v>
      </c>
      <c r="K323" t="e">
        <f>(IF(AND(VLOOKUP(Games!#REF!, Data!$B$2:$L$135, 11, FALSE)=1, VLOOKUP(Games!#REF!, Data!$B$2:$L$135, 11, FALSE)&lt;&gt;1), 1,0))*Coefficients!K$2</f>
        <v>#REF!</v>
      </c>
      <c r="L323" t="e">
        <f>(IF(AND(VLOOKUP(Games!#REF!, Data!$B$2:$L$135, 11, FALSE)&lt;&gt;1, VLOOKUP(Games!#REF!, Data!$B$2:$L$135, 11, FALSE)=1), 1,0))*Coefficients!L$2</f>
        <v>#REF!</v>
      </c>
      <c r="O323" t="e">
        <f t="shared" ref="O323:O386" si="6">SUM(A323:L323)</f>
        <v>#REF!</v>
      </c>
    </row>
    <row r="324">
      <c r="A324" t="n">
        <f>Coefficients!$A$2</f>
        <v>-3.7765953152866998</v>
      </c>
      <c r="B324" t="e">
        <f>(Games!#REF!)*(-1*Coefficients!$B$2)</f>
        <v>#REF!</v>
      </c>
      <c r="C324" t="e">
        <f>(VLOOKUP(Games!#REF!, Data!$B$2:$L$135, 4, FALSE)-VLOOKUP(Games!#REF!, Data!$B$2:$L$135, 4, FALSE))*Coefficients!$C$2</f>
        <v>#REF!</v>
      </c>
      <c r="D324" t="e">
        <f>(VLOOKUP(Games!#REF!, Data!$B$2:$L$135, 3, FALSE)-VLOOKUP(Games!#REF!, Data!$B$2:$L$135, 3, FALSE))*Coefficients!$D$2</f>
        <v>#REF!</v>
      </c>
      <c r="E324" t="e">
        <f>(VLOOKUP(Games!#REF!, Data!$B$2:$L$135, 5, FALSE)-VLOOKUP(Games!#REF!, Data!$B$2:$L$135, 5, FALSE))*Coefficients!$E$2</f>
        <v>#REF!</v>
      </c>
      <c r="F324" t="e">
        <f>(VLOOKUP(Games!#REF!, Data!$B$2:$L$135, 6, FALSE)-VLOOKUP(Games!#REF!, Data!$B$2:$L$135, 6, FALSE))*Coefficients!$F$2</f>
        <v>#REF!</v>
      </c>
      <c r="G324" t="e">
        <f>(VLOOKUP(Games!#REF!, Data!$B$2:$L$135, 7, FALSE)-VLOOKUP(Games!#REF!, Data!$B$2:$L$135, 7, FALSE))*Coefficients!$G$2</f>
        <v>#REF!</v>
      </c>
      <c r="H324" t="e">
        <f>(VLOOKUP(Games!#REF!, Data!$B$2:$L$135, 8, FALSE)-VLOOKUP(Games!#REF!, Data!$B$2:$L$135, 8, FALSE))*Coefficients!$H$2</f>
        <v>#REF!</v>
      </c>
      <c r="I324" t="e">
        <f>(VLOOKUP(Games!#REF!, Data!$B$2:$L$135, 9, FALSE)-VLOOKUP(Games!#REF!, Data!$B$2:$L$135, 9, FALSE))*Coefficients!$I$2</f>
        <v>#REF!</v>
      </c>
      <c r="J324" t="e">
        <f>IF(ISBLANK(Data!K324), Games!#REF!-Games!#REF!,VLOOKUP(Games!#REF!, Data!$B$2:$L$135, 10, FALSE)-VLOOKUP(Games!#REF!, Data!$B$2:$L$135, 10, FALSE))*Coefficients!$J$2</f>
        <v>#REF!</v>
      </c>
      <c r="K324" t="e">
        <f>(IF(AND(VLOOKUP(Games!#REF!, Data!$B$2:$L$135, 11, FALSE)=1, VLOOKUP(Games!#REF!, Data!$B$2:$L$135, 11, FALSE)&lt;&gt;1), 1,0))*Coefficients!K$2</f>
        <v>#REF!</v>
      </c>
      <c r="L324" t="e">
        <f>(IF(AND(VLOOKUP(Games!#REF!, Data!$B$2:$L$135, 11, FALSE)&lt;&gt;1, VLOOKUP(Games!#REF!, Data!$B$2:$L$135, 11, FALSE)=1), 1,0))*Coefficients!L$2</f>
        <v>#REF!</v>
      </c>
      <c r="O324" t="e">
        <f t="shared" si="6"/>
        <v>#REF!</v>
      </c>
    </row>
    <row r="325">
      <c r="A325" t="n">
        <f>Coefficients!$A$2</f>
        <v>-3.7765953152866998</v>
      </c>
      <c r="B325" t="e">
        <f>(Games!#REF!)*(-1*Coefficients!$B$2)</f>
        <v>#REF!</v>
      </c>
      <c r="C325" t="e">
        <f>(VLOOKUP(Games!#REF!, Data!$B$2:$L$135, 4, FALSE)-VLOOKUP(Games!#REF!, Data!$B$2:$L$135, 4, FALSE))*Coefficients!$C$2</f>
        <v>#REF!</v>
      </c>
      <c r="D325" t="e">
        <f>(VLOOKUP(Games!#REF!, Data!$B$2:$L$135, 3, FALSE)-VLOOKUP(Games!#REF!, Data!$B$2:$L$135, 3, FALSE))*Coefficients!$D$2</f>
        <v>#REF!</v>
      </c>
      <c r="E325" t="e">
        <f>(VLOOKUP(Games!#REF!, Data!$B$2:$L$135, 5, FALSE)-VLOOKUP(Games!#REF!, Data!$B$2:$L$135, 5, FALSE))*Coefficients!$E$2</f>
        <v>#REF!</v>
      </c>
      <c r="F325" t="e">
        <f>(VLOOKUP(Games!#REF!, Data!$B$2:$L$135, 6, FALSE)-VLOOKUP(Games!#REF!, Data!$B$2:$L$135, 6, FALSE))*Coefficients!$F$2</f>
        <v>#REF!</v>
      </c>
      <c r="G325" t="e">
        <f>(VLOOKUP(Games!#REF!, Data!$B$2:$L$135, 7, FALSE)-VLOOKUP(Games!#REF!, Data!$B$2:$L$135, 7, FALSE))*Coefficients!$G$2</f>
        <v>#REF!</v>
      </c>
      <c r="H325" t="e">
        <f>(VLOOKUP(Games!#REF!, Data!$B$2:$L$135, 8, FALSE)-VLOOKUP(Games!#REF!, Data!$B$2:$L$135, 8, FALSE))*Coefficients!$H$2</f>
        <v>#REF!</v>
      </c>
      <c r="I325" t="e">
        <f>(VLOOKUP(Games!#REF!, Data!$B$2:$L$135, 9, FALSE)-VLOOKUP(Games!#REF!, Data!$B$2:$L$135, 9, FALSE))*Coefficients!$I$2</f>
        <v>#REF!</v>
      </c>
      <c r="J325" t="e">
        <f>IF(ISBLANK(Data!K325), Games!#REF!-Games!#REF!,VLOOKUP(Games!#REF!, Data!$B$2:$L$135, 10, FALSE)-VLOOKUP(Games!#REF!, Data!$B$2:$L$135, 10, FALSE))*Coefficients!$J$2</f>
        <v>#REF!</v>
      </c>
      <c r="K325" t="e">
        <f>(IF(AND(VLOOKUP(Games!#REF!, Data!$B$2:$L$135, 11, FALSE)=1, VLOOKUP(Games!#REF!, Data!$B$2:$L$135, 11, FALSE)&lt;&gt;1), 1,0))*Coefficients!K$2</f>
        <v>#REF!</v>
      </c>
      <c r="L325" t="e">
        <f>(IF(AND(VLOOKUP(Games!#REF!, Data!$B$2:$L$135, 11, FALSE)&lt;&gt;1, VLOOKUP(Games!#REF!, Data!$B$2:$L$135, 11, FALSE)=1), 1,0))*Coefficients!L$2</f>
        <v>#REF!</v>
      </c>
      <c r="O325" t="e">
        <f t="shared" si="6"/>
        <v>#REF!</v>
      </c>
    </row>
    <row r="326">
      <c r="A326" t="n">
        <f>Coefficients!$A$2</f>
        <v>-3.7765953152866998</v>
      </c>
      <c r="B326" t="e">
        <f>(Games!#REF!)*(-1*Coefficients!$B$2)</f>
        <v>#REF!</v>
      </c>
      <c r="C326" t="e">
        <f>(VLOOKUP(Games!#REF!, Data!$B$2:$L$135, 4, FALSE)-VLOOKUP(Games!#REF!, Data!$B$2:$L$135, 4, FALSE))*Coefficients!$C$2</f>
        <v>#REF!</v>
      </c>
      <c r="D326" t="e">
        <f>(VLOOKUP(Games!#REF!, Data!$B$2:$L$135, 3, FALSE)-VLOOKUP(Games!#REF!, Data!$B$2:$L$135, 3, FALSE))*Coefficients!$D$2</f>
        <v>#REF!</v>
      </c>
      <c r="E326" t="e">
        <f>(VLOOKUP(Games!#REF!, Data!$B$2:$L$135, 5, FALSE)-VLOOKUP(Games!#REF!, Data!$B$2:$L$135, 5, FALSE))*Coefficients!$E$2</f>
        <v>#REF!</v>
      </c>
      <c r="F326" t="e">
        <f>(VLOOKUP(Games!#REF!, Data!$B$2:$L$135, 6, FALSE)-VLOOKUP(Games!#REF!, Data!$B$2:$L$135, 6, FALSE))*Coefficients!$F$2</f>
        <v>#REF!</v>
      </c>
      <c r="G326" t="e">
        <f>(VLOOKUP(Games!#REF!, Data!$B$2:$L$135, 7, FALSE)-VLOOKUP(Games!#REF!, Data!$B$2:$L$135, 7, FALSE))*Coefficients!$G$2</f>
        <v>#REF!</v>
      </c>
      <c r="H326" t="e">
        <f>(VLOOKUP(Games!#REF!, Data!$B$2:$L$135, 8, FALSE)-VLOOKUP(Games!#REF!, Data!$B$2:$L$135, 8, FALSE))*Coefficients!$H$2</f>
        <v>#REF!</v>
      </c>
      <c r="I326" t="e">
        <f>(VLOOKUP(Games!#REF!, Data!$B$2:$L$135, 9, FALSE)-VLOOKUP(Games!#REF!, Data!$B$2:$L$135, 9, FALSE))*Coefficients!$I$2</f>
        <v>#REF!</v>
      </c>
      <c r="J326" t="e">
        <f>IF(ISBLANK(Data!K326), Games!#REF!-Games!#REF!,VLOOKUP(Games!#REF!, Data!$B$2:$L$135, 10, FALSE)-VLOOKUP(Games!#REF!, Data!$B$2:$L$135, 10, FALSE))*Coefficients!$J$2</f>
        <v>#REF!</v>
      </c>
      <c r="K326" t="e">
        <f>(IF(AND(VLOOKUP(Games!#REF!, Data!$B$2:$L$135, 11, FALSE)=1, VLOOKUP(Games!#REF!, Data!$B$2:$L$135, 11, FALSE)&lt;&gt;1), 1,0))*Coefficients!K$2</f>
        <v>#REF!</v>
      </c>
      <c r="L326" t="e">
        <f>(IF(AND(VLOOKUP(Games!#REF!, Data!$B$2:$L$135, 11, FALSE)&lt;&gt;1, VLOOKUP(Games!#REF!, Data!$B$2:$L$135, 11, FALSE)=1), 1,0))*Coefficients!L$2</f>
        <v>#REF!</v>
      </c>
      <c r="O326" t="e">
        <f t="shared" si="6"/>
        <v>#REF!</v>
      </c>
    </row>
    <row r="327">
      <c r="A327" t="n">
        <f>Coefficients!$A$2</f>
        <v>-3.7765953152866998</v>
      </c>
      <c r="B327" t="e">
        <f>(Games!#REF!)*(-1*Coefficients!$B$2)</f>
        <v>#REF!</v>
      </c>
      <c r="C327" t="e">
        <f>(VLOOKUP(Games!#REF!, Data!$B$2:$L$135, 4, FALSE)-VLOOKUP(Games!#REF!, Data!$B$2:$L$135, 4, FALSE))*Coefficients!$C$2</f>
        <v>#REF!</v>
      </c>
      <c r="D327" t="e">
        <f>(VLOOKUP(Games!#REF!, Data!$B$2:$L$135, 3, FALSE)-VLOOKUP(Games!#REF!, Data!$B$2:$L$135, 3, FALSE))*Coefficients!$D$2</f>
        <v>#REF!</v>
      </c>
      <c r="E327" t="e">
        <f>(VLOOKUP(Games!#REF!, Data!$B$2:$L$135, 5, FALSE)-VLOOKUP(Games!#REF!, Data!$B$2:$L$135, 5, FALSE))*Coefficients!$E$2</f>
        <v>#REF!</v>
      </c>
      <c r="F327" t="e">
        <f>(VLOOKUP(Games!#REF!, Data!$B$2:$L$135, 6, FALSE)-VLOOKUP(Games!#REF!, Data!$B$2:$L$135, 6, FALSE))*Coefficients!$F$2</f>
        <v>#REF!</v>
      </c>
      <c r="G327" t="e">
        <f>(VLOOKUP(Games!#REF!, Data!$B$2:$L$135, 7, FALSE)-VLOOKUP(Games!#REF!, Data!$B$2:$L$135, 7, FALSE))*Coefficients!$G$2</f>
        <v>#REF!</v>
      </c>
      <c r="H327" t="e">
        <f>(VLOOKUP(Games!#REF!, Data!$B$2:$L$135, 8, FALSE)-VLOOKUP(Games!#REF!, Data!$B$2:$L$135, 8, FALSE))*Coefficients!$H$2</f>
        <v>#REF!</v>
      </c>
      <c r="I327" t="e">
        <f>(VLOOKUP(Games!#REF!, Data!$B$2:$L$135, 9, FALSE)-VLOOKUP(Games!#REF!, Data!$B$2:$L$135, 9, FALSE))*Coefficients!$I$2</f>
        <v>#REF!</v>
      </c>
      <c r="J327" t="e">
        <f>IF(ISBLANK(Data!K327), Games!#REF!-Games!#REF!,VLOOKUP(Games!#REF!, Data!$B$2:$L$135, 10, FALSE)-VLOOKUP(Games!#REF!, Data!$B$2:$L$135, 10, FALSE))*Coefficients!$J$2</f>
        <v>#REF!</v>
      </c>
      <c r="K327" t="e">
        <f>(IF(AND(VLOOKUP(Games!#REF!, Data!$B$2:$L$135, 11, FALSE)=1, VLOOKUP(Games!#REF!, Data!$B$2:$L$135, 11, FALSE)&lt;&gt;1), 1,0))*Coefficients!K$2</f>
        <v>#REF!</v>
      </c>
      <c r="L327" t="e">
        <f>(IF(AND(VLOOKUP(Games!#REF!, Data!$B$2:$L$135, 11, FALSE)&lt;&gt;1, VLOOKUP(Games!#REF!, Data!$B$2:$L$135, 11, FALSE)=1), 1,0))*Coefficients!L$2</f>
        <v>#REF!</v>
      </c>
      <c r="O327" t="e">
        <f t="shared" si="6"/>
        <v>#REF!</v>
      </c>
    </row>
    <row r="328">
      <c r="A328" t="n">
        <f>Coefficients!$A$2</f>
        <v>-3.7765953152866998</v>
      </c>
      <c r="B328" t="e">
        <f>(Games!#REF!)*(-1*Coefficients!$B$2)</f>
        <v>#REF!</v>
      </c>
      <c r="C328" t="e">
        <f>(VLOOKUP(Games!#REF!, Data!$B$2:$L$135, 4, FALSE)-VLOOKUP(Games!#REF!, Data!$B$2:$L$135, 4, FALSE))*Coefficients!$C$2</f>
        <v>#REF!</v>
      </c>
      <c r="D328" t="e">
        <f>(VLOOKUP(Games!#REF!, Data!$B$2:$L$135, 3, FALSE)-VLOOKUP(Games!#REF!, Data!$B$2:$L$135, 3, FALSE))*Coefficients!$D$2</f>
        <v>#REF!</v>
      </c>
      <c r="E328" t="e">
        <f>(VLOOKUP(Games!#REF!, Data!$B$2:$L$135, 5, FALSE)-VLOOKUP(Games!#REF!, Data!$B$2:$L$135, 5, FALSE))*Coefficients!$E$2</f>
        <v>#REF!</v>
      </c>
      <c r="F328" t="e">
        <f>(VLOOKUP(Games!#REF!, Data!$B$2:$L$135, 6, FALSE)-VLOOKUP(Games!#REF!, Data!$B$2:$L$135, 6, FALSE))*Coefficients!$F$2</f>
        <v>#REF!</v>
      </c>
      <c r="G328" t="e">
        <f>(VLOOKUP(Games!#REF!, Data!$B$2:$L$135, 7, FALSE)-VLOOKUP(Games!#REF!, Data!$B$2:$L$135, 7, FALSE))*Coefficients!$G$2</f>
        <v>#REF!</v>
      </c>
      <c r="H328" t="e">
        <f>(VLOOKUP(Games!#REF!, Data!$B$2:$L$135, 8, FALSE)-VLOOKUP(Games!#REF!, Data!$B$2:$L$135, 8, FALSE))*Coefficients!$H$2</f>
        <v>#REF!</v>
      </c>
      <c r="I328" t="e">
        <f>(VLOOKUP(Games!#REF!, Data!$B$2:$L$135, 9, FALSE)-VLOOKUP(Games!#REF!, Data!$B$2:$L$135, 9, FALSE))*Coefficients!$I$2</f>
        <v>#REF!</v>
      </c>
      <c r="J328" t="e">
        <f>IF(ISBLANK(Data!K328), Games!#REF!-Games!#REF!,VLOOKUP(Games!#REF!, Data!$B$2:$L$135, 10, FALSE)-VLOOKUP(Games!#REF!, Data!$B$2:$L$135, 10, FALSE))*Coefficients!$J$2</f>
        <v>#REF!</v>
      </c>
      <c r="K328" t="e">
        <f>(IF(AND(VLOOKUP(Games!#REF!, Data!$B$2:$L$135, 11, FALSE)=1, VLOOKUP(Games!#REF!, Data!$B$2:$L$135, 11, FALSE)&lt;&gt;1), 1,0))*Coefficients!K$2</f>
        <v>#REF!</v>
      </c>
      <c r="L328" t="e">
        <f>(IF(AND(VLOOKUP(Games!#REF!, Data!$B$2:$L$135, 11, FALSE)&lt;&gt;1, VLOOKUP(Games!#REF!, Data!$B$2:$L$135, 11, FALSE)=1), 1,0))*Coefficients!L$2</f>
        <v>#REF!</v>
      </c>
      <c r="O328" t="e">
        <f t="shared" si="6"/>
        <v>#REF!</v>
      </c>
    </row>
    <row r="329">
      <c r="A329" t="n">
        <f>Coefficients!$A$2</f>
        <v>-3.7765953152866998</v>
      </c>
      <c r="B329" t="e">
        <f>(Games!#REF!)*(-1*Coefficients!$B$2)</f>
        <v>#REF!</v>
      </c>
      <c r="C329" t="e">
        <f>(VLOOKUP(Games!#REF!, Data!$B$2:$L$135, 4, FALSE)-VLOOKUP(Games!#REF!, Data!$B$2:$L$135, 4, FALSE))*Coefficients!$C$2</f>
        <v>#REF!</v>
      </c>
      <c r="D329" t="e">
        <f>(VLOOKUP(Games!#REF!, Data!$B$2:$L$135, 3, FALSE)-VLOOKUP(Games!#REF!, Data!$B$2:$L$135, 3, FALSE))*Coefficients!$D$2</f>
        <v>#REF!</v>
      </c>
      <c r="E329" t="e">
        <f>(VLOOKUP(Games!#REF!, Data!$B$2:$L$135, 5, FALSE)-VLOOKUP(Games!#REF!, Data!$B$2:$L$135, 5, FALSE))*Coefficients!$E$2</f>
        <v>#REF!</v>
      </c>
      <c r="F329" t="e">
        <f>(VLOOKUP(Games!#REF!, Data!$B$2:$L$135, 6, FALSE)-VLOOKUP(Games!#REF!, Data!$B$2:$L$135, 6, FALSE))*Coefficients!$F$2</f>
        <v>#REF!</v>
      </c>
      <c r="G329" t="e">
        <f>(VLOOKUP(Games!#REF!, Data!$B$2:$L$135, 7, FALSE)-VLOOKUP(Games!#REF!, Data!$B$2:$L$135, 7, FALSE))*Coefficients!$G$2</f>
        <v>#REF!</v>
      </c>
      <c r="H329" t="e">
        <f>(VLOOKUP(Games!#REF!, Data!$B$2:$L$135, 8, FALSE)-VLOOKUP(Games!#REF!, Data!$B$2:$L$135, 8, FALSE))*Coefficients!$H$2</f>
        <v>#REF!</v>
      </c>
      <c r="I329" t="e">
        <f>(VLOOKUP(Games!#REF!, Data!$B$2:$L$135, 9, FALSE)-VLOOKUP(Games!#REF!, Data!$B$2:$L$135, 9, FALSE))*Coefficients!$I$2</f>
        <v>#REF!</v>
      </c>
      <c r="J329" t="e">
        <f>IF(ISBLANK(Data!K329), Games!#REF!-Games!#REF!,VLOOKUP(Games!#REF!, Data!$B$2:$L$135, 10, FALSE)-VLOOKUP(Games!#REF!, Data!$B$2:$L$135, 10, FALSE))*Coefficients!$J$2</f>
        <v>#REF!</v>
      </c>
      <c r="K329" t="e">
        <f>(IF(AND(VLOOKUP(Games!#REF!, Data!$B$2:$L$135, 11, FALSE)=1, VLOOKUP(Games!#REF!, Data!$B$2:$L$135, 11, FALSE)&lt;&gt;1), 1,0))*Coefficients!K$2</f>
        <v>#REF!</v>
      </c>
      <c r="L329" t="e">
        <f>(IF(AND(VLOOKUP(Games!#REF!, Data!$B$2:$L$135, 11, FALSE)&lt;&gt;1, VLOOKUP(Games!#REF!, Data!$B$2:$L$135, 11, FALSE)=1), 1,0))*Coefficients!L$2</f>
        <v>#REF!</v>
      </c>
      <c r="O329" t="e">
        <f t="shared" si="6"/>
        <v>#REF!</v>
      </c>
    </row>
    <row r="330">
      <c r="A330" t="n">
        <f>Coefficients!$A$2</f>
        <v>-3.7765953152866998</v>
      </c>
      <c r="B330" t="e">
        <f>(Games!#REF!)*(-1*Coefficients!$B$2)</f>
        <v>#REF!</v>
      </c>
      <c r="C330" t="e">
        <f>(VLOOKUP(Games!#REF!, Data!$B$2:$L$135, 4, FALSE)-VLOOKUP(Games!#REF!, Data!$B$2:$L$135, 4, FALSE))*Coefficients!$C$2</f>
        <v>#REF!</v>
      </c>
      <c r="D330" t="e">
        <f>(VLOOKUP(Games!#REF!, Data!$B$2:$L$135, 3, FALSE)-VLOOKUP(Games!#REF!, Data!$B$2:$L$135, 3, FALSE))*Coefficients!$D$2</f>
        <v>#REF!</v>
      </c>
      <c r="E330" t="e">
        <f>(VLOOKUP(Games!#REF!, Data!$B$2:$L$135, 5, FALSE)-VLOOKUP(Games!#REF!, Data!$B$2:$L$135, 5, FALSE))*Coefficients!$E$2</f>
        <v>#REF!</v>
      </c>
      <c r="F330" t="e">
        <f>(VLOOKUP(Games!#REF!, Data!$B$2:$L$135, 6, FALSE)-VLOOKUP(Games!#REF!, Data!$B$2:$L$135, 6, FALSE))*Coefficients!$F$2</f>
        <v>#REF!</v>
      </c>
      <c r="G330" t="e">
        <f>(VLOOKUP(Games!#REF!, Data!$B$2:$L$135, 7, FALSE)-VLOOKUP(Games!#REF!, Data!$B$2:$L$135, 7, FALSE))*Coefficients!$G$2</f>
        <v>#REF!</v>
      </c>
      <c r="H330" t="e">
        <f>(VLOOKUP(Games!#REF!, Data!$B$2:$L$135, 8, FALSE)-VLOOKUP(Games!#REF!, Data!$B$2:$L$135, 8, FALSE))*Coefficients!$H$2</f>
        <v>#REF!</v>
      </c>
      <c r="I330" t="e">
        <f>(VLOOKUP(Games!#REF!, Data!$B$2:$L$135, 9, FALSE)-VLOOKUP(Games!#REF!, Data!$B$2:$L$135, 9, FALSE))*Coefficients!$I$2</f>
        <v>#REF!</v>
      </c>
      <c r="J330" t="e">
        <f>IF(ISBLANK(Data!K330), Games!#REF!-Games!#REF!,VLOOKUP(Games!#REF!, Data!$B$2:$L$135, 10, FALSE)-VLOOKUP(Games!#REF!, Data!$B$2:$L$135, 10, FALSE))*Coefficients!$J$2</f>
        <v>#REF!</v>
      </c>
      <c r="K330" t="e">
        <f>(IF(AND(VLOOKUP(Games!#REF!, Data!$B$2:$L$135, 11, FALSE)=1, VLOOKUP(Games!#REF!, Data!$B$2:$L$135, 11, FALSE)&lt;&gt;1), 1,0))*Coefficients!K$2</f>
        <v>#REF!</v>
      </c>
      <c r="L330" t="e">
        <f>(IF(AND(VLOOKUP(Games!#REF!, Data!$B$2:$L$135, 11, FALSE)&lt;&gt;1, VLOOKUP(Games!#REF!, Data!$B$2:$L$135, 11, FALSE)=1), 1,0))*Coefficients!L$2</f>
        <v>#REF!</v>
      </c>
      <c r="O330" t="e">
        <f t="shared" si="6"/>
        <v>#REF!</v>
      </c>
    </row>
    <row r="331">
      <c r="A331" t="n">
        <f>Coefficients!$A$2</f>
        <v>-3.7765953152866998</v>
      </c>
      <c r="B331" t="e">
        <f>(Games!#REF!)*(-1*Coefficients!$B$2)</f>
        <v>#REF!</v>
      </c>
      <c r="C331" t="e">
        <f>(VLOOKUP(Games!#REF!, Data!$B$2:$L$135, 4, FALSE)-VLOOKUP(Games!#REF!, Data!$B$2:$L$135, 4, FALSE))*Coefficients!$C$2</f>
        <v>#REF!</v>
      </c>
      <c r="D331" t="e">
        <f>(VLOOKUP(Games!#REF!, Data!$B$2:$L$135, 3, FALSE)-VLOOKUP(Games!#REF!, Data!$B$2:$L$135, 3, FALSE))*Coefficients!$D$2</f>
        <v>#REF!</v>
      </c>
      <c r="E331" t="e">
        <f>(VLOOKUP(Games!#REF!, Data!$B$2:$L$135, 5, FALSE)-VLOOKUP(Games!#REF!, Data!$B$2:$L$135, 5, FALSE))*Coefficients!$E$2</f>
        <v>#REF!</v>
      </c>
      <c r="F331" t="e">
        <f>(VLOOKUP(Games!#REF!, Data!$B$2:$L$135, 6, FALSE)-VLOOKUP(Games!#REF!, Data!$B$2:$L$135, 6, FALSE))*Coefficients!$F$2</f>
        <v>#REF!</v>
      </c>
      <c r="G331" t="e">
        <f>(VLOOKUP(Games!#REF!, Data!$B$2:$L$135, 7, FALSE)-VLOOKUP(Games!#REF!, Data!$B$2:$L$135, 7, FALSE))*Coefficients!$G$2</f>
        <v>#REF!</v>
      </c>
      <c r="H331" t="e">
        <f>(VLOOKUP(Games!#REF!, Data!$B$2:$L$135, 8, FALSE)-VLOOKUP(Games!#REF!, Data!$B$2:$L$135, 8, FALSE))*Coefficients!$H$2</f>
        <v>#REF!</v>
      </c>
      <c r="I331" t="e">
        <f>(VLOOKUP(Games!#REF!, Data!$B$2:$L$135, 9, FALSE)-VLOOKUP(Games!#REF!, Data!$B$2:$L$135, 9, FALSE))*Coefficients!$I$2</f>
        <v>#REF!</v>
      </c>
      <c r="J331" t="e">
        <f>IF(ISBLANK(Data!K331), Games!#REF!-Games!#REF!,VLOOKUP(Games!#REF!, Data!$B$2:$L$135, 10, FALSE)-VLOOKUP(Games!#REF!, Data!$B$2:$L$135, 10, FALSE))*Coefficients!$J$2</f>
        <v>#REF!</v>
      </c>
      <c r="K331" t="e">
        <f>(IF(AND(VLOOKUP(Games!#REF!, Data!$B$2:$L$135, 11, FALSE)=1, VLOOKUP(Games!#REF!, Data!$B$2:$L$135, 11, FALSE)&lt;&gt;1), 1,0))*Coefficients!K$2</f>
        <v>#REF!</v>
      </c>
      <c r="L331" t="e">
        <f>(IF(AND(VLOOKUP(Games!#REF!, Data!$B$2:$L$135, 11, FALSE)&lt;&gt;1, VLOOKUP(Games!#REF!, Data!$B$2:$L$135, 11, FALSE)=1), 1,0))*Coefficients!L$2</f>
        <v>#REF!</v>
      </c>
      <c r="O331" t="e">
        <f t="shared" si="6"/>
        <v>#REF!</v>
      </c>
    </row>
    <row r="332">
      <c r="A332" t="n">
        <f>Coefficients!$A$2</f>
        <v>-3.7765953152866998</v>
      </c>
      <c r="B332" t="e">
        <f>(Games!#REF!)*(-1*Coefficients!$B$2)</f>
        <v>#REF!</v>
      </c>
      <c r="C332" t="e">
        <f>(VLOOKUP(Games!#REF!, Data!$B$2:$L$135, 4, FALSE)-VLOOKUP(Games!#REF!, Data!$B$2:$L$135, 4, FALSE))*Coefficients!$C$2</f>
        <v>#REF!</v>
      </c>
      <c r="D332" t="e">
        <f>(VLOOKUP(Games!#REF!, Data!$B$2:$L$135, 3, FALSE)-VLOOKUP(Games!#REF!, Data!$B$2:$L$135, 3, FALSE))*Coefficients!$D$2</f>
        <v>#REF!</v>
      </c>
      <c r="E332" t="e">
        <f>(VLOOKUP(Games!#REF!, Data!$B$2:$L$135, 5, FALSE)-VLOOKUP(Games!#REF!, Data!$B$2:$L$135, 5, FALSE))*Coefficients!$E$2</f>
        <v>#REF!</v>
      </c>
      <c r="F332" t="e">
        <f>(VLOOKUP(Games!#REF!, Data!$B$2:$L$135, 6, FALSE)-VLOOKUP(Games!#REF!, Data!$B$2:$L$135, 6, FALSE))*Coefficients!$F$2</f>
        <v>#REF!</v>
      </c>
      <c r="G332" t="e">
        <f>(VLOOKUP(Games!#REF!, Data!$B$2:$L$135, 7, FALSE)-VLOOKUP(Games!#REF!, Data!$B$2:$L$135, 7, FALSE))*Coefficients!$G$2</f>
        <v>#REF!</v>
      </c>
      <c r="H332" t="e">
        <f>(VLOOKUP(Games!#REF!, Data!$B$2:$L$135, 8, FALSE)-VLOOKUP(Games!#REF!, Data!$B$2:$L$135, 8, FALSE))*Coefficients!$H$2</f>
        <v>#REF!</v>
      </c>
      <c r="I332" t="e">
        <f>(VLOOKUP(Games!#REF!, Data!$B$2:$L$135, 9, FALSE)-VLOOKUP(Games!#REF!, Data!$B$2:$L$135, 9, FALSE))*Coefficients!$I$2</f>
        <v>#REF!</v>
      </c>
      <c r="J332" t="e">
        <f>IF(ISBLANK(Data!K332), Games!#REF!-Games!#REF!,VLOOKUP(Games!#REF!, Data!$B$2:$L$135, 10, FALSE)-VLOOKUP(Games!#REF!, Data!$B$2:$L$135, 10, FALSE))*Coefficients!$J$2</f>
        <v>#REF!</v>
      </c>
      <c r="K332" t="e">
        <f>(IF(AND(VLOOKUP(Games!#REF!, Data!$B$2:$L$135, 11, FALSE)=1, VLOOKUP(Games!#REF!, Data!$B$2:$L$135, 11, FALSE)&lt;&gt;1), 1,0))*Coefficients!K$2</f>
        <v>#REF!</v>
      </c>
      <c r="L332" t="e">
        <f>(IF(AND(VLOOKUP(Games!#REF!, Data!$B$2:$L$135, 11, FALSE)&lt;&gt;1, VLOOKUP(Games!#REF!, Data!$B$2:$L$135, 11, FALSE)=1), 1,0))*Coefficients!L$2</f>
        <v>#REF!</v>
      </c>
      <c r="O332" t="e">
        <f t="shared" si="6"/>
        <v>#REF!</v>
      </c>
    </row>
    <row r="333">
      <c r="A333" t="n">
        <f>Coefficients!$A$2</f>
        <v>-3.7765953152866998</v>
      </c>
      <c r="B333" t="e">
        <f>(Games!#REF!)*(-1*Coefficients!$B$2)</f>
        <v>#REF!</v>
      </c>
      <c r="C333" t="e">
        <f>(VLOOKUP(Games!#REF!, Data!$B$2:$L$135, 4, FALSE)-VLOOKUP(Games!#REF!, Data!$B$2:$L$135, 4, FALSE))*Coefficients!$C$2</f>
        <v>#REF!</v>
      </c>
      <c r="D333" t="e">
        <f>(VLOOKUP(Games!#REF!, Data!$B$2:$L$135, 3, FALSE)-VLOOKUP(Games!#REF!, Data!$B$2:$L$135, 3, FALSE))*Coefficients!$D$2</f>
        <v>#REF!</v>
      </c>
      <c r="E333" t="e">
        <f>(VLOOKUP(Games!#REF!, Data!$B$2:$L$135, 5, FALSE)-VLOOKUP(Games!#REF!, Data!$B$2:$L$135, 5, FALSE))*Coefficients!$E$2</f>
        <v>#REF!</v>
      </c>
      <c r="F333" t="e">
        <f>(VLOOKUP(Games!#REF!, Data!$B$2:$L$135, 6, FALSE)-VLOOKUP(Games!#REF!, Data!$B$2:$L$135, 6, FALSE))*Coefficients!$F$2</f>
        <v>#REF!</v>
      </c>
      <c r="G333" t="e">
        <f>(VLOOKUP(Games!#REF!, Data!$B$2:$L$135, 7, FALSE)-VLOOKUP(Games!#REF!, Data!$B$2:$L$135, 7, FALSE))*Coefficients!$G$2</f>
        <v>#REF!</v>
      </c>
      <c r="H333" t="e">
        <f>(VLOOKUP(Games!#REF!, Data!$B$2:$L$135, 8, FALSE)-VLOOKUP(Games!#REF!, Data!$B$2:$L$135, 8, FALSE))*Coefficients!$H$2</f>
        <v>#REF!</v>
      </c>
      <c r="I333" t="e">
        <f>(VLOOKUP(Games!#REF!, Data!$B$2:$L$135, 9, FALSE)-VLOOKUP(Games!#REF!, Data!$B$2:$L$135, 9, FALSE))*Coefficients!$I$2</f>
        <v>#REF!</v>
      </c>
      <c r="J333" t="e">
        <f>IF(ISBLANK(Data!K333), Games!#REF!-Games!#REF!,VLOOKUP(Games!#REF!, Data!$B$2:$L$135, 10, FALSE)-VLOOKUP(Games!#REF!, Data!$B$2:$L$135, 10, FALSE))*Coefficients!$J$2</f>
        <v>#REF!</v>
      </c>
      <c r="K333" t="e">
        <f>(IF(AND(VLOOKUP(Games!#REF!, Data!$B$2:$L$135, 11, FALSE)=1, VLOOKUP(Games!#REF!, Data!$B$2:$L$135, 11, FALSE)&lt;&gt;1), 1,0))*Coefficients!K$2</f>
        <v>#REF!</v>
      </c>
      <c r="L333" t="e">
        <f>(IF(AND(VLOOKUP(Games!#REF!, Data!$B$2:$L$135, 11, FALSE)&lt;&gt;1, VLOOKUP(Games!#REF!, Data!$B$2:$L$135, 11, FALSE)=1), 1,0))*Coefficients!L$2</f>
        <v>#REF!</v>
      </c>
      <c r="O333" t="e">
        <f t="shared" si="6"/>
        <v>#REF!</v>
      </c>
    </row>
    <row r="334">
      <c r="A334" t="n">
        <f>Coefficients!$A$2</f>
        <v>-3.7765953152866998</v>
      </c>
      <c r="B334" t="e">
        <f>(Games!#REF!)*(-1*Coefficients!$B$2)</f>
        <v>#REF!</v>
      </c>
      <c r="C334" t="e">
        <f>(VLOOKUP(Games!#REF!, Data!$B$2:$L$135, 4, FALSE)-VLOOKUP(Games!#REF!, Data!$B$2:$L$135, 4, FALSE))*Coefficients!$C$2</f>
        <v>#REF!</v>
      </c>
      <c r="D334" t="e">
        <f>(VLOOKUP(Games!#REF!, Data!$B$2:$L$135, 3, FALSE)-VLOOKUP(Games!#REF!, Data!$B$2:$L$135, 3, FALSE))*Coefficients!$D$2</f>
        <v>#REF!</v>
      </c>
      <c r="E334" t="e">
        <f>(VLOOKUP(Games!#REF!, Data!$B$2:$L$135, 5, FALSE)-VLOOKUP(Games!#REF!, Data!$B$2:$L$135, 5, FALSE))*Coefficients!$E$2</f>
        <v>#REF!</v>
      </c>
      <c r="F334" t="e">
        <f>(VLOOKUP(Games!#REF!, Data!$B$2:$L$135, 6, FALSE)-VLOOKUP(Games!#REF!, Data!$B$2:$L$135, 6, FALSE))*Coefficients!$F$2</f>
        <v>#REF!</v>
      </c>
      <c r="G334" t="e">
        <f>(VLOOKUP(Games!#REF!, Data!$B$2:$L$135, 7, FALSE)-VLOOKUP(Games!#REF!, Data!$B$2:$L$135, 7, FALSE))*Coefficients!$G$2</f>
        <v>#REF!</v>
      </c>
      <c r="H334" t="e">
        <f>(VLOOKUP(Games!#REF!, Data!$B$2:$L$135, 8, FALSE)-VLOOKUP(Games!#REF!, Data!$B$2:$L$135, 8, FALSE))*Coefficients!$H$2</f>
        <v>#REF!</v>
      </c>
      <c r="I334" t="e">
        <f>(VLOOKUP(Games!#REF!, Data!$B$2:$L$135, 9, FALSE)-VLOOKUP(Games!#REF!, Data!$B$2:$L$135, 9, FALSE))*Coefficients!$I$2</f>
        <v>#REF!</v>
      </c>
      <c r="J334" t="e">
        <f>IF(ISBLANK(Data!K334), Games!#REF!-Games!#REF!,VLOOKUP(Games!#REF!, Data!$B$2:$L$135, 10, FALSE)-VLOOKUP(Games!#REF!, Data!$B$2:$L$135, 10, FALSE))*Coefficients!$J$2</f>
        <v>#REF!</v>
      </c>
      <c r="K334" t="e">
        <f>(IF(AND(VLOOKUP(Games!#REF!, Data!$B$2:$L$135, 11, FALSE)=1, VLOOKUP(Games!#REF!, Data!$B$2:$L$135, 11, FALSE)&lt;&gt;1), 1,0))*Coefficients!K$2</f>
        <v>#REF!</v>
      </c>
      <c r="L334" t="e">
        <f>(IF(AND(VLOOKUP(Games!#REF!, Data!$B$2:$L$135, 11, FALSE)&lt;&gt;1, VLOOKUP(Games!#REF!, Data!$B$2:$L$135, 11, FALSE)=1), 1,0))*Coefficients!L$2</f>
        <v>#REF!</v>
      </c>
      <c r="O334" t="e">
        <f t="shared" si="6"/>
        <v>#REF!</v>
      </c>
    </row>
    <row r="335">
      <c r="A335" t="n">
        <f>Coefficients!$A$2</f>
        <v>-3.7765953152866998</v>
      </c>
      <c r="B335" t="e">
        <f>(Games!#REF!)*(-1*Coefficients!$B$2)</f>
        <v>#REF!</v>
      </c>
      <c r="C335" t="e">
        <f>(VLOOKUP(Games!#REF!, Data!$B$2:$L$135, 4, FALSE)-VLOOKUP(Games!#REF!, Data!$B$2:$L$135, 4, FALSE))*Coefficients!$C$2</f>
        <v>#REF!</v>
      </c>
      <c r="D335" t="e">
        <f>(VLOOKUP(Games!#REF!, Data!$B$2:$L$135, 3, FALSE)-VLOOKUP(Games!#REF!, Data!$B$2:$L$135, 3, FALSE))*Coefficients!$D$2</f>
        <v>#REF!</v>
      </c>
      <c r="E335" t="e">
        <f>(VLOOKUP(Games!#REF!, Data!$B$2:$L$135, 5, FALSE)-VLOOKUP(Games!#REF!, Data!$B$2:$L$135, 5, FALSE))*Coefficients!$E$2</f>
        <v>#REF!</v>
      </c>
      <c r="F335" t="e">
        <f>(VLOOKUP(Games!#REF!, Data!$B$2:$L$135, 6, FALSE)-VLOOKUP(Games!#REF!, Data!$B$2:$L$135, 6, FALSE))*Coefficients!$F$2</f>
        <v>#REF!</v>
      </c>
      <c r="G335" t="e">
        <f>(VLOOKUP(Games!#REF!, Data!$B$2:$L$135, 7, FALSE)-VLOOKUP(Games!#REF!, Data!$B$2:$L$135, 7, FALSE))*Coefficients!$G$2</f>
        <v>#REF!</v>
      </c>
      <c r="H335" t="e">
        <f>(VLOOKUP(Games!#REF!, Data!$B$2:$L$135, 8, FALSE)-VLOOKUP(Games!#REF!, Data!$B$2:$L$135, 8, FALSE))*Coefficients!$H$2</f>
        <v>#REF!</v>
      </c>
      <c r="I335" t="e">
        <f>(VLOOKUP(Games!#REF!, Data!$B$2:$L$135, 9, FALSE)-VLOOKUP(Games!#REF!, Data!$B$2:$L$135, 9, FALSE))*Coefficients!$I$2</f>
        <v>#REF!</v>
      </c>
      <c r="J335" t="e">
        <f>IF(ISBLANK(Data!K335), Games!#REF!-Games!#REF!,VLOOKUP(Games!#REF!, Data!$B$2:$L$135, 10, FALSE)-VLOOKUP(Games!#REF!, Data!$B$2:$L$135, 10, FALSE))*Coefficients!$J$2</f>
        <v>#REF!</v>
      </c>
      <c r="K335" t="e">
        <f>(IF(AND(VLOOKUP(Games!#REF!, Data!$B$2:$L$135, 11, FALSE)=1, VLOOKUP(Games!#REF!, Data!$B$2:$L$135, 11, FALSE)&lt;&gt;1), 1,0))*Coefficients!K$2</f>
        <v>#REF!</v>
      </c>
      <c r="L335" t="e">
        <f>(IF(AND(VLOOKUP(Games!#REF!, Data!$B$2:$L$135, 11, FALSE)&lt;&gt;1, VLOOKUP(Games!#REF!, Data!$B$2:$L$135, 11, FALSE)=1), 1,0))*Coefficients!L$2</f>
        <v>#REF!</v>
      </c>
      <c r="O335" t="e">
        <f t="shared" si="6"/>
        <v>#REF!</v>
      </c>
    </row>
    <row r="336">
      <c r="A336" t="n">
        <f>Coefficients!$A$2</f>
        <v>-3.7765953152866998</v>
      </c>
      <c r="B336" t="e">
        <f>(Games!#REF!)*(-1*Coefficients!$B$2)</f>
        <v>#REF!</v>
      </c>
      <c r="C336" t="e">
        <f>(VLOOKUP(Games!#REF!, Data!$B$2:$L$135, 4, FALSE)-VLOOKUP(Games!#REF!, Data!$B$2:$L$135, 4, FALSE))*Coefficients!$C$2</f>
        <v>#REF!</v>
      </c>
      <c r="D336" t="e">
        <f>(VLOOKUP(Games!#REF!, Data!$B$2:$L$135, 3, FALSE)-VLOOKUP(Games!#REF!, Data!$B$2:$L$135, 3, FALSE))*Coefficients!$D$2</f>
        <v>#REF!</v>
      </c>
      <c r="E336" t="e">
        <f>(VLOOKUP(Games!#REF!, Data!$B$2:$L$135, 5, FALSE)-VLOOKUP(Games!#REF!, Data!$B$2:$L$135, 5, FALSE))*Coefficients!$E$2</f>
        <v>#REF!</v>
      </c>
      <c r="F336" t="e">
        <f>(VLOOKUP(Games!#REF!, Data!$B$2:$L$135, 6, FALSE)-VLOOKUP(Games!#REF!, Data!$B$2:$L$135, 6, FALSE))*Coefficients!$F$2</f>
        <v>#REF!</v>
      </c>
      <c r="G336" t="e">
        <f>(VLOOKUP(Games!#REF!, Data!$B$2:$L$135, 7, FALSE)-VLOOKUP(Games!#REF!, Data!$B$2:$L$135, 7, FALSE))*Coefficients!$G$2</f>
        <v>#REF!</v>
      </c>
      <c r="H336" t="e">
        <f>(VLOOKUP(Games!#REF!, Data!$B$2:$L$135, 8, FALSE)-VLOOKUP(Games!#REF!, Data!$B$2:$L$135, 8, FALSE))*Coefficients!$H$2</f>
        <v>#REF!</v>
      </c>
      <c r="I336" t="e">
        <f>(VLOOKUP(Games!#REF!, Data!$B$2:$L$135, 9, FALSE)-VLOOKUP(Games!#REF!, Data!$B$2:$L$135, 9, FALSE))*Coefficients!$I$2</f>
        <v>#REF!</v>
      </c>
      <c r="J336" t="e">
        <f>IF(ISBLANK(Data!K336), Games!#REF!-Games!#REF!,VLOOKUP(Games!#REF!, Data!$B$2:$L$135, 10, FALSE)-VLOOKUP(Games!#REF!, Data!$B$2:$L$135, 10, FALSE))*Coefficients!$J$2</f>
        <v>#REF!</v>
      </c>
      <c r="K336" t="e">
        <f>(IF(AND(VLOOKUP(Games!#REF!, Data!$B$2:$L$135, 11, FALSE)=1, VLOOKUP(Games!#REF!, Data!$B$2:$L$135, 11, FALSE)&lt;&gt;1), 1,0))*Coefficients!K$2</f>
        <v>#REF!</v>
      </c>
      <c r="L336" t="e">
        <f>(IF(AND(VLOOKUP(Games!#REF!, Data!$B$2:$L$135, 11, FALSE)&lt;&gt;1, VLOOKUP(Games!#REF!, Data!$B$2:$L$135, 11, FALSE)=1), 1,0))*Coefficients!L$2</f>
        <v>#REF!</v>
      </c>
      <c r="O336" t="e">
        <f t="shared" si="6"/>
        <v>#REF!</v>
      </c>
    </row>
    <row r="337">
      <c r="A337" t="n">
        <f>Coefficients!$A$2</f>
        <v>-3.7765953152866998</v>
      </c>
      <c r="B337" t="e">
        <f>(Games!#REF!)*(-1*Coefficients!$B$2)</f>
        <v>#REF!</v>
      </c>
      <c r="C337" t="e">
        <f>(VLOOKUP(Games!#REF!, Data!$B$2:$L$135, 4, FALSE)-VLOOKUP(Games!#REF!, Data!$B$2:$L$135, 4, FALSE))*Coefficients!$C$2</f>
        <v>#REF!</v>
      </c>
      <c r="D337" t="e">
        <f>(VLOOKUP(Games!#REF!, Data!$B$2:$L$135, 3, FALSE)-VLOOKUP(Games!#REF!, Data!$B$2:$L$135, 3, FALSE))*Coefficients!$D$2</f>
        <v>#REF!</v>
      </c>
      <c r="E337" t="e">
        <f>(VLOOKUP(Games!#REF!, Data!$B$2:$L$135, 5, FALSE)-VLOOKUP(Games!#REF!, Data!$B$2:$L$135, 5, FALSE))*Coefficients!$E$2</f>
        <v>#REF!</v>
      </c>
      <c r="F337" t="e">
        <f>(VLOOKUP(Games!#REF!, Data!$B$2:$L$135, 6, FALSE)-VLOOKUP(Games!#REF!, Data!$B$2:$L$135, 6, FALSE))*Coefficients!$F$2</f>
        <v>#REF!</v>
      </c>
      <c r="G337" t="e">
        <f>(VLOOKUP(Games!#REF!, Data!$B$2:$L$135, 7, FALSE)-VLOOKUP(Games!#REF!, Data!$B$2:$L$135, 7, FALSE))*Coefficients!$G$2</f>
        <v>#REF!</v>
      </c>
      <c r="H337" t="e">
        <f>(VLOOKUP(Games!#REF!, Data!$B$2:$L$135, 8, FALSE)-VLOOKUP(Games!#REF!, Data!$B$2:$L$135, 8, FALSE))*Coefficients!$H$2</f>
        <v>#REF!</v>
      </c>
      <c r="I337" t="e">
        <f>(VLOOKUP(Games!#REF!, Data!$B$2:$L$135, 9, FALSE)-VLOOKUP(Games!#REF!, Data!$B$2:$L$135, 9, FALSE))*Coefficients!$I$2</f>
        <v>#REF!</v>
      </c>
      <c r="J337" t="e">
        <f>IF(ISBLANK(Data!K337), Games!#REF!-Games!#REF!,VLOOKUP(Games!#REF!, Data!$B$2:$L$135, 10, FALSE)-VLOOKUP(Games!#REF!, Data!$B$2:$L$135, 10, FALSE))*Coefficients!$J$2</f>
        <v>#REF!</v>
      </c>
      <c r="K337" t="e">
        <f>(IF(AND(VLOOKUP(Games!#REF!, Data!$B$2:$L$135, 11, FALSE)=1, VLOOKUP(Games!#REF!, Data!$B$2:$L$135, 11, FALSE)&lt;&gt;1), 1,0))*Coefficients!K$2</f>
        <v>#REF!</v>
      </c>
      <c r="L337" t="e">
        <f>(IF(AND(VLOOKUP(Games!#REF!, Data!$B$2:$L$135, 11, FALSE)&lt;&gt;1, VLOOKUP(Games!#REF!, Data!$B$2:$L$135, 11, FALSE)=1), 1,0))*Coefficients!L$2</f>
        <v>#REF!</v>
      </c>
      <c r="O337" t="e">
        <f t="shared" si="6"/>
        <v>#REF!</v>
      </c>
    </row>
    <row r="338">
      <c r="A338" t="n">
        <f>Coefficients!$A$2</f>
        <v>-3.7765953152866998</v>
      </c>
      <c r="B338" t="e">
        <f>(Games!#REF!)*(-1*Coefficients!$B$2)</f>
        <v>#REF!</v>
      </c>
      <c r="C338" t="e">
        <f>(VLOOKUP(Games!#REF!, Data!$B$2:$L$135, 4, FALSE)-VLOOKUP(Games!#REF!, Data!$B$2:$L$135, 4, FALSE))*Coefficients!$C$2</f>
        <v>#REF!</v>
      </c>
      <c r="D338" t="e">
        <f>(VLOOKUP(Games!#REF!, Data!$B$2:$L$135, 3, FALSE)-VLOOKUP(Games!#REF!, Data!$B$2:$L$135, 3, FALSE))*Coefficients!$D$2</f>
        <v>#REF!</v>
      </c>
      <c r="E338" t="e">
        <f>(VLOOKUP(Games!#REF!, Data!$B$2:$L$135, 5, FALSE)-VLOOKUP(Games!#REF!, Data!$B$2:$L$135, 5, FALSE))*Coefficients!$E$2</f>
        <v>#REF!</v>
      </c>
      <c r="F338" t="e">
        <f>(VLOOKUP(Games!#REF!, Data!$B$2:$L$135, 6, FALSE)-VLOOKUP(Games!#REF!, Data!$B$2:$L$135, 6, FALSE))*Coefficients!$F$2</f>
        <v>#REF!</v>
      </c>
      <c r="G338" t="e">
        <f>(VLOOKUP(Games!#REF!, Data!$B$2:$L$135, 7, FALSE)-VLOOKUP(Games!#REF!, Data!$B$2:$L$135, 7, FALSE))*Coefficients!$G$2</f>
        <v>#REF!</v>
      </c>
      <c r="H338" t="e">
        <f>(VLOOKUP(Games!#REF!, Data!$B$2:$L$135, 8, FALSE)-VLOOKUP(Games!#REF!, Data!$B$2:$L$135, 8, FALSE))*Coefficients!$H$2</f>
        <v>#REF!</v>
      </c>
      <c r="I338" t="e">
        <f>(VLOOKUP(Games!#REF!, Data!$B$2:$L$135, 9, FALSE)-VLOOKUP(Games!#REF!, Data!$B$2:$L$135, 9, FALSE))*Coefficients!$I$2</f>
        <v>#REF!</v>
      </c>
      <c r="J338" t="e">
        <f>IF(ISBLANK(Data!K338), Games!#REF!-Games!#REF!,VLOOKUP(Games!#REF!, Data!$B$2:$L$135, 10, FALSE)-VLOOKUP(Games!#REF!, Data!$B$2:$L$135, 10, FALSE))*Coefficients!$J$2</f>
        <v>#REF!</v>
      </c>
      <c r="K338" t="e">
        <f>(IF(AND(VLOOKUP(Games!#REF!, Data!$B$2:$L$135, 11, FALSE)=1, VLOOKUP(Games!#REF!, Data!$B$2:$L$135, 11, FALSE)&lt;&gt;1), 1,0))*Coefficients!K$2</f>
        <v>#REF!</v>
      </c>
      <c r="L338" t="e">
        <f>(IF(AND(VLOOKUP(Games!#REF!, Data!$B$2:$L$135, 11, FALSE)&lt;&gt;1, VLOOKUP(Games!#REF!, Data!$B$2:$L$135, 11, FALSE)=1), 1,0))*Coefficients!L$2</f>
        <v>#REF!</v>
      </c>
      <c r="O338" t="e">
        <f t="shared" si="6"/>
        <v>#REF!</v>
      </c>
    </row>
    <row r="339">
      <c r="A339" t="n">
        <f>Coefficients!$A$2</f>
        <v>-3.7765953152866998</v>
      </c>
      <c r="B339" t="e">
        <f>(Games!#REF!)*(-1*Coefficients!$B$2)</f>
        <v>#REF!</v>
      </c>
      <c r="C339" t="e">
        <f>(VLOOKUP(Games!#REF!, Data!$B$2:$L$135, 4, FALSE)-VLOOKUP(Games!#REF!, Data!$B$2:$L$135, 4, FALSE))*Coefficients!$C$2</f>
        <v>#REF!</v>
      </c>
      <c r="D339" t="e">
        <f>(VLOOKUP(Games!#REF!, Data!$B$2:$L$135, 3, FALSE)-VLOOKUP(Games!#REF!, Data!$B$2:$L$135, 3, FALSE))*Coefficients!$D$2</f>
        <v>#REF!</v>
      </c>
      <c r="E339" t="e">
        <f>(VLOOKUP(Games!#REF!, Data!$B$2:$L$135, 5, FALSE)-VLOOKUP(Games!#REF!, Data!$B$2:$L$135, 5, FALSE))*Coefficients!$E$2</f>
        <v>#REF!</v>
      </c>
      <c r="F339" t="e">
        <f>(VLOOKUP(Games!#REF!, Data!$B$2:$L$135, 6, FALSE)-VLOOKUP(Games!#REF!, Data!$B$2:$L$135, 6, FALSE))*Coefficients!$F$2</f>
        <v>#REF!</v>
      </c>
      <c r="G339" t="e">
        <f>(VLOOKUP(Games!#REF!, Data!$B$2:$L$135, 7, FALSE)-VLOOKUP(Games!#REF!, Data!$B$2:$L$135, 7, FALSE))*Coefficients!$G$2</f>
        <v>#REF!</v>
      </c>
      <c r="H339" t="e">
        <f>(VLOOKUP(Games!#REF!, Data!$B$2:$L$135, 8, FALSE)-VLOOKUP(Games!#REF!, Data!$B$2:$L$135, 8, FALSE))*Coefficients!$H$2</f>
        <v>#REF!</v>
      </c>
      <c r="I339" t="e">
        <f>(VLOOKUP(Games!#REF!, Data!$B$2:$L$135, 9, FALSE)-VLOOKUP(Games!#REF!, Data!$B$2:$L$135, 9, FALSE))*Coefficients!$I$2</f>
        <v>#REF!</v>
      </c>
      <c r="J339" t="e">
        <f>IF(ISBLANK(Data!K339), Games!#REF!-Games!#REF!,VLOOKUP(Games!#REF!, Data!$B$2:$L$135, 10, FALSE)-VLOOKUP(Games!#REF!, Data!$B$2:$L$135, 10, FALSE))*Coefficients!$J$2</f>
        <v>#REF!</v>
      </c>
      <c r="K339" t="e">
        <f>(IF(AND(VLOOKUP(Games!#REF!, Data!$B$2:$L$135, 11, FALSE)=1, VLOOKUP(Games!#REF!, Data!$B$2:$L$135, 11, FALSE)&lt;&gt;1), 1,0))*Coefficients!K$2</f>
        <v>#REF!</v>
      </c>
      <c r="L339" t="e">
        <f>(IF(AND(VLOOKUP(Games!#REF!, Data!$B$2:$L$135, 11, FALSE)&lt;&gt;1, VLOOKUP(Games!#REF!, Data!$B$2:$L$135, 11, FALSE)=1), 1,0))*Coefficients!L$2</f>
        <v>#REF!</v>
      </c>
      <c r="O339" t="e">
        <f t="shared" si="6"/>
        <v>#REF!</v>
      </c>
    </row>
    <row r="340">
      <c r="A340" t="n">
        <f>Coefficients!$A$2</f>
        <v>-3.7765953152866998</v>
      </c>
      <c r="B340" t="e">
        <f>(Games!#REF!)*(-1*Coefficients!$B$2)</f>
        <v>#REF!</v>
      </c>
      <c r="C340" t="e">
        <f>(VLOOKUP(Games!#REF!, Data!$B$2:$L$135, 4, FALSE)-VLOOKUP(Games!#REF!, Data!$B$2:$L$135, 4, FALSE))*Coefficients!$C$2</f>
        <v>#REF!</v>
      </c>
      <c r="D340" t="e">
        <f>(VLOOKUP(Games!#REF!, Data!$B$2:$L$135, 3, FALSE)-VLOOKUP(Games!#REF!, Data!$B$2:$L$135, 3, FALSE))*Coefficients!$D$2</f>
        <v>#REF!</v>
      </c>
      <c r="E340" t="e">
        <f>(VLOOKUP(Games!#REF!, Data!$B$2:$L$135, 5, FALSE)-VLOOKUP(Games!#REF!, Data!$B$2:$L$135, 5, FALSE))*Coefficients!$E$2</f>
        <v>#REF!</v>
      </c>
      <c r="F340" t="e">
        <f>(VLOOKUP(Games!#REF!, Data!$B$2:$L$135, 6, FALSE)-VLOOKUP(Games!#REF!, Data!$B$2:$L$135, 6, FALSE))*Coefficients!$F$2</f>
        <v>#REF!</v>
      </c>
      <c r="G340" t="e">
        <f>(VLOOKUP(Games!#REF!, Data!$B$2:$L$135, 7, FALSE)-VLOOKUP(Games!#REF!, Data!$B$2:$L$135, 7, FALSE))*Coefficients!$G$2</f>
        <v>#REF!</v>
      </c>
      <c r="H340" t="e">
        <f>(VLOOKUP(Games!#REF!, Data!$B$2:$L$135, 8, FALSE)-VLOOKUP(Games!#REF!, Data!$B$2:$L$135, 8, FALSE))*Coefficients!$H$2</f>
        <v>#REF!</v>
      </c>
      <c r="I340" t="e">
        <f>(VLOOKUP(Games!#REF!, Data!$B$2:$L$135, 9, FALSE)-VLOOKUP(Games!#REF!, Data!$B$2:$L$135, 9, FALSE))*Coefficients!$I$2</f>
        <v>#REF!</v>
      </c>
      <c r="J340" t="e">
        <f>IF(ISBLANK(Data!K340), Games!#REF!-Games!#REF!,VLOOKUP(Games!#REF!, Data!$B$2:$L$135, 10, FALSE)-VLOOKUP(Games!#REF!, Data!$B$2:$L$135, 10, FALSE))*Coefficients!$J$2</f>
        <v>#REF!</v>
      </c>
      <c r="K340" t="e">
        <f>(IF(AND(VLOOKUP(Games!#REF!, Data!$B$2:$L$135, 11, FALSE)=1, VLOOKUP(Games!#REF!, Data!$B$2:$L$135, 11, FALSE)&lt;&gt;1), 1,0))*Coefficients!K$2</f>
        <v>#REF!</v>
      </c>
      <c r="L340" t="e">
        <f>(IF(AND(VLOOKUP(Games!#REF!, Data!$B$2:$L$135, 11, FALSE)&lt;&gt;1, VLOOKUP(Games!#REF!, Data!$B$2:$L$135, 11, FALSE)=1), 1,0))*Coefficients!L$2</f>
        <v>#REF!</v>
      </c>
      <c r="O340" t="e">
        <f t="shared" si="6"/>
        <v>#REF!</v>
      </c>
    </row>
    <row r="341">
      <c r="A341" t="n">
        <f>Coefficients!$A$2</f>
        <v>-3.7765953152866998</v>
      </c>
      <c r="B341" t="e">
        <f>(Games!#REF!)*(-1*Coefficients!$B$2)</f>
        <v>#REF!</v>
      </c>
      <c r="C341" t="e">
        <f>(VLOOKUP(Games!#REF!, Data!$B$2:$L$135, 4, FALSE)-VLOOKUP(Games!#REF!, Data!$B$2:$L$135, 4, FALSE))*Coefficients!$C$2</f>
        <v>#REF!</v>
      </c>
      <c r="D341" t="e">
        <f>(VLOOKUP(Games!#REF!, Data!$B$2:$L$135, 3, FALSE)-VLOOKUP(Games!#REF!, Data!$B$2:$L$135, 3, FALSE))*Coefficients!$D$2</f>
        <v>#REF!</v>
      </c>
      <c r="E341" t="e">
        <f>(VLOOKUP(Games!#REF!, Data!$B$2:$L$135, 5, FALSE)-VLOOKUP(Games!#REF!, Data!$B$2:$L$135, 5, FALSE))*Coefficients!$E$2</f>
        <v>#REF!</v>
      </c>
      <c r="F341" t="e">
        <f>(VLOOKUP(Games!#REF!, Data!$B$2:$L$135, 6, FALSE)-VLOOKUP(Games!#REF!, Data!$B$2:$L$135, 6, FALSE))*Coefficients!$F$2</f>
        <v>#REF!</v>
      </c>
      <c r="G341" t="e">
        <f>(VLOOKUP(Games!#REF!, Data!$B$2:$L$135, 7, FALSE)-VLOOKUP(Games!#REF!, Data!$B$2:$L$135, 7, FALSE))*Coefficients!$G$2</f>
        <v>#REF!</v>
      </c>
      <c r="H341" t="e">
        <f>(VLOOKUP(Games!#REF!, Data!$B$2:$L$135, 8, FALSE)-VLOOKUP(Games!#REF!, Data!$B$2:$L$135, 8, FALSE))*Coefficients!$H$2</f>
        <v>#REF!</v>
      </c>
      <c r="I341" t="e">
        <f>(VLOOKUP(Games!#REF!, Data!$B$2:$L$135, 9, FALSE)-VLOOKUP(Games!#REF!, Data!$B$2:$L$135, 9, FALSE))*Coefficients!$I$2</f>
        <v>#REF!</v>
      </c>
      <c r="J341" t="e">
        <f>IF(ISBLANK(Data!K341), Games!#REF!-Games!#REF!,VLOOKUP(Games!#REF!, Data!$B$2:$L$135, 10, FALSE)-VLOOKUP(Games!#REF!, Data!$B$2:$L$135, 10, FALSE))*Coefficients!$J$2</f>
        <v>#REF!</v>
      </c>
      <c r="K341" t="e">
        <f>(IF(AND(VLOOKUP(Games!#REF!, Data!$B$2:$L$135, 11, FALSE)=1, VLOOKUP(Games!#REF!, Data!$B$2:$L$135, 11, FALSE)&lt;&gt;1), 1,0))*Coefficients!K$2</f>
        <v>#REF!</v>
      </c>
      <c r="L341" t="e">
        <f>(IF(AND(VLOOKUP(Games!#REF!, Data!$B$2:$L$135, 11, FALSE)&lt;&gt;1, VLOOKUP(Games!#REF!, Data!$B$2:$L$135, 11, FALSE)=1), 1,0))*Coefficients!L$2</f>
        <v>#REF!</v>
      </c>
      <c r="O341" t="e">
        <f t="shared" si="6"/>
        <v>#REF!</v>
      </c>
    </row>
    <row r="342">
      <c r="A342" t="n">
        <f>Coefficients!$A$2</f>
        <v>-3.7765953152866998</v>
      </c>
      <c r="B342" t="e">
        <f>(Games!#REF!)*(-1*Coefficients!$B$2)</f>
        <v>#REF!</v>
      </c>
      <c r="C342" t="e">
        <f>(VLOOKUP(Games!#REF!, Data!$B$2:$L$135, 4, FALSE)-VLOOKUP(Games!#REF!, Data!$B$2:$L$135, 4, FALSE))*Coefficients!$C$2</f>
        <v>#REF!</v>
      </c>
      <c r="D342" t="e">
        <f>(VLOOKUP(Games!#REF!, Data!$B$2:$L$135, 3, FALSE)-VLOOKUP(Games!#REF!, Data!$B$2:$L$135, 3, FALSE))*Coefficients!$D$2</f>
        <v>#REF!</v>
      </c>
      <c r="E342" t="e">
        <f>(VLOOKUP(Games!#REF!, Data!$B$2:$L$135, 5, FALSE)-VLOOKUP(Games!#REF!, Data!$B$2:$L$135, 5, FALSE))*Coefficients!$E$2</f>
        <v>#REF!</v>
      </c>
      <c r="F342" t="e">
        <f>(VLOOKUP(Games!#REF!, Data!$B$2:$L$135, 6, FALSE)-VLOOKUP(Games!#REF!, Data!$B$2:$L$135, 6, FALSE))*Coefficients!$F$2</f>
        <v>#REF!</v>
      </c>
      <c r="G342" t="e">
        <f>(VLOOKUP(Games!#REF!, Data!$B$2:$L$135, 7, FALSE)-VLOOKUP(Games!#REF!, Data!$B$2:$L$135, 7, FALSE))*Coefficients!$G$2</f>
        <v>#REF!</v>
      </c>
      <c r="H342" t="e">
        <f>(VLOOKUP(Games!#REF!, Data!$B$2:$L$135, 8, FALSE)-VLOOKUP(Games!#REF!, Data!$B$2:$L$135, 8, FALSE))*Coefficients!$H$2</f>
        <v>#REF!</v>
      </c>
      <c r="I342" t="e">
        <f>(VLOOKUP(Games!#REF!, Data!$B$2:$L$135, 9, FALSE)-VLOOKUP(Games!#REF!, Data!$B$2:$L$135, 9, FALSE))*Coefficients!$I$2</f>
        <v>#REF!</v>
      </c>
      <c r="J342" t="e">
        <f>IF(ISBLANK(Data!K342), Games!#REF!-Games!#REF!,VLOOKUP(Games!#REF!, Data!$B$2:$L$135, 10, FALSE)-VLOOKUP(Games!#REF!, Data!$B$2:$L$135, 10, FALSE))*Coefficients!$J$2</f>
        <v>#REF!</v>
      </c>
      <c r="K342" t="e">
        <f>(IF(AND(VLOOKUP(Games!#REF!, Data!$B$2:$L$135, 11, FALSE)=1, VLOOKUP(Games!#REF!, Data!$B$2:$L$135, 11, FALSE)&lt;&gt;1), 1,0))*Coefficients!K$2</f>
        <v>#REF!</v>
      </c>
      <c r="L342" t="e">
        <f>(IF(AND(VLOOKUP(Games!#REF!, Data!$B$2:$L$135, 11, FALSE)&lt;&gt;1, VLOOKUP(Games!#REF!, Data!$B$2:$L$135, 11, FALSE)=1), 1,0))*Coefficients!L$2</f>
        <v>#REF!</v>
      </c>
      <c r="O342" t="e">
        <f t="shared" si="6"/>
        <v>#REF!</v>
      </c>
    </row>
    <row r="343">
      <c r="A343" t="n">
        <f>Coefficients!$A$2</f>
        <v>-3.7765953152866998</v>
      </c>
      <c r="B343" t="e">
        <f>(Games!#REF!)*(-1*Coefficients!$B$2)</f>
        <v>#REF!</v>
      </c>
      <c r="C343" t="e">
        <f>(VLOOKUP(Games!#REF!, Data!$B$2:$L$135, 4, FALSE)-VLOOKUP(Games!#REF!, Data!$B$2:$L$135, 4, FALSE))*Coefficients!$C$2</f>
        <v>#REF!</v>
      </c>
      <c r="D343" t="e">
        <f>(VLOOKUP(Games!#REF!, Data!$B$2:$L$135, 3, FALSE)-VLOOKUP(Games!#REF!, Data!$B$2:$L$135, 3, FALSE))*Coefficients!$D$2</f>
        <v>#REF!</v>
      </c>
      <c r="E343" t="e">
        <f>(VLOOKUP(Games!#REF!, Data!$B$2:$L$135, 5, FALSE)-VLOOKUP(Games!#REF!, Data!$B$2:$L$135, 5, FALSE))*Coefficients!$E$2</f>
        <v>#REF!</v>
      </c>
      <c r="F343" t="e">
        <f>(VLOOKUP(Games!#REF!, Data!$B$2:$L$135, 6, FALSE)-VLOOKUP(Games!#REF!, Data!$B$2:$L$135, 6, FALSE))*Coefficients!$F$2</f>
        <v>#REF!</v>
      </c>
      <c r="G343" t="e">
        <f>(VLOOKUP(Games!#REF!, Data!$B$2:$L$135, 7, FALSE)-VLOOKUP(Games!#REF!, Data!$B$2:$L$135, 7, FALSE))*Coefficients!$G$2</f>
        <v>#REF!</v>
      </c>
      <c r="H343" t="e">
        <f>(VLOOKUP(Games!#REF!, Data!$B$2:$L$135, 8, FALSE)-VLOOKUP(Games!#REF!, Data!$B$2:$L$135, 8, FALSE))*Coefficients!$H$2</f>
        <v>#REF!</v>
      </c>
      <c r="I343" t="e">
        <f>(VLOOKUP(Games!#REF!, Data!$B$2:$L$135, 9, FALSE)-VLOOKUP(Games!#REF!, Data!$B$2:$L$135, 9, FALSE))*Coefficients!$I$2</f>
        <v>#REF!</v>
      </c>
      <c r="J343" t="e">
        <f>IF(ISBLANK(Data!K343), Games!#REF!-Games!#REF!,VLOOKUP(Games!#REF!, Data!$B$2:$L$135, 10, FALSE)-VLOOKUP(Games!#REF!, Data!$B$2:$L$135, 10, FALSE))*Coefficients!$J$2</f>
        <v>#REF!</v>
      </c>
      <c r="K343" t="e">
        <f>(IF(AND(VLOOKUP(Games!#REF!, Data!$B$2:$L$135, 11, FALSE)=1, VLOOKUP(Games!#REF!, Data!$B$2:$L$135, 11, FALSE)&lt;&gt;1), 1,0))*Coefficients!K$2</f>
        <v>#REF!</v>
      </c>
      <c r="L343" t="e">
        <f>(IF(AND(VLOOKUP(Games!#REF!, Data!$B$2:$L$135, 11, FALSE)&lt;&gt;1, VLOOKUP(Games!#REF!, Data!$B$2:$L$135, 11, FALSE)=1), 1,0))*Coefficients!L$2</f>
        <v>#REF!</v>
      </c>
      <c r="O343" t="e">
        <f t="shared" si="6"/>
        <v>#REF!</v>
      </c>
    </row>
    <row r="344">
      <c r="A344" t="n">
        <f>Coefficients!$A$2</f>
        <v>-3.7765953152866998</v>
      </c>
      <c r="B344" t="e">
        <f>(Games!#REF!)*(-1*Coefficients!$B$2)</f>
        <v>#REF!</v>
      </c>
      <c r="C344" t="e">
        <f>(VLOOKUP(Games!#REF!, Data!$B$2:$L$135, 4, FALSE)-VLOOKUP(Games!#REF!, Data!$B$2:$L$135, 4, FALSE))*Coefficients!$C$2</f>
        <v>#REF!</v>
      </c>
      <c r="D344" t="e">
        <f>(VLOOKUP(Games!#REF!, Data!$B$2:$L$135, 3, FALSE)-VLOOKUP(Games!#REF!, Data!$B$2:$L$135, 3, FALSE))*Coefficients!$D$2</f>
        <v>#REF!</v>
      </c>
      <c r="E344" t="e">
        <f>(VLOOKUP(Games!#REF!, Data!$B$2:$L$135, 5, FALSE)-VLOOKUP(Games!#REF!, Data!$B$2:$L$135, 5, FALSE))*Coefficients!$E$2</f>
        <v>#REF!</v>
      </c>
      <c r="F344" t="e">
        <f>(VLOOKUP(Games!#REF!, Data!$B$2:$L$135, 6, FALSE)-VLOOKUP(Games!#REF!, Data!$B$2:$L$135, 6, FALSE))*Coefficients!$F$2</f>
        <v>#REF!</v>
      </c>
      <c r="G344" t="e">
        <f>(VLOOKUP(Games!#REF!, Data!$B$2:$L$135, 7, FALSE)-VLOOKUP(Games!#REF!, Data!$B$2:$L$135, 7, FALSE))*Coefficients!$G$2</f>
        <v>#REF!</v>
      </c>
      <c r="H344" t="e">
        <f>(VLOOKUP(Games!#REF!, Data!$B$2:$L$135, 8, FALSE)-VLOOKUP(Games!#REF!, Data!$B$2:$L$135, 8, FALSE))*Coefficients!$H$2</f>
        <v>#REF!</v>
      </c>
      <c r="I344" t="e">
        <f>(VLOOKUP(Games!#REF!, Data!$B$2:$L$135, 9, FALSE)-VLOOKUP(Games!#REF!, Data!$B$2:$L$135, 9, FALSE))*Coefficients!$I$2</f>
        <v>#REF!</v>
      </c>
      <c r="J344" t="e">
        <f>IF(ISBLANK(Data!K344), Games!#REF!-Games!#REF!,VLOOKUP(Games!#REF!, Data!$B$2:$L$135, 10, FALSE)-VLOOKUP(Games!#REF!, Data!$B$2:$L$135, 10, FALSE))*Coefficients!$J$2</f>
        <v>#REF!</v>
      </c>
      <c r="K344" t="e">
        <f>(IF(AND(VLOOKUP(Games!#REF!, Data!$B$2:$L$135, 11, FALSE)=1, VLOOKUP(Games!#REF!, Data!$B$2:$L$135, 11, FALSE)&lt;&gt;1), 1,0))*Coefficients!K$2</f>
        <v>#REF!</v>
      </c>
      <c r="L344" t="e">
        <f>(IF(AND(VLOOKUP(Games!#REF!, Data!$B$2:$L$135, 11, FALSE)&lt;&gt;1, VLOOKUP(Games!#REF!, Data!$B$2:$L$135, 11, FALSE)=1), 1,0))*Coefficients!L$2</f>
        <v>#REF!</v>
      </c>
      <c r="O344" t="e">
        <f t="shared" si="6"/>
        <v>#REF!</v>
      </c>
    </row>
    <row r="345">
      <c r="A345" t="n">
        <f>Coefficients!$A$2</f>
        <v>-3.7765953152866998</v>
      </c>
      <c r="B345" t="e">
        <f>(Games!#REF!)*(-1*Coefficients!$B$2)</f>
        <v>#REF!</v>
      </c>
      <c r="C345" t="e">
        <f>(VLOOKUP(Games!#REF!, Data!$B$2:$L$135, 4, FALSE)-VLOOKUP(Games!#REF!, Data!$B$2:$L$135, 4, FALSE))*Coefficients!$C$2</f>
        <v>#REF!</v>
      </c>
      <c r="D345" t="e">
        <f>(VLOOKUP(Games!#REF!, Data!$B$2:$L$135, 3, FALSE)-VLOOKUP(Games!#REF!, Data!$B$2:$L$135, 3, FALSE))*Coefficients!$D$2</f>
        <v>#REF!</v>
      </c>
      <c r="E345" t="e">
        <f>(VLOOKUP(Games!#REF!, Data!$B$2:$L$135, 5, FALSE)-VLOOKUP(Games!#REF!, Data!$B$2:$L$135, 5, FALSE))*Coefficients!$E$2</f>
        <v>#REF!</v>
      </c>
      <c r="F345" t="e">
        <f>(VLOOKUP(Games!#REF!, Data!$B$2:$L$135, 6, FALSE)-VLOOKUP(Games!#REF!, Data!$B$2:$L$135, 6, FALSE))*Coefficients!$F$2</f>
        <v>#REF!</v>
      </c>
      <c r="G345" t="e">
        <f>(VLOOKUP(Games!#REF!, Data!$B$2:$L$135, 7, FALSE)-VLOOKUP(Games!#REF!, Data!$B$2:$L$135, 7, FALSE))*Coefficients!$G$2</f>
        <v>#REF!</v>
      </c>
      <c r="H345" t="e">
        <f>(VLOOKUP(Games!#REF!, Data!$B$2:$L$135, 8, FALSE)-VLOOKUP(Games!#REF!, Data!$B$2:$L$135, 8, FALSE))*Coefficients!$H$2</f>
        <v>#REF!</v>
      </c>
      <c r="I345" t="e">
        <f>(VLOOKUP(Games!#REF!, Data!$B$2:$L$135, 9, FALSE)-VLOOKUP(Games!#REF!, Data!$B$2:$L$135, 9, FALSE))*Coefficients!$I$2</f>
        <v>#REF!</v>
      </c>
      <c r="J345" t="e">
        <f>IF(ISBLANK(Data!K345), Games!#REF!-Games!#REF!,VLOOKUP(Games!#REF!, Data!$B$2:$L$135, 10, FALSE)-VLOOKUP(Games!#REF!, Data!$B$2:$L$135, 10, FALSE))*Coefficients!$J$2</f>
        <v>#REF!</v>
      </c>
      <c r="K345" t="e">
        <f>(IF(AND(VLOOKUP(Games!#REF!, Data!$B$2:$L$135, 11, FALSE)=1, VLOOKUP(Games!#REF!, Data!$B$2:$L$135, 11, FALSE)&lt;&gt;1), 1,0))*Coefficients!K$2</f>
        <v>#REF!</v>
      </c>
      <c r="L345" t="e">
        <f>(IF(AND(VLOOKUP(Games!#REF!, Data!$B$2:$L$135, 11, FALSE)&lt;&gt;1, VLOOKUP(Games!#REF!, Data!$B$2:$L$135, 11, FALSE)=1), 1,0))*Coefficients!L$2</f>
        <v>#REF!</v>
      </c>
      <c r="O345" t="e">
        <f t="shared" si="6"/>
        <v>#REF!</v>
      </c>
    </row>
    <row r="346">
      <c r="A346" t="n">
        <f>Coefficients!$A$2</f>
        <v>-3.7765953152866998</v>
      </c>
      <c r="B346" t="e">
        <f>(Games!#REF!)*(-1*Coefficients!$B$2)</f>
        <v>#REF!</v>
      </c>
      <c r="C346" t="e">
        <f>(VLOOKUP(Games!#REF!, Data!$B$2:$L$135, 4, FALSE)-VLOOKUP(Games!#REF!, Data!$B$2:$L$135, 4, FALSE))*Coefficients!$C$2</f>
        <v>#REF!</v>
      </c>
      <c r="D346" t="e">
        <f>(VLOOKUP(Games!#REF!, Data!$B$2:$L$135, 3, FALSE)-VLOOKUP(Games!#REF!, Data!$B$2:$L$135, 3, FALSE))*Coefficients!$D$2</f>
        <v>#REF!</v>
      </c>
      <c r="E346" t="e">
        <f>(VLOOKUP(Games!#REF!, Data!$B$2:$L$135, 5, FALSE)-VLOOKUP(Games!#REF!, Data!$B$2:$L$135, 5, FALSE))*Coefficients!$E$2</f>
        <v>#REF!</v>
      </c>
      <c r="F346" t="e">
        <f>(VLOOKUP(Games!#REF!, Data!$B$2:$L$135, 6, FALSE)-VLOOKUP(Games!#REF!, Data!$B$2:$L$135, 6, FALSE))*Coefficients!$F$2</f>
        <v>#REF!</v>
      </c>
      <c r="G346" t="e">
        <f>(VLOOKUP(Games!#REF!, Data!$B$2:$L$135, 7, FALSE)-VLOOKUP(Games!#REF!, Data!$B$2:$L$135, 7, FALSE))*Coefficients!$G$2</f>
        <v>#REF!</v>
      </c>
      <c r="H346" t="e">
        <f>(VLOOKUP(Games!#REF!, Data!$B$2:$L$135, 8, FALSE)-VLOOKUP(Games!#REF!, Data!$B$2:$L$135, 8, FALSE))*Coefficients!$H$2</f>
        <v>#REF!</v>
      </c>
      <c r="I346" t="e">
        <f>(VLOOKUP(Games!#REF!, Data!$B$2:$L$135, 9, FALSE)-VLOOKUP(Games!#REF!, Data!$B$2:$L$135, 9, FALSE))*Coefficients!$I$2</f>
        <v>#REF!</v>
      </c>
      <c r="J346" t="e">
        <f>IF(ISBLANK(Data!K346), Games!#REF!-Games!#REF!,VLOOKUP(Games!#REF!, Data!$B$2:$L$135, 10, FALSE)-VLOOKUP(Games!#REF!, Data!$B$2:$L$135, 10, FALSE))*Coefficients!$J$2</f>
        <v>#REF!</v>
      </c>
      <c r="K346" t="e">
        <f>(IF(AND(VLOOKUP(Games!#REF!, Data!$B$2:$L$135, 11, FALSE)=1, VLOOKUP(Games!#REF!, Data!$B$2:$L$135, 11, FALSE)&lt;&gt;1), 1,0))*Coefficients!K$2</f>
        <v>#REF!</v>
      </c>
      <c r="L346" t="e">
        <f>(IF(AND(VLOOKUP(Games!#REF!, Data!$B$2:$L$135, 11, FALSE)&lt;&gt;1, VLOOKUP(Games!#REF!, Data!$B$2:$L$135, 11, FALSE)=1), 1,0))*Coefficients!L$2</f>
        <v>#REF!</v>
      </c>
      <c r="O346" t="e">
        <f t="shared" si="6"/>
        <v>#REF!</v>
      </c>
    </row>
    <row r="347">
      <c r="A347" t="n">
        <f>Coefficients!$A$2</f>
        <v>-3.7765953152866998</v>
      </c>
      <c r="B347" t="e">
        <f>(Games!#REF!)*(-1*Coefficients!$B$2)</f>
        <v>#REF!</v>
      </c>
      <c r="C347" t="e">
        <f>(VLOOKUP(Games!#REF!, Data!$B$2:$L$135, 4, FALSE)-VLOOKUP(Games!#REF!, Data!$B$2:$L$135, 4, FALSE))*Coefficients!$C$2</f>
        <v>#REF!</v>
      </c>
      <c r="D347" t="e">
        <f>(VLOOKUP(Games!#REF!, Data!$B$2:$L$135, 3, FALSE)-VLOOKUP(Games!#REF!, Data!$B$2:$L$135, 3, FALSE))*Coefficients!$D$2</f>
        <v>#REF!</v>
      </c>
      <c r="E347" t="e">
        <f>(VLOOKUP(Games!#REF!, Data!$B$2:$L$135, 5, FALSE)-VLOOKUP(Games!#REF!, Data!$B$2:$L$135, 5, FALSE))*Coefficients!$E$2</f>
        <v>#REF!</v>
      </c>
      <c r="F347" t="e">
        <f>(VLOOKUP(Games!#REF!, Data!$B$2:$L$135, 6, FALSE)-VLOOKUP(Games!#REF!, Data!$B$2:$L$135, 6, FALSE))*Coefficients!$F$2</f>
        <v>#REF!</v>
      </c>
      <c r="G347" t="e">
        <f>(VLOOKUP(Games!#REF!, Data!$B$2:$L$135, 7, FALSE)-VLOOKUP(Games!#REF!, Data!$B$2:$L$135, 7, FALSE))*Coefficients!$G$2</f>
        <v>#REF!</v>
      </c>
      <c r="H347" t="e">
        <f>(VLOOKUP(Games!#REF!, Data!$B$2:$L$135, 8, FALSE)-VLOOKUP(Games!#REF!, Data!$B$2:$L$135, 8, FALSE))*Coefficients!$H$2</f>
        <v>#REF!</v>
      </c>
      <c r="I347" t="e">
        <f>(VLOOKUP(Games!#REF!, Data!$B$2:$L$135, 9, FALSE)-VLOOKUP(Games!#REF!, Data!$B$2:$L$135, 9, FALSE))*Coefficients!$I$2</f>
        <v>#REF!</v>
      </c>
      <c r="J347" t="e">
        <f>IF(ISBLANK(Data!K347), Games!#REF!-Games!#REF!,VLOOKUP(Games!#REF!, Data!$B$2:$L$135, 10, FALSE)-VLOOKUP(Games!#REF!, Data!$B$2:$L$135, 10, FALSE))*Coefficients!$J$2</f>
        <v>#REF!</v>
      </c>
      <c r="K347" t="e">
        <f>(IF(AND(VLOOKUP(Games!#REF!, Data!$B$2:$L$135, 11, FALSE)=1, VLOOKUP(Games!#REF!, Data!$B$2:$L$135, 11, FALSE)&lt;&gt;1), 1,0))*Coefficients!K$2</f>
        <v>#REF!</v>
      </c>
      <c r="L347" t="e">
        <f>(IF(AND(VLOOKUP(Games!#REF!, Data!$B$2:$L$135, 11, FALSE)&lt;&gt;1, VLOOKUP(Games!#REF!, Data!$B$2:$L$135, 11, FALSE)=1), 1,0))*Coefficients!L$2</f>
        <v>#REF!</v>
      </c>
      <c r="O347" t="e">
        <f t="shared" si="6"/>
        <v>#REF!</v>
      </c>
    </row>
    <row r="348">
      <c r="A348" t="n">
        <f>Coefficients!$A$2</f>
        <v>-3.7765953152866998</v>
      </c>
      <c r="B348" t="e">
        <f>(Games!#REF!)*(-1*Coefficients!$B$2)</f>
        <v>#REF!</v>
      </c>
      <c r="C348" t="e">
        <f>(VLOOKUP(Games!#REF!, Data!$B$2:$L$135, 4, FALSE)-VLOOKUP(Games!#REF!, Data!$B$2:$L$135, 4, FALSE))*Coefficients!$C$2</f>
        <v>#REF!</v>
      </c>
      <c r="D348" t="e">
        <f>(VLOOKUP(Games!#REF!, Data!$B$2:$L$135, 3, FALSE)-VLOOKUP(Games!#REF!, Data!$B$2:$L$135, 3, FALSE))*Coefficients!$D$2</f>
        <v>#REF!</v>
      </c>
      <c r="E348" t="e">
        <f>(VLOOKUP(Games!#REF!, Data!$B$2:$L$135, 5, FALSE)-VLOOKUP(Games!#REF!, Data!$B$2:$L$135, 5, FALSE))*Coefficients!$E$2</f>
        <v>#REF!</v>
      </c>
      <c r="F348" t="e">
        <f>(VLOOKUP(Games!#REF!, Data!$B$2:$L$135, 6, FALSE)-VLOOKUP(Games!#REF!, Data!$B$2:$L$135, 6, FALSE))*Coefficients!$F$2</f>
        <v>#REF!</v>
      </c>
      <c r="G348" t="e">
        <f>(VLOOKUP(Games!#REF!, Data!$B$2:$L$135, 7, FALSE)-VLOOKUP(Games!#REF!, Data!$B$2:$L$135, 7, FALSE))*Coefficients!$G$2</f>
        <v>#REF!</v>
      </c>
      <c r="H348" t="e">
        <f>(VLOOKUP(Games!#REF!, Data!$B$2:$L$135, 8, FALSE)-VLOOKUP(Games!#REF!, Data!$B$2:$L$135, 8, FALSE))*Coefficients!$H$2</f>
        <v>#REF!</v>
      </c>
      <c r="I348" t="e">
        <f>(VLOOKUP(Games!#REF!, Data!$B$2:$L$135, 9, FALSE)-VLOOKUP(Games!#REF!, Data!$B$2:$L$135, 9, FALSE))*Coefficients!$I$2</f>
        <v>#REF!</v>
      </c>
      <c r="J348" t="e">
        <f>IF(ISBLANK(Data!K348), Games!#REF!-Games!#REF!,VLOOKUP(Games!#REF!, Data!$B$2:$L$135, 10, FALSE)-VLOOKUP(Games!#REF!, Data!$B$2:$L$135, 10, FALSE))*Coefficients!$J$2</f>
        <v>#REF!</v>
      </c>
      <c r="K348" t="e">
        <f>(IF(AND(VLOOKUP(Games!#REF!, Data!$B$2:$L$135, 11, FALSE)=1, VLOOKUP(Games!#REF!, Data!$B$2:$L$135, 11, FALSE)&lt;&gt;1), 1,0))*Coefficients!K$2</f>
        <v>#REF!</v>
      </c>
      <c r="L348" t="e">
        <f>(IF(AND(VLOOKUP(Games!#REF!, Data!$B$2:$L$135, 11, FALSE)&lt;&gt;1, VLOOKUP(Games!#REF!, Data!$B$2:$L$135, 11, FALSE)=1), 1,0))*Coefficients!L$2</f>
        <v>#REF!</v>
      </c>
      <c r="O348" t="e">
        <f t="shared" si="6"/>
        <v>#REF!</v>
      </c>
    </row>
    <row r="349">
      <c r="A349" t="n">
        <f>Coefficients!$A$2</f>
        <v>-3.7765953152866998</v>
      </c>
      <c r="B349" t="e">
        <f>(Games!#REF!)*(-1*Coefficients!$B$2)</f>
        <v>#REF!</v>
      </c>
      <c r="C349" t="e">
        <f>(VLOOKUP(Games!#REF!, Data!$B$2:$L$135, 4, FALSE)-VLOOKUP(Games!#REF!, Data!$B$2:$L$135, 4, FALSE))*Coefficients!$C$2</f>
        <v>#REF!</v>
      </c>
      <c r="D349" t="e">
        <f>(VLOOKUP(Games!#REF!, Data!$B$2:$L$135, 3, FALSE)-VLOOKUP(Games!#REF!, Data!$B$2:$L$135, 3, FALSE))*Coefficients!$D$2</f>
        <v>#REF!</v>
      </c>
      <c r="E349" t="e">
        <f>(VLOOKUP(Games!#REF!, Data!$B$2:$L$135, 5, FALSE)-VLOOKUP(Games!#REF!, Data!$B$2:$L$135, 5, FALSE))*Coefficients!$E$2</f>
        <v>#REF!</v>
      </c>
      <c r="F349" t="e">
        <f>(VLOOKUP(Games!#REF!, Data!$B$2:$L$135, 6, FALSE)-VLOOKUP(Games!#REF!, Data!$B$2:$L$135, 6, FALSE))*Coefficients!$F$2</f>
        <v>#REF!</v>
      </c>
      <c r="G349" t="e">
        <f>(VLOOKUP(Games!#REF!, Data!$B$2:$L$135, 7, FALSE)-VLOOKUP(Games!#REF!, Data!$B$2:$L$135, 7, FALSE))*Coefficients!$G$2</f>
        <v>#REF!</v>
      </c>
      <c r="H349" t="e">
        <f>(VLOOKUP(Games!#REF!, Data!$B$2:$L$135, 8, FALSE)-VLOOKUP(Games!#REF!, Data!$B$2:$L$135, 8, FALSE))*Coefficients!$H$2</f>
        <v>#REF!</v>
      </c>
      <c r="I349" t="e">
        <f>(VLOOKUP(Games!#REF!, Data!$B$2:$L$135, 9, FALSE)-VLOOKUP(Games!#REF!, Data!$B$2:$L$135, 9, FALSE))*Coefficients!$I$2</f>
        <v>#REF!</v>
      </c>
      <c r="J349" t="e">
        <f>IF(ISBLANK(Data!K349), Games!#REF!-Games!#REF!,VLOOKUP(Games!#REF!, Data!$B$2:$L$135, 10, FALSE)-VLOOKUP(Games!#REF!, Data!$B$2:$L$135, 10, FALSE))*Coefficients!$J$2</f>
        <v>#REF!</v>
      </c>
      <c r="K349" t="e">
        <f>(IF(AND(VLOOKUP(Games!#REF!, Data!$B$2:$L$135, 11, FALSE)=1, VLOOKUP(Games!#REF!, Data!$B$2:$L$135, 11, FALSE)&lt;&gt;1), 1,0))*Coefficients!K$2</f>
        <v>#REF!</v>
      </c>
      <c r="L349" t="e">
        <f>(IF(AND(VLOOKUP(Games!#REF!, Data!$B$2:$L$135, 11, FALSE)&lt;&gt;1, VLOOKUP(Games!#REF!, Data!$B$2:$L$135, 11, FALSE)=1), 1,0))*Coefficients!L$2</f>
        <v>#REF!</v>
      </c>
      <c r="O349" t="e">
        <f t="shared" si="6"/>
        <v>#REF!</v>
      </c>
    </row>
    <row r="350">
      <c r="A350" t="n">
        <f>Coefficients!$A$2</f>
        <v>-3.7765953152866998</v>
      </c>
      <c r="B350" t="e">
        <f>(Games!#REF!)*(-1*Coefficients!$B$2)</f>
        <v>#REF!</v>
      </c>
      <c r="C350" t="e">
        <f>(VLOOKUP(Games!#REF!, Data!$B$2:$L$135, 4, FALSE)-VLOOKUP(Games!#REF!, Data!$B$2:$L$135, 4, FALSE))*Coefficients!$C$2</f>
        <v>#REF!</v>
      </c>
      <c r="D350" t="e">
        <f>(VLOOKUP(Games!#REF!, Data!$B$2:$L$135, 3, FALSE)-VLOOKUP(Games!#REF!, Data!$B$2:$L$135, 3, FALSE))*Coefficients!$D$2</f>
        <v>#REF!</v>
      </c>
      <c r="E350" t="e">
        <f>(VLOOKUP(Games!#REF!, Data!$B$2:$L$135, 5, FALSE)-VLOOKUP(Games!#REF!, Data!$B$2:$L$135, 5, FALSE))*Coefficients!$E$2</f>
        <v>#REF!</v>
      </c>
      <c r="F350" t="e">
        <f>(VLOOKUP(Games!#REF!, Data!$B$2:$L$135, 6, FALSE)-VLOOKUP(Games!#REF!, Data!$B$2:$L$135, 6, FALSE))*Coefficients!$F$2</f>
        <v>#REF!</v>
      </c>
      <c r="G350" t="e">
        <f>(VLOOKUP(Games!#REF!, Data!$B$2:$L$135, 7, FALSE)-VLOOKUP(Games!#REF!, Data!$B$2:$L$135, 7, FALSE))*Coefficients!$G$2</f>
        <v>#REF!</v>
      </c>
      <c r="H350" t="e">
        <f>(VLOOKUP(Games!#REF!, Data!$B$2:$L$135, 8, FALSE)-VLOOKUP(Games!#REF!, Data!$B$2:$L$135, 8, FALSE))*Coefficients!$H$2</f>
        <v>#REF!</v>
      </c>
      <c r="I350" t="e">
        <f>(VLOOKUP(Games!#REF!, Data!$B$2:$L$135, 9, FALSE)-VLOOKUP(Games!#REF!, Data!$B$2:$L$135, 9, FALSE))*Coefficients!$I$2</f>
        <v>#REF!</v>
      </c>
      <c r="J350" t="e">
        <f>IF(ISBLANK(Data!K350), Games!#REF!-Games!#REF!,VLOOKUP(Games!#REF!, Data!$B$2:$L$135, 10, FALSE)-VLOOKUP(Games!#REF!, Data!$B$2:$L$135, 10, FALSE))*Coefficients!$J$2</f>
        <v>#REF!</v>
      </c>
      <c r="K350" t="e">
        <f>(IF(AND(VLOOKUP(Games!#REF!, Data!$B$2:$L$135, 11, FALSE)=1, VLOOKUP(Games!#REF!, Data!$B$2:$L$135, 11, FALSE)&lt;&gt;1), 1,0))*Coefficients!K$2</f>
        <v>#REF!</v>
      </c>
      <c r="L350" t="e">
        <f>(IF(AND(VLOOKUP(Games!#REF!, Data!$B$2:$L$135, 11, FALSE)&lt;&gt;1, VLOOKUP(Games!#REF!, Data!$B$2:$L$135, 11, FALSE)=1), 1,0))*Coefficients!L$2</f>
        <v>#REF!</v>
      </c>
      <c r="O350" t="e">
        <f t="shared" si="6"/>
        <v>#REF!</v>
      </c>
    </row>
    <row r="351">
      <c r="A351" t="n">
        <f>Coefficients!$A$2</f>
        <v>-3.7765953152866998</v>
      </c>
      <c r="B351" t="e">
        <f>(Games!#REF!)*(-1*Coefficients!$B$2)</f>
        <v>#REF!</v>
      </c>
      <c r="C351" t="e">
        <f>(VLOOKUP(Games!#REF!, Data!$B$2:$L$135, 4, FALSE)-VLOOKUP(Games!#REF!, Data!$B$2:$L$135, 4, FALSE))*Coefficients!$C$2</f>
        <v>#REF!</v>
      </c>
      <c r="D351" t="e">
        <f>(VLOOKUP(Games!#REF!, Data!$B$2:$L$135, 3, FALSE)-VLOOKUP(Games!#REF!, Data!$B$2:$L$135, 3, FALSE))*Coefficients!$D$2</f>
        <v>#REF!</v>
      </c>
      <c r="E351" t="e">
        <f>(VLOOKUP(Games!#REF!, Data!$B$2:$L$135, 5, FALSE)-VLOOKUP(Games!#REF!, Data!$B$2:$L$135, 5, FALSE))*Coefficients!$E$2</f>
        <v>#REF!</v>
      </c>
      <c r="F351" t="e">
        <f>(VLOOKUP(Games!#REF!, Data!$B$2:$L$135, 6, FALSE)-VLOOKUP(Games!#REF!, Data!$B$2:$L$135, 6, FALSE))*Coefficients!$F$2</f>
        <v>#REF!</v>
      </c>
      <c r="G351" t="e">
        <f>(VLOOKUP(Games!#REF!, Data!$B$2:$L$135, 7, FALSE)-VLOOKUP(Games!#REF!, Data!$B$2:$L$135, 7, FALSE))*Coefficients!$G$2</f>
        <v>#REF!</v>
      </c>
      <c r="H351" t="e">
        <f>(VLOOKUP(Games!#REF!, Data!$B$2:$L$135, 8, FALSE)-VLOOKUP(Games!#REF!, Data!$B$2:$L$135, 8, FALSE))*Coefficients!$H$2</f>
        <v>#REF!</v>
      </c>
      <c r="I351" t="e">
        <f>(VLOOKUP(Games!#REF!, Data!$B$2:$L$135, 9, FALSE)-VLOOKUP(Games!#REF!, Data!$B$2:$L$135, 9, FALSE))*Coefficients!$I$2</f>
        <v>#REF!</v>
      </c>
      <c r="J351" t="e">
        <f>IF(ISBLANK(Data!K351), Games!#REF!-Games!#REF!,VLOOKUP(Games!#REF!, Data!$B$2:$L$135, 10, FALSE)-VLOOKUP(Games!#REF!, Data!$B$2:$L$135, 10, FALSE))*Coefficients!$J$2</f>
        <v>#REF!</v>
      </c>
      <c r="K351" t="e">
        <f>(IF(AND(VLOOKUP(Games!#REF!, Data!$B$2:$L$135, 11, FALSE)=1, VLOOKUP(Games!#REF!, Data!$B$2:$L$135, 11, FALSE)&lt;&gt;1), 1,0))*Coefficients!K$2</f>
        <v>#REF!</v>
      </c>
      <c r="L351" t="e">
        <f>(IF(AND(VLOOKUP(Games!#REF!, Data!$B$2:$L$135, 11, FALSE)&lt;&gt;1, VLOOKUP(Games!#REF!, Data!$B$2:$L$135, 11, FALSE)=1), 1,0))*Coefficients!L$2</f>
        <v>#REF!</v>
      </c>
      <c r="O351" t="e">
        <f t="shared" si="6"/>
        <v>#REF!</v>
      </c>
    </row>
    <row r="352">
      <c r="A352" t="n">
        <f>Coefficients!$A$2</f>
        <v>-3.7765953152866998</v>
      </c>
      <c r="B352" t="e">
        <f>(Games!#REF!)*(-1*Coefficients!$B$2)</f>
        <v>#REF!</v>
      </c>
      <c r="C352" t="e">
        <f>(VLOOKUP(Games!#REF!, Data!$B$2:$L$135, 4, FALSE)-VLOOKUP(Games!#REF!, Data!$B$2:$L$135, 4, FALSE))*Coefficients!$C$2</f>
        <v>#REF!</v>
      </c>
      <c r="D352" t="e">
        <f>(VLOOKUP(Games!#REF!, Data!$B$2:$L$135, 3, FALSE)-VLOOKUP(Games!#REF!, Data!$B$2:$L$135, 3, FALSE))*Coefficients!$D$2</f>
        <v>#REF!</v>
      </c>
      <c r="E352" t="e">
        <f>(VLOOKUP(Games!#REF!, Data!$B$2:$L$135, 5, FALSE)-VLOOKUP(Games!#REF!, Data!$B$2:$L$135, 5, FALSE))*Coefficients!$E$2</f>
        <v>#REF!</v>
      </c>
      <c r="F352" t="e">
        <f>(VLOOKUP(Games!#REF!, Data!$B$2:$L$135, 6, FALSE)-VLOOKUP(Games!#REF!, Data!$B$2:$L$135, 6, FALSE))*Coefficients!$F$2</f>
        <v>#REF!</v>
      </c>
      <c r="G352" t="e">
        <f>(VLOOKUP(Games!#REF!, Data!$B$2:$L$135, 7, FALSE)-VLOOKUP(Games!#REF!, Data!$B$2:$L$135, 7, FALSE))*Coefficients!$G$2</f>
        <v>#REF!</v>
      </c>
      <c r="H352" t="e">
        <f>(VLOOKUP(Games!#REF!, Data!$B$2:$L$135, 8, FALSE)-VLOOKUP(Games!#REF!, Data!$B$2:$L$135, 8, FALSE))*Coefficients!$H$2</f>
        <v>#REF!</v>
      </c>
      <c r="I352" t="e">
        <f>(VLOOKUP(Games!#REF!, Data!$B$2:$L$135, 9, FALSE)-VLOOKUP(Games!#REF!, Data!$B$2:$L$135, 9, FALSE))*Coefficients!$I$2</f>
        <v>#REF!</v>
      </c>
      <c r="J352" t="e">
        <f>IF(ISBLANK(Data!K352), Games!#REF!-Games!#REF!,VLOOKUP(Games!#REF!, Data!$B$2:$L$135, 10, FALSE)-VLOOKUP(Games!#REF!, Data!$B$2:$L$135, 10, FALSE))*Coefficients!$J$2</f>
        <v>#REF!</v>
      </c>
      <c r="K352" t="e">
        <f>(IF(AND(VLOOKUP(Games!#REF!, Data!$B$2:$L$135, 11, FALSE)=1, VLOOKUP(Games!#REF!, Data!$B$2:$L$135, 11, FALSE)&lt;&gt;1), 1,0))*Coefficients!K$2</f>
        <v>#REF!</v>
      </c>
      <c r="L352" t="e">
        <f>(IF(AND(VLOOKUP(Games!#REF!, Data!$B$2:$L$135, 11, FALSE)&lt;&gt;1, VLOOKUP(Games!#REF!, Data!$B$2:$L$135, 11, FALSE)=1), 1,0))*Coefficients!L$2</f>
        <v>#REF!</v>
      </c>
      <c r="O352" t="e">
        <f t="shared" si="6"/>
        <v>#REF!</v>
      </c>
    </row>
    <row r="353">
      <c r="A353" t="n">
        <f>Coefficients!$A$2</f>
        <v>-3.7765953152866998</v>
      </c>
      <c r="B353" t="e">
        <f>(Games!#REF!)*(-1*Coefficients!$B$2)</f>
        <v>#REF!</v>
      </c>
      <c r="C353" t="e">
        <f>(VLOOKUP(Games!#REF!, Data!$B$2:$L$135, 4, FALSE)-VLOOKUP(Games!#REF!, Data!$B$2:$L$135, 4, FALSE))*Coefficients!$C$2</f>
        <v>#REF!</v>
      </c>
      <c r="D353" t="e">
        <f>(VLOOKUP(Games!#REF!, Data!$B$2:$L$135, 3, FALSE)-VLOOKUP(Games!#REF!, Data!$B$2:$L$135, 3, FALSE))*Coefficients!$D$2</f>
        <v>#REF!</v>
      </c>
      <c r="E353" t="e">
        <f>(VLOOKUP(Games!#REF!, Data!$B$2:$L$135, 5, FALSE)-VLOOKUP(Games!#REF!, Data!$B$2:$L$135, 5, FALSE))*Coefficients!$E$2</f>
        <v>#REF!</v>
      </c>
      <c r="F353" t="e">
        <f>(VLOOKUP(Games!#REF!, Data!$B$2:$L$135, 6, FALSE)-VLOOKUP(Games!#REF!, Data!$B$2:$L$135, 6, FALSE))*Coefficients!$F$2</f>
        <v>#REF!</v>
      </c>
      <c r="G353" t="e">
        <f>(VLOOKUP(Games!#REF!, Data!$B$2:$L$135, 7, FALSE)-VLOOKUP(Games!#REF!, Data!$B$2:$L$135, 7, FALSE))*Coefficients!$G$2</f>
        <v>#REF!</v>
      </c>
      <c r="H353" t="e">
        <f>(VLOOKUP(Games!#REF!, Data!$B$2:$L$135, 8, FALSE)-VLOOKUP(Games!#REF!, Data!$B$2:$L$135, 8, FALSE))*Coefficients!$H$2</f>
        <v>#REF!</v>
      </c>
      <c r="I353" t="e">
        <f>(VLOOKUP(Games!#REF!, Data!$B$2:$L$135, 9, FALSE)-VLOOKUP(Games!#REF!, Data!$B$2:$L$135, 9, FALSE))*Coefficients!$I$2</f>
        <v>#REF!</v>
      </c>
      <c r="J353" t="e">
        <f>IF(ISBLANK(Data!K353), Games!#REF!-Games!#REF!,VLOOKUP(Games!#REF!, Data!$B$2:$L$135, 10, FALSE)-VLOOKUP(Games!#REF!, Data!$B$2:$L$135, 10, FALSE))*Coefficients!$J$2</f>
        <v>#REF!</v>
      </c>
      <c r="K353" t="e">
        <f>(IF(AND(VLOOKUP(Games!#REF!, Data!$B$2:$L$135, 11, FALSE)=1, VLOOKUP(Games!#REF!, Data!$B$2:$L$135, 11, FALSE)&lt;&gt;1), 1,0))*Coefficients!K$2</f>
        <v>#REF!</v>
      </c>
      <c r="L353" t="e">
        <f>(IF(AND(VLOOKUP(Games!#REF!, Data!$B$2:$L$135, 11, FALSE)&lt;&gt;1, VLOOKUP(Games!#REF!, Data!$B$2:$L$135, 11, FALSE)=1), 1,0))*Coefficients!L$2</f>
        <v>#REF!</v>
      </c>
      <c r="O353" t="e">
        <f t="shared" si="6"/>
        <v>#REF!</v>
      </c>
    </row>
    <row r="354">
      <c r="A354" t="n">
        <f>Coefficients!$A$2</f>
        <v>-3.7765953152866998</v>
      </c>
      <c r="B354" t="e">
        <f>(Games!#REF!)*(-1*Coefficients!$B$2)</f>
        <v>#REF!</v>
      </c>
      <c r="C354" t="e">
        <f>(VLOOKUP(Games!#REF!, Data!$B$2:$L$135, 4, FALSE)-VLOOKUP(Games!#REF!, Data!$B$2:$L$135, 4, FALSE))*Coefficients!$C$2</f>
        <v>#REF!</v>
      </c>
      <c r="D354" t="e">
        <f>(VLOOKUP(Games!#REF!, Data!$B$2:$L$135, 3, FALSE)-VLOOKUP(Games!#REF!, Data!$B$2:$L$135, 3, FALSE))*Coefficients!$D$2</f>
        <v>#REF!</v>
      </c>
      <c r="E354" t="e">
        <f>(VLOOKUP(Games!#REF!, Data!$B$2:$L$135, 5, FALSE)-VLOOKUP(Games!#REF!, Data!$B$2:$L$135, 5, FALSE))*Coefficients!$E$2</f>
        <v>#REF!</v>
      </c>
      <c r="F354" t="e">
        <f>(VLOOKUP(Games!#REF!, Data!$B$2:$L$135, 6, FALSE)-VLOOKUP(Games!#REF!, Data!$B$2:$L$135, 6, FALSE))*Coefficients!$F$2</f>
        <v>#REF!</v>
      </c>
      <c r="G354" t="e">
        <f>(VLOOKUP(Games!#REF!, Data!$B$2:$L$135, 7, FALSE)-VLOOKUP(Games!#REF!, Data!$B$2:$L$135, 7, FALSE))*Coefficients!$G$2</f>
        <v>#REF!</v>
      </c>
      <c r="H354" t="e">
        <f>(VLOOKUP(Games!#REF!, Data!$B$2:$L$135, 8, FALSE)-VLOOKUP(Games!#REF!, Data!$B$2:$L$135, 8, FALSE))*Coefficients!$H$2</f>
        <v>#REF!</v>
      </c>
      <c r="I354" t="e">
        <f>(VLOOKUP(Games!#REF!, Data!$B$2:$L$135, 9, FALSE)-VLOOKUP(Games!#REF!, Data!$B$2:$L$135, 9, FALSE))*Coefficients!$I$2</f>
        <v>#REF!</v>
      </c>
      <c r="J354" t="e">
        <f>IF(ISBLANK(Data!K354), Games!#REF!-Games!#REF!,VLOOKUP(Games!#REF!, Data!$B$2:$L$135, 10, FALSE)-VLOOKUP(Games!#REF!, Data!$B$2:$L$135, 10, FALSE))*Coefficients!$J$2</f>
        <v>#REF!</v>
      </c>
      <c r="K354" t="e">
        <f>(IF(AND(VLOOKUP(Games!#REF!, Data!$B$2:$L$135, 11, FALSE)=1, VLOOKUP(Games!#REF!, Data!$B$2:$L$135, 11, FALSE)&lt;&gt;1), 1,0))*Coefficients!K$2</f>
        <v>#REF!</v>
      </c>
      <c r="L354" t="e">
        <f>(IF(AND(VLOOKUP(Games!#REF!, Data!$B$2:$L$135, 11, FALSE)&lt;&gt;1, VLOOKUP(Games!#REF!, Data!$B$2:$L$135, 11, FALSE)=1), 1,0))*Coefficients!L$2</f>
        <v>#REF!</v>
      </c>
      <c r="O354" t="e">
        <f t="shared" si="6"/>
        <v>#REF!</v>
      </c>
    </row>
    <row r="355">
      <c r="A355" t="n">
        <f>Coefficients!$A$2</f>
        <v>-3.7765953152866998</v>
      </c>
      <c r="B355" t="e">
        <f>(Games!#REF!)*(-1*Coefficients!$B$2)</f>
        <v>#REF!</v>
      </c>
      <c r="C355" t="e">
        <f>(VLOOKUP(Games!#REF!, Data!$B$2:$L$135, 4, FALSE)-VLOOKUP(Games!#REF!, Data!$B$2:$L$135, 4, FALSE))*Coefficients!$C$2</f>
        <v>#REF!</v>
      </c>
      <c r="D355" t="e">
        <f>(VLOOKUP(Games!#REF!, Data!$B$2:$L$135, 3, FALSE)-VLOOKUP(Games!#REF!, Data!$B$2:$L$135, 3, FALSE))*Coefficients!$D$2</f>
        <v>#REF!</v>
      </c>
      <c r="E355" t="e">
        <f>(VLOOKUP(Games!#REF!, Data!$B$2:$L$135, 5, FALSE)-VLOOKUP(Games!#REF!, Data!$B$2:$L$135, 5, FALSE))*Coefficients!$E$2</f>
        <v>#REF!</v>
      </c>
      <c r="F355" t="e">
        <f>(VLOOKUP(Games!#REF!, Data!$B$2:$L$135, 6, FALSE)-VLOOKUP(Games!#REF!, Data!$B$2:$L$135, 6, FALSE))*Coefficients!$F$2</f>
        <v>#REF!</v>
      </c>
      <c r="G355" t="e">
        <f>(VLOOKUP(Games!#REF!, Data!$B$2:$L$135, 7, FALSE)-VLOOKUP(Games!#REF!, Data!$B$2:$L$135, 7, FALSE))*Coefficients!$G$2</f>
        <v>#REF!</v>
      </c>
      <c r="H355" t="e">
        <f>(VLOOKUP(Games!#REF!, Data!$B$2:$L$135, 8, FALSE)-VLOOKUP(Games!#REF!, Data!$B$2:$L$135, 8, FALSE))*Coefficients!$H$2</f>
        <v>#REF!</v>
      </c>
      <c r="I355" t="e">
        <f>(VLOOKUP(Games!#REF!, Data!$B$2:$L$135, 9, FALSE)-VLOOKUP(Games!#REF!, Data!$B$2:$L$135, 9, FALSE))*Coefficients!$I$2</f>
        <v>#REF!</v>
      </c>
      <c r="J355" t="e">
        <f>IF(ISBLANK(Data!K355), Games!#REF!-Games!#REF!,VLOOKUP(Games!#REF!, Data!$B$2:$L$135, 10, FALSE)-VLOOKUP(Games!#REF!, Data!$B$2:$L$135, 10, FALSE))*Coefficients!$J$2</f>
        <v>#REF!</v>
      </c>
      <c r="K355" t="e">
        <f>(IF(AND(VLOOKUP(Games!#REF!, Data!$B$2:$L$135, 11, FALSE)=1, VLOOKUP(Games!#REF!, Data!$B$2:$L$135, 11, FALSE)&lt;&gt;1), 1,0))*Coefficients!K$2</f>
        <v>#REF!</v>
      </c>
      <c r="L355" t="e">
        <f>(IF(AND(VLOOKUP(Games!#REF!, Data!$B$2:$L$135, 11, FALSE)&lt;&gt;1, VLOOKUP(Games!#REF!, Data!$B$2:$L$135, 11, FALSE)=1), 1,0))*Coefficients!L$2</f>
        <v>#REF!</v>
      </c>
      <c r="O355" t="e">
        <f t="shared" si="6"/>
        <v>#REF!</v>
      </c>
    </row>
    <row r="356">
      <c r="A356" t="n">
        <f>Coefficients!$A$2</f>
        <v>-3.7765953152866998</v>
      </c>
      <c r="B356" t="e">
        <f>(Games!#REF!)*(-1*Coefficients!$B$2)</f>
        <v>#REF!</v>
      </c>
      <c r="C356" t="e">
        <f>(VLOOKUP(Games!#REF!, Data!$B$2:$L$135, 4, FALSE)-VLOOKUP(Games!#REF!, Data!$B$2:$L$135, 4, FALSE))*Coefficients!$C$2</f>
        <v>#REF!</v>
      </c>
      <c r="D356" t="e">
        <f>(VLOOKUP(Games!#REF!, Data!$B$2:$L$135, 3, FALSE)-VLOOKUP(Games!#REF!, Data!$B$2:$L$135, 3, FALSE))*Coefficients!$D$2</f>
        <v>#REF!</v>
      </c>
      <c r="E356" t="e">
        <f>(VLOOKUP(Games!#REF!, Data!$B$2:$L$135, 5, FALSE)-VLOOKUP(Games!#REF!, Data!$B$2:$L$135, 5, FALSE))*Coefficients!$E$2</f>
        <v>#REF!</v>
      </c>
      <c r="F356" t="e">
        <f>(VLOOKUP(Games!#REF!, Data!$B$2:$L$135, 6, FALSE)-VLOOKUP(Games!#REF!, Data!$B$2:$L$135, 6, FALSE))*Coefficients!$F$2</f>
        <v>#REF!</v>
      </c>
      <c r="G356" t="e">
        <f>(VLOOKUP(Games!#REF!, Data!$B$2:$L$135, 7, FALSE)-VLOOKUP(Games!#REF!, Data!$B$2:$L$135, 7, FALSE))*Coefficients!$G$2</f>
        <v>#REF!</v>
      </c>
      <c r="H356" t="e">
        <f>(VLOOKUP(Games!#REF!, Data!$B$2:$L$135, 8, FALSE)-VLOOKUP(Games!#REF!, Data!$B$2:$L$135, 8, FALSE))*Coefficients!$H$2</f>
        <v>#REF!</v>
      </c>
      <c r="I356" t="e">
        <f>(VLOOKUP(Games!#REF!, Data!$B$2:$L$135, 9, FALSE)-VLOOKUP(Games!#REF!, Data!$B$2:$L$135, 9, FALSE))*Coefficients!$I$2</f>
        <v>#REF!</v>
      </c>
      <c r="J356" t="e">
        <f>IF(ISBLANK(Data!K356), Games!#REF!-Games!#REF!,VLOOKUP(Games!#REF!, Data!$B$2:$L$135, 10, FALSE)-VLOOKUP(Games!#REF!, Data!$B$2:$L$135, 10, FALSE))*Coefficients!$J$2</f>
        <v>#REF!</v>
      </c>
      <c r="K356" t="e">
        <f>(IF(AND(VLOOKUP(Games!#REF!, Data!$B$2:$L$135, 11, FALSE)=1, VLOOKUP(Games!#REF!, Data!$B$2:$L$135, 11, FALSE)&lt;&gt;1), 1,0))*Coefficients!K$2</f>
        <v>#REF!</v>
      </c>
      <c r="L356" t="e">
        <f>(IF(AND(VLOOKUP(Games!#REF!, Data!$B$2:$L$135, 11, FALSE)&lt;&gt;1, VLOOKUP(Games!#REF!, Data!$B$2:$L$135, 11, FALSE)=1), 1,0))*Coefficients!L$2</f>
        <v>#REF!</v>
      </c>
      <c r="O356" t="e">
        <f t="shared" si="6"/>
        <v>#REF!</v>
      </c>
    </row>
    <row r="357">
      <c r="A357" t="n">
        <f>Coefficients!$A$2</f>
        <v>-3.7765953152866998</v>
      </c>
      <c r="B357" t="e">
        <f>(Games!#REF!)*(-1*Coefficients!$B$2)</f>
        <v>#REF!</v>
      </c>
      <c r="C357" t="e">
        <f>(VLOOKUP(Games!#REF!, Data!$B$2:$L$135, 4, FALSE)-VLOOKUP(Games!#REF!, Data!$B$2:$L$135, 4, FALSE))*Coefficients!$C$2</f>
        <v>#REF!</v>
      </c>
      <c r="D357" t="e">
        <f>(VLOOKUP(Games!#REF!, Data!$B$2:$L$135, 3, FALSE)-VLOOKUP(Games!#REF!, Data!$B$2:$L$135, 3, FALSE))*Coefficients!$D$2</f>
        <v>#REF!</v>
      </c>
      <c r="E357" t="e">
        <f>(VLOOKUP(Games!#REF!, Data!$B$2:$L$135, 5, FALSE)-VLOOKUP(Games!#REF!, Data!$B$2:$L$135, 5, FALSE))*Coefficients!$E$2</f>
        <v>#REF!</v>
      </c>
      <c r="F357" t="e">
        <f>(VLOOKUP(Games!#REF!, Data!$B$2:$L$135, 6, FALSE)-VLOOKUP(Games!#REF!, Data!$B$2:$L$135, 6, FALSE))*Coefficients!$F$2</f>
        <v>#REF!</v>
      </c>
      <c r="G357" t="e">
        <f>(VLOOKUP(Games!#REF!, Data!$B$2:$L$135, 7, FALSE)-VLOOKUP(Games!#REF!, Data!$B$2:$L$135, 7, FALSE))*Coefficients!$G$2</f>
        <v>#REF!</v>
      </c>
      <c r="H357" t="e">
        <f>(VLOOKUP(Games!#REF!, Data!$B$2:$L$135, 8, FALSE)-VLOOKUP(Games!#REF!, Data!$B$2:$L$135, 8, FALSE))*Coefficients!$H$2</f>
        <v>#REF!</v>
      </c>
      <c r="I357" t="e">
        <f>(VLOOKUP(Games!#REF!, Data!$B$2:$L$135, 9, FALSE)-VLOOKUP(Games!#REF!, Data!$B$2:$L$135, 9, FALSE))*Coefficients!$I$2</f>
        <v>#REF!</v>
      </c>
      <c r="J357" t="e">
        <f>IF(ISBLANK(Data!K357), Games!#REF!-Games!#REF!,VLOOKUP(Games!#REF!, Data!$B$2:$L$135, 10, FALSE)-VLOOKUP(Games!#REF!, Data!$B$2:$L$135, 10, FALSE))*Coefficients!$J$2</f>
        <v>#REF!</v>
      </c>
      <c r="K357" t="e">
        <f>(IF(AND(VLOOKUP(Games!#REF!, Data!$B$2:$L$135, 11, FALSE)=1, VLOOKUP(Games!#REF!, Data!$B$2:$L$135, 11, FALSE)&lt;&gt;1), 1,0))*Coefficients!K$2</f>
        <v>#REF!</v>
      </c>
      <c r="L357" t="e">
        <f>(IF(AND(VLOOKUP(Games!#REF!, Data!$B$2:$L$135, 11, FALSE)&lt;&gt;1, VLOOKUP(Games!#REF!, Data!$B$2:$L$135, 11, FALSE)=1), 1,0))*Coefficients!L$2</f>
        <v>#REF!</v>
      </c>
      <c r="O357" t="e">
        <f t="shared" si="6"/>
        <v>#REF!</v>
      </c>
    </row>
    <row r="358">
      <c r="A358" t="n">
        <f>Coefficients!$A$2</f>
        <v>-3.7765953152866998</v>
      </c>
      <c r="B358" t="e">
        <f>(Games!#REF!)*(-1*Coefficients!$B$2)</f>
        <v>#REF!</v>
      </c>
      <c r="C358" t="e">
        <f>(VLOOKUP(Games!#REF!, Data!$B$2:$L$135, 4, FALSE)-VLOOKUP(Games!#REF!, Data!$B$2:$L$135, 4, FALSE))*Coefficients!$C$2</f>
        <v>#REF!</v>
      </c>
      <c r="D358" t="e">
        <f>(VLOOKUP(Games!#REF!, Data!$B$2:$L$135, 3, FALSE)-VLOOKUP(Games!#REF!, Data!$B$2:$L$135, 3, FALSE))*Coefficients!$D$2</f>
        <v>#REF!</v>
      </c>
      <c r="E358" t="e">
        <f>(VLOOKUP(Games!#REF!, Data!$B$2:$L$135, 5, FALSE)-VLOOKUP(Games!#REF!, Data!$B$2:$L$135, 5, FALSE))*Coefficients!$E$2</f>
        <v>#REF!</v>
      </c>
      <c r="F358" t="e">
        <f>(VLOOKUP(Games!#REF!, Data!$B$2:$L$135, 6, FALSE)-VLOOKUP(Games!#REF!, Data!$B$2:$L$135, 6, FALSE))*Coefficients!$F$2</f>
        <v>#REF!</v>
      </c>
      <c r="G358" t="e">
        <f>(VLOOKUP(Games!#REF!, Data!$B$2:$L$135, 7, FALSE)-VLOOKUP(Games!#REF!, Data!$B$2:$L$135, 7, FALSE))*Coefficients!$G$2</f>
        <v>#REF!</v>
      </c>
      <c r="H358" t="e">
        <f>(VLOOKUP(Games!#REF!, Data!$B$2:$L$135, 8, FALSE)-VLOOKUP(Games!#REF!, Data!$B$2:$L$135, 8, FALSE))*Coefficients!$H$2</f>
        <v>#REF!</v>
      </c>
      <c r="I358" t="e">
        <f>(VLOOKUP(Games!#REF!, Data!$B$2:$L$135, 9, FALSE)-VLOOKUP(Games!#REF!, Data!$B$2:$L$135, 9, FALSE))*Coefficients!$I$2</f>
        <v>#REF!</v>
      </c>
      <c r="J358" t="e">
        <f>IF(ISBLANK(Data!K358), Games!#REF!-Games!#REF!,VLOOKUP(Games!#REF!, Data!$B$2:$L$135, 10, FALSE)-VLOOKUP(Games!#REF!, Data!$B$2:$L$135, 10, FALSE))*Coefficients!$J$2</f>
        <v>#REF!</v>
      </c>
      <c r="K358" t="e">
        <f>(IF(AND(VLOOKUP(Games!#REF!, Data!$B$2:$L$135, 11, FALSE)=1, VLOOKUP(Games!#REF!, Data!$B$2:$L$135, 11, FALSE)&lt;&gt;1), 1,0))*Coefficients!K$2</f>
        <v>#REF!</v>
      </c>
      <c r="L358" t="e">
        <f>(IF(AND(VLOOKUP(Games!#REF!, Data!$B$2:$L$135, 11, FALSE)&lt;&gt;1, VLOOKUP(Games!#REF!, Data!$B$2:$L$135, 11, FALSE)=1), 1,0))*Coefficients!L$2</f>
        <v>#REF!</v>
      </c>
      <c r="O358" t="e">
        <f t="shared" si="6"/>
        <v>#REF!</v>
      </c>
    </row>
    <row r="359">
      <c r="A359" t="n">
        <f>Coefficients!$A$2</f>
        <v>-3.7765953152866998</v>
      </c>
      <c r="B359" t="e">
        <f>(Games!#REF!)*(-1*Coefficients!$B$2)</f>
        <v>#REF!</v>
      </c>
      <c r="C359" t="e">
        <f>(VLOOKUP(Games!#REF!, Data!$B$2:$L$135, 4, FALSE)-VLOOKUP(Games!#REF!, Data!$B$2:$L$135, 4, FALSE))*Coefficients!$C$2</f>
        <v>#REF!</v>
      </c>
      <c r="D359" t="e">
        <f>(VLOOKUP(Games!#REF!, Data!$B$2:$L$135, 3, FALSE)-VLOOKUP(Games!#REF!, Data!$B$2:$L$135, 3, FALSE))*Coefficients!$D$2</f>
        <v>#REF!</v>
      </c>
      <c r="E359" t="e">
        <f>(VLOOKUP(Games!#REF!, Data!$B$2:$L$135, 5, FALSE)-VLOOKUP(Games!#REF!, Data!$B$2:$L$135, 5, FALSE))*Coefficients!$E$2</f>
        <v>#REF!</v>
      </c>
      <c r="F359" t="e">
        <f>(VLOOKUP(Games!#REF!, Data!$B$2:$L$135, 6, FALSE)-VLOOKUP(Games!#REF!, Data!$B$2:$L$135, 6, FALSE))*Coefficients!$F$2</f>
        <v>#REF!</v>
      </c>
      <c r="G359" t="e">
        <f>(VLOOKUP(Games!#REF!, Data!$B$2:$L$135, 7, FALSE)-VLOOKUP(Games!#REF!, Data!$B$2:$L$135, 7, FALSE))*Coefficients!$G$2</f>
        <v>#REF!</v>
      </c>
      <c r="H359" t="e">
        <f>(VLOOKUP(Games!#REF!, Data!$B$2:$L$135, 8, FALSE)-VLOOKUP(Games!#REF!, Data!$B$2:$L$135, 8, FALSE))*Coefficients!$H$2</f>
        <v>#REF!</v>
      </c>
      <c r="I359" t="e">
        <f>(VLOOKUP(Games!#REF!, Data!$B$2:$L$135, 9, FALSE)-VLOOKUP(Games!#REF!, Data!$B$2:$L$135, 9, FALSE))*Coefficients!$I$2</f>
        <v>#REF!</v>
      </c>
      <c r="J359" t="e">
        <f>IF(ISBLANK(Data!K359), Games!#REF!-Games!#REF!,VLOOKUP(Games!#REF!, Data!$B$2:$L$135, 10, FALSE)-VLOOKUP(Games!#REF!, Data!$B$2:$L$135, 10, FALSE))*Coefficients!$J$2</f>
        <v>#REF!</v>
      </c>
      <c r="K359" t="e">
        <f>(IF(AND(VLOOKUP(Games!#REF!, Data!$B$2:$L$135, 11, FALSE)=1, VLOOKUP(Games!#REF!, Data!$B$2:$L$135, 11, FALSE)&lt;&gt;1), 1,0))*Coefficients!K$2</f>
        <v>#REF!</v>
      </c>
      <c r="L359" t="e">
        <f>(IF(AND(VLOOKUP(Games!#REF!, Data!$B$2:$L$135, 11, FALSE)&lt;&gt;1, VLOOKUP(Games!#REF!, Data!$B$2:$L$135, 11, FALSE)=1), 1,0))*Coefficients!L$2</f>
        <v>#REF!</v>
      </c>
      <c r="O359" t="e">
        <f t="shared" si="6"/>
        <v>#REF!</v>
      </c>
    </row>
    <row r="360">
      <c r="A360" t="n">
        <f>Coefficients!$A$2</f>
        <v>-3.7765953152866998</v>
      </c>
      <c r="B360" t="e">
        <f>(Games!#REF!)*(-1*Coefficients!$B$2)</f>
        <v>#REF!</v>
      </c>
      <c r="C360" t="e">
        <f>(VLOOKUP(Games!#REF!, Data!$B$2:$L$135, 4, FALSE)-VLOOKUP(Games!#REF!, Data!$B$2:$L$135, 4, FALSE))*Coefficients!$C$2</f>
        <v>#REF!</v>
      </c>
      <c r="D360" t="e">
        <f>(VLOOKUP(Games!#REF!, Data!$B$2:$L$135, 3, FALSE)-VLOOKUP(Games!#REF!, Data!$B$2:$L$135, 3, FALSE))*Coefficients!$D$2</f>
        <v>#REF!</v>
      </c>
      <c r="E360" t="e">
        <f>(VLOOKUP(Games!#REF!, Data!$B$2:$L$135, 5, FALSE)-VLOOKUP(Games!#REF!, Data!$B$2:$L$135, 5, FALSE))*Coefficients!$E$2</f>
        <v>#REF!</v>
      </c>
      <c r="F360" t="e">
        <f>(VLOOKUP(Games!#REF!, Data!$B$2:$L$135, 6, FALSE)-VLOOKUP(Games!#REF!, Data!$B$2:$L$135, 6, FALSE))*Coefficients!$F$2</f>
        <v>#REF!</v>
      </c>
      <c r="G360" t="e">
        <f>(VLOOKUP(Games!#REF!, Data!$B$2:$L$135, 7, FALSE)-VLOOKUP(Games!#REF!, Data!$B$2:$L$135, 7, FALSE))*Coefficients!$G$2</f>
        <v>#REF!</v>
      </c>
      <c r="H360" t="e">
        <f>(VLOOKUP(Games!#REF!, Data!$B$2:$L$135, 8, FALSE)-VLOOKUP(Games!#REF!, Data!$B$2:$L$135, 8, FALSE))*Coefficients!$H$2</f>
        <v>#REF!</v>
      </c>
      <c r="I360" t="e">
        <f>(VLOOKUP(Games!#REF!, Data!$B$2:$L$135, 9, FALSE)-VLOOKUP(Games!#REF!, Data!$B$2:$L$135, 9, FALSE))*Coefficients!$I$2</f>
        <v>#REF!</v>
      </c>
      <c r="J360" t="e">
        <f>IF(ISBLANK(Data!K360), Games!#REF!-Games!#REF!,VLOOKUP(Games!#REF!, Data!$B$2:$L$135, 10, FALSE)-VLOOKUP(Games!#REF!, Data!$B$2:$L$135, 10, FALSE))*Coefficients!$J$2</f>
        <v>#REF!</v>
      </c>
      <c r="K360" t="e">
        <f>(IF(AND(VLOOKUP(Games!#REF!, Data!$B$2:$L$135, 11, FALSE)=1, VLOOKUP(Games!#REF!, Data!$B$2:$L$135, 11, FALSE)&lt;&gt;1), 1,0))*Coefficients!K$2</f>
        <v>#REF!</v>
      </c>
      <c r="L360" t="e">
        <f>(IF(AND(VLOOKUP(Games!#REF!, Data!$B$2:$L$135, 11, FALSE)&lt;&gt;1, VLOOKUP(Games!#REF!, Data!$B$2:$L$135, 11, FALSE)=1), 1,0))*Coefficients!L$2</f>
        <v>#REF!</v>
      </c>
      <c r="O360" t="e">
        <f t="shared" si="6"/>
        <v>#REF!</v>
      </c>
    </row>
    <row r="361">
      <c r="A361" t="n">
        <f>Coefficients!$A$2</f>
        <v>-3.7765953152866998</v>
      </c>
      <c r="B361" t="e">
        <f>(Games!#REF!)*(-1*Coefficients!$B$2)</f>
        <v>#REF!</v>
      </c>
      <c r="C361" t="e">
        <f>(VLOOKUP(Games!#REF!, Data!$B$2:$L$135, 4, FALSE)-VLOOKUP(Games!#REF!, Data!$B$2:$L$135, 4, FALSE))*Coefficients!$C$2</f>
        <v>#REF!</v>
      </c>
      <c r="D361" t="e">
        <f>(VLOOKUP(Games!#REF!, Data!$B$2:$L$135, 3, FALSE)-VLOOKUP(Games!#REF!, Data!$B$2:$L$135, 3, FALSE))*Coefficients!$D$2</f>
        <v>#REF!</v>
      </c>
      <c r="E361" t="e">
        <f>(VLOOKUP(Games!#REF!, Data!$B$2:$L$135, 5, FALSE)-VLOOKUP(Games!#REF!, Data!$B$2:$L$135, 5, FALSE))*Coefficients!$E$2</f>
        <v>#REF!</v>
      </c>
      <c r="F361" t="e">
        <f>(VLOOKUP(Games!#REF!, Data!$B$2:$L$135, 6, FALSE)-VLOOKUP(Games!#REF!, Data!$B$2:$L$135, 6, FALSE))*Coefficients!$F$2</f>
        <v>#REF!</v>
      </c>
      <c r="G361" t="e">
        <f>(VLOOKUP(Games!#REF!, Data!$B$2:$L$135, 7, FALSE)-VLOOKUP(Games!#REF!, Data!$B$2:$L$135, 7, FALSE))*Coefficients!$G$2</f>
        <v>#REF!</v>
      </c>
      <c r="H361" t="e">
        <f>(VLOOKUP(Games!#REF!, Data!$B$2:$L$135, 8, FALSE)-VLOOKUP(Games!#REF!, Data!$B$2:$L$135, 8, FALSE))*Coefficients!$H$2</f>
        <v>#REF!</v>
      </c>
      <c r="I361" t="e">
        <f>(VLOOKUP(Games!#REF!, Data!$B$2:$L$135, 9, FALSE)-VLOOKUP(Games!#REF!, Data!$B$2:$L$135, 9, FALSE))*Coefficients!$I$2</f>
        <v>#REF!</v>
      </c>
      <c r="J361" t="e">
        <f>IF(ISBLANK(Data!K361), Games!#REF!-Games!#REF!,VLOOKUP(Games!#REF!, Data!$B$2:$L$135, 10, FALSE)-VLOOKUP(Games!#REF!, Data!$B$2:$L$135, 10, FALSE))*Coefficients!$J$2</f>
        <v>#REF!</v>
      </c>
      <c r="K361" t="e">
        <f>(IF(AND(VLOOKUP(Games!#REF!, Data!$B$2:$L$135, 11, FALSE)=1, VLOOKUP(Games!#REF!, Data!$B$2:$L$135, 11, FALSE)&lt;&gt;1), 1,0))*Coefficients!K$2</f>
        <v>#REF!</v>
      </c>
      <c r="L361" t="e">
        <f>(IF(AND(VLOOKUP(Games!#REF!, Data!$B$2:$L$135, 11, FALSE)&lt;&gt;1, VLOOKUP(Games!#REF!, Data!$B$2:$L$135, 11, FALSE)=1), 1,0))*Coefficients!L$2</f>
        <v>#REF!</v>
      </c>
      <c r="O361" t="e">
        <f t="shared" si="6"/>
        <v>#REF!</v>
      </c>
    </row>
    <row r="362">
      <c r="A362" t="n">
        <f>Coefficients!$A$2</f>
        <v>-3.7765953152866998</v>
      </c>
      <c r="B362" t="e">
        <f>(Games!#REF!)*(-1*Coefficients!$B$2)</f>
        <v>#REF!</v>
      </c>
      <c r="C362" t="e">
        <f>(VLOOKUP(Games!#REF!, Data!$B$2:$L$135, 4, FALSE)-VLOOKUP(Games!#REF!, Data!$B$2:$L$135, 4, FALSE))*Coefficients!$C$2</f>
        <v>#REF!</v>
      </c>
      <c r="D362" t="e">
        <f>(VLOOKUP(Games!#REF!, Data!$B$2:$L$135, 3, FALSE)-VLOOKUP(Games!#REF!, Data!$B$2:$L$135, 3, FALSE))*Coefficients!$D$2</f>
        <v>#REF!</v>
      </c>
      <c r="E362" t="e">
        <f>(VLOOKUP(Games!#REF!, Data!$B$2:$L$135, 5, FALSE)-VLOOKUP(Games!#REF!, Data!$B$2:$L$135, 5, FALSE))*Coefficients!$E$2</f>
        <v>#REF!</v>
      </c>
      <c r="F362" t="e">
        <f>(VLOOKUP(Games!#REF!, Data!$B$2:$L$135, 6, FALSE)-VLOOKUP(Games!#REF!, Data!$B$2:$L$135, 6, FALSE))*Coefficients!$F$2</f>
        <v>#REF!</v>
      </c>
      <c r="G362" t="e">
        <f>(VLOOKUP(Games!#REF!, Data!$B$2:$L$135, 7, FALSE)-VLOOKUP(Games!#REF!, Data!$B$2:$L$135, 7, FALSE))*Coefficients!$G$2</f>
        <v>#REF!</v>
      </c>
      <c r="H362" t="e">
        <f>(VLOOKUP(Games!#REF!, Data!$B$2:$L$135, 8, FALSE)-VLOOKUP(Games!#REF!, Data!$B$2:$L$135, 8, FALSE))*Coefficients!$H$2</f>
        <v>#REF!</v>
      </c>
      <c r="I362" t="e">
        <f>(VLOOKUP(Games!#REF!, Data!$B$2:$L$135, 9, FALSE)-VLOOKUP(Games!#REF!, Data!$B$2:$L$135, 9, FALSE))*Coefficients!$I$2</f>
        <v>#REF!</v>
      </c>
      <c r="J362" t="e">
        <f>IF(ISBLANK(Data!K362), Games!#REF!-Games!#REF!,VLOOKUP(Games!#REF!, Data!$B$2:$L$135, 10, FALSE)-VLOOKUP(Games!#REF!, Data!$B$2:$L$135, 10, FALSE))*Coefficients!$J$2</f>
        <v>#REF!</v>
      </c>
      <c r="K362" t="e">
        <f>(IF(AND(VLOOKUP(Games!#REF!, Data!$B$2:$L$135, 11, FALSE)=1, VLOOKUP(Games!#REF!, Data!$B$2:$L$135, 11, FALSE)&lt;&gt;1), 1,0))*Coefficients!K$2</f>
        <v>#REF!</v>
      </c>
      <c r="L362" t="e">
        <f>(IF(AND(VLOOKUP(Games!#REF!, Data!$B$2:$L$135, 11, FALSE)&lt;&gt;1, VLOOKUP(Games!#REF!, Data!$B$2:$L$135, 11, FALSE)=1), 1,0))*Coefficients!L$2</f>
        <v>#REF!</v>
      </c>
      <c r="O362" t="e">
        <f t="shared" si="6"/>
        <v>#REF!</v>
      </c>
    </row>
    <row r="363">
      <c r="A363" t="n">
        <f>Coefficients!$A$2</f>
        <v>-3.7765953152866998</v>
      </c>
      <c r="B363" t="e">
        <f>(Games!#REF!)*(-1*Coefficients!$B$2)</f>
        <v>#REF!</v>
      </c>
      <c r="C363" t="e">
        <f>(VLOOKUP(Games!#REF!, Data!$B$2:$L$135, 4, FALSE)-VLOOKUP(Games!#REF!, Data!$B$2:$L$135, 4, FALSE))*Coefficients!$C$2</f>
        <v>#REF!</v>
      </c>
      <c r="D363" t="e">
        <f>(VLOOKUP(Games!#REF!, Data!$B$2:$L$135, 3, FALSE)-VLOOKUP(Games!#REF!, Data!$B$2:$L$135, 3, FALSE))*Coefficients!$D$2</f>
        <v>#REF!</v>
      </c>
      <c r="E363" t="e">
        <f>(VLOOKUP(Games!#REF!, Data!$B$2:$L$135, 5, FALSE)-VLOOKUP(Games!#REF!, Data!$B$2:$L$135, 5, FALSE))*Coefficients!$E$2</f>
        <v>#REF!</v>
      </c>
      <c r="F363" t="e">
        <f>(VLOOKUP(Games!#REF!, Data!$B$2:$L$135, 6, FALSE)-VLOOKUP(Games!#REF!, Data!$B$2:$L$135, 6, FALSE))*Coefficients!$F$2</f>
        <v>#REF!</v>
      </c>
      <c r="G363" t="e">
        <f>(VLOOKUP(Games!#REF!, Data!$B$2:$L$135, 7, FALSE)-VLOOKUP(Games!#REF!, Data!$B$2:$L$135, 7, FALSE))*Coefficients!$G$2</f>
        <v>#REF!</v>
      </c>
      <c r="H363" t="e">
        <f>(VLOOKUP(Games!#REF!, Data!$B$2:$L$135, 8, FALSE)-VLOOKUP(Games!#REF!, Data!$B$2:$L$135, 8, FALSE))*Coefficients!$H$2</f>
        <v>#REF!</v>
      </c>
      <c r="I363" t="e">
        <f>(VLOOKUP(Games!#REF!, Data!$B$2:$L$135, 9, FALSE)-VLOOKUP(Games!#REF!, Data!$B$2:$L$135, 9, FALSE))*Coefficients!$I$2</f>
        <v>#REF!</v>
      </c>
      <c r="J363" t="e">
        <f>IF(ISBLANK(Data!K363), Games!#REF!-Games!#REF!,VLOOKUP(Games!#REF!, Data!$B$2:$L$135, 10, FALSE)-VLOOKUP(Games!#REF!, Data!$B$2:$L$135, 10, FALSE))*Coefficients!$J$2</f>
        <v>#REF!</v>
      </c>
      <c r="K363" t="e">
        <f>(IF(AND(VLOOKUP(Games!#REF!, Data!$B$2:$L$135, 11, FALSE)=1, VLOOKUP(Games!#REF!, Data!$B$2:$L$135, 11, FALSE)&lt;&gt;1), 1,0))*Coefficients!K$2</f>
        <v>#REF!</v>
      </c>
      <c r="L363" t="e">
        <f>(IF(AND(VLOOKUP(Games!#REF!, Data!$B$2:$L$135, 11, FALSE)&lt;&gt;1, VLOOKUP(Games!#REF!, Data!$B$2:$L$135, 11, FALSE)=1), 1,0))*Coefficients!L$2</f>
        <v>#REF!</v>
      </c>
      <c r="O363" t="e">
        <f t="shared" si="6"/>
        <v>#REF!</v>
      </c>
    </row>
    <row r="364">
      <c r="A364" t="n">
        <f>Coefficients!$A$2</f>
        <v>-3.7765953152866998</v>
      </c>
      <c r="B364" t="e">
        <f>(Games!#REF!)*(-1*Coefficients!$B$2)</f>
        <v>#REF!</v>
      </c>
      <c r="C364" t="e">
        <f>(VLOOKUP(Games!#REF!, Data!$B$2:$L$135, 4, FALSE)-VLOOKUP(Games!#REF!, Data!$B$2:$L$135, 4, FALSE))*Coefficients!$C$2</f>
        <v>#REF!</v>
      </c>
      <c r="D364" t="e">
        <f>(VLOOKUP(Games!#REF!, Data!$B$2:$L$135, 3, FALSE)-VLOOKUP(Games!#REF!, Data!$B$2:$L$135, 3, FALSE))*Coefficients!$D$2</f>
        <v>#REF!</v>
      </c>
      <c r="E364" t="e">
        <f>(VLOOKUP(Games!#REF!, Data!$B$2:$L$135, 5, FALSE)-VLOOKUP(Games!#REF!, Data!$B$2:$L$135, 5, FALSE))*Coefficients!$E$2</f>
        <v>#REF!</v>
      </c>
      <c r="F364" t="e">
        <f>(VLOOKUP(Games!#REF!, Data!$B$2:$L$135, 6, FALSE)-VLOOKUP(Games!#REF!, Data!$B$2:$L$135, 6, FALSE))*Coefficients!$F$2</f>
        <v>#REF!</v>
      </c>
      <c r="G364" t="e">
        <f>(VLOOKUP(Games!#REF!, Data!$B$2:$L$135, 7, FALSE)-VLOOKUP(Games!#REF!, Data!$B$2:$L$135, 7, FALSE))*Coefficients!$G$2</f>
        <v>#REF!</v>
      </c>
      <c r="H364" t="e">
        <f>(VLOOKUP(Games!#REF!, Data!$B$2:$L$135, 8, FALSE)-VLOOKUP(Games!#REF!, Data!$B$2:$L$135, 8, FALSE))*Coefficients!$H$2</f>
        <v>#REF!</v>
      </c>
      <c r="I364" t="e">
        <f>(VLOOKUP(Games!#REF!, Data!$B$2:$L$135, 9, FALSE)-VLOOKUP(Games!#REF!, Data!$B$2:$L$135, 9, FALSE))*Coefficients!$I$2</f>
        <v>#REF!</v>
      </c>
      <c r="J364" t="e">
        <f>IF(ISBLANK(Data!K364), Games!#REF!-Games!#REF!,VLOOKUP(Games!#REF!, Data!$B$2:$L$135, 10, FALSE)-VLOOKUP(Games!#REF!, Data!$B$2:$L$135, 10, FALSE))*Coefficients!$J$2</f>
        <v>#REF!</v>
      </c>
      <c r="K364" t="e">
        <f>(IF(AND(VLOOKUP(Games!#REF!, Data!$B$2:$L$135, 11, FALSE)=1, VLOOKUP(Games!#REF!, Data!$B$2:$L$135, 11, FALSE)&lt;&gt;1), 1,0))*Coefficients!K$2</f>
        <v>#REF!</v>
      </c>
      <c r="L364" t="e">
        <f>(IF(AND(VLOOKUP(Games!#REF!, Data!$B$2:$L$135, 11, FALSE)&lt;&gt;1, VLOOKUP(Games!#REF!, Data!$B$2:$L$135, 11, FALSE)=1), 1,0))*Coefficients!L$2</f>
        <v>#REF!</v>
      </c>
      <c r="O364" t="e">
        <f t="shared" si="6"/>
        <v>#REF!</v>
      </c>
    </row>
    <row r="365">
      <c r="A365" t="n">
        <f>Coefficients!$A$2</f>
        <v>-3.7765953152866998</v>
      </c>
      <c r="B365" t="e">
        <f>(Games!#REF!)*(-1*Coefficients!$B$2)</f>
        <v>#REF!</v>
      </c>
      <c r="C365" t="e">
        <f>(VLOOKUP(Games!#REF!, Data!$B$2:$L$135, 4, FALSE)-VLOOKUP(Games!#REF!, Data!$B$2:$L$135, 4, FALSE))*Coefficients!$C$2</f>
        <v>#REF!</v>
      </c>
      <c r="D365" t="e">
        <f>(VLOOKUP(Games!#REF!, Data!$B$2:$L$135, 3, FALSE)-VLOOKUP(Games!#REF!, Data!$B$2:$L$135, 3, FALSE))*Coefficients!$D$2</f>
        <v>#REF!</v>
      </c>
      <c r="E365" t="e">
        <f>(VLOOKUP(Games!#REF!, Data!$B$2:$L$135, 5, FALSE)-VLOOKUP(Games!#REF!, Data!$B$2:$L$135, 5, FALSE))*Coefficients!$E$2</f>
        <v>#REF!</v>
      </c>
      <c r="F365" t="e">
        <f>(VLOOKUP(Games!#REF!, Data!$B$2:$L$135, 6, FALSE)-VLOOKUP(Games!#REF!, Data!$B$2:$L$135, 6, FALSE))*Coefficients!$F$2</f>
        <v>#REF!</v>
      </c>
      <c r="G365" t="e">
        <f>(VLOOKUP(Games!#REF!, Data!$B$2:$L$135, 7, FALSE)-VLOOKUP(Games!#REF!, Data!$B$2:$L$135, 7, FALSE))*Coefficients!$G$2</f>
        <v>#REF!</v>
      </c>
      <c r="H365" t="e">
        <f>(VLOOKUP(Games!#REF!, Data!$B$2:$L$135, 8, FALSE)-VLOOKUP(Games!#REF!, Data!$B$2:$L$135, 8, FALSE))*Coefficients!$H$2</f>
        <v>#REF!</v>
      </c>
      <c r="I365" t="e">
        <f>(VLOOKUP(Games!#REF!, Data!$B$2:$L$135, 9, FALSE)-VLOOKUP(Games!#REF!, Data!$B$2:$L$135, 9, FALSE))*Coefficients!$I$2</f>
        <v>#REF!</v>
      </c>
      <c r="J365" t="e">
        <f>IF(ISBLANK(Data!K365), Games!#REF!-Games!#REF!,VLOOKUP(Games!#REF!, Data!$B$2:$L$135, 10, FALSE)-VLOOKUP(Games!#REF!, Data!$B$2:$L$135, 10, FALSE))*Coefficients!$J$2</f>
        <v>#REF!</v>
      </c>
      <c r="K365" t="e">
        <f>(IF(AND(VLOOKUP(Games!#REF!, Data!$B$2:$L$135, 11, FALSE)=1, VLOOKUP(Games!#REF!, Data!$B$2:$L$135, 11, FALSE)&lt;&gt;1), 1,0))*Coefficients!K$2</f>
        <v>#REF!</v>
      </c>
      <c r="L365" t="e">
        <f>(IF(AND(VLOOKUP(Games!#REF!, Data!$B$2:$L$135, 11, FALSE)&lt;&gt;1, VLOOKUP(Games!#REF!, Data!$B$2:$L$135, 11, FALSE)=1), 1,0))*Coefficients!L$2</f>
        <v>#REF!</v>
      </c>
      <c r="O365" t="e">
        <f t="shared" si="6"/>
        <v>#REF!</v>
      </c>
    </row>
    <row r="366">
      <c r="A366" t="n">
        <f>Coefficients!$A$2</f>
        <v>-3.7765953152866998</v>
      </c>
      <c r="B366" t="e">
        <f>(Games!#REF!)*(-1*Coefficients!$B$2)</f>
        <v>#REF!</v>
      </c>
      <c r="C366" t="e">
        <f>(VLOOKUP(Games!#REF!, Data!$B$2:$L$135, 4, FALSE)-VLOOKUP(Games!#REF!, Data!$B$2:$L$135, 4, FALSE))*Coefficients!$C$2</f>
        <v>#REF!</v>
      </c>
      <c r="D366" t="e">
        <f>(VLOOKUP(Games!#REF!, Data!$B$2:$L$135, 3, FALSE)-VLOOKUP(Games!#REF!, Data!$B$2:$L$135, 3, FALSE))*Coefficients!$D$2</f>
        <v>#REF!</v>
      </c>
      <c r="E366" t="e">
        <f>(VLOOKUP(Games!#REF!, Data!$B$2:$L$135, 5, FALSE)-VLOOKUP(Games!#REF!, Data!$B$2:$L$135, 5, FALSE))*Coefficients!$E$2</f>
        <v>#REF!</v>
      </c>
      <c r="F366" t="e">
        <f>(VLOOKUP(Games!#REF!, Data!$B$2:$L$135, 6, FALSE)-VLOOKUP(Games!#REF!, Data!$B$2:$L$135, 6, FALSE))*Coefficients!$F$2</f>
        <v>#REF!</v>
      </c>
      <c r="G366" t="e">
        <f>(VLOOKUP(Games!#REF!, Data!$B$2:$L$135, 7, FALSE)-VLOOKUP(Games!#REF!, Data!$B$2:$L$135, 7, FALSE))*Coefficients!$G$2</f>
        <v>#REF!</v>
      </c>
      <c r="H366" t="e">
        <f>(VLOOKUP(Games!#REF!, Data!$B$2:$L$135, 8, FALSE)-VLOOKUP(Games!#REF!, Data!$B$2:$L$135, 8, FALSE))*Coefficients!$H$2</f>
        <v>#REF!</v>
      </c>
      <c r="I366" t="e">
        <f>(VLOOKUP(Games!#REF!, Data!$B$2:$L$135, 9, FALSE)-VLOOKUP(Games!#REF!, Data!$B$2:$L$135, 9, FALSE))*Coefficients!$I$2</f>
        <v>#REF!</v>
      </c>
      <c r="J366" t="e">
        <f>IF(ISBLANK(Data!K366), Games!#REF!-Games!#REF!,VLOOKUP(Games!#REF!, Data!$B$2:$L$135, 10, FALSE)-VLOOKUP(Games!#REF!, Data!$B$2:$L$135, 10, FALSE))*Coefficients!$J$2</f>
        <v>#REF!</v>
      </c>
      <c r="K366" t="e">
        <f>(IF(AND(VLOOKUP(Games!#REF!, Data!$B$2:$L$135, 11, FALSE)=1, VLOOKUP(Games!#REF!, Data!$B$2:$L$135, 11, FALSE)&lt;&gt;1), 1,0))*Coefficients!K$2</f>
        <v>#REF!</v>
      </c>
      <c r="L366" t="e">
        <f>(IF(AND(VLOOKUP(Games!#REF!, Data!$B$2:$L$135, 11, FALSE)&lt;&gt;1, VLOOKUP(Games!#REF!, Data!$B$2:$L$135, 11, FALSE)=1), 1,0))*Coefficients!L$2</f>
        <v>#REF!</v>
      </c>
      <c r="O366" t="e">
        <f t="shared" si="6"/>
        <v>#REF!</v>
      </c>
    </row>
    <row r="367">
      <c r="A367" t="n">
        <f>Coefficients!$A$2</f>
        <v>-3.7765953152866998</v>
      </c>
      <c r="B367" t="e">
        <f>(Games!#REF!)*(-1*Coefficients!$B$2)</f>
        <v>#REF!</v>
      </c>
      <c r="C367" t="e">
        <f>(VLOOKUP(Games!#REF!, Data!$B$2:$L$135, 4, FALSE)-VLOOKUP(Games!#REF!, Data!$B$2:$L$135, 4, FALSE))*Coefficients!$C$2</f>
        <v>#REF!</v>
      </c>
      <c r="D367" t="e">
        <f>(VLOOKUP(Games!#REF!, Data!$B$2:$L$135, 3, FALSE)-VLOOKUP(Games!#REF!, Data!$B$2:$L$135, 3, FALSE))*Coefficients!$D$2</f>
        <v>#REF!</v>
      </c>
      <c r="E367" t="e">
        <f>(VLOOKUP(Games!#REF!, Data!$B$2:$L$135, 5, FALSE)-VLOOKUP(Games!#REF!, Data!$B$2:$L$135, 5, FALSE))*Coefficients!$E$2</f>
        <v>#REF!</v>
      </c>
      <c r="F367" t="e">
        <f>(VLOOKUP(Games!#REF!, Data!$B$2:$L$135, 6, FALSE)-VLOOKUP(Games!#REF!, Data!$B$2:$L$135, 6, FALSE))*Coefficients!$F$2</f>
        <v>#REF!</v>
      </c>
      <c r="G367" t="e">
        <f>(VLOOKUP(Games!#REF!, Data!$B$2:$L$135, 7, FALSE)-VLOOKUP(Games!#REF!, Data!$B$2:$L$135, 7, FALSE))*Coefficients!$G$2</f>
        <v>#REF!</v>
      </c>
      <c r="H367" t="e">
        <f>(VLOOKUP(Games!#REF!, Data!$B$2:$L$135, 8, FALSE)-VLOOKUP(Games!#REF!, Data!$B$2:$L$135, 8, FALSE))*Coefficients!$H$2</f>
        <v>#REF!</v>
      </c>
      <c r="I367" t="e">
        <f>(VLOOKUP(Games!#REF!, Data!$B$2:$L$135, 9, FALSE)-VLOOKUP(Games!#REF!, Data!$B$2:$L$135, 9, FALSE))*Coefficients!$I$2</f>
        <v>#REF!</v>
      </c>
      <c r="J367" t="e">
        <f>IF(ISBLANK(Data!K367), Games!#REF!-Games!#REF!,VLOOKUP(Games!#REF!, Data!$B$2:$L$135, 10, FALSE)-VLOOKUP(Games!#REF!, Data!$B$2:$L$135, 10, FALSE))*Coefficients!$J$2</f>
        <v>#REF!</v>
      </c>
      <c r="K367" t="e">
        <f>(IF(AND(VLOOKUP(Games!#REF!, Data!$B$2:$L$135, 11, FALSE)=1, VLOOKUP(Games!#REF!, Data!$B$2:$L$135, 11, FALSE)&lt;&gt;1), 1,0))*Coefficients!K$2</f>
        <v>#REF!</v>
      </c>
      <c r="L367" t="e">
        <f>(IF(AND(VLOOKUP(Games!#REF!, Data!$B$2:$L$135, 11, FALSE)&lt;&gt;1, VLOOKUP(Games!#REF!, Data!$B$2:$L$135, 11, FALSE)=1), 1,0))*Coefficients!L$2</f>
        <v>#REF!</v>
      </c>
      <c r="O367" t="e">
        <f t="shared" si="6"/>
        <v>#REF!</v>
      </c>
    </row>
    <row r="368">
      <c r="A368" t="n">
        <f>Coefficients!$A$2</f>
        <v>-3.7765953152866998</v>
      </c>
      <c r="B368" t="e">
        <f>(Games!#REF!)*(-1*Coefficients!$B$2)</f>
        <v>#REF!</v>
      </c>
      <c r="C368" t="e">
        <f>(VLOOKUP(Games!#REF!, Data!$B$2:$L$135, 4, FALSE)-VLOOKUP(Games!#REF!, Data!$B$2:$L$135, 4, FALSE))*Coefficients!$C$2</f>
        <v>#REF!</v>
      </c>
      <c r="D368" t="e">
        <f>(VLOOKUP(Games!#REF!, Data!$B$2:$L$135, 3, FALSE)-VLOOKUP(Games!#REF!, Data!$B$2:$L$135, 3, FALSE))*Coefficients!$D$2</f>
        <v>#REF!</v>
      </c>
      <c r="E368" t="e">
        <f>(VLOOKUP(Games!#REF!, Data!$B$2:$L$135, 5, FALSE)-VLOOKUP(Games!#REF!, Data!$B$2:$L$135, 5, FALSE))*Coefficients!$E$2</f>
        <v>#REF!</v>
      </c>
      <c r="F368" t="e">
        <f>(VLOOKUP(Games!#REF!, Data!$B$2:$L$135, 6, FALSE)-VLOOKUP(Games!#REF!, Data!$B$2:$L$135, 6, FALSE))*Coefficients!$F$2</f>
        <v>#REF!</v>
      </c>
      <c r="G368" t="e">
        <f>(VLOOKUP(Games!#REF!, Data!$B$2:$L$135, 7, FALSE)-VLOOKUP(Games!#REF!, Data!$B$2:$L$135, 7, FALSE))*Coefficients!$G$2</f>
        <v>#REF!</v>
      </c>
      <c r="H368" t="e">
        <f>(VLOOKUP(Games!#REF!, Data!$B$2:$L$135, 8, FALSE)-VLOOKUP(Games!#REF!, Data!$B$2:$L$135, 8, FALSE))*Coefficients!$H$2</f>
        <v>#REF!</v>
      </c>
      <c r="I368" t="e">
        <f>(VLOOKUP(Games!#REF!, Data!$B$2:$L$135, 9, FALSE)-VLOOKUP(Games!#REF!, Data!$B$2:$L$135, 9, FALSE))*Coefficients!$I$2</f>
        <v>#REF!</v>
      </c>
      <c r="J368" t="e">
        <f>IF(ISBLANK(Data!K368), Games!#REF!-Games!#REF!,VLOOKUP(Games!#REF!, Data!$B$2:$L$135, 10, FALSE)-VLOOKUP(Games!#REF!, Data!$B$2:$L$135, 10, FALSE))*Coefficients!$J$2</f>
        <v>#REF!</v>
      </c>
      <c r="K368" t="e">
        <f>(IF(AND(VLOOKUP(Games!#REF!, Data!$B$2:$L$135, 11, FALSE)=1, VLOOKUP(Games!#REF!, Data!$B$2:$L$135, 11, FALSE)&lt;&gt;1), 1,0))*Coefficients!K$2</f>
        <v>#REF!</v>
      </c>
      <c r="L368" t="e">
        <f>(IF(AND(VLOOKUP(Games!#REF!, Data!$B$2:$L$135, 11, FALSE)&lt;&gt;1, VLOOKUP(Games!#REF!, Data!$B$2:$L$135, 11, FALSE)=1), 1,0))*Coefficients!L$2</f>
        <v>#REF!</v>
      </c>
      <c r="O368" t="e">
        <f t="shared" si="6"/>
        <v>#REF!</v>
      </c>
    </row>
    <row r="369">
      <c r="A369" t="n">
        <f>Coefficients!$A$2</f>
        <v>-3.7765953152866998</v>
      </c>
      <c r="B369" t="e">
        <f>(Games!#REF!)*(-1*Coefficients!$B$2)</f>
        <v>#REF!</v>
      </c>
      <c r="C369" t="e">
        <f>(VLOOKUP(Games!#REF!, Data!$B$2:$L$135, 4, FALSE)-VLOOKUP(Games!#REF!, Data!$B$2:$L$135, 4, FALSE))*Coefficients!$C$2</f>
        <v>#REF!</v>
      </c>
      <c r="D369" t="e">
        <f>(VLOOKUP(Games!#REF!, Data!$B$2:$L$135, 3, FALSE)-VLOOKUP(Games!#REF!, Data!$B$2:$L$135, 3, FALSE))*Coefficients!$D$2</f>
        <v>#REF!</v>
      </c>
      <c r="E369" t="e">
        <f>(VLOOKUP(Games!#REF!, Data!$B$2:$L$135, 5, FALSE)-VLOOKUP(Games!#REF!, Data!$B$2:$L$135, 5, FALSE))*Coefficients!$E$2</f>
        <v>#REF!</v>
      </c>
      <c r="F369" t="e">
        <f>(VLOOKUP(Games!#REF!, Data!$B$2:$L$135, 6, FALSE)-VLOOKUP(Games!#REF!, Data!$B$2:$L$135, 6, FALSE))*Coefficients!$F$2</f>
        <v>#REF!</v>
      </c>
      <c r="G369" t="e">
        <f>(VLOOKUP(Games!#REF!, Data!$B$2:$L$135, 7, FALSE)-VLOOKUP(Games!#REF!, Data!$B$2:$L$135, 7, FALSE))*Coefficients!$G$2</f>
        <v>#REF!</v>
      </c>
      <c r="H369" t="e">
        <f>(VLOOKUP(Games!#REF!, Data!$B$2:$L$135, 8, FALSE)-VLOOKUP(Games!#REF!, Data!$B$2:$L$135, 8, FALSE))*Coefficients!$H$2</f>
        <v>#REF!</v>
      </c>
      <c r="I369" t="e">
        <f>(VLOOKUP(Games!#REF!, Data!$B$2:$L$135, 9, FALSE)-VLOOKUP(Games!#REF!, Data!$B$2:$L$135, 9, FALSE))*Coefficients!$I$2</f>
        <v>#REF!</v>
      </c>
      <c r="J369" t="e">
        <f>IF(ISBLANK(Data!K369), Games!#REF!-Games!#REF!,VLOOKUP(Games!#REF!, Data!$B$2:$L$135, 10, FALSE)-VLOOKUP(Games!#REF!, Data!$B$2:$L$135, 10, FALSE))*Coefficients!$J$2</f>
        <v>#REF!</v>
      </c>
      <c r="K369" t="e">
        <f>(IF(AND(VLOOKUP(Games!#REF!, Data!$B$2:$L$135, 11, FALSE)=1, VLOOKUP(Games!#REF!, Data!$B$2:$L$135, 11, FALSE)&lt;&gt;1), 1,0))*Coefficients!K$2</f>
        <v>#REF!</v>
      </c>
      <c r="L369" t="e">
        <f>(IF(AND(VLOOKUP(Games!#REF!, Data!$B$2:$L$135, 11, FALSE)&lt;&gt;1, VLOOKUP(Games!#REF!, Data!$B$2:$L$135, 11, FALSE)=1), 1,0))*Coefficients!L$2</f>
        <v>#REF!</v>
      </c>
      <c r="O369" t="e">
        <f t="shared" si="6"/>
        <v>#REF!</v>
      </c>
    </row>
    <row r="370">
      <c r="A370" t="n">
        <f>Coefficients!$A$2</f>
        <v>-3.7765953152866998</v>
      </c>
      <c r="B370" t="e">
        <f>(Games!#REF!)*(-1*Coefficients!$B$2)</f>
        <v>#REF!</v>
      </c>
      <c r="C370" t="e">
        <f>(VLOOKUP(Games!#REF!, Data!$B$2:$L$135, 4, FALSE)-VLOOKUP(Games!#REF!, Data!$B$2:$L$135, 4, FALSE))*Coefficients!$C$2</f>
        <v>#REF!</v>
      </c>
      <c r="D370" t="e">
        <f>(VLOOKUP(Games!#REF!, Data!$B$2:$L$135, 3, FALSE)-VLOOKUP(Games!#REF!, Data!$B$2:$L$135, 3, FALSE))*Coefficients!$D$2</f>
        <v>#REF!</v>
      </c>
      <c r="E370" t="e">
        <f>(VLOOKUP(Games!#REF!, Data!$B$2:$L$135, 5, FALSE)-VLOOKUP(Games!#REF!, Data!$B$2:$L$135, 5, FALSE))*Coefficients!$E$2</f>
        <v>#REF!</v>
      </c>
      <c r="F370" t="e">
        <f>(VLOOKUP(Games!#REF!, Data!$B$2:$L$135, 6, FALSE)-VLOOKUP(Games!#REF!, Data!$B$2:$L$135, 6, FALSE))*Coefficients!$F$2</f>
        <v>#REF!</v>
      </c>
      <c r="G370" t="e">
        <f>(VLOOKUP(Games!#REF!, Data!$B$2:$L$135, 7, FALSE)-VLOOKUP(Games!#REF!, Data!$B$2:$L$135, 7, FALSE))*Coefficients!$G$2</f>
        <v>#REF!</v>
      </c>
      <c r="H370" t="e">
        <f>(VLOOKUP(Games!#REF!, Data!$B$2:$L$135, 8, FALSE)-VLOOKUP(Games!#REF!, Data!$B$2:$L$135, 8, FALSE))*Coefficients!$H$2</f>
        <v>#REF!</v>
      </c>
      <c r="I370" t="e">
        <f>(VLOOKUP(Games!#REF!, Data!$B$2:$L$135, 9, FALSE)-VLOOKUP(Games!#REF!, Data!$B$2:$L$135, 9, FALSE))*Coefficients!$I$2</f>
        <v>#REF!</v>
      </c>
      <c r="J370" t="e">
        <f>IF(ISBLANK(Data!K370), Games!#REF!-Games!#REF!,VLOOKUP(Games!#REF!, Data!$B$2:$L$135, 10, FALSE)-VLOOKUP(Games!#REF!, Data!$B$2:$L$135, 10, FALSE))*Coefficients!$J$2</f>
        <v>#REF!</v>
      </c>
      <c r="K370" t="e">
        <f>(IF(AND(VLOOKUP(Games!#REF!, Data!$B$2:$L$135, 11, FALSE)=1, VLOOKUP(Games!#REF!, Data!$B$2:$L$135, 11, FALSE)&lt;&gt;1), 1,0))*Coefficients!K$2</f>
        <v>#REF!</v>
      </c>
      <c r="L370" t="e">
        <f>(IF(AND(VLOOKUP(Games!#REF!, Data!$B$2:$L$135, 11, FALSE)&lt;&gt;1, VLOOKUP(Games!#REF!, Data!$B$2:$L$135, 11, FALSE)=1), 1,0))*Coefficients!L$2</f>
        <v>#REF!</v>
      </c>
      <c r="O370" t="e">
        <f t="shared" si="6"/>
        <v>#REF!</v>
      </c>
    </row>
    <row r="371">
      <c r="A371" t="n">
        <f>Coefficients!$A$2</f>
        <v>-3.7765953152866998</v>
      </c>
      <c r="B371" t="e">
        <f>(Games!#REF!)*(-1*Coefficients!$B$2)</f>
        <v>#REF!</v>
      </c>
      <c r="C371" t="e">
        <f>(VLOOKUP(Games!#REF!, Data!$B$2:$L$135, 4, FALSE)-VLOOKUP(Games!#REF!, Data!$B$2:$L$135, 4, FALSE))*Coefficients!$C$2</f>
        <v>#REF!</v>
      </c>
      <c r="D371" t="e">
        <f>(VLOOKUP(Games!#REF!, Data!$B$2:$L$135, 3, FALSE)-VLOOKUP(Games!#REF!, Data!$B$2:$L$135, 3, FALSE))*Coefficients!$D$2</f>
        <v>#REF!</v>
      </c>
      <c r="E371" t="e">
        <f>(VLOOKUP(Games!#REF!, Data!$B$2:$L$135, 5, FALSE)-VLOOKUP(Games!#REF!, Data!$B$2:$L$135, 5, FALSE))*Coefficients!$E$2</f>
        <v>#REF!</v>
      </c>
      <c r="F371" t="e">
        <f>(VLOOKUP(Games!#REF!, Data!$B$2:$L$135, 6, FALSE)-VLOOKUP(Games!#REF!, Data!$B$2:$L$135, 6, FALSE))*Coefficients!$F$2</f>
        <v>#REF!</v>
      </c>
      <c r="G371" t="e">
        <f>(VLOOKUP(Games!#REF!, Data!$B$2:$L$135, 7, FALSE)-VLOOKUP(Games!#REF!, Data!$B$2:$L$135, 7, FALSE))*Coefficients!$G$2</f>
        <v>#REF!</v>
      </c>
      <c r="H371" t="e">
        <f>(VLOOKUP(Games!#REF!, Data!$B$2:$L$135, 8, FALSE)-VLOOKUP(Games!#REF!, Data!$B$2:$L$135, 8, FALSE))*Coefficients!$H$2</f>
        <v>#REF!</v>
      </c>
      <c r="I371" t="e">
        <f>(VLOOKUP(Games!#REF!, Data!$B$2:$L$135, 9, FALSE)-VLOOKUP(Games!#REF!, Data!$B$2:$L$135, 9, FALSE))*Coefficients!$I$2</f>
        <v>#REF!</v>
      </c>
      <c r="J371" t="e">
        <f>IF(ISBLANK(Data!K371), Games!#REF!-Games!#REF!,VLOOKUP(Games!#REF!, Data!$B$2:$L$135, 10, FALSE)-VLOOKUP(Games!#REF!, Data!$B$2:$L$135, 10, FALSE))*Coefficients!$J$2</f>
        <v>#REF!</v>
      </c>
      <c r="K371" t="e">
        <f>(IF(AND(VLOOKUP(Games!#REF!, Data!$B$2:$L$135, 11, FALSE)=1, VLOOKUP(Games!#REF!, Data!$B$2:$L$135, 11, FALSE)&lt;&gt;1), 1,0))*Coefficients!K$2</f>
        <v>#REF!</v>
      </c>
      <c r="L371" t="e">
        <f>(IF(AND(VLOOKUP(Games!#REF!, Data!$B$2:$L$135, 11, FALSE)&lt;&gt;1, VLOOKUP(Games!#REF!, Data!$B$2:$L$135, 11, FALSE)=1), 1,0))*Coefficients!L$2</f>
        <v>#REF!</v>
      </c>
      <c r="O371" t="e">
        <f t="shared" si="6"/>
        <v>#REF!</v>
      </c>
    </row>
    <row r="372">
      <c r="A372" t="n">
        <f>Coefficients!$A$2</f>
        <v>-3.7765953152866998</v>
      </c>
      <c r="B372" t="e">
        <f>(Games!#REF!)*(-1*Coefficients!$B$2)</f>
        <v>#REF!</v>
      </c>
      <c r="C372" t="e">
        <f>(VLOOKUP(Games!#REF!, Data!$B$2:$L$135, 4, FALSE)-VLOOKUP(Games!#REF!, Data!$B$2:$L$135, 4, FALSE))*Coefficients!$C$2</f>
        <v>#REF!</v>
      </c>
      <c r="D372" t="e">
        <f>(VLOOKUP(Games!#REF!, Data!$B$2:$L$135, 3, FALSE)-VLOOKUP(Games!#REF!, Data!$B$2:$L$135, 3, FALSE))*Coefficients!$D$2</f>
        <v>#REF!</v>
      </c>
      <c r="E372" t="e">
        <f>(VLOOKUP(Games!#REF!, Data!$B$2:$L$135, 5, FALSE)-VLOOKUP(Games!#REF!, Data!$B$2:$L$135, 5, FALSE))*Coefficients!$E$2</f>
        <v>#REF!</v>
      </c>
      <c r="F372" t="e">
        <f>(VLOOKUP(Games!#REF!, Data!$B$2:$L$135, 6, FALSE)-VLOOKUP(Games!#REF!, Data!$B$2:$L$135, 6, FALSE))*Coefficients!$F$2</f>
        <v>#REF!</v>
      </c>
      <c r="G372" t="e">
        <f>(VLOOKUP(Games!#REF!, Data!$B$2:$L$135, 7, FALSE)-VLOOKUP(Games!#REF!, Data!$B$2:$L$135, 7, FALSE))*Coefficients!$G$2</f>
        <v>#REF!</v>
      </c>
      <c r="H372" t="e">
        <f>(VLOOKUP(Games!#REF!, Data!$B$2:$L$135, 8, FALSE)-VLOOKUP(Games!#REF!, Data!$B$2:$L$135, 8, FALSE))*Coefficients!$H$2</f>
        <v>#REF!</v>
      </c>
      <c r="I372" t="e">
        <f>(VLOOKUP(Games!#REF!, Data!$B$2:$L$135, 9, FALSE)-VLOOKUP(Games!#REF!, Data!$B$2:$L$135, 9, FALSE))*Coefficients!$I$2</f>
        <v>#REF!</v>
      </c>
      <c r="J372" t="e">
        <f>IF(ISBLANK(Data!K372), Games!#REF!-Games!#REF!,VLOOKUP(Games!#REF!, Data!$B$2:$L$135, 10, FALSE)-VLOOKUP(Games!#REF!, Data!$B$2:$L$135, 10, FALSE))*Coefficients!$J$2</f>
        <v>#REF!</v>
      </c>
      <c r="K372" t="e">
        <f>(IF(AND(VLOOKUP(Games!#REF!, Data!$B$2:$L$135, 11, FALSE)=1, VLOOKUP(Games!#REF!, Data!$B$2:$L$135, 11, FALSE)&lt;&gt;1), 1,0))*Coefficients!K$2</f>
        <v>#REF!</v>
      </c>
      <c r="L372" t="e">
        <f>(IF(AND(VLOOKUP(Games!#REF!, Data!$B$2:$L$135, 11, FALSE)&lt;&gt;1, VLOOKUP(Games!#REF!, Data!$B$2:$L$135, 11, FALSE)=1), 1,0))*Coefficients!L$2</f>
        <v>#REF!</v>
      </c>
      <c r="O372" t="e">
        <f t="shared" si="6"/>
        <v>#REF!</v>
      </c>
    </row>
    <row r="373">
      <c r="A373" t="n">
        <f>Coefficients!$A$2</f>
        <v>-3.7765953152866998</v>
      </c>
      <c r="B373" t="e">
        <f>(Games!#REF!)*(-1*Coefficients!$B$2)</f>
        <v>#REF!</v>
      </c>
      <c r="C373" t="e">
        <f>(VLOOKUP(Games!#REF!, Data!$B$2:$L$135, 4, FALSE)-VLOOKUP(Games!#REF!, Data!$B$2:$L$135, 4, FALSE))*Coefficients!$C$2</f>
        <v>#REF!</v>
      </c>
      <c r="D373" t="e">
        <f>(VLOOKUP(Games!#REF!, Data!$B$2:$L$135, 3, FALSE)-VLOOKUP(Games!#REF!, Data!$B$2:$L$135, 3, FALSE))*Coefficients!$D$2</f>
        <v>#REF!</v>
      </c>
      <c r="E373" t="e">
        <f>(VLOOKUP(Games!#REF!, Data!$B$2:$L$135, 5, FALSE)-VLOOKUP(Games!#REF!, Data!$B$2:$L$135, 5, FALSE))*Coefficients!$E$2</f>
        <v>#REF!</v>
      </c>
      <c r="F373" t="e">
        <f>(VLOOKUP(Games!#REF!, Data!$B$2:$L$135, 6, FALSE)-VLOOKUP(Games!#REF!, Data!$B$2:$L$135, 6, FALSE))*Coefficients!$F$2</f>
        <v>#REF!</v>
      </c>
      <c r="G373" t="e">
        <f>(VLOOKUP(Games!#REF!, Data!$B$2:$L$135, 7, FALSE)-VLOOKUP(Games!#REF!, Data!$B$2:$L$135, 7, FALSE))*Coefficients!$G$2</f>
        <v>#REF!</v>
      </c>
      <c r="H373" t="e">
        <f>(VLOOKUP(Games!#REF!, Data!$B$2:$L$135, 8, FALSE)-VLOOKUP(Games!#REF!, Data!$B$2:$L$135, 8, FALSE))*Coefficients!$H$2</f>
        <v>#REF!</v>
      </c>
      <c r="I373" t="e">
        <f>(VLOOKUP(Games!#REF!, Data!$B$2:$L$135, 9, FALSE)-VLOOKUP(Games!#REF!, Data!$B$2:$L$135, 9, FALSE))*Coefficients!$I$2</f>
        <v>#REF!</v>
      </c>
      <c r="J373" t="e">
        <f>IF(ISBLANK(Data!K373), Games!#REF!-Games!#REF!,VLOOKUP(Games!#REF!, Data!$B$2:$L$135, 10, FALSE)-VLOOKUP(Games!#REF!, Data!$B$2:$L$135, 10, FALSE))*Coefficients!$J$2</f>
        <v>#REF!</v>
      </c>
      <c r="K373" t="e">
        <f>(IF(AND(VLOOKUP(Games!#REF!, Data!$B$2:$L$135, 11, FALSE)=1, VLOOKUP(Games!#REF!, Data!$B$2:$L$135, 11, FALSE)&lt;&gt;1), 1,0))*Coefficients!K$2</f>
        <v>#REF!</v>
      </c>
      <c r="L373" t="e">
        <f>(IF(AND(VLOOKUP(Games!#REF!, Data!$B$2:$L$135, 11, FALSE)&lt;&gt;1, VLOOKUP(Games!#REF!, Data!$B$2:$L$135, 11, FALSE)=1), 1,0))*Coefficients!L$2</f>
        <v>#REF!</v>
      </c>
      <c r="O373" t="e">
        <f t="shared" si="6"/>
        <v>#REF!</v>
      </c>
    </row>
    <row r="374">
      <c r="A374" t="n">
        <f>Coefficients!$A$2</f>
        <v>-3.7765953152866998</v>
      </c>
      <c r="B374" t="e">
        <f>(Games!#REF!)*(-1*Coefficients!$B$2)</f>
        <v>#REF!</v>
      </c>
      <c r="C374" t="e">
        <f>(VLOOKUP(Games!#REF!, Data!$B$2:$L$135, 4, FALSE)-VLOOKUP(Games!#REF!, Data!$B$2:$L$135, 4, FALSE))*Coefficients!$C$2</f>
        <v>#REF!</v>
      </c>
      <c r="D374" t="e">
        <f>(VLOOKUP(Games!#REF!, Data!$B$2:$L$135, 3, FALSE)-VLOOKUP(Games!#REF!, Data!$B$2:$L$135, 3, FALSE))*Coefficients!$D$2</f>
        <v>#REF!</v>
      </c>
      <c r="E374" t="e">
        <f>(VLOOKUP(Games!#REF!, Data!$B$2:$L$135, 5, FALSE)-VLOOKUP(Games!#REF!, Data!$B$2:$L$135, 5, FALSE))*Coefficients!$E$2</f>
        <v>#REF!</v>
      </c>
      <c r="F374" t="e">
        <f>(VLOOKUP(Games!#REF!, Data!$B$2:$L$135, 6, FALSE)-VLOOKUP(Games!#REF!, Data!$B$2:$L$135, 6, FALSE))*Coefficients!$F$2</f>
        <v>#REF!</v>
      </c>
      <c r="G374" t="e">
        <f>(VLOOKUP(Games!#REF!, Data!$B$2:$L$135, 7, FALSE)-VLOOKUP(Games!#REF!, Data!$B$2:$L$135, 7, FALSE))*Coefficients!$G$2</f>
        <v>#REF!</v>
      </c>
      <c r="H374" t="e">
        <f>(VLOOKUP(Games!#REF!, Data!$B$2:$L$135, 8, FALSE)-VLOOKUP(Games!#REF!, Data!$B$2:$L$135, 8, FALSE))*Coefficients!$H$2</f>
        <v>#REF!</v>
      </c>
      <c r="I374" t="e">
        <f>(VLOOKUP(Games!#REF!, Data!$B$2:$L$135, 9, FALSE)-VLOOKUP(Games!#REF!, Data!$B$2:$L$135, 9, FALSE))*Coefficients!$I$2</f>
        <v>#REF!</v>
      </c>
      <c r="J374" t="e">
        <f>IF(ISBLANK(Data!K374), Games!#REF!-Games!#REF!,VLOOKUP(Games!#REF!, Data!$B$2:$L$135, 10, FALSE)-VLOOKUP(Games!#REF!, Data!$B$2:$L$135, 10, FALSE))*Coefficients!$J$2</f>
        <v>#REF!</v>
      </c>
      <c r="K374" t="e">
        <f>(IF(AND(VLOOKUP(Games!#REF!, Data!$B$2:$L$135, 11, FALSE)=1, VLOOKUP(Games!#REF!, Data!$B$2:$L$135, 11, FALSE)&lt;&gt;1), 1,0))*Coefficients!K$2</f>
        <v>#REF!</v>
      </c>
      <c r="L374" t="e">
        <f>(IF(AND(VLOOKUP(Games!#REF!, Data!$B$2:$L$135, 11, FALSE)&lt;&gt;1, VLOOKUP(Games!#REF!, Data!$B$2:$L$135, 11, FALSE)=1), 1,0))*Coefficients!L$2</f>
        <v>#REF!</v>
      </c>
      <c r="O374" t="e">
        <f t="shared" si="6"/>
        <v>#REF!</v>
      </c>
    </row>
    <row r="375">
      <c r="A375" t="n">
        <f>Coefficients!$A$2</f>
        <v>-3.7765953152866998</v>
      </c>
      <c r="B375" t="e">
        <f>(Games!#REF!)*(-1*Coefficients!$B$2)</f>
        <v>#REF!</v>
      </c>
      <c r="C375" t="e">
        <f>(VLOOKUP(Games!#REF!, Data!$B$2:$L$135, 4, FALSE)-VLOOKUP(Games!#REF!, Data!$B$2:$L$135, 4, FALSE))*Coefficients!$C$2</f>
        <v>#REF!</v>
      </c>
      <c r="D375" t="e">
        <f>(VLOOKUP(Games!#REF!, Data!$B$2:$L$135, 3, FALSE)-VLOOKUP(Games!#REF!, Data!$B$2:$L$135, 3, FALSE))*Coefficients!$D$2</f>
        <v>#REF!</v>
      </c>
      <c r="E375" t="e">
        <f>(VLOOKUP(Games!#REF!, Data!$B$2:$L$135, 5, FALSE)-VLOOKUP(Games!#REF!, Data!$B$2:$L$135, 5, FALSE))*Coefficients!$E$2</f>
        <v>#REF!</v>
      </c>
      <c r="F375" t="e">
        <f>(VLOOKUP(Games!#REF!, Data!$B$2:$L$135, 6, FALSE)-VLOOKUP(Games!#REF!, Data!$B$2:$L$135, 6, FALSE))*Coefficients!$F$2</f>
        <v>#REF!</v>
      </c>
      <c r="G375" t="e">
        <f>(VLOOKUP(Games!#REF!, Data!$B$2:$L$135, 7, FALSE)-VLOOKUP(Games!#REF!, Data!$B$2:$L$135, 7, FALSE))*Coefficients!$G$2</f>
        <v>#REF!</v>
      </c>
      <c r="H375" t="e">
        <f>(VLOOKUP(Games!#REF!, Data!$B$2:$L$135, 8, FALSE)-VLOOKUP(Games!#REF!, Data!$B$2:$L$135, 8, FALSE))*Coefficients!$H$2</f>
        <v>#REF!</v>
      </c>
      <c r="I375" t="e">
        <f>(VLOOKUP(Games!#REF!, Data!$B$2:$L$135, 9, FALSE)-VLOOKUP(Games!#REF!, Data!$B$2:$L$135, 9, FALSE))*Coefficients!$I$2</f>
        <v>#REF!</v>
      </c>
      <c r="J375" t="e">
        <f>IF(ISBLANK(Data!K375), Games!#REF!-Games!#REF!,VLOOKUP(Games!#REF!, Data!$B$2:$L$135, 10, FALSE)-VLOOKUP(Games!#REF!, Data!$B$2:$L$135, 10, FALSE))*Coefficients!$J$2</f>
        <v>#REF!</v>
      </c>
      <c r="K375" t="e">
        <f>(IF(AND(VLOOKUP(Games!#REF!, Data!$B$2:$L$135, 11, FALSE)=1, VLOOKUP(Games!#REF!, Data!$B$2:$L$135, 11, FALSE)&lt;&gt;1), 1,0))*Coefficients!K$2</f>
        <v>#REF!</v>
      </c>
      <c r="L375" t="e">
        <f>(IF(AND(VLOOKUP(Games!#REF!, Data!$B$2:$L$135, 11, FALSE)&lt;&gt;1, VLOOKUP(Games!#REF!, Data!$B$2:$L$135, 11, FALSE)=1), 1,0))*Coefficients!L$2</f>
        <v>#REF!</v>
      </c>
      <c r="O375" t="e">
        <f t="shared" si="6"/>
        <v>#REF!</v>
      </c>
    </row>
    <row r="376">
      <c r="A376" t="n">
        <f>Coefficients!$A$2</f>
        <v>-3.7765953152866998</v>
      </c>
      <c r="B376" t="e">
        <f>(Games!#REF!)*(-1*Coefficients!$B$2)</f>
        <v>#REF!</v>
      </c>
      <c r="C376" t="e">
        <f>(VLOOKUP(Games!#REF!, Data!$B$2:$L$135, 4, FALSE)-VLOOKUP(Games!#REF!, Data!$B$2:$L$135, 4, FALSE))*Coefficients!$C$2</f>
        <v>#REF!</v>
      </c>
      <c r="D376" t="e">
        <f>(VLOOKUP(Games!#REF!, Data!$B$2:$L$135, 3, FALSE)-VLOOKUP(Games!#REF!, Data!$B$2:$L$135, 3, FALSE))*Coefficients!$D$2</f>
        <v>#REF!</v>
      </c>
      <c r="E376" t="e">
        <f>(VLOOKUP(Games!#REF!, Data!$B$2:$L$135, 5, FALSE)-VLOOKUP(Games!#REF!, Data!$B$2:$L$135, 5, FALSE))*Coefficients!$E$2</f>
        <v>#REF!</v>
      </c>
      <c r="F376" t="e">
        <f>(VLOOKUP(Games!#REF!, Data!$B$2:$L$135, 6, FALSE)-VLOOKUP(Games!#REF!, Data!$B$2:$L$135, 6, FALSE))*Coefficients!$F$2</f>
        <v>#REF!</v>
      </c>
      <c r="G376" t="e">
        <f>(VLOOKUP(Games!#REF!, Data!$B$2:$L$135, 7, FALSE)-VLOOKUP(Games!#REF!, Data!$B$2:$L$135, 7, FALSE))*Coefficients!$G$2</f>
        <v>#REF!</v>
      </c>
      <c r="H376" t="e">
        <f>(VLOOKUP(Games!#REF!, Data!$B$2:$L$135, 8, FALSE)-VLOOKUP(Games!#REF!, Data!$B$2:$L$135, 8, FALSE))*Coefficients!$H$2</f>
        <v>#REF!</v>
      </c>
      <c r="I376" t="e">
        <f>(VLOOKUP(Games!#REF!, Data!$B$2:$L$135, 9, FALSE)-VLOOKUP(Games!#REF!, Data!$B$2:$L$135, 9, FALSE))*Coefficients!$I$2</f>
        <v>#REF!</v>
      </c>
      <c r="J376" t="e">
        <f>IF(ISBLANK(Data!K376), Games!#REF!-Games!#REF!,VLOOKUP(Games!#REF!, Data!$B$2:$L$135, 10, FALSE)-VLOOKUP(Games!#REF!, Data!$B$2:$L$135, 10, FALSE))*Coefficients!$J$2</f>
        <v>#REF!</v>
      </c>
      <c r="K376" t="e">
        <f>(IF(AND(VLOOKUP(Games!#REF!, Data!$B$2:$L$135, 11, FALSE)=1, VLOOKUP(Games!#REF!, Data!$B$2:$L$135, 11, FALSE)&lt;&gt;1), 1,0))*Coefficients!K$2</f>
        <v>#REF!</v>
      </c>
      <c r="L376" t="e">
        <f>(IF(AND(VLOOKUP(Games!#REF!, Data!$B$2:$L$135, 11, FALSE)&lt;&gt;1, VLOOKUP(Games!#REF!, Data!$B$2:$L$135, 11, FALSE)=1), 1,0))*Coefficients!L$2</f>
        <v>#REF!</v>
      </c>
      <c r="O376" t="e">
        <f t="shared" si="6"/>
        <v>#REF!</v>
      </c>
    </row>
    <row r="377">
      <c r="A377" t="n">
        <f>Coefficients!$A$2</f>
        <v>-3.7765953152866998</v>
      </c>
      <c r="B377" t="e">
        <f>(Games!#REF!)*(-1*Coefficients!$B$2)</f>
        <v>#REF!</v>
      </c>
      <c r="C377" t="e">
        <f>(VLOOKUP(Games!#REF!, Data!$B$2:$L$135, 4, FALSE)-VLOOKUP(Games!#REF!, Data!$B$2:$L$135, 4, FALSE))*Coefficients!$C$2</f>
        <v>#REF!</v>
      </c>
      <c r="D377" t="e">
        <f>(VLOOKUP(Games!#REF!, Data!$B$2:$L$135, 3, FALSE)-VLOOKUP(Games!#REF!, Data!$B$2:$L$135, 3, FALSE))*Coefficients!$D$2</f>
        <v>#REF!</v>
      </c>
      <c r="E377" t="e">
        <f>(VLOOKUP(Games!#REF!, Data!$B$2:$L$135, 5, FALSE)-VLOOKUP(Games!#REF!, Data!$B$2:$L$135, 5, FALSE))*Coefficients!$E$2</f>
        <v>#REF!</v>
      </c>
      <c r="F377" t="e">
        <f>(VLOOKUP(Games!#REF!, Data!$B$2:$L$135, 6, FALSE)-VLOOKUP(Games!#REF!, Data!$B$2:$L$135, 6, FALSE))*Coefficients!$F$2</f>
        <v>#REF!</v>
      </c>
      <c r="G377" t="e">
        <f>(VLOOKUP(Games!#REF!, Data!$B$2:$L$135, 7, FALSE)-VLOOKUP(Games!#REF!, Data!$B$2:$L$135, 7, FALSE))*Coefficients!$G$2</f>
        <v>#REF!</v>
      </c>
      <c r="H377" t="e">
        <f>(VLOOKUP(Games!#REF!, Data!$B$2:$L$135, 8, FALSE)-VLOOKUP(Games!#REF!, Data!$B$2:$L$135, 8, FALSE))*Coefficients!$H$2</f>
        <v>#REF!</v>
      </c>
      <c r="I377" t="e">
        <f>(VLOOKUP(Games!#REF!, Data!$B$2:$L$135, 9, FALSE)-VLOOKUP(Games!#REF!, Data!$B$2:$L$135, 9, FALSE))*Coefficients!$I$2</f>
        <v>#REF!</v>
      </c>
      <c r="J377" t="e">
        <f>IF(ISBLANK(Data!K377), Games!#REF!-Games!#REF!,VLOOKUP(Games!#REF!, Data!$B$2:$L$135, 10, FALSE)-VLOOKUP(Games!#REF!, Data!$B$2:$L$135, 10, FALSE))*Coefficients!$J$2</f>
        <v>#REF!</v>
      </c>
      <c r="K377" t="e">
        <f>(IF(AND(VLOOKUP(Games!#REF!, Data!$B$2:$L$135, 11, FALSE)=1, VLOOKUP(Games!#REF!, Data!$B$2:$L$135, 11, FALSE)&lt;&gt;1), 1,0))*Coefficients!K$2</f>
        <v>#REF!</v>
      </c>
      <c r="L377" t="e">
        <f>(IF(AND(VLOOKUP(Games!#REF!, Data!$B$2:$L$135, 11, FALSE)&lt;&gt;1, VLOOKUP(Games!#REF!, Data!$B$2:$L$135, 11, FALSE)=1), 1,0))*Coefficients!L$2</f>
        <v>#REF!</v>
      </c>
      <c r="O377" t="e">
        <f t="shared" si="6"/>
        <v>#REF!</v>
      </c>
    </row>
    <row r="378">
      <c r="A378" t="n">
        <f>Coefficients!$A$2</f>
        <v>-3.7765953152866998</v>
      </c>
      <c r="B378" t="e">
        <f>(Games!#REF!)*(-1*Coefficients!$B$2)</f>
        <v>#REF!</v>
      </c>
      <c r="C378" t="e">
        <f>(VLOOKUP(Games!#REF!, Data!$B$2:$L$135, 4, FALSE)-VLOOKUP(Games!#REF!, Data!$B$2:$L$135, 4, FALSE))*Coefficients!$C$2</f>
        <v>#REF!</v>
      </c>
      <c r="D378" t="e">
        <f>(VLOOKUP(Games!#REF!, Data!$B$2:$L$135, 3, FALSE)-VLOOKUP(Games!#REF!, Data!$B$2:$L$135, 3, FALSE))*Coefficients!$D$2</f>
        <v>#REF!</v>
      </c>
      <c r="E378" t="e">
        <f>(VLOOKUP(Games!#REF!, Data!$B$2:$L$135, 5, FALSE)-VLOOKUP(Games!#REF!, Data!$B$2:$L$135, 5, FALSE))*Coefficients!$E$2</f>
        <v>#REF!</v>
      </c>
      <c r="F378" t="e">
        <f>(VLOOKUP(Games!#REF!, Data!$B$2:$L$135, 6, FALSE)-VLOOKUP(Games!#REF!, Data!$B$2:$L$135, 6, FALSE))*Coefficients!$F$2</f>
        <v>#REF!</v>
      </c>
      <c r="G378" t="e">
        <f>(VLOOKUP(Games!#REF!, Data!$B$2:$L$135, 7, FALSE)-VLOOKUP(Games!#REF!, Data!$B$2:$L$135, 7, FALSE))*Coefficients!$G$2</f>
        <v>#REF!</v>
      </c>
      <c r="H378" t="e">
        <f>(VLOOKUP(Games!#REF!, Data!$B$2:$L$135, 8, FALSE)-VLOOKUP(Games!#REF!, Data!$B$2:$L$135, 8, FALSE))*Coefficients!$H$2</f>
        <v>#REF!</v>
      </c>
      <c r="I378" t="e">
        <f>(VLOOKUP(Games!#REF!, Data!$B$2:$L$135, 9, FALSE)-VLOOKUP(Games!#REF!, Data!$B$2:$L$135, 9, FALSE))*Coefficients!$I$2</f>
        <v>#REF!</v>
      </c>
      <c r="J378" t="e">
        <f>IF(ISBLANK(Data!K378), Games!#REF!-Games!#REF!,VLOOKUP(Games!#REF!, Data!$B$2:$L$135, 10, FALSE)-VLOOKUP(Games!#REF!, Data!$B$2:$L$135, 10, FALSE))*Coefficients!$J$2</f>
        <v>#REF!</v>
      </c>
      <c r="K378" t="e">
        <f>(IF(AND(VLOOKUP(Games!#REF!, Data!$B$2:$L$135, 11, FALSE)=1, VLOOKUP(Games!#REF!, Data!$B$2:$L$135, 11, FALSE)&lt;&gt;1), 1,0))*Coefficients!K$2</f>
        <v>#REF!</v>
      </c>
      <c r="L378" t="e">
        <f>(IF(AND(VLOOKUP(Games!#REF!, Data!$B$2:$L$135, 11, FALSE)&lt;&gt;1, VLOOKUP(Games!#REF!, Data!$B$2:$L$135, 11, FALSE)=1), 1,0))*Coefficients!L$2</f>
        <v>#REF!</v>
      </c>
      <c r="O378" t="e">
        <f t="shared" si="6"/>
        <v>#REF!</v>
      </c>
    </row>
    <row r="379">
      <c r="A379" t="n">
        <f>Coefficients!$A$2</f>
        <v>-3.7765953152866998</v>
      </c>
      <c r="B379" t="e">
        <f>(Games!#REF!)*(-1*Coefficients!$B$2)</f>
        <v>#REF!</v>
      </c>
      <c r="C379" t="e">
        <f>(VLOOKUP(Games!#REF!, Data!$B$2:$L$135, 4, FALSE)-VLOOKUP(Games!#REF!, Data!$B$2:$L$135, 4, FALSE))*Coefficients!$C$2</f>
        <v>#REF!</v>
      </c>
      <c r="D379" t="e">
        <f>(VLOOKUP(Games!#REF!, Data!$B$2:$L$135, 3, FALSE)-VLOOKUP(Games!#REF!, Data!$B$2:$L$135, 3, FALSE))*Coefficients!$D$2</f>
        <v>#REF!</v>
      </c>
      <c r="E379" t="e">
        <f>(VLOOKUP(Games!#REF!, Data!$B$2:$L$135, 5, FALSE)-VLOOKUP(Games!#REF!, Data!$B$2:$L$135, 5, FALSE))*Coefficients!$E$2</f>
        <v>#REF!</v>
      </c>
      <c r="F379" t="e">
        <f>(VLOOKUP(Games!#REF!, Data!$B$2:$L$135, 6, FALSE)-VLOOKUP(Games!#REF!, Data!$B$2:$L$135, 6, FALSE))*Coefficients!$F$2</f>
        <v>#REF!</v>
      </c>
      <c r="G379" t="e">
        <f>(VLOOKUP(Games!#REF!, Data!$B$2:$L$135, 7, FALSE)-VLOOKUP(Games!#REF!, Data!$B$2:$L$135, 7, FALSE))*Coefficients!$G$2</f>
        <v>#REF!</v>
      </c>
      <c r="H379" t="e">
        <f>(VLOOKUP(Games!#REF!, Data!$B$2:$L$135, 8, FALSE)-VLOOKUP(Games!#REF!, Data!$B$2:$L$135, 8, FALSE))*Coefficients!$H$2</f>
        <v>#REF!</v>
      </c>
      <c r="I379" t="e">
        <f>(VLOOKUP(Games!#REF!, Data!$B$2:$L$135, 9, FALSE)-VLOOKUP(Games!#REF!, Data!$B$2:$L$135, 9, FALSE))*Coefficients!$I$2</f>
        <v>#REF!</v>
      </c>
      <c r="J379" t="e">
        <f>IF(ISBLANK(Data!K379), Games!#REF!-Games!#REF!,VLOOKUP(Games!#REF!, Data!$B$2:$L$135, 10, FALSE)-VLOOKUP(Games!#REF!, Data!$B$2:$L$135, 10, FALSE))*Coefficients!$J$2</f>
        <v>#REF!</v>
      </c>
      <c r="K379" t="e">
        <f>(IF(AND(VLOOKUP(Games!#REF!, Data!$B$2:$L$135, 11, FALSE)=1, VLOOKUP(Games!#REF!, Data!$B$2:$L$135, 11, FALSE)&lt;&gt;1), 1,0))*Coefficients!K$2</f>
        <v>#REF!</v>
      </c>
      <c r="L379" t="e">
        <f>(IF(AND(VLOOKUP(Games!#REF!, Data!$B$2:$L$135, 11, FALSE)&lt;&gt;1, VLOOKUP(Games!#REF!, Data!$B$2:$L$135, 11, FALSE)=1), 1,0))*Coefficients!L$2</f>
        <v>#REF!</v>
      </c>
      <c r="O379" t="e">
        <f t="shared" si="6"/>
        <v>#REF!</v>
      </c>
    </row>
    <row r="380">
      <c r="A380" t="n">
        <f>Coefficients!$A$2</f>
        <v>-3.7765953152866998</v>
      </c>
      <c r="B380" t="e">
        <f>(Games!#REF!)*(-1*Coefficients!$B$2)</f>
        <v>#REF!</v>
      </c>
      <c r="C380" t="e">
        <f>(VLOOKUP(Games!#REF!, Data!$B$2:$L$135, 4, FALSE)-VLOOKUP(Games!#REF!, Data!$B$2:$L$135, 4, FALSE))*Coefficients!$C$2</f>
        <v>#REF!</v>
      </c>
      <c r="D380" t="e">
        <f>(VLOOKUP(Games!#REF!, Data!$B$2:$L$135, 3, FALSE)-VLOOKUP(Games!#REF!, Data!$B$2:$L$135, 3, FALSE))*Coefficients!$D$2</f>
        <v>#REF!</v>
      </c>
      <c r="E380" t="e">
        <f>(VLOOKUP(Games!#REF!, Data!$B$2:$L$135, 5, FALSE)-VLOOKUP(Games!#REF!, Data!$B$2:$L$135, 5, FALSE))*Coefficients!$E$2</f>
        <v>#REF!</v>
      </c>
      <c r="F380" t="e">
        <f>(VLOOKUP(Games!#REF!, Data!$B$2:$L$135, 6, FALSE)-VLOOKUP(Games!#REF!, Data!$B$2:$L$135, 6, FALSE))*Coefficients!$F$2</f>
        <v>#REF!</v>
      </c>
      <c r="G380" t="e">
        <f>(VLOOKUP(Games!#REF!, Data!$B$2:$L$135, 7, FALSE)-VLOOKUP(Games!#REF!, Data!$B$2:$L$135, 7, FALSE))*Coefficients!$G$2</f>
        <v>#REF!</v>
      </c>
      <c r="H380" t="e">
        <f>(VLOOKUP(Games!#REF!, Data!$B$2:$L$135, 8, FALSE)-VLOOKUP(Games!#REF!, Data!$B$2:$L$135, 8, FALSE))*Coefficients!$H$2</f>
        <v>#REF!</v>
      </c>
      <c r="I380" t="e">
        <f>(VLOOKUP(Games!#REF!, Data!$B$2:$L$135, 9, FALSE)-VLOOKUP(Games!#REF!, Data!$B$2:$L$135, 9, FALSE))*Coefficients!$I$2</f>
        <v>#REF!</v>
      </c>
      <c r="J380" t="e">
        <f>IF(ISBLANK(Data!K380), Games!#REF!-Games!#REF!,VLOOKUP(Games!#REF!, Data!$B$2:$L$135, 10, FALSE)-VLOOKUP(Games!#REF!, Data!$B$2:$L$135, 10, FALSE))*Coefficients!$J$2</f>
        <v>#REF!</v>
      </c>
      <c r="K380" t="e">
        <f>(IF(AND(VLOOKUP(Games!#REF!, Data!$B$2:$L$135, 11, FALSE)=1, VLOOKUP(Games!#REF!, Data!$B$2:$L$135, 11, FALSE)&lt;&gt;1), 1,0))*Coefficients!K$2</f>
        <v>#REF!</v>
      </c>
      <c r="L380" t="e">
        <f>(IF(AND(VLOOKUP(Games!#REF!, Data!$B$2:$L$135, 11, FALSE)&lt;&gt;1, VLOOKUP(Games!#REF!, Data!$B$2:$L$135, 11, FALSE)=1), 1,0))*Coefficients!L$2</f>
        <v>#REF!</v>
      </c>
      <c r="O380" t="e">
        <f t="shared" si="6"/>
        <v>#REF!</v>
      </c>
    </row>
    <row r="381">
      <c r="A381" t="n">
        <f>Coefficients!$A$2</f>
        <v>-3.7765953152866998</v>
      </c>
      <c r="B381" t="e">
        <f>(Games!#REF!)*(-1*Coefficients!$B$2)</f>
        <v>#REF!</v>
      </c>
      <c r="C381" t="e">
        <f>(VLOOKUP(Games!#REF!, Data!$B$2:$L$135, 4, FALSE)-VLOOKUP(Games!#REF!, Data!$B$2:$L$135, 4, FALSE))*Coefficients!$C$2</f>
        <v>#REF!</v>
      </c>
      <c r="D381" t="e">
        <f>(VLOOKUP(Games!#REF!, Data!$B$2:$L$135, 3, FALSE)-VLOOKUP(Games!#REF!, Data!$B$2:$L$135, 3, FALSE))*Coefficients!$D$2</f>
        <v>#REF!</v>
      </c>
      <c r="E381" t="e">
        <f>(VLOOKUP(Games!#REF!, Data!$B$2:$L$135, 5, FALSE)-VLOOKUP(Games!#REF!, Data!$B$2:$L$135, 5, FALSE))*Coefficients!$E$2</f>
        <v>#REF!</v>
      </c>
      <c r="F381" t="e">
        <f>(VLOOKUP(Games!#REF!, Data!$B$2:$L$135, 6, FALSE)-VLOOKUP(Games!#REF!, Data!$B$2:$L$135, 6, FALSE))*Coefficients!$F$2</f>
        <v>#REF!</v>
      </c>
      <c r="G381" t="e">
        <f>(VLOOKUP(Games!#REF!, Data!$B$2:$L$135, 7, FALSE)-VLOOKUP(Games!#REF!, Data!$B$2:$L$135, 7, FALSE))*Coefficients!$G$2</f>
        <v>#REF!</v>
      </c>
      <c r="H381" t="e">
        <f>(VLOOKUP(Games!#REF!, Data!$B$2:$L$135, 8, FALSE)-VLOOKUP(Games!#REF!, Data!$B$2:$L$135, 8, FALSE))*Coefficients!$H$2</f>
        <v>#REF!</v>
      </c>
      <c r="I381" t="e">
        <f>(VLOOKUP(Games!#REF!, Data!$B$2:$L$135, 9, FALSE)-VLOOKUP(Games!#REF!, Data!$B$2:$L$135, 9, FALSE))*Coefficients!$I$2</f>
        <v>#REF!</v>
      </c>
      <c r="J381" t="e">
        <f>IF(ISBLANK(Data!K381), Games!#REF!-Games!#REF!,VLOOKUP(Games!#REF!, Data!$B$2:$L$135, 10, FALSE)-VLOOKUP(Games!#REF!, Data!$B$2:$L$135, 10, FALSE))*Coefficients!$J$2</f>
        <v>#REF!</v>
      </c>
      <c r="K381" t="e">
        <f>(IF(AND(VLOOKUP(Games!#REF!, Data!$B$2:$L$135, 11, FALSE)=1, VLOOKUP(Games!#REF!, Data!$B$2:$L$135, 11, FALSE)&lt;&gt;1), 1,0))*Coefficients!K$2</f>
        <v>#REF!</v>
      </c>
      <c r="L381" t="e">
        <f>(IF(AND(VLOOKUP(Games!#REF!, Data!$B$2:$L$135, 11, FALSE)&lt;&gt;1, VLOOKUP(Games!#REF!, Data!$B$2:$L$135, 11, FALSE)=1), 1,0))*Coefficients!L$2</f>
        <v>#REF!</v>
      </c>
      <c r="O381" t="e">
        <f t="shared" si="6"/>
        <v>#REF!</v>
      </c>
    </row>
    <row r="382">
      <c r="A382" t="n">
        <f>Coefficients!$A$2</f>
        <v>-3.7765953152866998</v>
      </c>
      <c r="B382" t="e">
        <f>(Games!#REF!)*(-1*Coefficients!$B$2)</f>
        <v>#REF!</v>
      </c>
      <c r="C382" t="e">
        <f>(VLOOKUP(Games!#REF!, Data!$B$2:$L$135, 4, FALSE)-VLOOKUP(Games!#REF!, Data!$B$2:$L$135, 4, FALSE))*Coefficients!$C$2</f>
        <v>#REF!</v>
      </c>
      <c r="D382" t="e">
        <f>(VLOOKUP(Games!#REF!, Data!$B$2:$L$135, 3, FALSE)-VLOOKUP(Games!#REF!, Data!$B$2:$L$135, 3, FALSE))*Coefficients!$D$2</f>
        <v>#REF!</v>
      </c>
      <c r="E382" t="e">
        <f>(VLOOKUP(Games!#REF!, Data!$B$2:$L$135, 5, FALSE)-VLOOKUP(Games!#REF!, Data!$B$2:$L$135, 5, FALSE))*Coefficients!$E$2</f>
        <v>#REF!</v>
      </c>
      <c r="F382" t="e">
        <f>(VLOOKUP(Games!#REF!, Data!$B$2:$L$135, 6, FALSE)-VLOOKUP(Games!#REF!, Data!$B$2:$L$135, 6, FALSE))*Coefficients!$F$2</f>
        <v>#REF!</v>
      </c>
      <c r="G382" t="e">
        <f>(VLOOKUP(Games!#REF!, Data!$B$2:$L$135, 7, FALSE)-VLOOKUP(Games!#REF!, Data!$B$2:$L$135, 7, FALSE))*Coefficients!$G$2</f>
        <v>#REF!</v>
      </c>
      <c r="H382" t="e">
        <f>(VLOOKUP(Games!#REF!, Data!$B$2:$L$135, 8, FALSE)-VLOOKUP(Games!#REF!, Data!$B$2:$L$135, 8, FALSE))*Coefficients!$H$2</f>
        <v>#REF!</v>
      </c>
      <c r="I382" t="e">
        <f>(VLOOKUP(Games!#REF!, Data!$B$2:$L$135, 9, FALSE)-VLOOKUP(Games!#REF!, Data!$B$2:$L$135, 9, FALSE))*Coefficients!$I$2</f>
        <v>#REF!</v>
      </c>
      <c r="J382" t="e">
        <f>IF(ISBLANK(Data!K382), Games!#REF!-Games!#REF!,VLOOKUP(Games!#REF!, Data!$B$2:$L$135, 10, FALSE)-VLOOKUP(Games!#REF!, Data!$B$2:$L$135, 10, FALSE))*Coefficients!$J$2</f>
        <v>#REF!</v>
      </c>
      <c r="K382" t="e">
        <f>(IF(AND(VLOOKUP(Games!#REF!, Data!$B$2:$L$135, 11, FALSE)=1, VLOOKUP(Games!#REF!, Data!$B$2:$L$135, 11, FALSE)&lt;&gt;1), 1,0))*Coefficients!K$2</f>
        <v>#REF!</v>
      </c>
      <c r="L382" t="e">
        <f>(IF(AND(VLOOKUP(Games!#REF!, Data!$B$2:$L$135, 11, FALSE)&lt;&gt;1, VLOOKUP(Games!#REF!, Data!$B$2:$L$135, 11, FALSE)=1), 1,0))*Coefficients!L$2</f>
        <v>#REF!</v>
      </c>
      <c r="O382" t="e">
        <f t="shared" si="6"/>
        <v>#REF!</v>
      </c>
    </row>
    <row r="383">
      <c r="A383" t="n">
        <f>Coefficients!$A$2</f>
        <v>-3.7765953152866998</v>
      </c>
      <c r="B383" t="e">
        <f>(Games!#REF!)*(-1*Coefficients!$B$2)</f>
        <v>#REF!</v>
      </c>
      <c r="C383" t="e">
        <f>(VLOOKUP(Games!#REF!, Data!$B$2:$L$135, 4, FALSE)-VLOOKUP(Games!#REF!, Data!$B$2:$L$135, 4, FALSE))*Coefficients!$C$2</f>
        <v>#REF!</v>
      </c>
      <c r="D383" t="e">
        <f>(VLOOKUP(Games!#REF!, Data!$B$2:$L$135, 3, FALSE)-VLOOKUP(Games!#REF!, Data!$B$2:$L$135, 3, FALSE))*Coefficients!$D$2</f>
        <v>#REF!</v>
      </c>
      <c r="E383" t="e">
        <f>(VLOOKUP(Games!#REF!, Data!$B$2:$L$135, 5, FALSE)-VLOOKUP(Games!#REF!, Data!$B$2:$L$135, 5, FALSE))*Coefficients!$E$2</f>
        <v>#REF!</v>
      </c>
      <c r="F383" t="e">
        <f>(VLOOKUP(Games!#REF!, Data!$B$2:$L$135, 6, FALSE)-VLOOKUP(Games!#REF!, Data!$B$2:$L$135, 6, FALSE))*Coefficients!$F$2</f>
        <v>#REF!</v>
      </c>
      <c r="G383" t="e">
        <f>(VLOOKUP(Games!#REF!, Data!$B$2:$L$135, 7, FALSE)-VLOOKUP(Games!#REF!, Data!$B$2:$L$135, 7, FALSE))*Coefficients!$G$2</f>
        <v>#REF!</v>
      </c>
      <c r="H383" t="e">
        <f>(VLOOKUP(Games!#REF!, Data!$B$2:$L$135, 8, FALSE)-VLOOKUP(Games!#REF!, Data!$B$2:$L$135, 8, FALSE))*Coefficients!$H$2</f>
        <v>#REF!</v>
      </c>
      <c r="I383" t="e">
        <f>(VLOOKUP(Games!#REF!, Data!$B$2:$L$135, 9, FALSE)-VLOOKUP(Games!#REF!, Data!$B$2:$L$135, 9, FALSE))*Coefficients!$I$2</f>
        <v>#REF!</v>
      </c>
      <c r="J383" t="e">
        <f>IF(ISBLANK(Data!K383), Games!#REF!-Games!#REF!,VLOOKUP(Games!#REF!, Data!$B$2:$L$135, 10, FALSE)-VLOOKUP(Games!#REF!, Data!$B$2:$L$135, 10, FALSE))*Coefficients!$J$2</f>
        <v>#REF!</v>
      </c>
      <c r="K383" t="e">
        <f>(IF(AND(VLOOKUP(Games!#REF!, Data!$B$2:$L$135, 11, FALSE)=1, VLOOKUP(Games!#REF!, Data!$B$2:$L$135, 11, FALSE)&lt;&gt;1), 1,0))*Coefficients!K$2</f>
        <v>#REF!</v>
      </c>
      <c r="L383" t="e">
        <f>(IF(AND(VLOOKUP(Games!#REF!, Data!$B$2:$L$135, 11, FALSE)&lt;&gt;1, VLOOKUP(Games!#REF!, Data!$B$2:$L$135, 11, FALSE)=1), 1,0))*Coefficients!L$2</f>
        <v>#REF!</v>
      </c>
      <c r="O383" t="e">
        <f t="shared" si="6"/>
        <v>#REF!</v>
      </c>
    </row>
    <row r="384">
      <c r="A384" t="n">
        <f>Coefficients!$A$2</f>
        <v>-3.7765953152866998</v>
      </c>
      <c r="B384" t="e">
        <f>(Games!#REF!)*(-1*Coefficients!$B$2)</f>
        <v>#REF!</v>
      </c>
      <c r="C384" t="e">
        <f>(VLOOKUP(Games!#REF!, Data!$B$2:$L$135, 4, FALSE)-VLOOKUP(Games!#REF!, Data!$B$2:$L$135, 4, FALSE))*Coefficients!$C$2</f>
        <v>#REF!</v>
      </c>
      <c r="D384" t="e">
        <f>(VLOOKUP(Games!#REF!, Data!$B$2:$L$135, 3, FALSE)-VLOOKUP(Games!#REF!, Data!$B$2:$L$135, 3, FALSE))*Coefficients!$D$2</f>
        <v>#REF!</v>
      </c>
      <c r="E384" t="e">
        <f>(VLOOKUP(Games!#REF!, Data!$B$2:$L$135, 5, FALSE)-VLOOKUP(Games!#REF!, Data!$B$2:$L$135, 5, FALSE))*Coefficients!$E$2</f>
        <v>#REF!</v>
      </c>
      <c r="F384" t="e">
        <f>(VLOOKUP(Games!#REF!, Data!$B$2:$L$135, 6, FALSE)-VLOOKUP(Games!#REF!, Data!$B$2:$L$135, 6, FALSE))*Coefficients!$F$2</f>
        <v>#REF!</v>
      </c>
      <c r="G384" t="e">
        <f>(VLOOKUP(Games!#REF!, Data!$B$2:$L$135, 7, FALSE)-VLOOKUP(Games!#REF!, Data!$B$2:$L$135, 7, FALSE))*Coefficients!$G$2</f>
        <v>#REF!</v>
      </c>
      <c r="H384" t="e">
        <f>(VLOOKUP(Games!#REF!, Data!$B$2:$L$135, 8, FALSE)-VLOOKUP(Games!#REF!, Data!$B$2:$L$135, 8, FALSE))*Coefficients!$H$2</f>
        <v>#REF!</v>
      </c>
      <c r="I384" t="e">
        <f>(VLOOKUP(Games!#REF!, Data!$B$2:$L$135, 9, FALSE)-VLOOKUP(Games!#REF!, Data!$B$2:$L$135, 9, FALSE))*Coefficients!$I$2</f>
        <v>#REF!</v>
      </c>
      <c r="J384" t="e">
        <f>IF(ISBLANK(Data!K384), Games!#REF!-Games!#REF!,VLOOKUP(Games!#REF!, Data!$B$2:$L$135, 10, FALSE)-VLOOKUP(Games!#REF!, Data!$B$2:$L$135, 10, FALSE))*Coefficients!$J$2</f>
        <v>#REF!</v>
      </c>
      <c r="K384" t="e">
        <f>(IF(AND(VLOOKUP(Games!#REF!, Data!$B$2:$L$135, 11, FALSE)=1, VLOOKUP(Games!#REF!, Data!$B$2:$L$135, 11, FALSE)&lt;&gt;1), 1,0))*Coefficients!K$2</f>
        <v>#REF!</v>
      </c>
      <c r="L384" t="e">
        <f>(IF(AND(VLOOKUP(Games!#REF!, Data!$B$2:$L$135, 11, FALSE)&lt;&gt;1, VLOOKUP(Games!#REF!, Data!$B$2:$L$135, 11, FALSE)=1), 1,0))*Coefficients!L$2</f>
        <v>#REF!</v>
      </c>
      <c r="O384" t="e">
        <f t="shared" si="6"/>
        <v>#REF!</v>
      </c>
    </row>
    <row r="385">
      <c r="A385" t="n">
        <f>Coefficients!$A$2</f>
        <v>-3.7765953152866998</v>
      </c>
      <c r="B385" t="e">
        <f>(Games!#REF!)*(-1*Coefficients!$B$2)</f>
        <v>#REF!</v>
      </c>
      <c r="C385" t="e">
        <f>(VLOOKUP(Games!#REF!, Data!$B$2:$L$135, 4, FALSE)-VLOOKUP(Games!#REF!, Data!$B$2:$L$135, 4, FALSE))*Coefficients!$C$2</f>
        <v>#REF!</v>
      </c>
      <c r="D385" t="e">
        <f>(VLOOKUP(Games!#REF!, Data!$B$2:$L$135, 3, FALSE)-VLOOKUP(Games!#REF!, Data!$B$2:$L$135, 3, FALSE))*Coefficients!$D$2</f>
        <v>#REF!</v>
      </c>
      <c r="E385" t="e">
        <f>(VLOOKUP(Games!#REF!, Data!$B$2:$L$135, 5, FALSE)-VLOOKUP(Games!#REF!, Data!$B$2:$L$135, 5, FALSE))*Coefficients!$E$2</f>
        <v>#REF!</v>
      </c>
      <c r="F385" t="e">
        <f>(VLOOKUP(Games!#REF!, Data!$B$2:$L$135, 6, FALSE)-VLOOKUP(Games!#REF!, Data!$B$2:$L$135, 6, FALSE))*Coefficients!$F$2</f>
        <v>#REF!</v>
      </c>
      <c r="G385" t="e">
        <f>(VLOOKUP(Games!#REF!, Data!$B$2:$L$135, 7, FALSE)-VLOOKUP(Games!#REF!, Data!$B$2:$L$135, 7, FALSE))*Coefficients!$G$2</f>
        <v>#REF!</v>
      </c>
      <c r="H385" t="e">
        <f>(VLOOKUP(Games!#REF!, Data!$B$2:$L$135, 8, FALSE)-VLOOKUP(Games!#REF!, Data!$B$2:$L$135, 8, FALSE))*Coefficients!$H$2</f>
        <v>#REF!</v>
      </c>
      <c r="I385" t="e">
        <f>(VLOOKUP(Games!#REF!, Data!$B$2:$L$135, 9, FALSE)-VLOOKUP(Games!#REF!, Data!$B$2:$L$135, 9, FALSE))*Coefficients!$I$2</f>
        <v>#REF!</v>
      </c>
      <c r="J385" t="e">
        <f>IF(ISBLANK(Data!K385), Games!#REF!-Games!#REF!,VLOOKUP(Games!#REF!, Data!$B$2:$L$135, 10, FALSE)-VLOOKUP(Games!#REF!, Data!$B$2:$L$135, 10, FALSE))*Coefficients!$J$2</f>
        <v>#REF!</v>
      </c>
      <c r="K385" t="e">
        <f>(IF(AND(VLOOKUP(Games!#REF!, Data!$B$2:$L$135, 11, FALSE)=1, VLOOKUP(Games!#REF!, Data!$B$2:$L$135, 11, FALSE)&lt;&gt;1), 1,0))*Coefficients!K$2</f>
        <v>#REF!</v>
      </c>
      <c r="L385" t="e">
        <f>(IF(AND(VLOOKUP(Games!#REF!, Data!$B$2:$L$135, 11, FALSE)&lt;&gt;1, VLOOKUP(Games!#REF!, Data!$B$2:$L$135, 11, FALSE)=1), 1,0))*Coefficients!L$2</f>
        <v>#REF!</v>
      </c>
      <c r="O385" t="e">
        <f t="shared" si="6"/>
        <v>#REF!</v>
      </c>
    </row>
    <row r="386">
      <c r="A386" t="n">
        <f>Coefficients!$A$2</f>
        <v>-3.7765953152866998</v>
      </c>
      <c r="B386" t="e">
        <f>(Games!#REF!)*(-1*Coefficients!$B$2)</f>
        <v>#REF!</v>
      </c>
      <c r="C386" t="e">
        <f>(VLOOKUP(Games!#REF!, Data!$B$2:$L$135, 4, FALSE)-VLOOKUP(Games!#REF!, Data!$B$2:$L$135, 4, FALSE))*Coefficients!$C$2</f>
        <v>#REF!</v>
      </c>
      <c r="D386" t="e">
        <f>(VLOOKUP(Games!#REF!, Data!$B$2:$L$135, 3, FALSE)-VLOOKUP(Games!#REF!, Data!$B$2:$L$135, 3, FALSE))*Coefficients!$D$2</f>
        <v>#REF!</v>
      </c>
      <c r="E386" t="e">
        <f>(VLOOKUP(Games!#REF!, Data!$B$2:$L$135, 5, FALSE)-VLOOKUP(Games!#REF!, Data!$B$2:$L$135, 5, FALSE))*Coefficients!$E$2</f>
        <v>#REF!</v>
      </c>
      <c r="F386" t="e">
        <f>(VLOOKUP(Games!#REF!, Data!$B$2:$L$135, 6, FALSE)-VLOOKUP(Games!#REF!, Data!$B$2:$L$135, 6, FALSE))*Coefficients!$F$2</f>
        <v>#REF!</v>
      </c>
      <c r="G386" t="e">
        <f>(VLOOKUP(Games!#REF!, Data!$B$2:$L$135, 7, FALSE)-VLOOKUP(Games!#REF!, Data!$B$2:$L$135, 7, FALSE))*Coefficients!$G$2</f>
        <v>#REF!</v>
      </c>
      <c r="H386" t="e">
        <f>(VLOOKUP(Games!#REF!, Data!$B$2:$L$135, 8, FALSE)-VLOOKUP(Games!#REF!, Data!$B$2:$L$135, 8, FALSE))*Coefficients!$H$2</f>
        <v>#REF!</v>
      </c>
      <c r="I386" t="e">
        <f>(VLOOKUP(Games!#REF!, Data!$B$2:$L$135, 9, FALSE)-VLOOKUP(Games!#REF!, Data!$B$2:$L$135, 9, FALSE))*Coefficients!$I$2</f>
        <v>#REF!</v>
      </c>
      <c r="J386" t="e">
        <f>IF(ISBLANK(Data!K386), Games!#REF!-Games!#REF!,VLOOKUP(Games!#REF!, Data!$B$2:$L$135, 10, FALSE)-VLOOKUP(Games!#REF!, Data!$B$2:$L$135, 10, FALSE))*Coefficients!$J$2</f>
        <v>#REF!</v>
      </c>
      <c r="K386" t="e">
        <f>(IF(AND(VLOOKUP(Games!#REF!, Data!$B$2:$L$135, 11, FALSE)=1, VLOOKUP(Games!#REF!, Data!$B$2:$L$135, 11, FALSE)&lt;&gt;1), 1,0))*Coefficients!K$2</f>
        <v>#REF!</v>
      </c>
      <c r="L386" t="e">
        <f>(IF(AND(VLOOKUP(Games!#REF!, Data!$B$2:$L$135, 11, FALSE)&lt;&gt;1, VLOOKUP(Games!#REF!, Data!$B$2:$L$135, 11, FALSE)=1), 1,0))*Coefficients!L$2</f>
        <v>#REF!</v>
      </c>
      <c r="O386" t="e">
        <f t="shared" si="6"/>
        <v>#REF!</v>
      </c>
    </row>
    <row r="387">
      <c r="A387" t="n">
        <f>Coefficients!$A$2</f>
        <v>-3.7765953152866998</v>
      </c>
      <c r="B387" t="e">
        <f>(Games!#REF!)*(-1*Coefficients!$B$2)</f>
        <v>#REF!</v>
      </c>
      <c r="C387" t="e">
        <f>(VLOOKUP(Games!#REF!, Data!$B$2:$L$135, 4, FALSE)-VLOOKUP(Games!#REF!, Data!$B$2:$L$135, 4, FALSE))*Coefficients!$C$2</f>
        <v>#REF!</v>
      </c>
      <c r="D387" t="e">
        <f>(VLOOKUP(Games!#REF!, Data!$B$2:$L$135, 3, FALSE)-VLOOKUP(Games!#REF!, Data!$B$2:$L$135, 3, FALSE))*Coefficients!$D$2</f>
        <v>#REF!</v>
      </c>
      <c r="E387" t="e">
        <f>(VLOOKUP(Games!#REF!, Data!$B$2:$L$135, 5, FALSE)-VLOOKUP(Games!#REF!, Data!$B$2:$L$135, 5, FALSE))*Coefficients!$E$2</f>
        <v>#REF!</v>
      </c>
      <c r="F387" t="e">
        <f>(VLOOKUP(Games!#REF!, Data!$B$2:$L$135, 6, FALSE)-VLOOKUP(Games!#REF!, Data!$B$2:$L$135, 6, FALSE))*Coefficients!$F$2</f>
        <v>#REF!</v>
      </c>
      <c r="G387" t="e">
        <f>(VLOOKUP(Games!#REF!, Data!$B$2:$L$135, 7, FALSE)-VLOOKUP(Games!#REF!, Data!$B$2:$L$135, 7, FALSE))*Coefficients!$G$2</f>
        <v>#REF!</v>
      </c>
      <c r="H387" t="e">
        <f>(VLOOKUP(Games!#REF!, Data!$B$2:$L$135, 8, FALSE)-VLOOKUP(Games!#REF!, Data!$B$2:$L$135, 8, FALSE))*Coefficients!$H$2</f>
        <v>#REF!</v>
      </c>
      <c r="I387" t="e">
        <f>(VLOOKUP(Games!#REF!, Data!$B$2:$L$135, 9, FALSE)-VLOOKUP(Games!#REF!, Data!$B$2:$L$135, 9, FALSE))*Coefficients!$I$2</f>
        <v>#REF!</v>
      </c>
      <c r="J387" t="e">
        <f>IF(ISBLANK(Data!K387), Games!#REF!-Games!#REF!,VLOOKUP(Games!#REF!, Data!$B$2:$L$135, 10, FALSE)-VLOOKUP(Games!#REF!, Data!$B$2:$L$135, 10, FALSE))*Coefficients!$J$2</f>
        <v>#REF!</v>
      </c>
      <c r="K387" t="e">
        <f>(IF(AND(VLOOKUP(Games!#REF!, Data!$B$2:$L$135, 11, FALSE)=1, VLOOKUP(Games!#REF!, Data!$B$2:$L$135, 11, FALSE)&lt;&gt;1), 1,0))*Coefficients!K$2</f>
        <v>#REF!</v>
      </c>
      <c r="L387" t="e">
        <f>(IF(AND(VLOOKUP(Games!#REF!, Data!$B$2:$L$135, 11, FALSE)&lt;&gt;1, VLOOKUP(Games!#REF!, Data!$B$2:$L$135, 11, FALSE)=1), 1,0))*Coefficients!L$2</f>
        <v>#REF!</v>
      </c>
      <c r="O387" t="e">
        <f t="shared" ref="O387:O450" si="7">SUM(A387:L387)</f>
        <v>#REF!</v>
      </c>
    </row>
    <row r="388">
      <c r="A388" t="n">
        <f>Coefficients!$A$2</f>
        <v>-3.7765953152866998</v>
      </c>
      <c r="B388" t="e">
        <f>(Games!#REF!)*(-1*Coefficients!$B$2)</f>
        <v>#REF!</v>
      </c>
      <c r="C388" t="e">
        <f>(VLOOKUP(Games!#REF!, Data!$B$2:$L$135, 4, FALSE)-VLOOKUP(Games!#REF!, Data!$B$2:$L$135, 4, FALSE))*Coefficients!$C$2</f>
        <v>#REF!</v>
      </c>
      <c r="D388" t="e">
        <f>(VLOOKUP(Games!#REF!, Data!$B$2:$L$135, 3, FALSE)-VLOOKUP(Games!#REF!, Data!$B$2:$L$135, 3, FALSE))*Coefficients!$D$2</f>
        <v>#REF!</v>
      </c>
      <c r="E388" t="e">
        <f>(VLOOKUP(Games!#REF!, Data!$B$2:$L$135, 5, FALSE)-VLOOKUP(Games!#REF!, Data!$B$2:$L$135, 5, FALSE))*Coefficients!$E$2</f>
        <v>#REF!</v>
      </c>
      <c r="F388" t="e">
        <f>(VLOOKUP(Games!#REF!, Data!$B$2:$L$135, 6, FALSE)-VLOOKUP(Games!#REF!, Data!$B$2:$L$135, 6, FALSE))*Coefficients!$F$2</f>
        <v>#REF!</v>
      </c>
      <c r="G388" t="e">
        <f>(VLOOKUP(Games!#REF!, Data!$B$2:$L$135, 7, FALSE)-VLOOKUP(Games!#REF!, Data!$B$2:$L$135, 7, FALSE))*Coefficients!$G$2</f>
        <v>#REF!</v>
      </c>
      <c r="H388" t="e">
        <f>(VLOOKUP(Games!#REF!, Data!$B$2:$L$135, 8, FALSE)-VLOOKUP(Games!#REF!, Data!$B$2:$L$135, 8, FALSE))*Coefficients!$H$2</f>
        <v>#REF!</v>
      </c>
      <c r="I388" t="e">
        <f>(VLOOKUP(Games!#REF!, Data!$B$2:$L$135, 9, FALSE)-VLOOKUP(Games!#REF!, Data!$B$2:$L$135, 9, FALSE))*Coefficients!$I$2</f>
        <v>#REF!</v>
      </c>
      <c r="J388" t="e">
        <f>IF(ISBLANK(Data!K388), Games!#REF!-Games!#REF!,VLOOKUP(Games!#REF!, Data!$B$2:$L$135, 10, FALSE)-VLOOKUP(Games!#REF!, Data!$B$2:$L$135, 10, FALSE))*Coefficients!$J$2</f>
        <v>#REF!</v>
      </c>
      <c r="K388" t="e">
        <f>(IF(AND(VLOOKUP(Games!#REF!, Data!$B$2:$L$135, 11, FALSE)=1, VLOOKUP(Games!#REF!, Data!$B$2:$L$135, 11, FALSE)&lt;&gt;1), 1,0))*Coefficients!K$2</f>
        <v>#REF!</v>
      </c>
      <c r="L388" t="e">
        <f>(IF(AND(VLOOKUP(Games!#REF!, Data!$B$2:$L$135, 11, FALSE)&lt;&gt;1, VLOOKUP(Games!#REF!, Data!$B$2:$L$135, 11, FALSE)=1), 1,0))*Coefficients!L$2</f>
        <v>#REF!</v>
      </c>
      <c r="O388" t="e">
        <f t="shared" si="7"/>
        <v>#REF!</v>
      </c>
    </row>
    <row r="389">
      <c r="A389" t="n">
        <f>Coefficients!$A$2</f>
        <v>-3.7765953152866998</v>
      </c>
      <c r="B389" t="e">
        <f>(Games!#REF!)*(-1*Coefficients!$B$2)</f>
        <v>#REF!</v>
      </c>
      <c r="C389" t="e">
        <f>(VLOOKUP(Games!#REF!, Data!$B$2:$L$135, 4, FALSE)-VLOOKUP(Games!#REF!, Data!$B$2:$L$135, 4, FALSE))*Coefficients!$C$2</f>
        <v>#REF!</v>
      </c>
      <c r="D389" t="e">
        <f>(VLOOKUP(Games!#REF!, Data!$B$2:$L$135, 3, FALSE)-VLOOKUP(Games!#REF!, Data!$B$2:$L$135, 3, FALSE))*Coefficients!$D$2</f>
        <v>#REF!</v>
      </c>
      <c r="E389" t="e">
        <f>(VLOOKUP(Games!#REF!, Data!$B$2:$L$135, 5, FALSE)-VLOOKUP(Games!#REF!, Data!$B$2:$L$135, 5, FALSE))*Coefficients!$E$2</f>
        <v>#REF!</v>
      </c>
      <c r="F389" t="e">
        <f>(VLOOKUP(Games!#REF!, Data!$B$2:$L$135, 6, FALSE)-VLOOKUP(Games!#REF!, Data!$B$2:$L$135, 6, FALSE))*Coefficients!$F$2</f>
        <v>#REF!</v>
      </c>
      <c r="G389" t="e">
        <f>(VLOOKUP(Games!#REF!, Data!$B$2:$L$135, 7, FALSE)-VLOOKUP(Games!#REF!, Data!$B$2:$L$135, 7, FALSE))*Coefficients!$G$2</f>
        <v>#REF!</v>
      </c>
      <c r="H389" t="e">
        <f>(VLOOKUP(Games!#REF!, Data!$B$2:$L$135, 8, FALSE)-VLOOKUP(Games!#REF!, Data!$B$2:$L$135, 8, FALSE))*Coefficients!$H$2</f>
        <v>#REF!</v>
      </c>
      <c r="I389" t="e">
        <f>(VLOOKUP(Games!#REF!, Data!$B$2:$L$135, 9, FALSE)-VLOOKUP(Games!#REF!, Data!$B$2:$L$135, 9, FALSE))*Coefficients!$I$2</f>
        <v>#REF!</v>
      </c>
      <c r="J389" t="e">
        <f>IF(ISBLANK(Data!K389), Games!#REF!-Games!#REF!,VLOOKUP(Games!#REF!, Data!$B$2:$L$135, 10, FALSE)-VLOOKUP(Games!#REF!, Data!$B$2:$L$135, 10, FALSE))*Coefficients!$J$2</f>
        <v>#REF!</v>
      </c>
      <c r="K389" t="e">
        <f>(IF(AND(VLOOKUP(Games!#REF!, Data!$B$2:$L$135, 11, FALSE)=1, VLOOKUP(Games!#REF!, Data!$B$2:$L$135, 11, FALSE)&lt;&gt;1), 1,0))*Coefficients!K$2</f>
        <v>#REF!</v>
      </c>
      <c r="L389" t="e">
        <f>(IF(AND(VLOOKUP(Games!#REF!, Data!$B$2:$L$135, 11, FALSE)&lt;&gt;1, VLOOKUP(Games!#REF!, Data!$B$2:$L$135, 11, FALSE)=1), 1,0))*Coefficients!L$2</f>
        <v>#REF!</v>
      </c>
      <c r="O389" t="e">
        <f t="shared" si="7"/>
        <v>#REF!</v>
      </c>
    </row>
    <row r="390">
      <c r="A390" t="n">
        <f>Coefficients!$A$2</f>
        <v>-3.7765953152866998</v>
      </c>
      <c r="B390" t="e">
        <f>(Games!#REF!)*(-1*Coefficients!$B$2)</f>
        <v>#REF!</v>
      </c>
      <c r="C390" t="e">
        <f>(VLOOKUP(Games!#REF!, Data!$B$2:$L$135, 4, FALSE)-VLOOKUP(Games!#REF!, Data!$B$2:$L$135, 4, FALSE))*Coefficients!$C$2</f>
        <v>#REF!</v>
      </c>
      <c r="D390" t="e">
        <f>(VLOOKUP(Games!#REF!, Data!$B$2:$L$135, 3, FALSE)-VLOOKUP(Games!#REF!, Data!$B$2:$L$135, 3, FALSE))*Coefficients!$D$2</f>
        <v>#REF!</v>
      </c>
      <c r="E390" t="e">
        <f>(VLOOKUP(Games!#REF!, Data!$B$2:$L$135, 5, FALSE)-VLOOKUP(Games!#REF!, Data!$B$2:$L$135, 5, FALSE))*Coefficients!$E$2</f>
        <v>#REF!</v>
      </c>
      <c r="F390" t="e">
        <f>(VLOOKUP(Games!#REF!, Data!$B$2:$L$135, 6, FALSE)-VLOOKUP(Games!#REF!, Data!$B$2:$L$135, 6, FALSE))*Coefficients!$F$2</f>
        <v>#REF!</v>
      </c>
      <c r="G390" t="e">
        <f>(VLOOKUP(Games!#REF!, Data!$B$2:$L$135, 7, FALSE)-VLOOKUP(Games!#REF!, Data!$B$2:$L$135, 7, FALSE))*Coefficients!$G$2</f>
        <v>#REF!</v>
      </c>
      <c r="H390" t="e">
        <f>(VLOOKUP(Games!#REF!, Data!$B$2:$L$135, 8, FALSE)-VLOOKUP(Games!#REF!, Data!$B$2:$L$135, 8, FALSE))*Coefficients!$H$2</f>
        <v>#REF!</v>
      </c>
      <c r="I390" t="e">
        <f>(VLOOKUP(Games!#REF!, Data!$B$2:$L$135, 9, FALSE)-VLOOKUP(Games!#REF!, Data!$B$2:$L$135, 9, FALSE))*Coefficients!$I$2</f>
        <v>#REF!</v>
      </c>
      <c r="J390" t="e">
        <f>IF(ISBLANK(Data!K390), Games!#REF!-Games!#REF!,VLOOKUP(Games!#REF!, Data!$B$2:$L$135, 10, FALSE)-VLOOKUP(Games!#REF!, Data!$B$2:$L$135, 10, FALSE))*Coefficients!$J$2</f>
        <v>#REF!</v>
      </c>
      <c r="K390" t="e">
        <f>(IF(AND(VLOOKUP(Games!#REF!, Data!$B$2:$L$135, 11, FALSE)=1, VLOOKUP(Games!#REF!, Data!$B$2:$L$135, 11, FALSE)&lt;&gt;1), 1,0))*Coefficients!K$2</f>
        <v>#REF!</v>
      </c>
      <c r="L390" t="e">
        <f>(IF(AND(VLOOKUP(Games!#REF!, Data!$B$2:$L$135, 11, FALSE)&lt;&gt;1, VLOOKUP(Games!#REF!, Data!$B$2:$L$135, 11, FALSE)=1), 1,0))*Coefficients!L$2</f>
        <v>#REF!</v>
      </c>
      <c r="O390" t="e">
        <f t="shared" si="7"/>
        <v>#REF!</v>
      </c>
    </row>
    <row r="391">
      <c r="A391" t="n">
        <f>Coefficients!$A$2</f>
        <v>-3.7765953152866998</v>
      </c>
      <c r="B391" t="e">
        <f>(Games!#REF!)*(-1*Coefficients!$B$2)</f>
        <v>#REF!</v>
      </c>
      <c r="C391" t="e">
        <f>(VLOOKUP(Games!#REF!, Data!$B$2:$L$135, 4, FALSE)-VLOOKUP(Games!#REF!, Data!$B$2:$L$135, 4, FALSE))*Coefficients!$C$2</f>
        <v>#REF!</v>
      </c>
      <c r="D391" t="e">
        <f>(VLOOKUP(Games!#REF!, Data!$B$2:$L$135, 3, FALSE)-VLOOKUP(Games!#REF!, Data!$B$2:$L$135, 3, FALSE))*Coefficients!$D$2</f>
        <v>#REF!</v>
      </c>
      <c r="E391" t="e">
        <f>(VLOOKUP(Games!#REF!, Data!$B$2:$L$135, 5, FALSE)-VLOOKUP(Games!#REF!, Data!$B$2:$L$135, 5, FALSE))*Coefficients!$E$2</f>
        <v>#REF!</v>
      </c>
      <c r="F391" t="e">
        <f>(VLOOKUP(Games!#REF!, Data!$B$2:$L$135, 6, FALSE)-VLOOKUP(Games!#REF!, Data!$B$2:$L$135, 6, FALSE))*Coefficients!$F$2</f>
        <v>#REF!</v>
      </c>
      <c r="G391" t="e">
        <f>(VLOOKUP(Games!#REF!, Data!$B$2:$L$135, 7, FALSE)-VLOOKUP(Games!#REF!, Data!$B$2:$L$135, 7, FALSE))*Coefficients!$G$2</f>
        <v>#REF!</v>
      </c>
      <c r="H391" t="e">
        <f>(VLOOKUP(Games!#REF!, Data!$B$2:$L$135, 8, FALSE)-VLOOKUP(Games!#REF!, Data!$B$2:$L$135, 8, FALSE))*Coefficients!$H$2</f>
        <v>#REF!</v>
      </c>
      <c r="I391" t="e">
        <f>(VLOOKUP(Games!#REF!, Data!$B$2:$L$135, 9, FALSE)-VLOOKUP(Games!#REF!, Data!$B$2:$L$135, 9, FALSE))*Coefficients!$I$2</f>
        <v>#REF!</v>
      </c>
      <c r="J391" t="e">
        <f>IF(ISBLANK(Data!K391), Games!#REF!-Games!#REF!,VLOOKUP(Games!#REF!, Data!$B$2:$L$135, 10, FALSE)-VLOOKUP(Games!#REF!, Data!$B$2:$L$135, 10, FALSE))*Coefficients!$J$2</f>
        <v>#REF!</v>
      </c>
      <c r="K391" t="e">
        <f>(IF(AND(VLOOKUP(Games!#REF!, Data!$B$2:$L$135, 11, FALSE)=1, VLOOKUP(Games!#REF!, Data!$B$2:$L$135, 11, FALSE)&lt;&gt;1), 1,0))*Coefficients!K$2</f>
        <v>#REF!</v>
      </c>
      <c r="L391" t="e">
        <f>(IF(AND(VLOOKUP(Games!#REF!, Data!$B$2:$L$135, 11, FALSE)&lt;&gt;1, VLOOKUP(Games!#REF!, Data!$B$2:$L$135, 11, FALSE)=1), 1,0))*Coefficients!L$2</f>
        <v>#REF!</v>
      </c>
      <c r="O391" t="e">
        <f t="shared" si="7"/>
        <v>#REF!</v>
      </c>
    </row>
    <row r="392">
      <c r="A392" t="n">
        <f>Coefficients!$A$2</f>
        <v>-3.7765953152866998</v>
      </c>
      <c r="B392" t="e">
        <f>(Games!#REF!)*(-1*Coefficients!$B$2)</f>
        <v>#REF!</v>
      </c>
      <c r="C392" t="e">
        <f>(VLOOKUP(Games!#REF!, Data!$B$2:$L$135, 4, FALSE)-VLOOKUP(Games!#REF!, Data!$B$2:$L$135, 4, FALSE))*Coefficients!$C$2</f>
        <v>#REF!</v>
      </c>
      <c r="D392" t="e">
        <f>(VLOOKUP(Games!#REF!, Data!$B$2:$L$135, 3, FALSE)-VLOOKUP(Games!#REF!, Data!$B$2:$L$135, 3, FALSE))*Coefficients!$D$2</f>
        <v>#REF!</v>
      </c>
      <c r="E392" t="e">
        <f>(VLOOKUP(Games!#REF!, Data!$B$2:$L$135, 5, FALSE)-VLOOKUP(Games!#REF!, Data!$B$2:$L$135, 5, FALSE))*Coefficients!$E$2</f>
        <v>#REF!</v>
      </c>
      <c r="F392" t="e">
        <f>(VLOOKUP(Games!#REF!, Data!$B$2:$L$135, 6, FALSE)-VLOOKUP(Games!#REF!, Data!$B$2:$L$135, 6, FALSE))*Coefficients!$F$2</f>
        <v>#REF!</v>
      </c>
      <c r="G392" t="e">
        <f>(VLOOKUP(Games!#REF!, Data!$B$2:$L$135, 7, FALSE)-VLOOKUP(Games!#REF!, Data!$B$2:$L$135, 7, FALSE))*Coefficients!$G$2</f>
        <v>#REF!</v>
      </c>
      <c r="H392" t="e">
        <f>(VLOOKUP(Games!#REF!, Data!$B$2:$L$135, 8, FALSE)-VLOOKUP(Games!#REF!, Data!$B$2:$L$135, 8, FALSE))*Coefficients!$H$2</f>
        <v>#REF!</v>
      </c>
      <c r="I392" t="e">
        <f>(VLOOKUP(Games!#REF!, Data!$B$2:$L$135, 9, FALSE)-VLOOKUP(Games!#REF!, Data!$B$2:$L$135, 9, FALSE))*Coefficients!$I$2</f>
        <v>#REF!</v>
      </c>
      <c r="J392" t="e">
        <f>IF(ISBLANK(Data!K392), Games!#REF!-Games!#REF!,VLOOKUP(Games!#REF!, Data!$B$2:$L$135, 10, FALSE)-VLOOKUP(Games!#REF!, Data!$B$2:$L$135, 10, FALSE))*Coefficients!$J$2</f>
        <v>#REF!</v>
      </c>
      <c r="K392" t="e">
        <f>(IF(AND(VLOOKUP(Games!#REF!, Data!$B$2:$L$135, 11, FALSE)=1, VLOOKUP(Games!#REF!, Data!$B$2:$L$135, 11, FALSE)&lt;&gt;1), 1,0))*Coefficients!K$2</f>
        <v>#REF!</v>
      </c>
      <c r="L392" t="e">
        <f>(IF(AND(VLOOKUP(Games!#REF!, Data!$B$2:$L$135, 11, FALSE)&lt;&gt;1, VLOOKUP(Games!#REF!, Data!$B$2:$L$135, 11, FALSE)=1), 1,0))*Coefficients!L$2</f>
        <v>#REF!</v>
      </c>
      <c r="O392" t="e">
        <f t="shared" si="7"/>
        <v>#REF!</v>
      </c>
    </row>
    <row r="393">
      <c r="A393" t="n">
        <f>Coefficients!$A$2</f>
        <v>-3.7765953152866998</v>
      </c>
      <c r="B393" t="e">
        <f>(Games!#REF!)*(-1*Coefficients!$B$2)</f>
        <v>#REF!</v>
      </c>
      <c r="C393" t="e">
        <f>(VLOOKUP(Games!#REF!, Data!$B$2:$L$135, 4, FALSE)-VLOOKUP(Games!#REF!, Data!$B$2:$L$135, 4, FALSE))*Coefficients!$C$2</f>
        <v>#REF!</v>
      </c>
      <c r="D393" t="e">
        <f>(VLOOKUP(Games!#REF!, Data!$B$2:$L$135, 3, FALSE)-VLOOKUP(Games!#REF!, Data!$B$2:$L$135, 3, FALSE))*Coefficients!$D$2</f>
        <v>#REF!</v>
      </c>
      <c r="E393" t="e">
        <f>(VLOOKUP(Games!#REF!, Data!$B$2:$L$135, 5, FALSE)-VLOOKUP(Games!#REF!, Data!$B$2:$L$135, 5, FALSE))*Coefficients!$E$2</f>
        <v>#REF!</v>
      </c>
      <c r="F393" t="e">
        <f>(VLOOKUP(Games!#REF!, Data!$B$2:$L$135, 6, FALSE)-VLOOKUP(Games!#REF!, Data!$B$2:$L$135, 6, FALSE))*Coefficients!$F$2</f>
        <v>#REF!</v>
      </c>
      <c r="G393" t="e">
        <f>(VLOOKUP(Games!#REF!, Data!$B$2:$L$135, 7, FALSE)-VLOOKUP(Games!#REF!, Data!$B$2:$L$135, 7, FALSE))*Coefficients!$G$2</f>
        <v>#REF!</v>
      </c>
      <c r="H393" t="e">
        <f>(VLOOKUP(Games!#REF!, Data!$B$2:$L$135, 8, FALSE)-VLOOKUP(Games!#REF!, Data!$B$2:$L$135, 8, FALSE))*Coefficients!$H$2</f>
        <v>#REF!</v>
      </c>
      <c r="I393" t="e">
        <f>(VLOOKUP(Games!#REF!, Data!$B$2:$L$135, 9, FALSE)-VLOOKUP(Games!#REF!, Data!$B$2:$L$135, 9, FALSE))*Coefficients!$I$2</f>
        <v>#REF!</v>
      </c>
      <c r="J393" t="e">
        <f>IF(ISBLANK(Data!K393), Games!#REF!-Games!#REF!,VLOOKUP(Games!#REF!, Data!$B$2:$L$135, 10, FALSE)-VLOOKUP(Games!#REF!, Data!$B$2:$L$135, 10, FALSE))*Coefficients!$J$2</f>
        <v>#REF!</v>
      </c>
      <c r="K393" t="e">
        <f>(IF(AND(VLOOKUP(Games!#REF!, Data!$B$2:$L$135, 11, FALSE)=1, VLOOKUP(Games!#REF!, Data!$B$2:$L$135, 11, FALSE)&lt;&gt;1), 1,0))*Coefficients!K$2</f>
        <v>#REF!</v>
      </c>
      <c r="L393" t="e">
        <f>(IF(AND(VLOOKUP(Games!#REF!, Data!$B$2:$L$135, 11, FALSE)&lt;&gt;1, VLOOKUP(Games!#REF!, Data!$B$2:$L$135, 11, FALSE)=1), 1,0))*Coefficients!L$2</f>
        <v>#REF!</v>
      </c>
      <c r="O393" t="e">
        <f t="shared" si="7"/>
        <v>#REF!</v>
      </c>
    </row>
    <row r="394">
      <c r="A394" t="n">
        <f>Coefficients!$A$2</f>
        <v>-3.7765953152866998</v>
      </c>
      <c r="B394" t="e">
        <f>(Games!#REF!)*(-1*Coefficients!$B$2)</f>
        <v>#REF!</v>
      </c>
      <c r="C394" t="e">
        <f>(VLOOKUP(Games!#REF!, Data!$B$2:$L$135, 4, FALSE)-VLOOKUP(Games!#REF!, Data!$B$2:$L$135, 4, FALSE))*Coefficients!$C$2</f>
        <v>#REF!</v>
      </c>
      <c r="D394" t="e">
        <f>(VLOOKUP(Games!#REF!, Data!$B$2:$L$135, 3, FALSE)-VLOOKUP(Games!#REF!, Data!$B$2:$L$135, 3, FALSE))*Coefficients!$D$2</f>
        <v>#REF!</v>
      </c>
      <c r="E394" t="e">
        <f>(VLOOKUP(Games!#REF!, Data!$B$2:$L$135, 5, FALSE)-VLOOKUP(Games!#REF!, Data!$B$2:$L$135, 5, FALSE))*Coefficients!$E$2</f>
        <v>#REF!</v>
      </c>
      <c r="F394" t="e">
        <f>(VLOOKUP(Games!#REF!, Data!$B$2:$L$135, 6, FALSE)-VLOOKUP(Games!#REF!, Data!$B$2:$L$135, 6, FALSE))*Coefficients!$F$2</f>
        <v>#REF!</v>
      </c>
      <c r="G394" t="e">
        <f>(VLOOKUP(Games!#REF!, Data!$B$2:$L$135, 7, FALSE)-VLOOKUP(Games!#REF!, Data!$B$2:$L$135, 7, FALSE))*Coefficients!$G$2</f>
        <v>#REF!</v>
      </c>
      <c r="H394" t="e">
        <f>(VLOOKUP(Games!#REF!, Data!$B$2:$L$135, 8, FALSE)-VLOOKUP(Games!#REF!, Data!$B$2:$L$135, 8, FALSE))*Coefficients!$H$2</f>
        <v>#REF!</v>
      </c>
      <c r="I394" t="e">
        <f>(VLOOKUP(Games!#REF!, Data!$B$2:$L$135, 9, FALSE)-VLOOKUP(Games!#REF!, Data!$B$2:$L$135, 9, FALSE))*Coefficients!$I$2</f>
        <v>#REF!</v>
      </c>
      <c r="J394" t="e">
        <f>IF(ISBLANK(Data!K394), Games!#REF!-Games!#REF!,VLOOKUP(Games!#REF!, Data!$B$2:$L$135, 10, FALSE)-VLOOKUP(Games!#REF!, Data!$B$2:$L$135, 10, FALSE))*Coefficients!$J$2</f>
        <v>#REF!</v>
      </c>
      <c r="K394" t="e">
        <f>(IF(AND(VLOOKUP(Games!#REF!, Data!$B$2:$L$135, 11, FALSE)=1, VLOOKUP(Games!#REF!, Data!$B$2:$L$135, 11, FALSE)&lt;&gt;1), 1,0))*Coefficients!K$2</f>
        <v>#REF!</v>
      </c>
      <c r="L394" t="e">
        <f>(IF(AND(VLOOKUP(Games!#REF!, Data!$B$2:$L$135, 11, FALSE)&lt;&gt;1, VLOOKUP(Games!#REF!, Data!$B$2:$L$135, 11, FALSE)=1), 1,0))*Coefficients!L$2</f>
        <v>#REF!</v>
      </c>
      <c r="O394" t="e">
        <f t="shared" si="7"/>
        <v>#REF!</v>
      </c>
    </row>
    <row r="395">
      <c r="A395" t="n">
        <f>Coefficients!$A$2</f>
        <v>-3.7765953152866998</v>
      </c>
      <c r="B395" t="e">
        <f>(Games!#REF!)*(-1*Coefficients!$B$2)</f>
        <v>#REF!</v>
      </c>
      <c r="C395" t="e">
        <f>(VLOOKUP(Games!#REF!, Data!$B$2:$L$135, 4, FALSE)-VLOOKUP(Games!#REF!, Data!$B$2:$L$135, 4, FALSE))*Coefficients!$C$2</f>
        <v>#REF!</v>
      </c>
      <c r="D395" t="e">
        <f>(VLOOKUP(Games!#REF!, Data!$B$2:$L$135, 3, FALSE)-VLOOKUP(Games!#REF!, Data!$B$2:$L$135, 3, FALSE))*Coefficients!$D$2</f>
        <v>#REF!</v>
      </c>
      <c r="E395" t="e">
        <f>(VLOOKUP(Games!#REF!, Data!$B$2:$L$135, 5, FALSE)-VLOOKUP(Games!#REF!, Data!$B$2:$L$135, 5, FALSE))*Coefficients!$E$2</f>
        <v>#REF!</v>
      </c>
      <c r="F395" t="e">
        <f>(VLOOKUP(Games!#REF!, Data!$B$2:$L$135, 6, FALSE)-VLOOKUP(Games!#REF!, Data!$B$2:$L$135, 6, FALSE))*Coefficients!$F$2</f>
        <v>#REF!</v>
      </c>
      <c r="G395" t="e">
        <f>(VLOOKUP(Games!#REF!, Data!$B$2:$L$135, 7, FALSE)-VLOOKUP(Games!#REF!, Data!$B$2:$L$135, 7, FALSE))*Coefficients!$G$2</f>
        <v>#REF!</v>
      </c>
      <c r="H395" t="e">
        <f>(VLOOKUP(Games!#REF!, Data!$B$2:$L$135, 8, FALSE)-VLOOKUP(Games!#REF!, Data!$B$2:$L$135, 8, FALSE))*Coefficients!$H$2</f>
        <v>#REF!</v>
      </c>
      <c r="I395" t="e">
        <f>(VLOOKUP(Games!#REF!, Data!$B$2:$L$135, 9, FALSE)-VLOOKUP(Games!#REF!, Data!$B$2:$L$135, 9, FALSE))*Coefficients!$I$2</f>
        <v>#REF!</v>
      </c>
      <c r="J395" t="e">
        <f>IF(ISBLANK(Data!K395), Games!#REF!-Games!#REF!,VLOOKUP(Games!#REF!, Data!$B$2:$L$135, 10, FALSE)-VLOOKUP(Games!#REF!, Data!$B$2:$L$135, 10, FALSE))*Coefficients!$J$2</f>
        <v>#REF!</v>
      </c>
      <c r="K395" t="e">
        <f>(IF(AND(VLOOKUP(Games!#REF!, Data!$B$2:$L$135, 11, FALSE)=1, VLOOKUP(Games!#REF!, Data!$B$2:$L$135, 11, FALSE)&lt;&gt;1), 1,0))*Coefficients!K$2</f>
        <v>#REF!</v>
      </c>
      <c r="L395" t="e">
        <f>(IF(AND(VLOOKUP(Games!#REF!, Data!$B$2:$L$135, 11, FALSE)&lt;&gt;1, VLOOKUP(Games!#REF!, Data!$B$2:$L$135, 11, FALSE)=1), 1,0))*Coefficients!L$2</f>
        <v>#REF!</v>
      </c>
      <c r="O395" t="e">
        <f t="shared" si="7"/>
        <v>#REF!</v>
      </c>
    </row>
    <row r="396">
      <c r="A396" t="n">
        <f>Coefficients!$A$2</f>
        <v>-3.7765953152866998</v>
      </c>
      <c r="B396" t="e">
        <f>(Games!#REF!)*(-1*Coefficients!$B$2)</f>
        <v>#REF!</v>
      </c>
      <c r="C396" t="e">
        <f>(VLOOKUP(Games!#REF!, Data!$B$2:$L$135, 4, FALSE)-VLOOKUP(Games!#REF!, Data!$B$2:$L$135, 4, FALSE))*Coefficients!$C$2</f>
        <v>#REF!</v>
      </c>
      <c r="D396" t="e">
        <f>(VLOOKUP(Games!#REF!, Data!$B$2:$L$135, 3, FALSE)-VLOOKUP(Games!#REF!, Data!$B$2:$L$135, 3, FALSE))*Coefficients!$D$2</f>
        <v>#REF!</v>
      </c>
      <c r="E396" t="e">
        <f>(VLOOKUP(Games!#REF!, Data!$B$2:$L$135, 5, FALSE)-VLOOKUP(Games!#REF!, Data!$B$2:$L$135, 5, FALSE))*Coefficients!$E$2</f>
        <v>#REF!</v>
      </c>
      <c r="F396" t="e">
        <f>(VLOOKUP(Games!#REF!, Data!$B$2:$L$135, 6, FALSE)-VLOOKUP(Games!#REF!, Data!$B$2:$L$135, 6, FALSE))*Coefficients!$F$2</f>
        <v>#REF!</v>
      </c>
      <c r="G396" t="e">
        <f>(VLOOKUP(Games!#REF!, Data!$B$2:$L$135, 7, FALSE)-VLOOKUP(Games!#REF!, Data!$B$2:$L$135, 7, FALSE))*Coefficients!$G$2</f>
        <v>#REF!</v>
      </c>
      <c r="H396" t="e">
        <f>(VLOOKUP(Games!#REF!, Data!$B$2:$L$135, 8, FALSE)-VLOOKUP(Games!#REF!, Data!$B$2:$L$135, 8, FALSE))*Coefficients!$H$2</f>
        <v>#REF!</v>
      </c>
      <c r="I396" t="e">
        <f>(VLOOKUP(Games!#REF!, Data!$B$2:$L$135, 9, FALSE)-VLOOKUP(Games!#REF!, Data!$B$2:$L$135, 9, FALSE))*Coefficients!$I$2</f>
        <v>#REF!</v>
      </c>
      <c r="J396" t="e">
        <f>IF(ISBLANK(Data!K396), Games!#REF!-Games!#REF!,VLOOKUP(Games!#REF!, Data!$B$2:$L$135, 10, FALSE)-VLOOKUP(Games!#REF!, Data!$B$2:$L$135, 10, FALSE))*Coefficients!$J$2</f>
        <v>#REF!</v>
      </c>
      <c r="K396" t="e">
        <f>(IF(AND(VLOOKUP(Games!#REF!, Data!$B$2:$L$135, 11, FALSE)=1, VLOOKUP(Games!#REF!, Data!$B$2:$L$135, 11, FALSE)&lt;&gt;1), 1,0))*Coefficients!K$2</f>
        <v>#REF!</v>
      </c>
      <c r="L396" t="e">
        <f>(IF(AND(VLOOKUP(Games!#REF!, Data!$B$2:$L$135, 11, FALSE)&lt;&gt;1, VLOOKUP(Games!#REF!, Data!$B$2:$L$135, 11, FALSE)=1), 1,0))*Coefficients!L$2</f>
        <v>#REF!</v>
      </c>
      <c r="O396" t="e">
        <f t="shared" si="7"/>
        <v>#REF!</v>
      </c>
    </row>
    <row r="397">
      <c r="A397" t="n">
        <f>Coefficients!$A$2</f>
        <v>-3.7765953152866998</v>
      </c>
      <c r="B397" t="e">
        <f>(Games!#REF!)*(-1*Coefficients!$B$2)</f>
        <v>#REF!</v>
      </c>
      <c r="C397" t="e">
        <f>(VLOOKUP(Games!#REF!, Data!$B$2:$L$135, 4, FALSE)-VLOOKUP(Games!#REF!, Data!$B$2:$L$135, 4, FALSE))*Coefficients!$C$2</f>
        <v>#REF!</v>
      </c>
      <c r="D397" t="e">
        <f>(VLOOKUP(Games!#REF!, Data!$B$2:$L$135, 3, FALSE)-VLOOKUP(Games!#REF!, Data!$B$2:$L$135, 3, FALSE))*Coefficients!$D$2</f>
        <v>#REF!</v>
      </c>
      <c r="E397" t="e">
        <f>(VLOOKUP(Games!#REF!, Data!$B$2:$L$135, 5, FALSE)-VLOOKUP(Games!#REF!, Data!$B$2:$L$135, 5, FALSE))*Coefficients!$E$2</f>
        <v>#REF!</v>
      </c>
      <c r="F397" t="e">
        <f>(VLOOKUP(Games!#REF!, Data!$B$2:$L$135, 6, FALSE)-VLOOKUP(Games!#REF!, Data!$B$2:$L$135, 6, FALSE))*Coefficients!$F$2</f>
        <v>#REF!</v>
      </c>
      <c r="G397" t="e">
        <f>(VLOOKUP(Games!#REF!, Data!$B$2:$L$135, 7, FALSE)-VLOOKUP(Games!#REF!, Data!$B$2:$L$135, 7, FALSE))*Coefficients!$G$2</f>
        <v>#REF!</v>
      </c>
      <c r="H397" t="e">
        <f>(VLOOKUP(Games!#REF!, Data!$B$2:$L$135, 8, FALSE)-VLOOKUP(Games!#REF!, Data!$B$2:$L$135, 8, FALSE))*Coefficients!$H$2</f>
        <v>#REF!</v>
      </c>
      <c r="I397" t="e">
        <f>(VLOOKUP(Games!#REF!, Data!$B$2:$L$135, 9, FALSE)-VLOOKUP(Games!#REF!, Data!$B$2:$L$135, 9, FALSE))*Coefficients!$I$2</f>
        <v>#REF!</v>
      </c>
      <c r="J397" t="e">
        <f>IF(ISBLANK(Data!K397), Games!#REF!-Games!#REF!,VLOOKUP(Games!#REF!, Data!$B$2:$L$135, 10, FALSE)-VLOOKUP(Games!#REF!, Data!$B$2:$L$135, 10, FALSE))*Coefficients!$J$2</f>
        <v>#REF!</v>
      </c>
      <c r="K397" t="e">
        <f>(IF(AND(VLOOKUP(Games!#REF!, Data!$B$2:$L$135, 11, FALSE)=1, VLOOKUP(Games!#REF!, Data!$B$2:$L$135, 11, FALSE)&lt;&gt;1), 1,0))*Coefficients!K$2</f>
        <v>#REF!</v>
      </c>
      <c r="L397" t="e">
        <f>(IF(AND(VLOOKUP(Games!#REF!, Data!$B$2:$L$135, 11, FALSE)&lt;&gt;1, VLOOKUP(Games!#REF!, Data!$B$2:$L$135, 11, FALSE)=1), 1,0))*Coefficients!L$2</f>
        <v>#REF!</v>
      </c>
      <c r="O397" t="e">
        <f t="shared" si="7"/>
        <v>#REF!</v>
      </c>
    </row>
    <row r="398">
      <c r="A398" t="n">
        <f>Coefficients!$A$2</f>
        <v>-3.7765953152866998</v>
      </c>
      <c r="B398" t="e">
        <f>(Games!#REF!)*(-1*Coefficients!$B$2)</f>
        <v>#REF!</v>
      </c>
      <c r="C398" t="e">
        <f>(VLOOKUP(Games!#REF!, Data!$B$2:$L$135, 4, FALSE)-VLOOKUP(Games!#REF!, Data!$B$2:$L$135, 4, FALSE))*Coefficients!$C$2</f>
        <v>#REF!</v>
      </c>
      <c r="D398" t="e">
        <f>(VLOOKUP(Games!#REF!, Data!$B$2:$L$135, 3, FALSE)-VLOOKUP(Games!#REF!, Data!$B$2:$L$135, 3, FALSE))*Coefficients!$D$2</f>
        <v>#REF!</v>
      </c>
      <c r="E398" t="e">
        <f>(VLOOKUP(Games!#REF!, Data!$B$2:$L$135, 5, FALSE)-VLOOKUP(Games!#REF!, Data!$B$2:$L$135, 5, FALSE))*Coefficients!$E$2</f>
        <v>#REF!</v>
      </c>
      <c r="F398" t="e">
        <f>(VLOOKUP(Games!#REF!, Data!$B$2:$L$135, 6, FALSE)-VLOOKUP(Games!#REF!, Data!$B$2:$L$135, 6, FALSE))*Coefficients!$F$2</f>
        <v>#REF!</v>
      </c>
      <c r="G398" t="e">
        <f>(VLOOKUP(Games!#REF!, Data!$B$2:$L$135, 7, FALSE)-VLOOKUP(Games!#REF!, Data!$B$2:$L$135, 7, FALSE))*Coefficients!$G$2</f>
        <v>#REF!</v>
      </c>
      <c r="H398" t="e">
        <f>(VLOOKUP(Games!#REF!, Data!$B$2:$L$135, 8, FALSE)-VLOOKUP(Games!#REF!, Data!$B$2:$L$135, 8, FALSE))*Coefficients!$H$2</f>
        <v>#REF!</v>
      </c>
      <c r="I398" t="e">
        <f>(VLOOKUP(Games!#REF!, Data!$B$2:$L$135, 9, FALSE)-VLOOKUP(Games!#REF!, Data!$B$2:$L$135, 9, FALSE))*Coefficients!$I$2</f>
        <v>#REF!</v>
      </c>
      <c r="J398" t="e">
        <f>IF(ISBLANK(Data!K398), Games!#REF!-Games!#REF!,VLOOKUP(Games!#REF!, Data!$B$2:$L$135, 10, FALSE)-VLOOKUP(Games!#REF!, Data!$B$2:$L$135, 10, FALSE))*Coefficients!$J$2</f>
        <v>#REF!</v>
      </c>
      <c r="K398" t="e">
        <f>(IF(AND(VLOOKUP(Games!#REF!, Data!$B$2:$L$135, 11, FALSE)=1, VLOOKUP(Games!#REF!, Data!$B$2:$L$135, 11, FALSE)&lt;&gt;1), 1,0))*Coefficients!K$2</f>
        <v>#REF!</v>
      </c>
      <c r="L398" t="e">
        <f>(IF(AND(VLOOKUP(Games!#REF!, Data!$B$2:$L$135, 11, FALSE)&lt;&gt;1, VLOOKUP(Games!#REF!, Data!$B$2:$L$135, 11, FALSE)=1), 1,0))*Coefficients!L$2</f>
        <v>#REF!</v>
      </c>
      <c r="O398" t="e">
        <f t="shared" si="7"/>
        <v>#REF!</v>
      </c>
    </row>
    <row r="399">
      <c r="A399" t="n">
        <f>Coefficients!$A$2</f>
        <v>-3.7765953152866998</v>
      </c>
      <c r="B399" t="e">
        <f>(Games!#REF!)*(-1*Coefficients!$B$2)</f>
        <v>#REF!</v>
      </c>
      <c r="C399" t="e">
        <f>(VLOOKUP(Games!#REF!, Data!$B$2:$L$135, 4, FALSE)-VLOOKUP(Games!#REF!, Data!$B$2:$L$135, 4, FALSE))*Coefficients!$C$2</f>
        <v>#REF!</v>
      </c>
      <c r="D399" t="e">
        <f>(VLOOKUP(Games!#REF!, Data!$B$2:$L$135, 3, FALSE)-VLOOKUP(Games!#REF!, Data!$B$2:$L$135, 3, FALSE))*Coefficients!$D$2</f>
        <v>#REF!</v>
      </c>
      <c r="E399" t="e">
        <f>(VLOOKUP(Games!#REF!, Data!$B$2:$L$135, 5, FALSE)-VLOOKUP(Games!#REF!, Data!$B$2:$L$135, 5, FALSE))*Coefficients!$E$2</f>
        <v>#REF!</v>
      </c>
      <c r="F399" t="e">
        <f>(VLOOKUP(Games!#REF!, Data!$B$2:$L$135, 6, FALSE)-VLOOKUP(Games!#REF!, Data!$B$2:$L$135, 6, FALSE))*Coefficients!$F$2</f>
        <v>#REF!</v>
      </c>
      <c r="G399" t="e">
        <f>(VLOOKUP(Games!#REF!, Data!$B$2:$L$135, 7, FALSE)-VLOOKUP(Games!#REF!, Data!$B$2:$L$135, 7, FALSE))*Coefficients!$G$2</f>
        <v>#REF!</v>
      </c>
      <c r="H399" t="e">
        <f>(VLOOKUP(Games!#REF!, Data!$B$2:$L$135, 8, FALSE)-VLOOKUP(Games!#REF!, Data!$B$2:$L$135, 8, FALSE))*Coefficients!$H$2</f>
        <v>#REF!</v>
      </c>
      <c r="I399" t="e">
        <f>(VLOOKUP(Games!#REF!, Data!$B$2:$L$135, 9, FALSE)-VLOOKUP(Games!#REF!, Data!$B$2:$L$135, 9, FALSE))*Coefficients!$I$2</f>
        <v>#REF!</v>
      </c>
      <c r="J399" t="e">
        <f>IF(ISBLANK(Data!K399), Games!#REF!-Games!#REF!,VLOOKUP(Games!#REF!, Data!$B$2:$L$135, 10, FALSE)-VLOOKUP(Games!#REF!, Data!$B$2:$L$135, 10, FALSE))*Coefficients!$J$2</f>
        <v>#REF!</v>
      </c>
      <c r="K399" t="e">
        <f>(IF(AND(VLOOKUP(Games!#REF!, Data!$B$2:$L$135, 11, FALSE)=1, VLOOKUP(Games!#REF!, Data!$B$2:$L$135, 11, FALSE)&lt;&gt;1), 1,0))*Coefficients!K$2</f>
        <v>#REF!</v>
      </c>
      <c r="L399" t="e">
        <f>(IF(AND(VLOOKUP(Games!#REF!, Data!$B$2:$L$135, 11, FALSE)&lt;&gt;1, VLOOKUP(Games!#REF!, Data!$B$2:$L$135, 11, FALSE)=1), 1,0))*Coefficients!L$2</f>
        <v>#REF!</v>
      </c>
      <c r="O399" t="e">
        <f t="shared" si="7"/>
        <v>#REF!</v>
      </c>
    </row>
    <row r="400">
      <c r="A400" t="n">
        <f>Coefficients!$A$2</f>
        <v>-3.7765953152866998</v>
      </c>
      <c r="B400" t="e">
        <f>(Games!#REF!)*(-1*Coefficients!$B$2)</f>
        <v>#REF!</v>
      </c>
      <c r="C400" t="e">
        <f>(VLOOKUP(Games!#REF!, Data!$B$2:$L$135, 4, FALSE)-VLOOKUP(Games!#REF!, Data!$B$2:$L$135, 4, FALSE))*Coefficients!$C$2</f>
        <v>#REF!</v>
      </c>
      <c r="D400" t="e">
        <f>(VLOOKUP(Games!#REF!, Data!$B$2:$L$135, 3, FALSE)-VLOOKUP(Games!#REF!, Data!$B$2:$L$135, 3, FALSE))*Coefficients!$D$2</f>
        <v>#REF!</v>
      </c>
      <c r="E400" t="e">
        <f>(VLOOKUP(Games!#REF!, Data!$B$2:$L$135, 5, FALSE)-VLOOKUP(Games!#REF!, Data!$B$2:$L$135, 5, FALSE))*Coefficients!$E$2</f>
        <v>#REF!</v>
      </c>
      <c r="F400" t="e">
        <f>(VLOOKUP(Games!#REF!, Data!$B$2:$L$135, 6, FALSE)-VLOOKUP(Games!#REF!, Data!$B$2:$L$135, 6, FALSE))*Coefficients!$F$2</f>
        <v>#REF!</v>
      </c>
      <c r="G400" t="e">
        <f>(VLOOKUP(Games!#REF!, Data!$B$2:$L$135, 7, FALSE)-VLOOKUP(Games!#REF!, Data!$B$2:$L$135, 7, FALSE))*Coefficients!$G$2</f>
        <v>#REF!</v>
      </c>
      <c r="H400" t="e">
        <f>(VLOOKUP(Games!#REF!, Data!$B$2:$L$135, 8, FALSE)-VLOOKUP(Games!#REF!, Data!$B$2:$L$135, 8, FALSE))*Coefficients!$H$2</f>
        <v>#REF!</v>
      </c>
      <c r="I400" t="e">
        <f>(VLOOKUP(Games!#REF!, Data!$B$2:$L$135, 9, FALSE)-VLOOKUP(Games!#REF!, Data!$B$2:$L$135, 9, FALSE))*Coefficients!$I$2</f>
        <v>#REF!</v>
      </c>
      <c r="J400" t="e">
        <f>IF(ISBLANK(Data!K400), Games!#REF!-Games!#REF!,VLOOKUP(Games!#REF!, Data!$B$2:$L$135, 10, FALSE)-VLOOKUP(Games!#REF!, Data!$B$2:$L$135, 10, FALSE))*Coefficients!$J$2</f>
        <v>#REF!</v>
      </c>
      <c r="K400" t="e">
        <f>(IF(AND(VLOOKUP(Games!#REF!, Data!$B$2:$L$135, 11, FALSE)=1, VLOOKUP(Games!#REF!, Data!$B$2:$L$135, 11, FALSE)&lt;&gt;1), 1,0))*Coefficients!K$2</f>
        <v>#REF!</v>
      </c>
      <c r="L400" t="e">
        <f>(IF(AND(VLOOKUP(Games!#REF!, Data!$B$2:$L$135, 11, FALSE)&lt;&gt;1, VLOOKUP(Games!#REF!, Data!$B$2:$L$135, 11, FALSE)=1), 1,0))*Coefficients!L$2</f>
        <v>#REF!</v>
      </c>
      <c r="O400" t="e">
        <f t="shared" si="7"/>
        <v>#REF!</v>
      </c>
    </row>
    <row r="401">
      <c r="A401" t="n">
        <f>Coefficients!$A$2</f>
        <v>-3.7765953152866998</v>
      </c>
      <c r="B401" t="e">
        <f>(Games!#REF!)*(-1*Coefficients!$B$2)</f>
        <v>#REF!</v>
      </c>
      <c r="C401" t="e">
        <f>(VLOOKUP(Games!#REF!, Data!$B$2:$L$135, 4, FALSE)-VLOOKUP(Games!#REF!, Data!$B$2:$L$135, 4, FALSE))*Coefficients!$C$2</f>
        <v>#REF!</v>
      </c>
      <c r="D401" t="e">
        <f>(VLOOKUP(Games!#REF!, Data!$B$2:$L$135, 3, FALSE)-VLOOKUP(Games!#REF!, Data!$B$2:$L$135, 3, FALSE))*Coefficients!$D$2</f>
        <v>#REF!</v>
      </c>
      <c r="E401" t="e">
        <f>(VLOOKUP(Games!#REF!, Data!$B$2:$L$135, 5, FALSE)-VLOOKUP(Games!#REF!, Data!$B$2:$L$135, 5, FALSE))*Coefficients!$E$2</f>
        <v>#REF!</v>
      </c>
      <c r="F401" t="e">
        <f>(VLOOKUP(Games!#REF!, Data!$B$2:$L$135, 6, FALSE)-VLOOKUP(Games!#REF!, Data!$B$2:$L$135, 6, FALSE))*Coefficients!$F$2</f>
        <v>#REF!</v>
      </c>
      <c r="G401" t="e">
        <f>(VLOOKUP(Games!#REF!, Data!$B$2:$L$135, 7, FALSE)-VLOOKUP(Games!#REF!, Data!$B$2:$L$135, 7, FALSE))*Coefficients!$G$2</f>
        <v>#REF!</v>
      </c>
      <c r="H401" t="e">
        <f>(VLOOKUP(Games!#REF!, Data!$B$2:$L$135, 8, FALSE)-VLOOKUP(Games!#REF!, Data!$B$2:$L$135, 8, FALSE))*Coefficients!$H$2</f>
        <v>#REF!</v>
      </c>
      <c r="I401" t="e">
        <f>(VLOOKUP(Games!#REF!, Data!$B$2:$L$135, 9, FALSE)-VLOOKUP(Games!#REF!, Data!$B$2:$L$135, 9, FALSE))*Coefficients!$I$2</f>
        <v>#REF!</v>
      </c>
      <c r="J401" t="e">
        <f>IF(ISBLANK(Data!K401), Games!#REF!-Games!#REF!,VLOOKUP(Games!#REF!, Data!$B$2:$L$135, 10, FALSE)-VLOOKUP(Games!#REF!, Data!$B$2:$L$135, 10, FALSE))*Coefficients!$J$2</f>
        <v>#REF!</v>
      </c>
      <c r="K401" t="e">
        <f>(IF(AND(VLOOKUP(Games!#REF!, Data!$B$2:$L$135, 11, FALSE)=1, VLOOKUP(Games!#REF!, Data!$B$2:$L$135, 11, FALSE)&lt;&gt;1), 1,0))*Coefficients!K$2</f>
        <v>#REF!</v>
      </c>
      <c r="L401" t="e">
        <f>(IF(AND(VLOOKUP(Games!#REF!, Data!$B$2:$L$135, 11, FALSE)&lt;&gt;1, VLOOKUP(Games!#REF!, Data!$B$2:$L$135, 11, FALSE)=1), 1,0))*Coefficients!L$2</f>
        <v>#REF!</v>
      </c>
      <c r="O401" t="e">
        <f t="shared" si="7"/>
        <v>#REF!</v>
      </c>
    </row>
    <row r="402">
      <c r="A402" t="n">
        <f>Coefficients!$A$2</f>
        <v>-3.7765953152866998</v>
      </c>
      <c r="B402" t="e">
        <f>(Games!#REF!)*(-1*Coefficients!$B$2)</f>
        <v>#REF!</v>
      </c>
      <c r="C402" t="e">
        <f>(VLOOKUP(Games!#REF!, Data!$B$2:$L$135, 4, FALSE)-VLOOKUP(Games!#REF!, Data!$B$2:$L$135, 4, FALSE))*Coefficients!$C$2</f>
        <v>#REF!</v>
      </c>
      <c r="D402" t="e">
        <f>(VLOOKUP(Games!#REF!, Data!$B$2:$L$135, 3, FALSE)-VLOOKUP(Games!#REF!, Data!$B$2:$L$135, 3, FALSE))*Coefficients!$D$2</f>
        <v>#REF!</v>
      </c>
      <c r="E402" t="e">
        <f>(VLOOKUP(Games!#REF!, Data!$B$2:$L$135, 5, FALSE)-VLOOKUP(Games!#REF!, Data!$B$2:$L$135, 5, FALSE))*Coefficients!$E$2</f>
        <v>#REF!</v>
      </c>
      <c r="F402" t="e">
        <f>(VLOOKUP(Games!#REF!, Data!$B$2:$L$135, 6, FALSE)-VLOOKUP(Games!#REF!, Data!$B$2:$L$135, 6, FALSE))*Coefficients!$F$2</f>
        <v>#REF!</v>
      </c>
      <c r="G402" t="e">
        <f>(VLOOKUP(Games!#REF!, Data!$B$2:$L$135, 7, FALSE)-VLOOKUP(Games!#REF!, Data!$B$2:$L$135, 7, FALSE))*Coefficients!$G$2</f>
        <v>#REF!</v>
      </c>
      <c r="H402" t="e">
        <f>(VLOOKUP(Games!#REF!, Data!$B$2:$L$135, 8, FALSE)-VLOOKUP(Games!#REF!, Data!$B$2:$L$135, 8, FALSE))*Coefficients!$H$2</f>
        <v>#REF!</v>
      </c>
      <c r="I402" t="e">
        <f>(VLOOKUP(Games!#REF!, Data!$B$2:$L$135, 9, FALSE)-VLOOKUP(Games!#REF!, Data!$B$2:$L$135, 9, FALSE))*Coefficients!$I$2</f>
        <v>#REF!</v>
      </c>
      <c r="J402" t="e">
        <f>IF(ISBLANK(Data!K402), Games!#REF!-Games!#REF!,VLOOKUP(Games!#REF!, Data!$B$2:$L$135, 10, FALSE)-VLOOKUP(Games!#REF!, Data!$B$2:$L$135, 10, FALSE))*Coefficients!$J$2</f>
        <v>#REF!</v>
      </c>
      <c r="K402" t="e">
        <f>(IF(AND(VLOOKUP(Games!#REF!, Data!$B$2:$L$135, 11, FALSE)=1, VLOOKUP(Games!#REF!, Data!$B$2:$L$135, 11, FALSE)&lt;&gt;1), 1,0))*Coefficients!K$2</f>
        <v>#REF!</v>
      </c>
      <c r="L402" t="e">
        <f>(IF(AND(VLOOKUP(Games!#REF!, Data!$B$2:$L$135, 11, FALSE)&lt;&gt;1, VLOOKUP(Games!#REF!, Data!$B$2:$L$135, 11, FALSE)=1), 1,0))*Coefficients!L$2</f>
        <v>#REF!</v>
      </c>
      <c r="O402" t="e">
        <f t="shared" si="7"/>
        <v>#REF!</v>
      </c>
    </row>
    <row r="403">
      <c r="A403" t="n">
        <f>Coefficients!$A$2</f>
        <v>-3.7765953152866998</v>
      </c>
      <c r="B403" t="e">
        <f>(Games!#REF!)*(-1*Coefficients!$B$2)</f>
        <v>#REF!</v>
      </c>
      <c r="C403" t="e">
        <f>(VLOOKUP(Games!#REF!, Data!$B$2:$L$135, 4, FALSE)-VLOOKUP(Games!#REF!, Data!$B$2:$L$135, 4, FALSE))*Coefficients!$C$2</f>
        <v>#REF!</v>
      </c>
      <c r="D403" t="e">
        <f>(VLOOKUP(Games!#REF!, Data!$B$2:$L$135, 3, FALSE)-VLOOKUP(Games!#REF!, Data!$B$2:$L$135, 3, FALSE))*Coefficients!$D$2</f>
        <v>#REF!</v>
      </c>
      <c r="E403" t="e">
        <f>(VLOOKUP(Games!#REF!, Data!$B$2:$L$135, 5, FALSE)-VLOOKUP(Games!#REF!, Data!$B$2:$L$135, 5, FALSE))*Coefficients!$E$2</f>
        <v>#REF!</v>
      </c>
      <c r="F403" t="e">
        <f>(VLOOKUP(Games!#REF!, Data!$B$2:$L$135, 6, FALSE)-VLOOKUP(Games!#REF!, Data!$B$2:$L$135, 6, FALSE))*Coefficients!$F$2</f>
        <v>#REF!</v>
      </c>
      <c r="G403" t="e">
        <f>(VLOOKUP(Games!#REF!, Data!$B$2:$L$135, 7, FALSE)-VLOOKUP(Games!#REF!, Data!$B$2:$L$135, 7, FALSE))*Coefficients!$G$2</f>
        <v>#REF!</v>
      </c>
      <c r="H403" t="e">
        <f>(VLOOKUP(Games!#REF!, Data!$B$2:$L$135, 8, FALSE)-VLOOKUP(Games!#REF!, Data!$B$2:$L$135, 8, FALSE))*Coefficients!$H$2</f>
        <v>#REF!</v>
      </c>
      <c r="I403" t="e">
        <f>(VLOOKUP(Games!#REF!, Data!$B$2:$L$135, 9, FALSE)-VLOOKUP(Games!#REF!, Data!$B$2:$L$135, 9, FALSE))*Coefficients!$I$2</f>
        <v>#REF!</v>
      </c>
      <c r="J403" t="e">
        <f>IF(ISBLANK(Data!K403), Games!#REF!-Games!#REF!,VLOOKUP(Games!#REF!, Data!$B$2:$L$135, 10, FALSE)-VLOOKUP(Games!#REF!, Data!$B$2:$L$135, 10, FALSE))*Coefficients!$J$2</f>
        <v>#REF!</v>
      </c>
      <c r="K403" t="e">
        <f>(IF(AND(VLOOKUP(Games!#REF!, Data!$B$2:$L$135, 11, FALSE)=1, VLOOKUP(Games!#REF!, Data!$B$2:$L$135, 11, FALSE)&lt;&gt;1), 1,0))*Coefficients!K$2</f>
        <v>#REF!</v>
      </c>
      <c r="L403" t="e">
        <f>(IF(AND(VLOOKUP(Games!#REF!, Data!$B$2:$L$135, 11, FALSE)&lt;&gt;1, VLOOKUP(Games!#REF!, Data!$B$2:$L$135, 11, FALSE)=1), 1,0))*Coefficients!L$2</f>
        <v>#REF!</v>
      </c>
      <c r="O403" t="e">
        <f t="shared" si="7"/>
        <v>#REF!</v>
      </c>
    </row>
    <row r="404">
      <c r="A404" t="n">
        <f>Coefficients!$A$2</f>
        <v>-3.7765953152866998</v>
      </c>
      <c r="B404" t="e">
        <f>(Games!#REF!)*(-1*Coefficients!$B$2)</f>
        <v>#REF!</v>
      </c>
      <c r="C404" t="e">
        <f>(VLOOKUP(Games!#REF!, Data!$B$2:$L$135, 4, FALSE)-VLOOKUP(Games!#REF!, Data!$B$2:$L$135, 4, FALSE))*Coefficients!$C$2</f>
        <v>#REF!</v>
      </c>
      <c r="D404" t="e">
        <f>(VLOOKUP(Games!#REF!, Data!$B$2:$L$135, 3, FALSE)-VLOOKUP(Games!#REF!, Data!$B$2:$L$135, 3, FALSE))*Coefficients!$D$2</f>
        <v>#REF!</v>
      </c>
      <c r="E404" t="e">
        <f>(VLOOKUP(Games!#REF!, Data!$B$2:$L$135, 5, FALSE)-VLOOKUP(Games!#REF!, Data!$B$2:$L$135, 5, FALSE))*Coefficients!$E$2</f>
        <v>#REF!</v>
      </c>
      <c r="F404" t="e">
        <f>(VLOOKUP(Games!#REF!, Data!$B$2:$L$135, 6, FALSE)-VLOOKUP(Games!#REF!, Data!$B$2:$L$135, 6, FALSE))*Coefficients!$F$2</f>
        <v>#REF!</v>
      </c>
      <c r="G404" t="e">
        <f>(VLOOKUP(Games!#REF!, Data!$B$2:$L$135, 7, FALSE)-VLOOKUP(Games!#REF!, Data!$B$2:$L$135, 7, FALSE))*Coefficients!$G$2</f>
        <v>#REF!</v>
      </c>
      <c r="H404" t="e">
        <f>(VLOOKUP(Games!#REF!, Data!$B$2:$L$135, 8, FALSE)-VLOOKUP(Games!#REF!, Data!$B$2:$L$135, 8, FALSE))*Coefficients!$H$2</f>
        <v>#REF!</v>
      </c>
      <c r="I404" t="e">
        <f>(VLOOKUP(Games!#REF!, Data!$B$2:$L$135, 9, FALSE)-VLOOKUP(Games!#REF!, Data!$B$2:$L$135, 9, FALSE))*Coefficients!$I$2</f>
        <v>#REF!</v>
      </c>
      <c r="J404" t="e">
        <f>IF(ISBLANK(Data!K404), Games!#REF!-Games!#REF!,VLOOKUP(Games!#REF!, Data!$B$2:$L$135, 10, FALSE)-VLOOKUP(Games!#REF!, Data!$B$2:$L$135, 10, FALSE))*Coefficients!$J$2</f>
        <v>#REF!</v>
      </c>
      <c r="K404" t="e">
        <f>(IF(AND(VLOOKUP(Games!#REF!, Data!$B$2:$L$135, 11, FALSE)=1, VLOOKUP(Games!#REF!, Data!$B$2:$L$135, 11, FALSE)&lt;&gt;1), 1,0))*Coefficients!K$2</f>
        <v>#REF!</v>
      </c>
      <c r="L404" t="e">
        <f>(IF(AND(VLOOKUP(Games!#REF!, Data!$B$2:$L$135, 11, FALSE)&lt;&gt;1, VLOOKUP(Games!#REF!, Data!$B$2:$L$135, 11, FALSE)=1), 1,0))*Coefficients!L$2</f>
        <v>#REF!</v>
      </c>
      <c r="O404" t="e">
        <f t="shared" si="7"/>
        <v>#REF!</v>
      </c>
    </row>
    <row r="405">
      <c r="A405" t="n">
        <f>Coefficients!$A$2</f>
        <v>-3.7765953152866998</v>
      </c>
      <c r="B405" t="e">
        <f>(Games!#REF!)*(-1*Coefficients!$B$2)</f>
        <v>#REF!</v>
      </c>
      <c r="C405" t="e">
        <f>(VLOOKUP(Games!#REF!, Data!$B$2:$L$135, 4, FALSE)-VLOOKUP(Games!#REF!, Data!$B$2:$L$135, 4, FALSE))*Coefficients!$C$2</f>
        <v>#REF!</v>
      </c>
      <c r="D405" t="e">
        <f>(VLOOKUP(Games!#REF!, Data!$B$2:$L$135, 3, FALSE)-VLOOKUP(Games!#REF!, Data!$B$2:$L$135, 3, FALSE))*Coefficients!$D$2</f>
        <v>#REF!</v>
      </c>
      <c r="E405" t="e">
        <f>(VLOOKUP(Games!#REF!, Data!$B$2:$L$135, 5, FALSE)-VLOOKUP(Games!#REF!, Data!$B$2:$L$135, 5, FALSE))*Coefficients!$E$2</f>
        <v>#REF!</v>
      </c>
      <c r="F405" t="e">
        <f>(VLOOKUP(Games!#REF!, Data!$B$2:$L$135, 6, FALSE)-VLOOKUP(Games!#REF!, Data!$B$2:$L$135, 6, FALSE))*Coefficients!$F$2</f>
        <v>#REF!</v>
      </c>
      <c r="G405" t="e">
        <f>(VLOOKUP(Games!#REF!, Data!$B$2:$L$135, 7, FALSE)-VLOOKUP(Games!#REF!, Data!$B$2:$L$135, 7, FALSE))*Coefficients!$G$2</f>
        <v>#REF!</v>
      </c>
      <c r="H405" t="e">
        <f>(VLOOKUP(Games!#REF!, Data!$B$2:$L$135, 8, FALSE)-VLOOKUP(Games!#REF!, Data!$B$2:$L$135, 8, FALSE))*Coefficients!$H$2</f>
        <v>#REF!</v>
      </c>
      <c r="I405" t="e">
        <f>(VLOOKUP(Games!#REF!, Data!$B$2:$L$135, 9, FALSE)-VLOOKUP(Games!#REF!, Data!$B$2:$L$135, 9, FALSE))*Coefficients!$I$2</f>
        <v>#REF!</v>
      </c>
      <c r="J405" t="e">
        <f>IF(ISBLANK(Data!K405), Games!#REF!-Games!#REF!,VLOOKUP(Games!#REF!, Data!$B$2:$L$135, 10, FALSE)-VLOOKUP(Games!#REF!, Data!$B$2:$L$135, 10, FALSE))*Coefficients!$J$2</f>
        <v>#REF!</v>
      </c>
      <c r="K405" t="e">
        <f>(IF(AND(VLOOKUP(Games!#REF!, Data!$B$2:$L$135, 11, FALSE)=1, VLOOKUP(Games!#REF!, Data!$B$2:$L$135, 11, FALSE)&lt;&gt;1), 1,0))*Coefficients!K$2</f>
        <v>#REF!</v>
      </c>
      <c r="L405" t="e">
        <f>(IF(AND(VLOOKUP(Games!#REF!, Data!$B$2:$L$135, 11, FALSE)&lt;&gt;1, VLOOKUP(Games!#REF!, Data!$B$2:$L$135, 11, FALSE)=1), 1,0))*Coefficients!L$2</f>
        <v>#REF!</v>
      </c>
      <c r="O405" t="e">
        <f t="shared" si="7"/>
        <v>#REF!</v>
      </c>
    </row>
    <row r="406">
      <c r="A406" t="n">
        <f>Coefficients!$A$2</f>
        <v>-3.7765953152866998</v>
      </c>
      <c r="B406" t="e">
        <f>(Games!#REF!)*(-1*Coefficients!$B$2)</f>
        <v>#REF!</v>
      </c>
      <c r="C406" t="e">
        <f>(VLOOKUP(Games!#REF!, Data!$B$2:$L$135, 4, FALSE)-VLOOKUP(Games!#REF!, Data!$B$2:$L$135, 4, FALSE))*Coefficients!$C$2</f>
        <v>#REF!</v>
      </c>
      <c r="D406" t="e">
        <f>(VLOOKUP(Games!#REF!, Data!$B$2:$L$135, 3, FALSE)-VLOOKUP(Games!#REF!, Data!$B$2:$L$135, 3, FALSE))*Coefficients!$D$2</f>
        <v>#REF!</v>
      </c>
      <c r="E406" t="e">
        <f>(VLOOKUP(Games!#REF!, Data!$B$2:$L$135, 5, FALSE)-VLOOKUP(Games!#REF!, Data!$B$2:$L$135, 5, FALSE))*Coefficients!$E$2</f>
        <v>#REF!</v>
      </c>
      <c r="F406" t="e">
        <f>(VLOOKUP(Games!#REF!, Data!$B$2:$L$135, 6, FALSE)-VLOOKUP(Games!#REF!, Data!$B$2:$L$135, 6, FALSE))*Coefficients!$F$2</f>
        <v>#REF!</v>
      </c>
      <c r="G406" t="e">
        <f>(VLOOKUP(Games!#REF!, Data!$B$2:$L$135, 7, FALSE)-VLOOKUP(Games!#REF!, Data!$B$2:$L$135, 7, FALSE))*Coefficients!$G$2</f>
        <v>#REF!</v>
      </c>
      <c r="H406" t="e">
        <f>(VLOOKUP(Games!#REF!, Data!$B$2:$L$135, 8, FALSE)-VLOOKUP(Games!#REF!, Data!$B$2:$L$135, 8, FALSE))*Coefficients!$H$2</f>
        <v>#REF!</v>
      </c>
      <c r="I406" t="e">
        <f>(VLOOKUP(Games!#REF!, Data!$B$2:$L$135, 9, FALSE)-VLOOKUP(Games!#REF!, Data!$B$2:$L$135, 9, FALSE))*Coefficients!$I$2</f>
        <v>#REF!</v>
      </c>
      <c r="J406" t="e">
        <f>IF(ISBLANK(Data!K406), Games!#REF!-Games!#REF!,VLOOKUP(Games!#REF!, Data!$B$2:$L$135, 10, FALSE)-VLOOKUP(Games!#REF!, Data!$B$2:$L$135, 10, FALSE))*Coefficients!$J$2</f>
        <v>#REF!</v>
      </c>
      <c r="K406" t="e">
        <f>(IF(AND(VLOOKUP(Games!#REF!, Data!$B$2:$L$135, 11, FALSE)=1, VLOOKUP(Games!#REF!, Data!$B$2:$L$135, 11, FALSE)&lt;&gt;1), 1,0))*Coefficients!K$2</f>
        <v>#REF!</v>
      </c>
      <c r="L406" t="e">
        <f>(IF(AND(VLOOKUP(Games!#REF!, Data!$B$2:$L$135, 11, FALSE)&lt;&gt;1, VLOOKUP(Games!#REF!, Data!$B$2:$L$135, 11, FALSE)=1), 1,0))*Coefficients!L$2</f>
        <v>#REF!</v>
      </c>
      <c r="O406" t="e">
        <f t="shared" si="7"/>
        <v>#REF!</v>
      </c>
    </row>
    <row r="407">
      <c r="A407" t="n">
        <f>Coefficients!$A$2</f>
        <v>-3.7765953152866998</v>
      </c>
      <c r="B407" t="e">
        <f>(Games!#REF!)*(-1*Coefficients!$B$2)</f>
        <v>#REF!</v>
      </c>
      <c r="C407" t="e">
        <f>(VLOOKUP(Games!#REF!, Data!$B$2:$L$135, 4, FALSE)-VLOOKUP(Games!#REF!, Data!$B$2:$L$135, 4, FALSE))*Coefficients!$C$2</f>
        <v>#REF!</v>
      </c>
      <c r="D407" t="e">
        <f>(VLOOKUP(Games!#REF!, Data!$B$2:$L$135, 3, FALSE)-VLOOKUP(Games!#REF!, Data!$B$2:$L$135, 3, FALSE))*Coefficients!$D$2</f>
        <v>#REF!</v>
      </c>
      <c r="E407" t="e">
        <f>(VLOOKUP(Games!#REF!, Data!$B$2:$L$135, 5, FALSE)-VLOOKUP(Games!#REF!, Data!$B$2:$L$135, 5, FALSE))*Coefficients!$E$2</f>
        <v>#REF!</v>
      </c>
      <c r="F407" t="e">
        <f>(VLOOKUP(Games!#REF!, Data!$B$2:$L$135, 6, FALSE)-VLOOKUP(Games!#REF!, Data!$B$2:$L$135, 6, FALSE))*Coefficients!$F$2</f>
        <v>#REF!</v>
      </c>
      <c r="G407" t="e">
        <f>(VLOOKUP(Games!#REF!, Data!$B$2:$L$135, 7, FALSE)-VLOOKUP(Games!#REF!, Data!$B$2:$L$135, 7, FALSE))*Coefficients!$G$2</f>
        <v>#REF!</v>
      </c>
      <c r="H407" t="e">
        <f>(VLOOKUP(Games!#REF!, Data!$B$2:$L$135, 8, FALSE)-VLOOKUP(Games!#REF!, Data!$B$2:$L$135, 8, FALSE))*Coefficients!$H$2</f>
        <v>#REF!</v>
      </c>
      <c r="I407" t="e">
        <f>(VLOOKUP(Games!#REF!, Data!$B$2:$L$135, 9, FALSE)-VLOOKUP(Games!#REF!, Data!$B$2:$L$135, 9, FALSE))*Coefficients!$I$2</f>
        <v>#REF!</v>
      </c>
      <c r="J407" t="e">
        <f>IF(ISBLANK(Data!K407), Games!#REF!-Games!#REF!,VLOOKUP(Games!#REF!, Data!$B$2:$L$135, 10, FALSE)-VLOOKUP(Games!#REF!, Data!$B$2:$L$135, 10, FALSE))*Coefficients!$J$2</f>
        <v>#REF!</v>
      </c>
      <c r="K407" t="e">
        <f>(IF(AND(VLOOKUP(Games!#REF!, Data!$B$2:$L$135, 11, FALSE)=1, VLOOKUP(Games!#REF!, Data!$B$2:$L$135, 11, FALSE)&lt;&gt;1), 1,0))*Coefficients!K$2</f>
        <v>#REF!</v>
      </c>
      <c r="L407" t="e">
        <f>(IF(AND(VLOOKUP(Games!#REF!, Data!$B$2:$L$135, 11, FALSE)&lt;&gt;1, VLOOKUP(Games!#REF!, Data!$B$2:$L$135, 11, FALSE)=1), 1,0))*Coefficients!L$2</f>
        <v>#REF!</v>
      </c>
      <c r="O407" t="e">
        <f t="shared" si="7"/>
        <v>#REF!</v>
      </c>
    </row>
    <row r="408">
      <c r="A408" t="n">
        <f>Coefficients!$A$2</f>
        <v>-3.7765953152866998</v>
      </c>
      <c r="B408" t="e">
        <f>(Games!#REF!)*(-1*Coefficients!$B$2)</f>
        <v>#REF!</v>
      </c>
      <c r="C408" t="e">
        <f>(VLOOKUP(Games!#REF!, Data!$B$2:$L$135, 4, FALSE)-VLOOKUP(Games!#REF!, Data!$B$2:$L$135, 4, FALSE))*Coefficients!$C$2</f>
        <v>#REF!</v>
      </c>
      <c r="D408" t="e">
        <f>(VLOOKUP(Games!#REF!, Data!$B$2:$L$135, 3, FALSE)-VLOOKUP(Games!#REF!, Data!$B$2:$L$135, 3, FALSE))*Coefficients!$D$2</f>
        <v>#REF!</v>
      </c>
      <c r="E408" t="e">
        <f>(VLOOKUP(Games!#REF!, Data!$B$2:$L$135, 5, FALSE)-VLOOKUP(Games!#REF!, Data!$B$2:$L$135, 5, FALSE))*Coefficients!$E$2</f>
        <v>#REF!</v>
      </c>
      <c r="F408" t="e">
        <f>(VLOOKUP(Games!#REF!, Data!$B$2:$L$135, 6, FALSE)-VLOOKUP(Games!#REF!, Data!$B$2:$L$135, 6, FALSE))*Coefficients!$F$2</f>
        <v>#REF!</v>
      </c>
      <c r="G408" t="e">
        <f>(VLOOKUP(Games!#REF!, Data!$B$2:$L$135, 7, FALSE)-VLOOKUP(Games!#REF!, Data!$B$2:$L$135, 7, FALSE))*Coefficients!$G$2</f>
        <v>#REF!</v>
      </c>
      <c r="H408" t="e">
        <f>(VLOOKUP(Games!#REF!, Data!$B$2:$L$135, 8, FALSE)-VLOOKUP(Games!#REF!, Data!$B$2:$L$135, 8, FALSE))*Coefficients!$H$2</f>
        <v>#REF!</v>
      </c>
      <c r="I408" t="e">
        <f>(VLOOKUP(Games!#REF!, Data!$B$2:$L$135, 9, FALSE)-VLOOKUP(Games!#REF!, Data!$B$2:$L$135, 9, FALSE))*Coefficients!$I$2</f>
        <v>#REF!</v>
      </c>
      <c r="J408" t="e">
        <f>IF(ISBLANK(Data!K408), Games!#REF!-Games!#REF!,VLOOKUP(Games!#REF!, Data!$B$2:$L$135, 10, FALSE)-VLOOKUP(Games!#REF!, Data!$B$2:$L$135, 10, FALSE))*Coefficients!$J$2</f>
        <v>#REF!</v>
      </c>
      <c r="K408" t="e">
        <f>(IF(AND(VLOOKUP(Games!#REF!, Data!$B$2:$L$135, 11, FALSE)=1, VLOOKUP(Games!#REF!, Data!$B$2:$L$135, 11, FALSE)&lt;&gt;1), 1,0))*Coefficients!K$2</f>
        <v>#REF!</v>
      </c>
      <c r="L408" t="e">
        <f>(IF(AND(VLOOKUP(Games!#REF!, Data!$B$2:$L$135, 11, FALSE)&lt;&gt;1, VLOOKUP(Games!#REF!, Data!$B$2:$L$135, 11, FALSE)=1), 1,0))*Coefficients!L$2</f>
        <v>#REF!</v>
      </c>
      <c r="O408" t="e">
        <f t="shared" si="7"/>
        <v>#REF!</v>
      </c>
    </row>
    <row r="409">
      <c r="A409" t="n">
        <f>Coefficients!$A$2</f>
        <v>-3.7765953152866998</v>
      </c>
      <c r="B409" t="e">
        <f>(Games!#REF!)*(-1*Coefficients!$B$2)</f>
        <v>#REF!</v>
      </c>
      <c r="C409" t="e">
        <f>(VLOOKUP(Games!#REF!, Data!$B$2:$L$135, 4, FALSE)-VLOOKUP(Games!#REF!, Data!$B$2:$L$135, 4, FALSE))*Coefficients!$C$2</f>
        <v>#REF!</v>
      </c>
      <c r="D409" t="e">
        <f>(VLOOKUP(Games!#REF!, Data!$B$2:$L$135, 3, FALSE)-VLOOKUP(Games!#REF!, Data!$B$2:$L$135, 3, FALSE))*Coefficients!$D$2</f>
        <v>#REF!</v>
      </c>
      <c r="E409" t="e">
        <f>(VLOOKUP(Games!#REF!, Data!$B$2:$L$135, 5, FALSE)-VLOOKUP(Games!#REF!, Data!$B$2:$L$135, 5, FALSE))*Coefficients!$E$2</f>
        <v>#REF!</v>
      </c>
      <c r="F409" t="e">
        <f>(VLOOKUP(Games!#REF!, Data!$B$2:$L$135, 6, FALSE)-VLOOKUP(Games!#REF!, Data!$B$2:$L$135, 6, FALSE))*Coefficients!$F$2</f>
        <v>#REF!</v>
      </c>
      <c r="G409" t="e">
        <f>(VLOOKUP(Games!#REF!, Data!$B$2:$L$135, 7, FALSE)-VLOOKUP(Games!#REF!, Data!$B$2:$L$135, 7, FALSE))*Coefficients!$G$2</f>
        <v>#REF!</v>
      </c>
      <c r="H409" t="e">
        <f>(VLOOKUP(Games!#REF!, Data!$B$2:$L$135, 8, FALSE)-VLOOKUP(Games!#REF!, Data!$B$2:$L$135, 8, FALSE))*Coefficients!$H$2</f>
        <v>#REF!</v>
      </c>
      <c r="I409" t="e">
        <f>(VLOOKUP(Games!#REF!, Data!$B$2:$L$135, 9, FALSE)-VLOOKUP(Games!#REF!, Data!$B$2:$L$135, 9, FALSE))*Coefficients!$I$2</f>
        <v>#REF!</v>
      </c>
      <c r="J409" t="e">
        <f>IF(ISBLANK(Data!K409), Games!#REF!-Games!#REF!,VLOOKUP(Games!#REF!, Data!$B$2:$L$135, 10, FALSE)-VLOOKUP(Games!#REF!, Data!$B$2:$L$135, 10, FALSE))*Coefficients!$J$2</f>
        <v>#REF!</v>
      </c>
      <c r="K409" t="e">
        <f>(IF(AND(VLOOKUP(Games!#REF!, Data!$B$2:$L$135, 11, FALSE)=1, VLOOKUP(Games!#REF!, Data!$B$2:$L$135, 11, FALSE)&lt;&gt;1), 1,0))*Coefficients!K$2</f>
        <v>#REF!</v>
      </c>
      <c r="L409" t="e">
        <f>(IF(AND(VLOOKUP(Games!#REF!, Data!$B$2:$L$135, 11, FALSE)&lt;&gt;1, VLOOKUP(Games!#REF!, Data!$B$2:$L$135, 11, FALSE)=1), 1,0))*Coefficients!L$2</f>
        <v>#REF!</v>
      </c>
      <c r="O409" t="e">
        <f t="shared" si="7"/>
        <v>#REF!</v>
      </c>
    </row>
    <row r="410">
      <c r="A410" t="n">
        <f>Coefficients!$A$2</f>
        <v>-3.7765953152866998</v>
      </c>
      <c r="B410" t="e">
        <f>(Games!#REF!)*(-1*Coefficients!$B$2)</f>
        <v>#REF!</v>
      </c>
      <c r="C410" t="e">
        <f>(VLOOKUP(Games!#REF!, Data!$B$2:$L$135, 4, FALSE)-VLOOKUP(Games!#REF!, Data!$B$2:$L$135, 4, FALSE))*Coefficients!$C$2</f>
        <v>#REF!</v>
      </c>
      <c r="D410" t="e">
        <f>(VLOOKUP(Games!#REF!, Data!$B$2:$L$135, 3, FALSE)-VLOOKUP(Games!#REF!, Data!$B$2:$L$135, 3, FALSE))*Coefficients!$D$2</f>
        <v>#REF!</v>
      </c>
      <c r="E410" t="e">
        <f>(VLOOKUP(Games!#REF!, Data!$B$2:$L$135, 5, FALSE)-VLOOKUP(Games!#REF!, Data!$B$2:$L$135, 5, FALSE))*Coefficients!$E$2</f>
        <v>#REF!</v>
      </c>
      <c r="F410" t="e">
        <f>(VLOOKUP(Games!#REF!, Data!$B$2:$L$135, 6, FALSE)-VLOOKUP(Games!#REF!, Data!$B$2:$L$135, 6, FALSE))*Coefficients!$F$2</f>
        <v>#REF!</v>
      </c>
      <c r="G410" t="e">
        <f>(VLOOKUP(Games!#REF!, Data!$B$2:$L$135, 7, FALSE)-VLOOKUP(Games!#REF!, Data!$B$2:$L$135, 7, FALSE))*Coefficients!$G$2</f>
        <v>#REF!</v>
      </c>
      <c r="H410" t="e">
        <f>(VLOOKUP(Games!#REF!, Data!$B$2:$L$135, 8, FALSE)-VLOOKUP(Games!#REF!, Data!$B$2:$L$135, 8, FALSE))*Coefficients!$H$2</f>
        <v>#REF!</v>
      </c>
      <c r="I410" t="e">
        <f>(VLOOKUP(Games!#REF!, Data!$B$2:$L$135, 9, FALSE)-VLOOKUP(Games!#REF!, Data!$B$2:$L$135, 9, FALSE))*Coefficients!$I$2</f>
        <v>#REF!</v>
      </c>
      <c r="J410" t="e">
        <f>IF(ISBLANK(Data!K410), Games!#REF!-Games!#REF!,VLOOKUP(Games!#REF!, Data!$B$2:$L$135, 10, FALSE)-VLOOKUP(Games!#REF!, Data!$B$2:$L$135, 10, FALSE))*Coefficients!$J$2</f>
        <v>#REF!</v>
      </c>
      <c r="K410" t="e">
        <f>(IF(AND(VLOOKUP(Games!#REF!, Data!$B$2:$L$135, 11, FALSE)=1, VLOOKUP(Games!#REF!, Data!$B$2:$L$135, 11, FALSE)&lt;&gt;1), 1,0))*Coefficients!K$2</f>
        <v>#REF!</v>
      </c>
      <c r="L410" t="e">
        <f>(IF(AND(VLOOKUP(Games!#REF!, Data!$B$2:$L$135, 11, FALSE)&lt;&gt;1, VLOOKUP(Games!#REF!, Data!$B$2:$L$135, 11, FALSE)=1), 1,0))*Coefficients!L$2</f>
        <v>#REF!</v>
      </c>
      <c r="O410" t="e">
        <f t="shared" si="7"/>
        <v>#REF!</v>
      </c>
    </row>
    <row r="411">
      <c r="A411" t="n">
        <f>Coefficients!$A$2</f>
        <v>-3.7765953152866998</v>
      </c>
      <c r="B411" t="e">
        <f>(Games!#REF!)*(-1*Coefficients!$B$2)</f>
        <v>#REF!</v>
      </c>
      <c r="C411" t="e">
        <f>(VLOOKUP(Games!#REF!, Data!$B$2:$L$135, 4, FALSE)-VLOOKUP(Games!#REF!, Data!$B$2:$L$135, 4, FALSE))*Coefficients!$C$2</f>
        <v>#REF!</v>
      </c>
      <c r="D411" t="e">
        <f>(VLOOKUP(Games!#REF!, Data!$B$2:$L$135, 3, FALSE)-VLOOKUP(Games!#REF!, Data!$B$2:$L$135, 3, FALSE))*Coefficients!$D$2</f>
        <v>#REF!</v>
      </c>
      <c r="E411" t="e">
        <f>(VLOOKUP(Games!#REF!, Data!$B$2:$L$135, 5, FALSE)-VLOOKUP(Games!#REF!, Data!$B$2:$L$135, 5, FALSE))*Coefficients!$E$2</f>
        <v>#REF!</v>
      </c>
      <c r="F411" t="e">
        <f>(VLOOKUP(Games!#REF!, Data!$B$2:$L$135, 6, FALSE)-VLOOKUP(Games!#REF!, Data!$B$2:$L$135, 6, FALSE))*Coefficients!$F$2</f>
        <v>#REF!</v>
      </c>
      <c r="G411" t="e">
        <f>(VLOOKUP(Games!#REF!, Data!$B$2:$L$135, 7, FALSE)-VLOOKUP(Games!#REF!, Data!$B$2:$L$135, 7, FALSE))*Coefficients!$G$2</f>
        <v>#REF!</v>
      </c>
      <c r="H411" t="e">
        <f>(VLOOKUP(Games!#REF!, Data!$B$2:$L$135, 8, FALSE)-VLOOKUP(Games!#REF!, Data!$B$2:$L$135, 8, FALSE))*Coefficients!$H$2</f>
        <v>#REF!</v>
      </c>
      <c r="I411" t="e">
        <f>(VLOOKUP(Games!#REF!, Data!$B$2:$L$135, 9, FALSE)-VLOOKUP(Games!#REF!, Data!$B$2:$L$135, 9, FALSE))*Coefficients!$I$2</f>
        <v>#REF!</v>
      </c>
      <c r="J411" t="e">
        <f>IF(ISBLANK(Data!K411), Games!#REF!-Games!#REF!,VLOOKUP(Games!#REF!, Data!$B$2:$L$135, 10, FALSE)-VLOOKUP(Games!#REF!, Data!$B$2:$L$135, 10, FALSE))*Coefficients!$J$2</f>
        <v>#REF!</v>
      </c>
      <c r="K411" t="e">
        <f>(IF(AND(VLOOKUP(Games!#REF!, Data!$B$2:$L$135, 11, FALSE)=1, VLOOKUP(Games!#REF!, Data!$B$2:$L$135, 11, FALSE)&lt;&gt;1), 1,0))*Coefficients!K$2</f>
        <v>#REF!</v>
      </c>
      <c r="L411" t="e">
        <f>(IF(AND(VLOOKUP(Games!#REF!, Data!$B$2:$L$135, 11, FALSE)&lt;&gt;1, VLOOKUP(Games!#REF!, Data!$B$2:$L$135, 11, FALSE)=1), 1,0))*Coefficients!L$2</f>
        <v>#REF!</v>
      </c>
      <c r="O411" t="e">
        <f t="shared" si="7"/>
        <v>#REF!</v>
      </c>
    </row>
    <row r="412">
      <c r="A412" t="n">
        <f>Coefficients!$A$2</f>
        <v>-3.7765953152866998</v>
      </c>
      <c r="B412" t="e">
        <f>(Games!#REF!)*(-1*Coefficients!$B$2)</f>
        <v>#REF!</v>
      </c>
      <c r="C412" t="e">
        <f>(VLOOKUP(Games!#REF!, Data!$B$2:$L$135, 4, FALSE)-VLOOKUP(Games!#REF!, Data!$B$2:$L$135, 4, FALSE))*Coefficients!$C$2</f>
        <v>#REF!</v>
      </c>
      <c r="D412" t="e">
        <f>(VLOOKUP(Games!#REF!, Data!$B$2:$L$135, 3, FALSE)-VLOOKUP(Games!#REF!, Data!$B$2:$L$135, 3, FALSE))*Coefficients!$D$2</f>
        <v>#REF!</v>
      </c>
      <c r="E412" t="e">
        <f>(VLOOKUP(Games!#REF!, Data!$B$2:$L$135, 5, FALSE)-VLOOKUP(Games!#REF!, Data!$B$2:$L$135, 5, FALSE))*Coefficients!$E$2</f>
        <v>#REF!</v>
      </c>
      <c r="F412" t="e">
        <f>(VLOOKUP(Games!#REF!, Data!$B$2:$L$135, 6, FALSE)-VLOOKUP(Games!#REF!, Data!$B$2:$L$135, 6, FALSE))*Coefficients!$F$2</f>
        <v>#REF!</v>
      </c>
      <c r="G412" t="e">
        <f>(VLOOKUP(Games!#REF!, Data!$B$2:$L$135, 7, FALSE)-VLOOKUP(Games!#REF!, Data!$B$2:$L$135, 7, FALSE))*Coefficients!$G$2</f>
        <v>#REF!</v>
      </c>
      <c r="H412" t="e">
        <f>(VLOOKUP(Games!#REF!, Data!$B$2:$L$135, 8, FALSE)-VLOOKUP(Games!#REF!, Data!$B$2:$L$135, 8, FALSE))*Coefficients!$H$2</f>
        <v>#REF!</v>
      </c>
      <c r="I412" t="e">
        <f>(VLOOKUP(Games!#REF!, Data!$B$2:$L$135, 9, FALSE)-VLOOKUP(Games!#REF!, Data!$B$2:$L$135, 9, FALSE))*Coefficients!$I$2</f>
        <v>#REF!</v>
      </c>
      <c r="J412" t="e">
        <f>IF(ISBLANK(Data!K412), Games!#REF!-Games!#REF!,VLOOKUP(Games!#REF!, Data!$B$2:$L$135, 10, FALSE)-VLOOKUP(Games!#REF!, Data!$B$2:$L$135, 10, FALSE))*Coefficients!$J$2</f>
        <v>#REF!</v>
      </c>
      <c r="K412" t="e">
        <f>(IF(AND(VLOOKUP(Games!#REF!, Data!$B$2:$L$135, 11, FALSE)=1, VLOOKUP(Games!#REF!, Data!$B$2:$L$135, 11, FALSE)&lt;&gt;1), 1,0))*Coefficients!K$2</f>
        <v>#REF!</v>
      </c>
      <c r="L412" t="e">
        <f>(IF(AND(VLOOKUP(Games!#REF!, Data!$B$2:$L$135, 11, FALSE)&lt;&gt;1, VLOOKUP(Games!#REF!, Data!$B$2:$L$135, 11, FALSE)=1), 1,0))*Coefficients!L$2</f>
        <v>#REF!</v>
      </c>
      <c r="O412" t="e">
        <f t="shared" si="7"/>
        <v>#REF!</v>
      </c>
    </row>
    <row r="413">
      <c r="A413" t="n">
        <f>Coefficients!$A$2</f>
        <v>-3.7765953152866998</v>
      </c>
      <c r="B413" t="e">
        <f>(Games!#REF!)*(-1*Coefficients!$B$2)</f>
        <v>#REF!</v>
      </c>
      <c r="C413" t="e">
        <f>(VLOOKUP(Games!#REF!, Data!$B$2:$L$135, 4, FALSE)-VLOOKUP(Games!#REF!, Data!$B$2:$L$135, 4, FALSE))*Coefficients!$C$2</f>
        <v>#REF!</v>
      </c>
      <c r="D413" t="e">
        <f>(VLOOKUP(Games!#REF!, Data!$B$2:$L$135, 3, FALSE)-VLOOKUP(Games!#REF!, Data!$B$2:$L$135, 3, FALSE))*Coefficients!$D$2</f>
        <v>#REF!</v>
      </c>
      <c r="E413" t="e">
        <f>(VLOOKUP(Games!#REF!, Data!$B$2:$L$135, 5, FALSE)-VLOOKUP(Games!#REF!, Data!$B$2:$L$135, 5, FALSE))*Coefficients!$E$2</f>
        <v>#REF!</v>
      </c>
      <c r="F413" t="e">
        <f>(VLOOKUP(Games!#REF!, Data!$B$2:$L$135, 6, FALSE)-VLOOKUP(Games!#REF!, Data!$B$2:$L$135, 6, FALSE))*Coefficients!$F$2</f>
        <v>#REF!</v>
      </c>
      <c r="G413" t="e">
        <f>(VLOOKUP(Games!#REF!, Data!$B$2:$L$135, 7, FALSE)-VLOOKUP(Games!#REF!, Data!$B$2:$L$135, 7, FALSE))*Coefficients!$G$2</f>
        <v>#REF!</v>
      </c>
      <c r="H413" t="e">
        <f>(VLOOKUP(Games!#REF!, Data!$B$2:$L$135, 8, FALSE)-VLOOKUP(Games!#REF!, Data!$B$2:$L$135, 8, FALSE))*Coefficients!$H$2</f>
        <v>#REF!</v>
      </c>
      <c r="I413" t="e">
        <f>(VLOOKUP(Games!#REF!, Data!$B$2:$L$135, 9, FALSE)-VLOOKUP(Games!#REF!, Data!$B$2:$L$135, 9, FALSE))*Coefficients!$I$2</f>
        <v>#REF!</v>
      </c>
      <c r="J413" t="e">
        <f>IF(ISBLANK(Data!K413), Games!#REF!-Games!#REF!,VLOOKUP(Games!#REF!, Data!$B$2:$L$135, 10, FALSE)-VLOOKUP(Games!#REF!, Data!$B$2:$L$135, 10, FALSE))*Coefficients!$J$2</f>
        <v>#REF!</v>
      </c>
      <c r="K413" t="e">
        <f>(IF(AND(VLOOKUP(Games!#REF!, Data!$B$2:$L$135, 11, FALSE)=1, VLOOKUP(Games!#REF!, Data!$B$2:$L$135, 11, FALSE)&lt;&gt;1), 1,0))*Coefficients!K$2</f>
        <v>#REF!</v>
      </c>
      <c r="L413" t="e">
        <f>(IF(AND(VLOOKUP(Games!#REF!, Data!$B$2:$L$135, 11, FALSE)&lt;&gt;1, VLOOKUP(Games!#REF!, Data!$B$2:$L$135, 11, FALSE)=1), 1,0))*Coefficients!L$2</f>
        <v>#REF!</v>
      </c>
      <c r="O413" t="e">
        <f t="shared" si="7"/>
        <v>#REF!</v>
      </c>
    </row>
    <row r="414">
      <c r="A414" t="n">
        <f>Coefficients!$A$2</f>
        <v>-3.7765953152866998</v>
      </c>
      <c r="B414" t="e">
        <f>(Games!#REF!)*(-1*Coefficients!$B$2)</f>
        <v>#REF!</v>
      </c>
      <c r="C414" t="e">
        <f>(VLOOKUP(Games!#REF!, Data!$B$2:$L$135, 4, FALSE)-VLOOKUP(Games!#REF!, Data!$B$2:$L$135, 4, FALSE))*Coefficients!$C$2</f>
        <v>#REF!</v>
      </c>
      <c r="D414" t="e">
        <f>(VLOOKUP(Games!#REF!, Data!$B$2:$L$135, 3, FALSE)-VLOOKUP(Games!#REF!, Data!$B$2:$L$135, 3, FALSE))*Coefficients!$D$2</f>
        <v>#REF!</v>
      </c>
      <c r="E414" t="e">
        <f>(VLOOKUP(Games!#REF!, Data!$B$2:$L$135, 5, FALSE)-VLOOKUP(Games!#REF!, Data!$B$2:$L$135, 5, FALSE))*Coefficients!$E$2</f>
        <v>#REF!</v>
      </c>
      <c r="F414" t="e">
        <f>(VLOOKUP(Games!#REF!, Data!$B$2:$L$135, 6, FALSE)-VLOOKUP(Games!#REF!, Data!$B$2:$L$135, 6, FALSE))*Coefficients!$F$2</f>
        <v>#REF!</v>
      </c>
      <c r="G414" t="e">
        <f>(VLOOKUP(Games!#REF!, Data!$B$2:$L$135, 7, FALSE)-VLOOKUP(Games!#REF!, Data!$B$2:$L$135, 7, FALSE))*Coefficients!$G$2</f>
        <v>#REF!</v>
      </c>
      <c r="H414" t="e">
        <f>(VLOOKUP(Games!#REF!, Data!$B$2:$L$135, 8, FALSE)-VLOOKUP(Games!#REF!, Data!$B$2:$L$135, 8, FALSE))*Coefficients!$H$2</f>
        <v>#REF!</v>
      </c>
      <c r="I414" t="e">
        <f>(VLOOKUP(Games!#REF!, Data!$B$2:$L$135, 9, FALSE)-VLOOKUP(Games!#REF!, Data!$B$2:$L$135, 9, FALSE))*Coefficients!$I$2</f>
        <v>#REF!</v>
      </c>
      <c r="J414" t="e">
        <f>IF(ISBLANK(Data!K414), Games!#REF!-Games!#REF!,VLOOKUP(Games!#REF!, Data!$B$2:$L$135, 10, FALSE)-VLOOKUP(Games!#REF!, Data!$B$2:$L$135, 10, FALSE))*Coefficients!$J$2</f>
        <v>#REF!</v>
      </c>
      <c r="K414" t="e">
        <f>(IF(AND(VLOOKUP(Games!#REF!, Data!$B$2:$L$135, 11, FALSE)=1, VLOOKUP(Games!#REF!, Data!$B$2:$L$135, 11, FALSE)&lt;&gt;1), 1,0))*Coefficients!K$2</f>
        <v>#REF!</v>
      </c>
      <c r="L414" t="e">
        <f>(IF(AND(VLOOKUP(Games!#REF!, Data!$B$2:$L$135, 11, FALSE)&lt;&gt;1, VLOOKUP(Games!#REF!, Data!$B$2:$L$135, 11, FALSE)=1), 1,0))*Coefficients!L$2</f>
        <v>#REF!</v>
      </c>
      <c r="O414" t="e">
        <f t="shared" si="7"/>
        <v>#REF!</v>
      </c>
    </row>
    <row r="415">
      <c r="A415" t="n">
        <f>Coefficients!$A$2</f>
        <v>-3.7765953152866998</v>
      </c>
      <c r="B415" t="e">
        <f>(Games!#REF!)*(-1*Coefficients!$B$2)</f>
        <v>#REF!</v>
      </c>
      <c r="C415" t="e">
        <f>(VLOOKUP(Games!#REF!, Data!$B$2:$L$135, 4, FALSE)-VLOOKUP(Games!#REF!, Data!$B$2:$L$135, 4, FALSE))*Coefficients!$C$2</f>
        <v>#REF!</v>
      </c>
      <c r="D415" t="e">
        <f>(VLOOKUP(Games!#REF!, Data!$B$2:$L$135, 3, FALSE)-VLOOKUP(Games!#REF!, Data!$B$2:$L$135, 3, FALSE))*Coefficients!$D$2</f>
        <v>#REF!</v>
      </c>
      <c r="E415" t="e">
        <f>(VLOOKUP(Games!#REF!, Data!$B$2:$L$135, 5, FALSE)-VLOOKUP(Games!#REF!, Data!$B$2:$L$135, 5, FALSE))*Coefficients!$E$2</f>
        <v>#REF!</v>
      </c>
      <c r="F415" t="e">
        <f>(VLOOKUP(Games!#REF!, Data!$B$2:$L$135, 6, FALSE)-VLOOKUP(Games!#REF!, Data!$B$2:$L$135, 6, FALSE))*Coefficients!$F$2</f>
        <v>#REF!</v>
      </c>
      <c r="G415" t="e">
        <f>(VLOOKUP(Games!#REF!, Data!$B$2:$L$135, 7, FALSE)-VLOOKUP(Games!#REF!, Data!$B$2:$L$135, 7, FALSE))*Coefficients!$G$2</f>
        <v>#REF!</v>
      </c>
      <c r="H415" t="e">
        <f>(VLOOKUP(Games!#REF!, Data!$B$2:$L$135, 8, FALSE)-VLOOKUP(Games!#REF!, Data!$B$2:$L$135, 8, FALSE))*Coefficients!$H$2</f>
        <v>#REF!</v>
      </c>
      <c r="I415" t="e">
        <f>(VLOOKUP(Games!#REF!, Data!$B$2:$L$135, 9, FALSE)-VLOOKUP(Games!#REF!, Data!$B$2:$L$135, 9, FALSE))*Coefficients!$I$2</f>
        <v>#REF!</v>
      </c>
      <c r="J415" t="e">
        <f>IF(ISBLANK(Data!K415), Games!#REF!-Games!#REF!,VLOOKUP(Games!#REF!, Data!$B$2:$L$135, 10, FALSE)-VLOOKUP(Games!#REF!, Data!$B$2:$L$135, 10, FALSE))*Coefficients!$J$2</f>
        <v>#REF!</v>
      </c>
      <c r="K415" t="e">
        <f>(IF(AND(VLOOKUP(Games!#REF!, Data!$B$2:$L$135, 11, FALSE)=1, VLOOKUP(Games!#REF!, Data!$B$2:$L$135, 11, FALSE)&lt;&gt;1), 1,0))*Coefficients!K$2</f>
        <v>#REF!</v>
      </c>
      <c r="L415" t="e">
        <f>(IF(AND(VLOOKUP(Games!#REF!, Data!$B$2:$L$135, 11, FALSE)&lt;&gt;1, VLOOKUP(Games!#REF!, Data!$B$2:$L$135, 11, FALSE)=1), 1,0))*Coefficients!L$2</f>
        <v>#REF!</v>
      </c>
      <c r="O415" t="e">
        <f t="shared" si="7"/>
        <v>#REF!</v>
      </c>
    </row>
    <row r="416">
      <c r="A416" t="n">
        <f>Coefficients!$A$2</f>
        <v>-3.7765953152866998</v>
      </c>
      <c r="B416" t="e">
        <f>(Games!#REF!)*(-1*Coefficients!$B$2)</f>
        <v>#REF!</v>
      </c>
      <c r="C416" t="e">
        <f>(VLOOKUP(Games!#REF!, Data!$B$2:$L$135, 4, FALSE)-VLOOKUP(Games!#REF!, Data!$B$2:$L$135, 4, FALSE))*Coefficients!$C$2</f>
        <v>#REF!</v>
      </c>
      <c r="D416" t="e">
        <f>(VLOOKUP(Games!#REF!, Data!$B$2:$L$135, 3, FALSE)-VLOOKUP(Games!#REF!, Data!$B$2:$L$135, 3, FALSE))*Coefficients!$D$2</f>
        <v>#REF!</v>
      </c>
      <c r="E416" t="e">
        <f>(VLOOKUP(Games!#REF!, Data!$B$2:$L$135, 5, FALSE)-VLOOKUP(Games!#REF!, Data!$B$2:$L$135, 5, FALSE))*Coefficients!$E$2</f>
        <v>#REF!</v>
      </c>
      <c r="F416" t="e">
        <f>(VLOOKUP(Games!#REF!, Data!$B$2:$L$135, 6, FALSE)-VLOOKUP(Games!#REF!, Data!$B$2:$L$135, 6, FALSE))*Coefficients!$F$2</f>
        <v>#REF!</v>
      </c>
      <c r="G416" t="e">
        <f>(VLOOKUP(Games!#REF!, Data!$B$2:$L$135, 7, FALSE)-VLOOKUP(Games!#REF!, Data!$B$2:$L$135, 7, FALSE))*Coefficients!$G$2</f>
        <v>#REF!</v>
      </c>
      <c r="H416" t="e">
        <f>(VLOOKUP(Games!#REF!, Data!$B$2:$L$135, 8, FALSE)-VLOOKUP(Games!#REF!, Data!$B$2:$L$135, 8, FALSE))*Coefficients!$H$2</f>
        <v>#REF!</v>
      </c>
      <c r="I416" t="e">
        <f>(VLOOKUP(Games!#REF!, Data!$B$2:$L$135, 9, FALSE)-VLOOKUP(Games!#REF!, Data!$B$2:$L$135, 9, FALSE))*Coefficients!$I$2</f>
        <v>#REF!</v>
      </c>
      <c r="J416" t="e">
        <f>IF(ISBLANK(Data!K416), Games!#REF!-Games!#REF!,VLOOKUP(Games!#REF!, Data!$B$2:$L$135, 10, FALSE)-VLOOKUP(Games!#REF!, Data!$B$2:$L$135, 10, FALSE))*Coefficients!$J$2</f>
        <v>#REF!</v>
      </c>
      <c r="K416" t="e">
        <f>(IF(AND(VLOOKUP(Games!#REF!, Data!$B$2:$L$135, 11, FALSE)=1, VLOOKUP(Games!#REF!, Data!$B$2:$L$135, 11, FALSE)&lt;&gt;1), 1,0))*Coefficients!K$2</f>
        <v>#REF!</v>
      </c>
      <c r="L416" t="e">
        <f>(IF(AND(VLOOKUP(Games!#REF!, Data!$B$2:$L$135, 11, FALSE)&lt;&gt;1, VLOOKUP(Games!#REF!, Data!$B$2:$L$135, 11, FALSE)=1), 1,0))*Coefficients!L$2</f>
        <v>#REF!</v>
      </c>
      <c r="O416" t="e">
        <f t="shared" si="7"/>
        <v>#REF!</v>
      </c>
    </row>
    <row r="417">
      <c r="A417" t="n">
        <f>Coefficients!$A$2</f>
        <v>-3.7765953152866998</v>
      </c>
      <c r="B417" t="e">
        <f>(Games!#REF!)*(-1*Coefficients!$B$2)</f>
        <v>#REF!</v>
      </c>
      <c r="C417" t="e">
        <f>(VLOOKUP(Games!#REF!, Data!$B$2:$L$135, 4, FALSE)-VLOOKUP(Games!#REF!, Data!$B$2:$L$135, 4, FALSE))*Coefficients!$C$2</f>
        <v>#REF!</v>
      </c>
      <c r="D417" t="e">
        <f>(VLOOKUP(Games!#REF!, Data!$B$2:$L$135, 3, FALSE)-VLOOKUP(Games!#REF!, Data!$B$2:$L$135, 3, FALSE))*Coefficients!$D$2</f>
        <v>#REF!</v>
      </c>
      <c r="E417" t="e">
        <f>(VLOOKUP(Games!#REF!, Data!$B$2:$L$135, 5, FALSE)-VLOOKUP(Games!#REF!, Data!$B$2:$L$135, 5, FALSE))*Coefficients!$E$2</f>
        <v>#REF!</v>
      </c>
      <c r="F417" t="e">
        <f>(VLOOKUP(Games!#REF!, Data!$B$2:$L$135, 6, FALSE)-VLOOKUP(Games!#REF!, Data!$B$2:$L$135, 6, FALSE))*Coefficients!$F$2</f>
        <v>#REF!</v>
      </c>
      <c r="G417" t="e">
        <f>(VLOOKUP(Games!#REF!, Data!$B$2:$L$135, 7, FALSE)-VLOOKUP(Games!#REF!, Data!$B$2:$L$135, 7, FALSE))*Coefficients!$G$2</f>
        <v>#REF!</v>
      </c>
      <c r="H417" t="e">
        <f>(VLOOKUP(Games!#REF!, Data!$B$2:$L$135, 8, FALSE)-VLOOKUP(Games!#REF!, Data!$B$2:$L$135, 8, FALSE))*Coefficients!$H$2</f>
        <v>#REF!</v>
      </c>
      <c r="I417" t="e">
        <f>(VLOOKUP(Games!#REF!, Data!$B$2:$L$135, 9, FALSE)-VLOOKUP(Games!#REF!, Data!$B$2:$L$135, 9, FALSE))*Coefficients!$I$2</f>
        <v>#REF!</v>
      </c>
      <c r="J417" t="e">
        <f>IF(ISBLANK(Data!K417), Games!#REF!-Games!#REF!,VLOOKUP(Games!#REF!, Data!$B$2:$L$135, 10, FALSE)-VLOOKUP(Games!#REF!, Data!$B$2:$L$135, 10, FALSE))*Coefficients!$J$2</f>
        <v>#REF!</v>
      </c>
      <c r="K417" t="e">
        <f>(IF(AND(VLOOKUP(Games!#REF!, Data!$B$2:$L$135, 11, FALSE)=1, VLOOKUP(Games!#REF!, Data!$B$2:$L$135, 11, FALSE)&lt;&gt;1), 1,0))*Coefficients!K$2</f>
        <v>#REF!</v>
      </c>
      <c r="L417" t="e">
        <f>(IF(AND(VLOOKUP(Games!#REF!, Data!$B$2:$L$135, 11, FALSE)&lt;&gt;1, VLOOKUP(Games!#REF!, Data!$B$2:$L$135, 11, FALSE)=1), 1,0))*Coefficients!L$2</f>
        <v>#REF!</v>
      </c>
      <c r="O417" t="e">
        <f t="shared" si="7"/>
        <v>#REF!</v>
      </c>
    </row>
    <row r="418">
      <c r="A418" t="n">
        <f>Coefficients!$A$2</f>
        <v>-3.7765953152866998</v>
      </c>
      <c r="B418" t="e">
        <f>(Games!#REF!)*(-1*Coefficients!$B$2)</f>
        <v>#REF!</v>
      </c>
      <c r="C418" t="e">
        <f>(VLOOKUP(Games!#REF!, Data!$B$2:$L$135, 4, FALSE)-VLOOKUP(Games!#REF!, Data!$B$2:$L$135, 4, FALSE))*Coefficients!$C$2</f>
        <v>#REF!</v>
      </c>
      <c r="D418" t="e">
        <f>(VLOOKUP(Games!#REF!, Data!$B$2:$L$135, 3, FALSE)-VLOOKUP(Games!#REF!, Data!$B$2:$L$135, 3, FALSE))*Coefficients!$D$2</f>
        <v>#REF!</v>
      </c>
      <c r="E418" t="e">
        <f>(VLOOKUP(Games!#REF!, Data!$B$2:$L$135, 5, FALSE)-VLOOKUP(Games!#REF!, Data!$B$2:$L$135, 5, FALSE))*Coefficients!$E$2</f>
        <v>#REF!</v>
      </c>
      <c r="F418" t="e">
        <f>(VLOOKUP(Games!#REF!, Data!$B$2:$L$135, 6, FALSE)-VLOOKUP(Games!#REF!, Data!$B$2:$L$135, 6, FALSE))*Coefficients!$F$2</f>
        <v>#REF!</v>
      </c>
      <c r="G418" t="e">
        <f>(VLOOKUP(Games!#REF!, Data!$B$2:$L$135, 7, FALSE)-VLOOKUP(Games!#REF!, Data!$B$2:$L$135, 7, FALSE))*Coefficients!$G$2</f>
        <v>#REF!</v>
      </c>
      <c r="H418" t="e">
        <f>(VLOOKUP(Games!#REF!, Data!$B$2:$L$135, 8, FALSE)-VLOOKUP(Games!#REF!, Data!$B$2:$L$135, 8, FALSE))*Coefficients!$H$2</f>
        <v>#REF!</v>
      </c>
      <c r="I418" t="e">
        <f>(VLOOKUP(Games!#REF!, Data!$B$2:$L$135, 9, FALSE)-VLOOKUP(Games!#REF!, Data!$B$2:$L$135, 9, FALSE))*Coefficients!$I$2</f>
        <v>#REF!</v>
      </c>
      <c r="J418" t="e">
        <f>IF(ISBLANK(Data!K418), Games!#REF!-Games!#REF!,VLOOKUP(Games!#REF!, Data!$B$2:$L$135, 10, FALSE)-VLOOKUP(Games!#REF!, Data!$B$2:$L$135, 10, FALSE))*Coefficients!$J$2</f>
        <v>#REF!</v>
      </c>
      <c r="K418" t="e">
        <f>(IF(AND(VLOOKUP(Games!#REF!, Data!$B$2:$L$135, 11, FALSE)=1, VLOOKUP(Games!#REF!, Data!$B$2:$L$135, 11, FALSE)&lt;&gt;1), 1,0))*Coefficients!K$2</f>
        <v>#REF!</v>
      </c>
      <c r="L418" t="e">
        <f>(IF(AND(VLOOKUP(Games!#REF!, Data!$B$2:$L$135, 11, FALSE)&lt;&gt;1, VLOOKUP(Games!#REF!, Data!$B$2:$L$135, 11, FALSE)=1), 1,0))*Coefficients!L$2</f>
        <v>#REF!</v>
      </c>
      <c r="O418" t="e">
        <f t="shared" si="7"/>
        <v>#REF!</v>
      </c>
    </row>
    <row r="419">
      <c r="A419" t="n">
        <f>Coefficients!$A$2</f>
        <v>-3.7765953152866998</v>
      </c>
      <c r="B419" t="e">
        <f>(Games!#REF!)*(-1*Coefficients!$B$2)</f>
        <v>#REF!</v>
      </c>
      <c r="C419" t="e">
        <f>(VLOOKUP(Games!#REF!, Data!$B$2:$L$135, 4, FALSE)-VLOOKUP(Games!#REF!, Data!$B$2:$L$135, 4, FALSE))*Coefficients!$C$2</f>
        <v>#REF!</v>
      </c>
      <c r="D419" t="e">
        <f>(VLOOKUP(Games!#REF!, Data!$B$2:$L$135, 3, FALSE)-VLOOKUP(Games!#REF!, Data!$B$2:$L$135, 3, FALSE))*Coefficients!$D$2</f>
        <v>#REF!</v>
      </c>
      <c r="E419" t="e">
        <f>(VLOOKUP(Games!#REF!, Data!$B$2:$L$135, 5, FALSE)-VLOOKUP(Games!#REF!, Data!$B$2:$L$135, 5, FALSE))*Coefficients!$E$2</f>
        <v>#REF!</v>
      </c>
      <c r="F419" t="e">
        <f>(VLOOKUP(Games!#REF!, Data!$B$2:$L$135, 6, FALSE)-VLOOKUP(Games!#REF!, Data!$B$2:$L$135, 6, FALSE))*Coefficients!$F$2</f>
        <v>#REF!</v>
      </c>
      <c r="G419" t="e">
        <f>(VLOOKUP(Games!#REF!, Data!$B$2:$L$135, 7, FALSE)-VLOOKUP(Games!#REF!, Data!$B$2:$L$135, 7, FALSE))*Coefficients!$G$2</f>
        <v>#REF!</v>
      </c>
      <c r="H419" t="e">
        <f>(VLOOKUP(Games!#REF!, Data!$B$2:$L$135, 8, FALSE)-VLOOKUP(Games!#REF!, Data!$B$2:$L$135, 8, FALSE))*Coefficients!$H$2</f>
        <v>#REF!</v>
      </c>
      <c r="I419" t="e">
        <f>(VLOOKUP(Games!#REF!, Data!$B$2:$L$135, 9, FALSE)-VLOOKUP(Games!#REF!, Data!$B$2:$L$135, 9, FALSE))*Coefficients!$I$2</f>
        <v>#REF!</v>
      </c>
      <c r="J419" t="e">
        <f>IF(ISBLANK(Data!K419), Games!#REF!-Games!#REF!,VLOOKUP(Games!#REF!, Data!$B$2:$L$135, 10, FALSE)-VLOOKUP(Games!#REF!, Data!$B$2:$L$135, 10, FALSE))*Coefficients!$J$2</f>
        <v>#REF!</v>
      </c>
      <c r="K419" t="e">
        <f>(IF(AND(VLOOKUP(Games!#REF!, Data!$B$2:$L$135, 11, FALSE)=1, VLOOKUP(Games!#REF!, Data!$B$2:$L$135, 11, FALSE)&lt;&gt;1), 1,0))*Coefficients!K$2</f>
        <v>#REF!</v>
      </c>
      <c r="L419" t="e">
        <f>(IF(AND(VLOOKUP(Games!#REF!, Data!$B$2:$L$135, 11, FALSE)&lt;&gt;1, VLOOKUP(Games!#REF!, Data!$B$2:$L$135, 11, FALSE)=1), 1,0))*Coefficients!L$2</f>
        <v>#REF!</v>
      </c>
      <c r="O419" t="e">
        <f t="shared" si="7"/>
        <v>#REF!</v>
      </c>
    </row>
    <row r="420">
      <c r="A420" t="n">
        <f>Coefficients!$A$2</f>
        <v>-3.7765953152866998</v>
      </c>
      <c r="B420" t="e">
        <f>(Games!#REF!)*(-1*Coefficients!$B$2)</f>
        <v>#REF!</v>
      </c>
      <c r="C420" t="e">
        <f>(VLOOKUP(Games!#REF!, Data!$B$2:$L$135, 4, FALSE)-VLOOKUP(Games!#REF!, Data!$B$2:$L$135, 4, FALSE))*Coefficients!$C$2</f>
        <v>#REF!</v>
      </c>
      <c r="D420" t="e">
        <f>(VLOOKUP(Games!#REF!, Data!$B$2:$L$135, 3, FALSE)-VLOOKUP(Games!#REF!, Data!$B$2:$L$135, 3, FALSE))*Coefficients!$D$2</f>
        <v>#REF!</v>
      </c>
      <c r="E420" t="e">
        <f>(VLOOKUP(Games!#REF!, Data!$B$2:$L$135, 5, FALSE)-VLOOKUP(Games!#REF!, Data!$B$2:$L$135, 5, FALSE))*Coefficients!$E$2</f>
        <v>#REF!</v>
      </c>
      <c r="F420" t="e">
        <f>(VLOOKUP(Games!#REF!, Data!$B$2:$L$135, 6, FALSE)-VLOOKUP(Games!#REF!, Data!$B$2:$L$135, 6, FALSE))*Coefficients!$F$2</f>
        <v>#REF!</v>
      </c>
      <c r="G420" t="e">
        <f>(VLOOKUP(Games!#REF!, Data!$B$2:$L$135, 7, FALSE)-VLOOKUP(Games!#REF!, Data!$B$2:$L$135, 7, FALSE))*Coefficients!$G$2</f>
        <v>#REF!</v>
      </c>
      <c r="H420" t="e">
        <f>(VLOOKUP(Games!#REF!, Data!$B$2:$L$135, 8, FALSE)-VLOOKUP(Games!#REF!, Data!$B$2:$L$135, 8, FALSE))*Coefficients!$H$2</f>
        <v>#REF!</v>
      </c>
      <c r="I420" t="e">
        <f>(VLOOKUP(Games!#REF!, Data!$B$2:$L$135, 9, FALSE)-VLOOKUP(Games!#REF!, Data!$B$2:$L$135, 9, FALSE))*Coefficients!$I$2</f>
        <v>#REF!</v>
      </c>
      <c r="J420" t="e">
        <f>IF(ISBLANK(Data!K420), Games!#REF!-Games!#REF!,VLOOKUP(Games!#REF!, Data!$B$2:$L$135, 10, FALSE)-VLOOKUP(Games!#REF!, Data!$B$2:$L$135, 10, FALSE))*Coefficients!$J$2</f>
        <v>#REF!</v>
      </c>
      <c r="K420" t="e">
        <f>(IF(AND(VLOOKUP(Games!#REF!, Data!$B$2:$L$135, 11, FALSE)=1, VLOOKUP(Games!#REF!, Data!$B$2:$L$135, 11, FALSE)&lt;&gt;1), 1,0))*Coefficients!K$2</f>
        <v>#REF!</v>
      </c>
      <c r="L420" t="e">
        <f>(IF(AND(VLOOKUP(Games!#REF!, Data!$B$2:$L$135, 11, FALSE)&lt;&gt;1, VLOOKUP(Games!#REF!, Data!$B$2:$L$135, 11, FALSE)=1), 1,0))*Coefficients!L$2</f>
        <v>#REF!</v>
      </c>
      <c r="O420" t="e">
        <f t="shared" si="7"/>
        <v>#REF!</v>
      </c>
    </row>
    <row r="421">
      <c r="A421" t="n">
        <f>Coefficients!$A$2</f>
        <v>-3.7765953152866998</v>
      </c>
      <c r="B421" t="e">
        <f>(Games!#REF!)*(-1*Coefficients!$B$2)</f>
        <v>#REF!</v>
      </c>
      <c r="C421" t="e">
        <f>(VLOOKUP(Games!#REF!, Data!$B$2:$L$135, 4, FALSE)-VLOOKUP(Games!#REF!, Data!$B$2:$L$135, 4, FALSE))*Coefficients!$C$2</f>
        <v>#REF!</v>
      </c>
      <c r="D421" t="e">
        <f>(VLOOKUP(Games!#REF!, Data!$B$2:$L$135, 3, FALSE)-VLOOKUP(Games!#REF!, Data!$B$2:$L$135, 3, FALSE))*Coefficients!$D$2</f>
        <v>#REF!</v>
      </c>
      <c r="E421" t="e">
        <f>(VLOOKUP(Games!#REF!, Data!$B$2:$L$135, 5, FALSE)-VLOOKUP(Games!#REF!, Data!$B$2:$L$135, 5, FALSE))*Coefficients!$E$2</f>
        <v>#REF!</v>
      </c>
      <c r="F421" t="e">
        <f>(VLOOKUP(Games!#REF!, Data!$B$2:$L$135, 6, FALSE)-VLOOKUP(Games!#REF!, Data!$B$2:$L$135, 6, FALSE))*Coefficients!$F$2</f>
        <v>#REF!</v>
      </c>
      <c r="G421" t="e">
        <f>(VLOOKUP(Games!#REF!, Data!$B$2:$L$135, 7, FALSE)-VLOOKUP(Games!#REF!, Data!$B$2:$L$135, 7, FALSE))*Coefficients!$G$2</f>
        <v>#REF!</v>
      </c>
      <c r="H421" t="e">
        <f>(VLOOKUP(Games!#REF!, Data!$B$2:$L$135, 8, FALSE)-VLOOKUP(Games!#REF!, Data!$B$2:$L$135, 8, FALSE))*Coefficients!$H$2</f>
        <v>#REF!</v>
      </c>
      <c r="I421" t="e">
        <f>(VLOOKUP(Games!#REF!, Data!$B$2:$L$135, 9, FALSE)-VLOOKUP(Games!#REF!, Data!$B$2:$L$135, 9, FALSE))*Coefficients!$I$2</f>
        <v>#REF!</v>
      </c>
      <c r="J421" t="e">
        <f>IF(ISBLANK(Data!K421), Games!#REF!-Games!#REF!,VLOOKUP(Games!#REF!, Data!$B$2:$L$135, 10, FALSE)-VLOOKUP(Games!#REF!, Data!$B$2:$L$135, 10, FALSE))*Coefficients!$J$2</f>
        <v>#REF!</v>
      </c>
      <c r="K421" t="e">
        <f>(IF(AND(VLOOKUP(Games!#REF!, Data!$B$2:$L$135, 11, FALSE)=1, VLOOKUP(Games!#REF!, Data!$B$2:$L$135, 11, FALSE)&lt;&gt;1), 1,0))*Coefficients!K$2</f>
        <v>#REF!</v>
      </c>
      <c r="L421" t="e">
        <f>(IF(AND(VLOOKUP(Games!#REF!, Data!$B$2:$L$135, 11, FALSE)&lt;&gt;1, VLOOKUP(Games!#REF!, Data!$B$2:$L$135, 11, FALSE)=1), 1,0))*Coefficients!L$2</f>
        <v>#REF!</v>
      </c>
      <c r="O421" t="e">
        <f t="shared" si="7"/>
        <v>#REF!</v>
      </c>
    </row>
    <row r="422">
      <c r="A422" t="n">
        <f>Coefficients!$A$2</f>
        <v>-3.7765953152866998</v>
      </c>
      <c r="B422" t="e">
        <f>(Games!#REF!)*(-1*Coefficients!$B$2)</f>
        <v>#REF!</v>
      </c>
      <c r="C422" t="e">
        <f>(VLOOKUP(Games!#REF!, Data!$B$2:$L$135, 4, FALSE)-VLOOKUP(Games!#REF!, Data!$B$2:$L$135, 4, FALSE))*Coefficients!$C$2</f>
        <v>#REF!</v>
      </c>
      <c r="D422" t="e">
        <f>(VLOOKUP(Games!#REF!, Data!$B$2:$L$135, 3, FALSE)-VLOOKUP(Games!#REF!, Data!$B$2:$L$135, 3, FALSE))*Coefficients!$D$2</f>
        <v>#REF!</v>
      </c>
      <c r="E422" t="e">
        <f>(VLOOKUP(Games!#REF!, Data!$B$2:$L$135, 5, FALSE)-VLOOKUP(Games!#REF!, Data!$B$2:$L$135, 5, FALSE))*Coefficients!$E$2</f>
        <v>#REF!</v>
      </c>
      <c r="F422" t="e">
        <f>(VLOOKUP(Games!#REF!, Data!$B$2:$L$135, 6, FALSE)-VLOOKUP(Games!#REF!, Data!$B$2:$L$135, 6, FALSE))*Coefficients!$F$2</f>
        <v>#REF!</v>
      </c>
      <c r="G422" t="e">
        <f>(VLOOKUP(Games!#REF!, Data!$B$2:$L$135, 7, FALSE)-VLOOKUP(Games!#REF!, Data!$B$2:$L$135, 7, FALSE))*Coefficients!$G$2</f>
        <v>#REF!</v>
      </c>
      <c r="H422" t="e">
        <f>(VLOOKUP(Games!#REF!, Data!$B$2:$L$135, 8, FALSE)-VLOOKUP(Games!#REF!, Data!$B$2:$L$135, 8, FALSE))*Coefficients!$H$2</f>
        <v>#REF!</v>
      </c>
      <c r="I422" t="e">
        <f>(VLOOKUP(Games!#REF!, Data!$B$2:$L$135, 9, FALSE)-VLOOKUP(Games!#REF!, Data!$B$2:$L$135, 9, FALSE))*Coefficients!$I$2</f>
        <v>#REF!</v>
      </c>
      <c r="J422" t="e">
        <f>IF(ISBLANK(Data!K422), Games!#REF!-Games!#REF!,VLOOKUP(Games!#REF!, Data!$B$2:$L$135, 10, FALSE)-VLOOKUP(Games!#REF!, Data!$B$2:$L$135, 10, FALSE))*Coefficients!$J$2</f>
        <v>#REF!</v>
      </c>
      <c r="K422" t="e">
        <f>(IF(AND(VLOOKUP(Games!#REF!, Data!$B$2:$L$135, 11, FALSE)=1, VLOOKUP(Games!#REF!, Data!$B$2:$L$135, 11, FALSE)&lt;&gt;1), 1,0))*Coefficients!K$2</f>
        <v>#REF!</v>
      </c>
      <c r="L422" t="e">
        <f>(IF(AND(VLOOKUP(Games!#REF!, Data!$B$2:$L$135, 11, FALSE)&lt;&gt;1, VLOOKUP(Games!#REF!, Data!$B$2:$L$135, 11, FALSE)=1), 1,0))*Coefficients!L$2</f>
        <v>#REF!</v>
      </c>
      <c r="O422" t="e">
        <f t="shared" si="7"/>
        <v>#REF!</v>
      </c>
    </row>
    <row r="423">
      <c r="A423" t="n">
        <f>Coefficients!$A$2</f>
        <v>-3.7765953152866998</v>
      </c>
      <c r="B423" t="e">
        <f>(Games!#REF!)*(-1*Coefficients!$B$2)</f>
        <v>#REF!</v>
      </c>
      <c r="C423" t="e">
        <f>(VLOOKUP(Games!#REF!, Data!$B$2:$L$135, 4, FALSE)-VLOOKUP(Games!#REF!, Data!$B$2:$L$135, 4, FALSE))*Coefficients!$C$2</f>
        <v>#REF!</v>
      </c>
      <c r="D423" t="e">
        <f>(VLOOKUP(Games!#REF!, Data!$B$2:$L$135, 3, FALSE)-VLOOKUP(Games!#REF!, Data!$B$2:$L$135, 3, FALSE))*Coefficients!$D$2</f>
        <v>#REF!</v>
      </c>
      <c r="E423" t="e">
        <f>(VLOOKUP(Games!#REF!, Data!$B$2:$L$135, 5, FALSE)-VLOOKUP(Games!#REF!, Data!$B$2:$L$135, 5, FALSE))*Coefficients!$E$2</f>
        <v>#REF!</v>
      </c>
      <c r="F423" t="e">
        <f>(VLOOKUP(Games!#REF!, Data!$B$2:$L$135, 6, FALSE)-VLOOKUP(Games!#REF!, Data!$B$2:$L$135, 6, FALSE))*Coefficients!$F$2</f>
        <v>#REF!</v>
      </c>
      <c r="G423" t="e">
        <f>(VLOOKUP(Games!#REF!, Data!$B$2:$L$135, 7, FALSE)-VLOOKUP(Games!#REF!, Data!$B$2:$L$135, 7, FALSE))*Coefficients!$G$2</f>
        <v>#REF!</v>
      </c>
      <c r="H423" t="e">
        <f>(VLOOKUP(Games!#REF!, Data!$B$2:$L$135, 8, FALSE)-VLOOKUP(Games!#REF!, Data!$B$2:$L$135, 8, FALSE))*Coefficients!$H$2</f>
        <v>#REF!</v>
      </c>
      <c r="I423" t="e">
        <f>(VLOOKUP(Games!#REF!, Data!$B$2:$L$135, 9, FALSE)-VLOOKUP(Games!#REF!, Data!$B$2:$L$135, 9, FALSE))*Coefficients!$I$2</f>
        <v>#REF!</v>
      </c>
      <c r="J423" t="e">
        <f>IF(ISBLANK(Data!K423), Games!#REF!-Games!#REF!,VLOOKUP(Games!#REF!, Data!$B$2:$L$135, 10, FALSE)-VLOOKUP(Games!#REF!, Data!$B$2:$L$135, 10, FALSE))*Coefficients!$J$2</f>
        <v>#REF!</v>
      </c>
      <c r="K423" t="e">
        <f>(IF(AND(VLOOKUP(Games!#REF!, Data!$B$2:$L$135, 11, FALSE)=1, VLOOKUP(Games!#REF!, Data!$B$2:$L$135, 11, FALSE)&lt;&gt;1), 1,0))*Coefficients!K$2</f>
        <v>#REF!</v>
      </c>
      <c r="L423" t="e">
        <f>(IF(AND(VLOOKUP(Games!#REF!, Data!$B$2:$L$135, 11, FALSE)&lt;&gt;1, VLOOKUP(Games!#REF!, Data!$B$2:$L$135, 11, FALSE)=1), 1,0))*Coefficients!L$2</f>
        <v>#REF!</v>
      </c>
      <c r="O423" t="e">
        <f t="shared" si="7"/>
        <v>#REF!</v>
      </c>
    </row>
    <row r="424">
      <c r="A424" t="n">
        <f>Coefficients!$A$2</f>
        <v>-3.7765953152866998</v>
      </c>
      <c r="B424" t="e">
        <f>(Games!#REF!)*(-1*Coefficients!$B$2)</f>
        <v>#REF!</v>
      </c>
      <c r="C424" t="e">
        <f>(VLOOKUP(Games!#REF!, Data!$B$2:$L$135, 4, FALSE)-VLOOKUP(Games!#REF!, Data!$B$2:$L$135, 4, FALSE))*Coefficients!$C$2</f>
        <v>#REF!</v>
      </c>
      <c r="D424" t="e">
        <f>(VLOOKUP(Games!#REF!, Data!$B$2:$L$135, 3, FALSE)-VLOOKUP(Games!#REF!, Data!$B$2:$L$135, 3, FALSE))*Coefficients!$D$2</f>
        <v>#REF!</v>
      </c>
      <c r="E424" t="e">
        <f>(VLOOKUP(Games!#REF!, Data!$B$2:$L$135, 5, FALSE)-VLOOKUP(Games!#REF!, Data!$B$2:$L$135, 5, FALSE))*Coefficients!$E$2</f>
        <v>#REF!</v>
      </c>
      <c r="F424" t="e">
        <f>(VLOOKUP(Games!#REF!, Data!$B$2:$L$135, 6, FALSE)-VLOOKUP(Games!#REF!, Data!$B$2:$L$135, 6, FALSE))*Coefficients!$F$2</f>
        <v>#REF!</v>
      </c>
      <c r="G424" t="e">
        <f>(VLOOKUP(Games!#REF!, Data!$B$2:$L$135, 7, FALSE)-VLOOKUP(Games!#REF!, Data!$B$2:$L$135, 7, FALSE))*Coefficients!$G$2</f>
        <v>#REF!</v>
      </c>
      <c r="H424" t="e">
        <f>(VLOOKUP(Games!#REF!, Data!$B$2:$L$135, 8, FALSE)-VLOOKUP(Games!#REF!, Data!$B$2:$L$135, 8, FALSE))*Coefficients!$H$2</f>
        <v>#REF!</v>
      </c>
      <c r="I424" t="e">
        <f>(VLOOKUP(Games!#REF!, Data!$B$2:$L$135, 9, FALSE)-VLOOKUP(Games!#REF!, Data!$B$2:$L$135, 9, FALSE))*Coefficients!$I$2</f>
        <v>#REF!</v>
      </c>
      <c r="J424" t="e">
        <f>IF(ISBLANK(Data!K424), Games!#REF!-Games!#REF!,VLOOKUP(Games!#REF!, Data!$B$2:$L$135, 10, FALSE)-VLOOKUP(Games!#REF!, Data!$B$2:$L$135, 10, FALSE))*Coefficients!$J$2</f>
        <v>#REF!</v>
      </c>
      <c r="K424" t="e">
        <f>(IF(AND(VLOOKUP(Games!#REF!, Data!$B$2:$L$135, 11, FALSE)=1, VLOOKUP(Games!#REF!, Data!$B$2:$L$135, 11, FALSE)&lt;&gt;1), 1,0))*Coefficients!K$2</f>
        <v>#REF!</v>
      </c>
      <c r="L424" t="e">
        <f>(IF(AND(VLOOKUP(Games!#REF!, Data!$B$2:$L$135, 11, FALSE)&lt;&gt;1, VLOOKUP(Games!#REF!, Data!$B$2:$L$135, 11, FALSE)=1), 1,0))*Coefficients!L$2</f>
        <v>#REF!</v>
      </c>
      <c r="O424" t="e">
        <f t="shared" si="7"/>
        <v>#REF!</v>
      </c>
    </row>
    <row r="425">
      <c r="A425" t="n">
        <f>Coefficients!$A$2</f>
        <v>-3.7765953152866998</v>
      </c>
      <c r="B425" t="e">
        <f>(Games!#REF!)*(-1*Coefficients!$B$2)</f>
        <v>#REF!</v>
      </c>
      <c r="C425" t="e">
        <f>(VLOOKUP(Games!#REF!, Data!$B$2:$L$135, 4, FALSE)-VLOOKUP(Games!#REF!, Data!$B$2:$L$135, 4, FALSE))*Coefficients!$C$2</f>
        <v>#REF!</v>
      </c>
      <c r="D425" t="e">
        <f>(VLOOKUP(Games!#REF!, Data!$B$2:$L$135, 3, FALSE)-VLOOKUP(Games!#REF!, Data!$B$2:$L$135, 3, FALSE))*Coefficients!$D$2</f>
        <v>#REF!</v>
      </c>
      <c r="E425" t="e">
        <f>(VLOOKUP(Games!#REF!, Data!$B$2:$L$135, 5, FALSE)-VLOOKUP(Games!#REF!, Data!$B$2:$L$135, 5, FALSE))*Coefficients!$E$2</f>
        <v>#REF!</v>
      </c>
      <c r="F425" t="e">
        <f>(VLOOKUP(Games!#REF!, Data!$B$2:$L$135, 6, FALSE)-VLOOKUP(Games!#REF!, Data!$B$2:$L$135, 6, FALSE))*Coefficients!$F$2</f>
        <v>#REF!</v>
      </c>
      <c r="G425" t="e">
        <f>(VLOOKUP(Games!#REF!, Data!$B$2:$L$135, 7, FALSE)-VLOOKUP(Games!#REF!, Data!$B$2:$L$135, 7, FALSE))*Coefficients!$G$2</f>
        <v>#REF!</v>
      </c>
      <c r="H425" t="e">
        <f>(VLOOKUP(Games!#REF!, Data!$B$2:$L$135, 8, FALSE)-VLOOKUP(Games!#REF!, Data!$B$2:$L$135, 8, FALSE))*Coefficients!$H$2</f>
        <v>#REF!</v>
      </c>
      <c r="I425" t="e">
        <f>(VLOOKUP(Games!#REF!, Data!$B$2:$L$135, 9, FALSE)-VLOOKUP(Games!#REF!, Data!$B$2:$L$135, 9, FALSE))*Coefficients!$I$2</f>
        <v>#REF!</v>
      </c>
      <c r="J425" t="e">
        <f>IF(ISBLANK(Data!K425), Games!#REF!-Games!#REF!,VLOOKUP(Games!#REF!, Data!$B$2:$L$135, 10, FALSE)-VLOOKUP(Games!#REF!, Data!$B$2:$L$135, 10, FALSE))*Coefficients!$J$2</f>
        <v>#REF!</v>
      </c>
      <c r="K425" t="e">
        <f>(IF(AND(VLOOKUP(Games!#REF!, Data!$B$2:$L$135, 11, FALSE)=1, VLOOKUP(Games!#REF!, Data!$B$2:$L$135, 11, FALSE)&lt;&gt;1), 1,0))*Coefficients!K$2</f>
        <v>#REF!</v>
      </c>
      <c r="L425" t="e">
        <f>(IF(AND(VLOOKUP(Games!#REF!, Data!$B$2:$L$135, 11, FALSE)&lt;&gt;1, VLOOKUP(Games!#REF!, Data!$B$2:$L$135, 11, FALSE)=1), 1,0))*Coefficients!L$2</f>
        <v>#REF!</v>
      </c>
      <c r="O425" t="e">
        <f t="shared" si="7"/>
        <v>#REF!</v>
      </c>
    </row>
    <row r="426">
      <c r="A426" t="n">
        <f>Coefficients!$A$2</f>
        <v>-3.7765953152866998</v>
      </c>
      <c r="B426" t="e">
        <f>(Games!#REF!)*(-1*Coefficients!$B$2)</f>
        <v>#REF!</v>
      </c>
      <c r="C426" t="e">
        <f>(VLOOKUP(Games!#REF!, Data!$B$2:$L$135, 4, FALSE)-VLOOKUP(Games!#REF!, Data!$B$2:$L$135, 4, FALSE))*Coefficients!$C$2</f>
        <v>#REF!</v>
      </c>
      <c r="D426" t="e">
        <f>(VLOOKUP(Games!#REF!, Data!$B$2:$L$135, 3, FALSE)-VLOOKUP(Games!#REF!, Data!$B$2:$L$135, 3, FALSE))*Coefficients!$D$2</f>
        <v>#REF!</v>
      </c>
      <c r="E426" t="e">
        <f>(VLOOKUP(Games!#REF!, Data!$B$2:$L$135, 5, FALSE)-VLOOKUP(Games!#REF!, Data!$B$2:$L$135, 5, FALSE))*Coefficients!$E$2</f>
        <v>#REF!</v>
      </c>
      <c r="F426" t="e">
        <f>(VLOOKUP(Games!#REF!, Data!$B$2:$L$135, 6, FALSE)-VLOOKUP(Games!#REF!, Data!$B$2:$L$135, 6, FALSE))*Coefficients!$F$2</f>
        <v>#REF!</v>
      </c>
      <c r="G426" t="e">
        <f>(VLOOKUP(Games!#REF!, Data!$B$2:$L$135, 7, FALSE)-VLOOKUP(Games!#REF!, Data!$B$2:$L$135, 7, FALSE))*Coefficients!$G$2</f>
        <v>#REF!</v>
      </c>
      <c r="H426" t="e">
        <f>(VLOOKUP(Games!#REF!, Data!$B$2:$L$135, 8, FALSE)-VLOOKUP(Games!#REF!, Data!$B$2:$L$135, 8, FALSE))*Coefficients!$H$2</f>
        <v>#REF!</v>
      </c>
      <c r="I426" t="e">
        <f>(VLOOKUP(Games!#REF!, Data!$B$2:$L$135, 9, FALSE)-VLOOKUP(Games!#REF!, Data!$B$2:$L$135, 9, FALSE))*Coefficients!$I$2</f>
        <v>#REF!</v>
      </c>
      <c r="J426" t="e">
        <f>IF(ISBLANK(Data!K426), Games!#REF!-Games!#REF!,VLOOKUP(Games!#REF!, Data!$B$2:$L$135, 10, FALSE)-VLOOKUP(Games!#REF!, Data!$B$2:$L$135, 10, FALSE))*Coefficients!$J$2</f>
        <v>#REF!</v>
      </c>
      <c r="K426" t="e">
        <f>(IF(AND(VLOOKUP(Games!#REF!, Data!$B$2:$L$135, 11, FALSE)=1, VLOOKUP(Games!#REF!, Data!$B$2:$L$135, 11, FALSE)&lt;&gt;1), 1,0))*Coefficients!K$2</f>
        <v>#REF!</v>
      </c>
      <c r="L426" t="e">
        <f>(IF(AND(VLOOKUP(Games!#REF!, Data!$B$2:$L$135, 11, FALSE)&lt;&gt;1, VLOOKUP(Games!#REF!, Data!$B$2:$L$135, 11, FALSE)=1), 1,0))*Coefficients!L$2</f>
        <v>#REF!</v>
      </c>
      <c r="O426" t="e">
        <f t="shared" si="7"/>
        <v>#REF!</v>
      </c>
    </row>
    <row r="427">
      <c r="A427" t="n">
        <f>Coefficients!$A$2</f>
        <v>-3.7765953152866998</v>
      </c>
      <c r="B427" t="e">
        <f>(Games!#REF!)*(-1*Coefficients!$B$2)</f>
        <v>#REF!</v>
      </c>
      <c r="C427" t="e">
        <f>(VLOOKUP(Games!#REF!, Data!$B$2:$L$135, 4, FALSE)-VLOOKUP(Games!#REF!, Data!$B$2:$L$135, 4, FALSE))*Coefficients!$C$2</f>
        <v>#REF!</v>
      </c>
      <c r="D427" t="e">
        <f>(VLOOKUP(Games!#REF!, Data!$B$2:$L$135, 3, FALSE)-VLOOKUP(Games!#REF!, Data!$B$2:$L$135, 3, FALSE))*Coefficients!$D$2</f>
        <v>#REF!</v>
      </c>
      <c r="E427" t="e">
        <f>(VLOOKUP(Games!#REF!, Data!$B$2:$L$135, 5, FALSE)-VLOOKUP(Games!#REF!, Data!$B$2:$L$135, 5, FALSE))*Coefficients!$E$2</f>
        <v>#REF!</v>
      </c>
      <c r="F427" t="e">
        <f>(VLOOKUP(Games!#REF!, Data!$B$2:$L$135, 6, FALSE)-VLOOKUP(Games!#REF!, Data!$B$2:$L$135, 6, FALSE))*Coefficients!$F$2</f>
        <v>#REF!</v>
      </c>
      <c r="G427" t="e">
        <f>(VLOOKUP(Games!#REF!, Data!$B$2:$L$135, 7, FALSE)-VLOOKUP(Games!#REF!, Data!$B$2:$L$135, 7, FALSE))*Coefficients!$G$2</f>
        <v>#REF!</v>
      </c>
      <c r="H427" t="e">
        <f>(VLOOKUP(Games!#REF!, Data!$B$2:$L$135, 8, FALSE)-VLOOKUP(Games!#REF!, Data!$B$2:$L$135, 8, FALSE))*Coefficients!$H$2</f>
        <v>#REF!</v>
      </c>
      <c r="I427" t="e">
        <f>(VLOOKUP(Games!#REF!, Data!$B$2:$L$135, 9, FALSE)-VLOOKUP(Games!#REF!, Data!$B$2:$L$135, 9, FALSE))*Coefficients!$I$2</f>
        <v>#REF!</v>
      </c>
      <c r="J427" t="e">
        <f>IF(ISBLANK(Data!K427), Games!#REF!-Games!#REF!,VLOOKUP(Games!#REF!, Data!$B$2:$L$135, 10, FALSE)-VLOOKUP(Games!#REF!, Data!$B$2:$L$135, 10, FALSE))*Coefficients!$J$2</f>
        <v>#REF!</v>
      </c>
      <c r="K427" t="e">
        <f>(IF(AND(VLOOKUP(Games!#REF!, Data!$B$2:$L$135, 11, FALSE)=1, VLOOKUP(Games!#REF!, Data!$B$2:$L$135, 11, FALSE)&lt;&gt;1), 1,0))*Coefficients!K$2</f>
        <v>#REF!</v>
      </c>
      <c r="L427" t="e">
        <f>(IF(AND(VLOOKUP(Games!#REF!, Data!$B$2:$L$135, 11, FALSE)&lt;&gt;1, VLOOKUP(Games!#REF!, Data!$B$2:$L$135, 11, FALSE)=1), 1,0))*Coefficients!L$2</f>
        <v>#REF!</v>
      </c>
      <c r="O427" t="e">
        <f t="shared" si="7"/>
        <v>#REF!</v>
      </c>
    </row>
    <row r="428">
      <c r="A428" t="n">
        <f>Coefficients!$A$2</f>
        <v>-3.7765953152866998</v>
      </c>
      <c r="B428" t="e">
        <f>(Games!#REF!)*(-1*Coefficients!$B$2)</f>
        <v>#REF!</v>
      </c>
      <c r="C428" t="e">
        <f>(VLOOKUP(Games!#REF!, Data!$B$2:$L$135, 4, FALSE)-VLOOKUP(Games!#REF!, Data!$B$2:$L$135, 4, FALSE))*Coefficients!$C$2</f>
        <v>#REF!</v>
      </c>
      <c r="D428" t="e">
        <f>(VLOOKUP(Games!#REF!, Data!$B$2:$L$135, 3, FALSE)-VLOOKUP(Games!#REF!, Data!$B$2:$L$135, 3, FALSE))*Coefficients!$D$2</f>
        <v>#REF!</v>
      </c>
      <c r="E428" t="e">
        <f>(VLOOKUP(Games!#REF!, Data!$B$2:$L$135, 5, FALSE)-VLOOKUP(Games!#REF!, Data!$B$2:$L$135, 5, FALSE))*Coefficients!$E$2</f>
        <v>#REF!</v>
      </c>
      <c r="F428" t="e">
        <f>(VLOOKUP(Games!#REF!, Data!$B$2:$L$135, 6, FALSE)-VLOOKUP(Games!#REF!, Data!$B$2:$L$135, 6, FALSE))*Coefficients!$F$2</f>
        <v>#REF!</v>
      </c>
      <c r="G428" t="e">
        <f>(VLOOKUP(Games!#REF!, Data!$B$2:$L$135, 7, FALSE)-VLOOKUP(Games!#REF!, Data!$B$2:$L$135, 7, FALSE))*Coefficients!$G$2</f>
        <v>#REF!</v>
      </c>
      <c r="H428" t="e">
        <f>(VLOOKUP(Games!#REF!, Data!$B$2:$L$135, 8, FALSE)-VLOOKUP(Games!#REF!, Data!$B$2:$L$135, 8, FALSE))*Coefficients!$H$2</f>
        <v>#REF!</v>
      </c>
      <c r="I428" t="e">
        <f>(VLOOKUP(Games!#REF!, Data!$B$2:$L$135, 9, FALSE)-VLOOKUP(Games!#REF!, Data!$B$2:$L$135, 9, FALSE))*Coefficients!$I$2</f>
        <v>#REF!</v>
      </c>
      <c r="J428" t="e">
        <f>IF(ISBLANK(Data!K428), Games!#REF!-Games!#REF!,VLOOKUP(Games!#REF!, Data!$B$2:$L$135, 10, FALSE)-VLOOKUP(Games!#REF!, Data!$B$2:$L$135, 10, FALSE))*Coefficients!$J$2</f>
        <v>#REF!</v>
      </c>
      <c r="K428" t="e">
        <f>(IF(AND(VLOOKUP(Games!#REF!, Data!$B$2:$L$135, 11, FALSE)=1, VLOOKUP(Games!#REF!, Data!$B$2:$L$135, 11, FALSE)&lt;&gt;1), 1,0))*Coefficients!K$2</f>
        <v>#REF!</v>
      </c>
      <c r="L428" t="e">
        <f>(IF(AND(VLOOKUP(Games!#REF!, Data!$B$2:$L$135, 11, FALSE)&lt;&gt;1, VLOOKUP(Games!#REF!, Data!$B$2:$L$135, 11, FALSE)=1), 1,0))*Coefficients!L$2</f>
        <v>#REF!</v>
      </c>
      <c r="O428" t="e">
        <f t="shared" si="7"/>
        <v>#REF!</v>
      </c>
    </row>
    <row r="429">
      <c r="A429" t="n">
        <f>Coefficients!$A$2</f>
        <v>-3.7765953152866998</v>
      </c>
      <c r="B429" t="e">
        <f>(Games!#REF!)*(-1*Coefficients!$B$2)</f>
        <v>#REF!</v>
      </c>
      <c r="C429" t="e">
        <f>(VLOOKUP(Games!#REF!, Data!$B$2:$L$135, 4, FALSE)-VLOOKUP(Games!#REF!, Data!$B$2:$L$135, 4, FALSE))*Coefficients!$C$2</f>
        <v>#REF!</v>
      </c>
      <c r="D429" t="e">
        <f>(VLOOKUP(Games!#REF!, Data!$B$2:$L$135, 3, FALSE)-VLOOKUP(Games!#REF!, Data!$B$2:$L$135, 3, FALSE))*Coefficients!$D$2</f>
        <v>#REF!</v>
      </c>
      <c r="E429" t="e">
        <f>(VLOOKUP(Games!#REF!, Data!$B$2:$L$135, 5, FALSE)-VLOOKUP(Games!#REF!, Data!$B$2:$L$135, 5, FALSE))*Coefficients!$E$2</f>
        <v>#REF!</v>
      </c>
      <c r="F429" t="e">
        <f>(VLOOKUP(Games!#REF!, Data!$B$2:$L$135, 6, FALSE)-VLOOKUP(Games!#REF!, Data!$B$2:$L$135, 6, FALSE))*Coefficients!$F$2</f>
        <v>#REF!</v>
      </c>
      <c r="G429" t="e">
        <f>(VLOOKUP(Games!#REF!, Data!$B$2:$L$135, 7, FALSE)-VLOOKUP(Games!#REF!, Data!$B$2:$L$135, 7, FALSE))*Coefficients!$G$2</f>
        <v>#REF!</v>
      </c>
      <c r="H429" t="e">
        <f>(VLOOKUP(Games!#REF!, Data!$B$2:$L$135, 8, FALSE)-VLOOKUP(Games!#REF!, Data!$B$2:$L$135, 8, FALSE))*Coefficients!$H$2</f>
        <v>#REF!</v>
      </c>
      <c r="I429" t="e">
        <f>(VLOOKUP(Games!#REF!, Data!$B$2:$L$135, 9, FALSE)-VLOOKUP(Games!#REF!, Data!$B$2:$L$135, 9, FALSE))*Coefficients!$I$2</f>
        <v>#REF!</v>
      </c>
      <c r="J429" t="e">
        <f>IF(ISBLANK(Data!K429), Games!#REF!-Games!#REF!,VLOOKUP(Games!#REF!, Data!$B$2:$L$135, 10, FALSE)-VLOOKUP(Games!#REF!, Data!$B$2:$L$135, 10, FALSE))*Coefficients!$J$2</f>
        <v>#REF!</v>
      </c>
      <c r="K429" t="e">
        <f>(IF(AND(VLOOKUP(Games!#REF!, Data!$B$2:$L$135, 11, FALSE)=1, VLOOKUP(Games!#REF!, Data!$B$2:$L$135, 11, FALSE)&lt;&gt;1), 1,0))*Coefficients!K$2</f>
        <v>#REF!</v>
      </c>
      <c r="L429" t="e">
        <f>(IF(AND(VLOOKUP(Games!#REF!, Data!$B$2:$L$135, 11, FALSE)&lt;&gt;1, VLOOKUP(Games!#REF!, Data!$B$2:$L$135, 11, FALSE)=1), 1,0))*Coefficients!L$2</f>
        <v>#REF!</v>
      </c>
      <c r="O429" t="e">
        <f t="shared" si="7"/>
        <v>#REF!</v>
      </c>
    </row>
    <row r="430">
      <c r="A430" t="n">
        <f>Coefficients!$A$2</f>
        <v>-3.7765953152866998</v>
      </c>
      <c r="B430" t="e">
        <f>(Games!#REF!)*(-1*Coefficients!$B$2)</f>
        <v>#REF!</v>
      </c>
      <c r="C430" t="e">
        <f>(VLOOKUP(Games!#REF!, Data!$B$2:$L$135, 4, FALSE)-VLOOKUP(Games!#REF!, Data!$B$2:$L$135, 4, FALSE))*Coefficients!$C$2</f>
        <v>#REF!</v>
      </c>
      <c r="D430" t="e">
        <f>(VLOOKUP(Games!#REF!, Data!$B$2:$L$135, 3, FALSE)-VLOOKUP(Games!#REF!, Data!$B$2:$L$135, 3, FALSE))*Coefficients!$D$2</f>
        <v>#REF!</v>
      </c>
      <c r="E430" t="e">
        <f>(VLOOKUP(Games!#REF!, Data!$B$2:$L$135, 5, FALSE)-VLOOKUP(Games!#REF!, Data!$B$2:$L$135, 5, FALSE))*Coefficients!$E$2</f>
        <v>#REF!</v>
      </c>
      <c r="F430" t="e">
        <f>(VLOOKUP(Games!#REF!, Data!$B$2:$L$135, 6, FALSE)-VLOOKUP(Games!#REF!, Data!$B$2:$L$135, 6, FALSE))*Coefficients!$F$2</f>
        <v>#REF!</v>
      </c>
      <c r="G430" t="e">
        <f>(VLOOKUP(Games!#REF!, Data!$B$2:$L$135, 7, FALSE)-VLOOKUP(Games!#REF!, Data!$B$2:$L$135, 7, FALSE))*Coefficients!$G$2</f>
        <v>#REF!</v>
      </c>
      <c r="H430" t="e">
        <f>(VLOOKUP(Games!#REF!, Data!$B$2:$L$135, 8, FALSE)-VLOOKUP(Games!#REF!, Data!$B$2:$L$135, 8, FALSE))*Coefficients!$H$2</f>
        <v>#REF!</v>
      </c>
      <c r="I430" t="e">
        <f>(VLOOKUP(Games!#REF!, Data!$B$2:$L$135, 9, FALSE)-VLOOKUP(Games!#REF!, Data!$B$2:$L$135, 9, FALSE))*Coefficients!$I$2</f>
        <v>#REF!</v>
      </c>
      <c r="J430" t="e">
        <f>IF(ISBLANK(Data!K430), Games!#REF!-Games!#REF!,VLOOKUP(Games!#REF!, Data!$B$2:$L$135, 10, FALSE)-VLOOKUP(Games!#REF!, Data!$B$2:$L$135, 10, FALSE))*Coefficients!$J$2</f>
        <v>#REF!</v>
      </c>
      <c r="K430" t="e">
        <f>(IF(AND(VLOOKUP(Games!#REF!, Data!$B$2:$L$135, 11, FALSE)=1, VLOOKUP(Games!#REF!, Data!$B$2:$L$135, 11, FALSE)&lt;&gt;1), 1,0))*Coefficients!K$2</f>
        <v>#REF!</v>
      </c>
      <c r="L430" t="e">
        <f>(IF(AND(VLOOKUP(Games!#REF!, Data!$B$2:$L$135, 11, FALSE)&lt;&gt;1, VLOOKUP(Games!#REF!, Data!$B$2:$L$135, 11, FALSE)=1), 1,0))*Coefficients!L$2</f>
        <v>#REF!</v>
      </c>
      <c r="O430" t="e">
        <f t="shared" si="7"/>
        <v>#REF!</v>
      </c>
    </row>
    <row r="431">
      <c r="A431" t="n">
        <f>Coefficients!$A$2</f>
        <v>-3.7765953152866998</v>
      </c>
      <c r="B431" t="e">
        <f>(Games!#REF!)*(-1*Coefficients!$B$2)</f>
        <v>#REF!</v>
      </c>
      <c r="C431" t="e">
        <f>(VLOOKUP(Games!#REF!, Data!$B$2:$L$135, 4, FALSE)-VLOOKUP(Games!#REF!, Data!$B$2:$L$135, 4, FALSE))*Coefficients!$C$2</f>
        <v>#REF!</v>
      </c>
      <c r="D431" t="e">
        <f>(VLOOKUP(Games!#REF!, Data!$B$2:$L$135, 3, FALSE)-VLOOKUP(Games!#REF!, Data!$B$2:$L$135, 3, FALSE))*Coefficients!$D$2</f>
        <v>#REF!</v>
      </c>
      <c r="E431" t="e">
        <f>(VLOOKUP(Games!#REF!, Data!$B$2:$L$135, 5, FALSE)-VLOOKUP(Games!#REF!, Data!$B$2:$L$135, 5, FALSE))*Coefficients!$E$2</f>
        <v>#REF!</v>
      </c>
      <c r="F431" t="e">
        <f>(VLOOKUP(Games!#REF!, Data!$B$2:$L$135, 6, FALSE)-VLOOKUP(Games!#REF!, Data!$B$2:$L$135, 6, FALSE))*Coefficients!$F$2</f>
        <v>#REF!</v>
      </c>
      <c r="G431" t="e">
        <f>(VLOOKUP(Games!#REF!, Data!$B$2:$L$135, 7, FALSE)-VLOOKUP(Games!#REF!, Data!$B$2:$L$135, 7, FALSE))*Coefficients!$G$2</f>
        <v>#REF!</v>
      </c>
      <c r="H431" t="e">
        <f>(VLOOKUP(Games!#REF!, Data!$B$2:$L$135, 8, FALSE)-VLOOKUP(Games!#REF!, Data!$B$2:$L$135, 8, FALSE))*Coefficients!$H$2</f>
        <v>#REF!</v>
      </c>
      <c r="I431" t="e">
        <f>(VLOOKUP(Games!#REF!, Data!$B$2:$L$135, 9, FALSE)-VLOOKUP(Games!#REF!, Data!$B$2:$L$135, 9, FALSE))*Coefficients!$I$2</f>
        <v>#REF!</v>
      </c>
      <c r="J431" t="e">
        <f>IF(ISBLANK(Data!K431), Games!#REF!-Games!#REF!,VLOOKUP(Games!#REF!, Data!$B$2:$L$135, 10, FALSE)-VLOOKUP(Games!#REF!, Data!$B$2:$L$135, 10, FALSE))*Coefficients!$J$2</f>
        <v>#REF!</v>
      </c>
      <c r="K431" t="e">
        <f>(IF(AND(VLOOKUP(Games!#REF!, Data!$B$2:$L$135, 11, FALSE)=1, VLOOKUP(Games!#REF!, Data!$B$2:$L$135, 11, FALSE)&lt;&gt;1), 1,0))*Coefficients!K$2</f>
        <v>#REF!</v>
      </c>
      <c r="L431" t="e">
        <f>(IF(AND(VLOOKUP(Games!#REF!, Data!$B$2:$L$135, 11, FALSE)&lt;&gt;1, VLOOKUP(Games!#REF!, Data!$B$2:$L$135, 11, FALSE)=1), 1,0))*Coefficients!L$2</f>
        <v>#REF!</v>
      </c>
      <c r="O431" t="e">
        <f t="shared" si="7"/>
        <v>#REF!</v>
      </c>
    </row>
    <row r="432">
      <c r="A432" t="n">
        <f>Coefficients!$A$2</f>
        <v>-3.7765953152866998</v>
      </c>
      <c r="B432" t="e">
        <f>(Games!#REF!)*(-1*Coefficients!$B$2)</f>
        <v>#REF!</v>
      </c>
      <c r="C432" t="e">
        <f>(VLOOKUP(Games!#REF!, Data!$B$2:$L$135, 4, FALSE)-VLOOKUP(Games!#REF!, Data!$B$2:$L$135, 4, FALSE))*Coefficients!$C$2</f>
        <v>#REF!</v>
      </c>
      <c r="D432" t="e">
        <f>(VLOOKUP(Games!#REF!, Data!$B$2:$L$135, 3, FALSE)-VLOOKUP(Games!#REF!, Data!$B$2:$L$135, 3, FALSE))*Coefficients!$D$2</f>
        <v>#REF!</v>
      </c>
      <c r="E432" t="e">
        <f>(VLOOKUP(Games!#REF!, Data!$B$2:$L$135, 5, FALSE)-VLOOKUP(Games!#REF!, Data!$B$2:$L$135, 5, FALSE))*Coefficients!$E$2</f>
        <v>#REF!</v>
      </c>
      <c r="F432" t="e">
        <f>(VLOOKUP(Games!#REF!, Data!$B$2:$L$135, 6, FALSE)-VLOOKUP(Games!#REF!, Data!$B$2:$L$135, 6, FALSE))*Coefficients!$F$2</f>
        <v>#REF!</v>
      </c>
      <c r="G432" t="e">
        <f>(VLOOKUP(Games!#REF!, Data!$B$2:$L$135, 7, FALSE)-VLOOKUP(Games!#REF!, Data!$B$2:$L$135, 7, FALSE))*Coefficients!$G$2</f>
        <v>#REF!</v>
      </c>
      <c r="H432" t="e">
        <f>(VLOOKUP(Games!#REF!, Data!$B$2:$L$135, 8, FALSE)-VLOOKUP(Games!#REF!, Data!$B$2:$L$135, 8, FALSE))*Coefficients!$H$2</f>
        <v>#REF!</v>
      </c>
      <c r="I432" t="e">
        <f>(VLOOKUP(Games!#REF!, Data!$B$2:$L$135, 9, FALSE)-VLOOKUP(Games!#REF!, Data!$B$2:$L$135, 9, FALSE))*Coefficients!$I$2</f>
        <v>#REF!</v>
      </c>
      <c r="J432" t="e">
        <f>IF(ISBLANK(Data!K432), Games!#REF!-Games!#REF!,VLOOKUP(Games!#REF!, Data!$B$2:$L$135, 10, FALSE)-VLOOKUP(Games!#REF!, Data!$B$2:$L$135, 10, FALSE))*Coefficients!$J$2</f>
        <v>#REF!</v>
      </c>
      <c r="K432" t="e">
        <f>(IF(AND(VLOOKUP(Games!#REF!, Data!$B$2:$L$135, 11, FALSE)=1, VLOOKUP(Games!#REF!, Data!$B$2:$L$135, 11, FALSE)&lt;&gt;1), 1,0))*Coefficients!K$2</f>
        <v>#REF!</v>
      </c>
      <c r="L432" t="e">
        <f>(IF(AND(VLOOKUP(Games!#REF!, Data!$B$2:$L$135, 11, FALSE)&lt;&gt;1, VLOOKUP(Games!#REF!, Data!$B$2:$L$135, 11, FALSE)=1), 1,0))*Coefficients!L$2</f>
        <v>#REF!</v>
      </c>
      <c r="O432" t="e">
        <f t="shared" si="7"/>
        <v>#REF!</v>
      </c>
    </row>
    <row r="433">
      <c r="A433" t="n">
        <f>Coefficients!$A$2</f>
        <v>-3.7765953152866998</v>
      </c>
      <c r="B433" t="e">
        <f>(Games!#REF!)*(-1*Coefficients!$B$2)</f>
        <v>#REF!</v>
      </c>
      <c r="C433" t="e">
        <f>(VLOOKUP(Games!#REF!, Data!$B$2:$L$135, 4, FALSE)-VLOOKUP(Games!#REF!, Data!$B$2:$L$135, 4, FALSE))*Coefficients!$C$2</f>
        <v>#REF!</v>
      </c>
      <c r="D433" t="e">
        <f>(VLOOKUP(Games!#REF!, Data!$B$2:$L$135, 3, FALSE)-VLOOKUP(Games!#REF!, Data!$B$2:$L$135, 3, FALSE))*Coefficients!$D$2</f>
        <v>#REF!</v>
      </c>
      <c r="E433" t="e">
        <f>(VLOOKUP(Games!#REF!, Data!$B$2:$L$135, 5, FALSE)-VLOOKUP(Games!#REF!, Data!$B$2:$L$135, 5, FALSE))*Coefficients!$E$2</f>
        <v>#REF!</v>
      </c>
      <c r="F433" t="e">
        <f>(VLOOKUP(Games!#REF!, Data!$B$2:$L$135, 6, FALSE)-VLOOKUP(Games!#REF!, Data!$B$2:$L$135, 6, FALSE))*Coefficients!$F$2</f>
        <v>#REF!</v>
      </c>
      <c r="G433" t="e">
        <f>(VLOOKUP(Games!#REF!, Data!$B$2:$L$135, 7, FALSE)-VLOOKUP(Games!#REF!, Data!$B$2:$L$135, 7, FALSE))*Coefficients!$G$2</f>
        <v>#REF!</v>
      </c>
      <c r="H433" t="e">
        <f>(VLOOKUP(Games!#REF!, Data!$B$2:$L$135, 8, FALSE)-VLOOKUP(Games!#REF!, Data!$B$2:$L$135, 8, FALSE))*Coefficients!$H$2</f>
        <v>#REF!</v>
      </c>
      <c r="I433" t="e">
        <f>(VLOOKUP(Games!#REF!, Data!$B$2:$L$135, 9, FALSE)-VLOOKUP(Games!#REF!, Data!$B$2:$L$135, 9, FALSE))*Coefficients!$I$2</f>
        <v>#REF!</v>
      </c>
      <c r="J433" t="e">
        <f>IF(ISBLANK(Data!K433), Games!#REF!-Games!#REF!,VLOOKUP(Games!#REF!, Data!$B$2:$L$135, 10, FALSE)-VLOOKUP(Games!#REF!, Data!$B$2:$L$135, 10, FALSE))*Coefficients!$J$2</f>
        <v>#REF!</v>
      </c>
      <c r="K433" t="e">
        <f>(IF(AND(VLOOKUP(Games!#REF!, Data!$B$2:$L$135, 11, FALSE)=1, VLOOKUP(Games!#REF!, Data!$B$2:$L$135, 11, FALSE)&lt;&gt;1), 1,0))*Coefficients!K$2</f>
        <v>#REF!</v>
      </c>
      <c r="L433" t="e">
        <f>(IF(AND(VLOOKUP(Games!#REF!, Data!$B$2:$L$135, 11, FALSE)&lt;&gt;1, VLOOKUP(Games!#REF!, Data!$B$2:$L$135, 11, FALSE)=1), 1,0))*Coefficients!L$2</f>
        <v>#REF!</v>
      </c>
      <c r="O433" t="e">
        <f t="shared" si="7"/>
        <v>#REF!</v>
      </c>
    </row>
    <row r="434">
      <c r="A434" t="n">
        <f>Coefficients!$A$2</f>
        <v>-3.7765953152866998</v>
      </c>
      <c r="B434" t="e">
        <f>(Games!#REF!)*(-1*Coefficients!$B$2)</f>
        <v>#REF!</v>
      </c>
      <c r="C434" t="e">
        <f>(VLOOKUP(Games!#REF!, Data!$B$2:$L$135, 4, FALSE)-VLOOKUP(Games!#REF!, Data!$B$2:$L$135, 4, FALSE))*Coefficients!$C$2</f>
        <v>#REF!</v>
      </c>
      <c r="D434" t="e">
        <f>(VLOOKUP(Games!#REF!, Data!$B$2:$L$135, 3, FALSE)-VLOOKUP(Games!#REF!, Data!$B$2:$L$135, 3, FALSE))*Coefficients!$D$2</f>
        <v>#REF!</v>
      </c>
      <c r="E434" t="e">
        <f>(VLOOKUP(Games!#REF!, Data!$B$2:$L$135, 5, FALSE)-VLOOKUP(Games!#REF!, Data!$B$2:$L$135, 5, FALSE))*Coefficients!$E$2</f>
        <v>#REF!</v>
      </c>
      <c r="F434" t="e">
        <f>(VLOOKUP(Games!#REF!, Data!$B$2:$L$135, 6, FALSE)-VLOOKUP(Games!#REF!, Data!$B$2:$L$135, 6, FALSE))*Coefficients!$F$2</f>
        <v>#REF!</v>
      </c>
      <c r="G434" t="e">
        <f>(VLOOKUP(Games!#REF!, Data!$B$2:$L$135, 7, FALSE)-VLOOKUP(Games!#REF!, Data!$B$2:$L$135, 7, FALSE))*Coefficients!$G$2</f>
        <v>#REF!</v>
      </c>
      <c r="H434" t="e">
        <f>(VLOOKUP(Games!#REF!, Data!$B$2:$L$135, 8, FALSE)-VLOOKUP(Games!#REF!, Data!$B$2:$L$135, 8, FALSE))*Coefficients!$H$2</f>
        <v>#REF!</v>
      </c>
      <c r="I434" t="e">
        <f>(VLOOKUP(Games!#REF!, Data!$B$2:$L$135, 9, FALSE)-VLOOKUP(Games!#REF!, Data!$B$2:$L$135, 9, FALSE))*Coefficients!$I$2</f>
        <v>#REF!</v>
      </c>
      <c r="J434" t="e">
        <f>IF(ISBLANK(Data!K434), Games!#REF!-Games!#REF!,VLOOKUP(Games!#REF!, Data!$B$2:$L$135, 10, FALSE)-VLOOKUP(Games!#REF!, Data!$B$2:$L$135, 10, FALSE))*Coefficients!$J$2</f>
        <v>#REF!</v>
      </c>
      <c r="K434" t="e">
        <f>(IF(AND(VLOOKUP(Games!#REF!, Data!$B$2:$L$135, 11, FALSE)=1, VLOOKUP(Games!#REF!, Data!$B$2:$L$135, 11, FALSE)&lt;&gt;1), 1,0))*Coefficients!K$2</f>
        <v>#REF!</v>
      </c>
      <c r="L434" t="e">
        <f>(IF(AND(VLOOKUP(Games!#REF!, Data!$B$2:$L$135, 11, FALSE)&lt;&gt;1, VLOOKUP(Games!#REF!, Data!$B$2:$L$135, 11, FALSE)=1), 1,0))*Coefficients!L$2</f>
        <v>#REF!</v>
      </c>
      <c r="O434" t="e">
        <f t="shared" si="7"/>
        <v>#REF!</v>
      </c>
    </row>
    <row r="435">
      <c r="A435" t="n">
        <f>Coefficients!$A$2</f>
        <v>-3.7765953152866998</v>
      </c>
      <c r="B435" t="e">
        <f>(Games!#REF!)*(-1*Coefficients!$B$2)</f>
        <v>#REF!</v>
      </c>
      <c r="C435" t="e">
        <f>(VLOOKUP(Games!#REF!, Data!$B$2:$L$135, 4, FALSE)-VLOOKUP(Games!#REF!, Data!$B$2:$L$135, 4, FALSE))*Coefficients!$C$2</f>
        <v>#REF!</v>
      </c>
      <c r="D435" t="e">
        <f>(VLOOKUP(Games!#REF!, Data!$B$2:$L$135, 3, FALSE)-VLOOKUP(Games!#REF!, Data!$B$2:$L$135, 3, FALSE))*Coefficients!$D$2</f>
        <v>#REF!</v>
      </c>
      <c r="E435" t="e">
        <f>(VLOOKUP(Games!#REF!, Data!$B$2:$L$135, 5, FALSE)-VLOOKUP(Games!#REF!, Data!$B$2:$L$135, 5, FALSE))*Coefficients!$E$2</f>
        <v>#REF!</v>
      </c>
      <c r="F435" t="e">
        <f>(VLOOKUP(Games!#REF!, Data!$B$2:$L$135, 6, FALSE)-VLOOKUP(Games!#REF!, Data!$B$2:$L$135, 6, FALSE))*Coefficients!$F$2</f>
        <v>#REF!</v>
      </c>
      <c r="G435" t="e">
        <f>(VLOOKUP(Games!#REF!, Data!$B$2:$L$135, 7, FALSE)-VLOOKUP(Games!#REF!, Data!$B$2:$L$135, 7, FALSE))*Coefficients!$G$2</f>
        <v>#REF!</v>
      </c>
      <c r="H435" t="e">
        <f>(VLOOKUP(Games!#REF!, Data!$B$2:$L$135, 8, FALSE)-VLOOKUP(Games!#REF!, Data!$B$2:$L$135, 8, FALSE))*Coefficients!$H$2</f>
        <v>#REF!</v>
      </c>
      <c r="I435" t="e">
        <f>(VLOOKUP(Games!#REF!, Data!$B$2:$L$135, 9, FALSE)-VLOOKUP(Games!#REF!, Data!$B$2:$L$135, 9, FALSE))*Coefficients!$I$2</f>
        <v>#REF!</v>
      </c>
      <c r="J435" t="e">
        <f>IF(ISBLANK(Data!K435), Games!#REF!-Games!#REF!,VLOOKUP(Games!#REF!, Data!$B$2:$L$135, 10, FALSE)-VLOOKUP(Games!#REF!, Data!$B$2:$L$135, 10, FALSE))*Coefficients!$J$2</f>
        <v>#REF!</v>
      </c>
      <c r="K435" t="e">
        <f>(IF(AND(VLOOKUP(Games!#REF!, Data!$B$2:$L$135, 11, FALSE)=1, VLOOKUP(Games!#REF!, Data!$B$2:$L$135, 11, FALSE)&lt;&gt;1), 1,0))*Coefficients!K$2</f>
        <v>#REF!</v>
      </c>
      <c r="L435" t="e">
        <f>(IF(AND(VLOOKUP(Games!#REF!, Data!$B$2:$L$135, 11, FALSE)&lt;&gt;1, VLOOKUP(Games!#REF!, Data!$B$2:$L$135, 11, FALSE)=1), 1,0))*Coefficients!L$2</f>
        <v>#REF!</v>
      </c>
      <c r="O435" t="e">
        <f t="shared" si="7"/>
        <v>#REF!</v>
      </c>
    </row>
    <row r="436">
      <c r="A436" t="n">
        <f>Coefficients!$A$2</f>
        <v>-3.7765953152866998</v>
      </c>
      <c r="B436" t="e">
        <f>(Games!#REF!)*(-1*Coefficients!$B$2)</f>
        <v>#REF!</v>
      </c>
      <c r="C436" t="e">
        <f>(VLOOKUP(Games!#REF!, Data!$B$2:$L$135, 4, FALSE)-VLOOKUP(Games!#REF!, Data!$B$2:$L$135, 4, FALSE))*Coefficients!$C$2</f>
        <v>#REF!</v>
      </c>
      <c r="D436" t="e">
        <f>(VLOOKUP(Games!#REF!, Data!$B$2:$L$135, 3, FALSE)-VLOOKUP(Games!#REF!, Data!$B$2:$L$135, 3, FALSE))*Coefficients!$D$2</f>
        <v>#REF!</v>
      </c>
      <c r="E436" t="e">
        <f>(VLOOKUP(Games!#REF!, Data!$B$2:$L$135, 5, FALSE)-VLOOKUP(Games!#REF!, Data!$B$2:$L$135, 5, FALSE))*Coefficients!$E$2</f>
        <v>#REF!</v>
      </c>
      <c r="F436" t="e">
        <f>(VLOOKUP(Games!#REF!, Data!$B$2:$L$135, 6, FALSE)-VLOOKUP(Games!#REF!, Data!$B$2:$L$135, 6, FALSE))*Coefficients!$F$2</f>
        <v>#REF!</v>
      </c>
      <c r="G436" t="e">
        <f>(VLOOKUP(Games!#REF!, Data!$B$2:$L$135, 7, FALSE)-VLOOKUP(Games!#REF!, Data!$B$2:$L$135, 7, FALSE))*Coefficients!$G$2</f>
        <v>#REF!</v>
      </c>
      <c r="H436" t="e">
        <f>(VLOOKUP(Games!#REF!, Data!$B$2:$L$135, 8, FALSE)-VLOOKUP(Games!#REF!, Data!$B$2:$L$135, 8, FALSE))*Coefficients!$H$2</f>
        <v>#REF!</v>
      </c>
      <c r="I436" t="e">
        <f>(VLOOKUP(Games!#REF!, Data!$B$2:$L$135, 9, FALSE)-VLOOKUP(Games!#REF!, Data!$B$2:$L$135, 9, FALSE))*Coefficients!$I$2</f>
        <v>#REF!</v>
      </c>
      <c r="J436" t="e">
        <f>IF(ISBLANK(Data!K436), Games!#REF!-Games!#REF!,VLOOKUP(Games!#REF!, Data!$B$2:$L$135, 10, FALSE)-VLOOKUP(Games!#REF!, Data!$B$2:$L$135, 10, FALSE))*Coefficients!$J$2</f>
        <v>#REF!</v>
      </c>
      <c r="K436" t="e">
        <f>(IF(AND(VLOOKUP(Games!#REF!, Data!$B$2:$L$135, 11, FALSE)=1, VLOOKUP(Games!#REF!, Data!$B$2:$L$135, 11, FALSE)&lt;&gt;1), 1,0))*Coefficients!K$2</f>
        <v>#REF!</v>
      </c>
      <c r="L436" t="e">
        <f>(IF(AND(VLOOKUP(Games!#REF!, Data!$B$2:$L$135, 11, FALSE)&lt;&gt;1, VLOOKUP(Games!#REF!, Data!$B$2:$L$135, 11, FALSE)=1), 1,0))*Coefficients!L$2</f>
        <v>#REF!</v>
      </c>
      <c r="O436" t="e">
        <f t="shared" si="7"/>
        <v>#REF!</v>
      </c>
    </row>
    <row r="437">
      <c r="A437" t="n">
        <f>Coefficients!$A$2</f>
        <v>-3.7765953152866998</v>
      </c>
      <c r="B437" t="e">
        <f>(Games!#REF!)*(-1*Coefficients!$B$2)</f>
        <v>#REF!</v>
      </c>
      <c r="C437" t="e">
        <f>(VLOOKUP(Games!#REF!, Data!$B$2:$L$135, 4, FALSE)-VLOOKUP(Games!#REF!, Data!$B$2:$L$135, 4, FALSE))*Coefficients!$C$2</f>
        <v>#REF!</v>
      </c>
      <c r="D437" t="e">
        <f>(VLOOKUP(Games!#REF!, Data!$B$2:$L$135, 3, FALSE)-VLOOKUP(Games!#REF!, Data!$B$2:$L$135, 3, FALSE))*Coefficients!$D$2</f>
        <v>#REF!</v>
      </c>
      <c r="E437" t="e">
        <f>(VLOOKUP(Games!#REF!, Data!$B$2:$L$135, 5, FALSE)-VLOOKUP(Games!#REF!, Data!$B$2:$L$135, 5, FALSE))*Coefficients!$E$2</f>
        <v>#REF!</v>
      </c>
      <c r="F437" t="e">
        <f>(VLOOKUP(Games!#REF!, Data!$B$2:$L$135, 6, FALSE)-VLOOKUP(Games!#REF!, Data!$B$2:$L$135, 6, FALSE))*Coefficients!$F$2</f>
        <v>#REF!</v>
      </c>
      <c r="G437" t="e">
        <f>(VLOOKUP(Games!#REF!, Data!$B$2:$L$135, 7, FALSE)-VLOOKUP(Games!#REF!, Data!$B$2:$L$135, 7, FALSE))*Coefficients!$G$2</f>
        <v>#REF!</v>
      </c>
      <c r="H437" t="e">
        <f>(VLOOKUP(Games!#REF!, Data!$B$2:$L$135, 8, FALSE)-VLOOKUP(Games!#REF!, Data!$B$2:$L$135, 8, FALSE))*Coefficients!$H$2</f>
        <v>#REF!</v>
      </c>
      <c r="I437" t="e">
        <f>(VLOOKUP(Games!#REF!, Data!$B$2:$L$135, 9, FALSE)-VLOOKUP(Games!#REF!, Data!$B$2:$L$135, 9, FALSE))*Coefficients!$I$2</f>
        <v>#REF!</v>
      </c>
      <c r="J437" t="e">
        <f>IF(ISBLANK(Data!K437), Games!#REF!-Games!#REF!,VLOOKUP(Games!#REF!, Data!$B$2:$L$135, 10, FALSE)-VLOOKUP(Games!#REF!, Data!$B$2:$L$135, 10, FALSE))*Coefficients!$J$2</f>
        <v>#REF!</v>
      </c>
      <c r="K437" t="e">
        <f>(IF(AND(VLOOKUP(Games!#REF!, Data!$B$2:$L$135, 11, FALSE)=1, VLOOKUP(Games!#REF!, Data!$B$2:$L$135, 11, FALSE)&lt;&gt;1), 1,0))*Coefficients!K$2</f>
        <v>#REF!</v>
      </c>
      <c r="L437" t="e">
        <f>(IF(AND(VLOOKUP(Games!#REF!, Data!$B$2:$L$135, 11, FALSE)&lt;&gt;1, VLOOKUP(Games!#REF!, Data!$B$2:$L$135, 11, FALSE)=1), 1,0))*Coefficients!L$2</f>
        <v>#REF!</v>
      </c>
      <c r="O437" t="e">
        <f t="shared" si="7"/>
        <v>#REF!</v>
      </c>
    </row>
    <row r="438">
      <c r="A438" t="n">
        <f>Coefficients!$A$2</f>
        <v>-3.7765953152866998</v>
      </c>
      <c r="B438" t="e">
        <f>(Games!#REF!)*(-1*Coefficients!$B$2)</f>
        <v>#REF!</v>
      </c>
      <c r="C438" t="e">
        <f>(VLOOKUP(Games!#REF!, Data!$B$2:$L$135, 4, FALSE)-VLOOKUP(Games!#REF!, Data!$B$2:$L$135, 4, FALSE))*Coefficients!$C$2</f>
        <v>#REF!</v>
      </c>
      <c r="D438" t="e">
        <f>(VLOOKUP(Games!#REF!, Data!$B$2:$L$135, 3, FALSE)-VLOOKUP(Games!#REF!, Data!$B$2:$L$135, 3, FALSE))*Coefficients!$D$2</f>
        <v>#REF!</v>
      </c>
      <c r="E438" t="e">
        <f>(VLOOKUP(Games!#REF!, Data!$B$2:$L$135, 5, FALSE)-VLOOKUP(Games!#REF!, Data!$B$2:$L$135, 5, FALSE))*Coefficients!$E$2</f>
        <v>#REF!</v>
      </c>
      <c r="F438" t="e">
        <f>(VLOOKUP(Games!#REF!, Data!$B$2:$L$135, 6, FALSE)-VLOOKUP(Games!#REF!, Data!$B$2:$L$135, 6, FALSE))*Coefficients!$F$2</f>
        <v>#REF!</v>
      </c>
      <c r="G438" t="e">
        <f>(VLOOKUP(Games!#REF!, Data!$B$2:$L$135, 7, FALSE)-VLOOKUP(Games!#REF!, Data!$B$2:$L$135, 7, FALSE))*Coefficients!$G$2</f>
        <v>#REF!</v>
      </c>
      <c r="H438" t="e">
        <f>(VLOOKUP(Games!#REF!, Data!$B$2:$L$135, 8, FALSE)-VLOOKUP(Games!#REF!, Data!$B$2:$L$135, 8, FALSE))*Coefficients!$H$2</f>
        <v>#REF!</v>
      </c>
      <c r="I438" t="e">
        <f>(VLOOKUP(Games!#REF!, Data!$B$2:$L$135, 9, FALSE)-VLOOKUP(Games!#REF!, Data!$B$2:$L$135, 9, FALSE))*Coefficients!$I$2</f>
        <v>#REF!</v>
      </c>
      <c r="J438" t="e">
        <f>IF(ISBLANK(Data!K438), Games!#REF!-Games!#REF!,VLOOKUP(Games!#REF!, Data!$B$2:$L$135, 10, FALSE)-VLOOKUP(Games!#REF!, Data!$B$2:$L$135, 10, FALSE))*Coefficients!$J$2</f>
        <v>#REF!</v>
      </c>
      <c r="K438" t="e">
        <f>(IF(AND(VLOOKUP(Games!#REF!, Data!$B$2:$L$135, 11, FALSE)=1, VLOOKUP(Games!#REF!, Data!$B$2:$L$135, 11, FALSE)&lt;&gt;1), 1,0))*Coefficients!K$2</f>
        <v>#REF!</v>
      </c>
      <c r="L438" t="e">
        <f>(IF(AND(VLOOKUP(Games!#REF!, Data!$B$2:$L$135, 11, FALSE)&lt;&gt;1, VLOOKUP(Games!#REF!, Data!$B$2:$L$135, 11, FALSE)=1), 1,0))*Coefficients!L$2</f>
        <v>#REF!</v>
      </c>
      <c r="O438" t="e">
        <f t="shared" si="7"/>
        <v>#REF!</v>
      </c>
    </row>
    <row r="439">
      <c r="A439" t="n">
        <f>Coefficients!$A$2</f>
        <v>-3.7765953152866998</v>
      </c>
      <c r="B439" t="e">
        <f>(Games!#REF!)*(-1*Coefficients!$B$2)</f>
        <v>#REF!</v>
      </c>
      <c r="C439" t="e">
        <f>(VLOOKUP(Games!#REF!, Data!$B$2:$L$135, 4, FALSE)-VLOOKUP(Games!#REF!, Data!$B$2:$L$135, 4, FALSE))*Coefficients!$C$2</f>
        <v>#REF!</v>
      </c>
      <c r="D439" t="e">
        <f>(VLOOKUP(Games!#REF!, Data!$B$2:$L$135, 3, FALSE)-VLOOKUP(Games!#REF!, Data!$B$2:$L$135, 3, FALSE))*Coefficients!$D$2</f>
        <v>#REF!</v>
      </c>
      <c r="E439" t="e">
        <f>(VLOOKUP(Games!#REF!, Data!$B$2:$L$135, 5, FALSE)-VLOOKUP(Games!#REF!, Data!$B$2:$L$135, 5, FALSE))*Coefficients!$E$2</f>
        <v>#REF!</v>
      </c>
      <c r="F439" t="e">
        <f>(VLOOKUP(Games!#REF!, Data!$B$2:$L$135, 6, FALSE)-VLOOKUP(Games!#REF!, Data!$B$2:$L$135, 6, FALSE))*Coefficients!$F$2</f>
        <v>#REF!</v>
      </c>
      <c r="G439" t="e">
        <f>(VLOOKUP(Games!#REF!, Data!$B$2:$L$135, 7, FALSE)-VLOOKUP(Games!#REF!, Data!$B$2:$L$135, 7, FALSE))*Coefficients!$G$2</f>
        <v>#REF!</v>
      </c>
      <c r="H439" t="e">
        <f>(VLOOKUP(Games!#REF!, Data!$B$2:$L$135, 8, FALSE)-VLOOKUP(Games!#REF!, Data!$B$2:$L$135, 8, FALSE))*Coefficients!$H$2</f>
        <v>#REF!</v>
      </c>
      <c r="I439" t="e">
        <f>(VLOOKUP(Games!#REF!, Data!$B$2:$L$135, 9, FALSE)-VLOOKUP(Games!#REF!, Data!$B$2:$L$135, 9, FALSE))*Coefficients!$I$2</f>
        <v>#REF!</v>
      </c>
      <c r="J439" t="e">
        <f>IF(ISBLANK(Data!K439), Games!#REF!-Games!#REF!,VLOOKUP(Games!#REF!, Data!$B$2:$L$135, 10, FALSE)-VLOOKUP(Games!#REF!, Data!$B$2:$L$135, 10, FALSE))*Coefficients!$J$2</f>
        <v>#REF!</v>
      </c>
      <c r="K439" t="e">
        <f>(IF(AND(VLOOKUP(Games!#REF!, Data!$B$2:$L$135, 11, FALSE)=1, VLOOKUP(Games!#REF!, Data!$B$2:$L$135, 11, FALSE)&lt;&gt;1), 1,0))*Coefficients!K$2</f>
        <v>#REF!</v>
      </c>
      <c r="L439" t="e">
        <f>(IF(AND(VLOOKUP(Games!#REF!, Data!$B$2:$L$135, 11, FALSE)&lt;&gt;1, VLOOKUP(Games!#REF!, Data!$B$2:$L$135, 11, FALSE)=1), 1,0))*Coefficients!L$2</f>
        <v>#REF!</v>
      </c>
      <c r="O439" t="e">
        <f t="shared" si="7"/>
        <v>#REF!</v>
      </c>
    </row>
    <row r="440">
      <c r="A440" t="n">
        <f>Coefficients!$A$2</f>
        <v>-3.7765953152866998</v>
      </c>
      <c r="B440" t="e">
        <f>(Games!#REF!)*(-1*Coefficients!$B$2)</f>
        <v>#REF!</v>
      </c>
      <c r="C440" t="e">
        <f>(VLOOKUP(Games!#REF!, Data!$B$2:$L$135, 4, FALSE)-VLOOKUP(Games!#REF!, Data!$B$2:$L$135, 4, FALSE))*Coefficients!$C$2</f>
        <v>#REF!</v>
      </c>
      <c r="D440" t="e">
        <f>(VLOOKUP(Games!#REF!, Data!$B$2:$L$135, 3, FALSE)-VLOOKUP(Games!#REF!, Data!$B$2:$L$135, 3, FALSE))*Coefficients!$D$2</f>
        <v>#REF!</v>
      </c>
      <c r="E440" t="e">
        <f>(VLOOKUP(Games!#REF!, Data!$B$2:$L$135, 5, FALSE)-VLOOKUP(Games!#REF!, Data!$B$2:$L$135, 5, FALSE))*Coefficients!$E$2</f>
        <v>#REF!</v>
      </c>
      <c r="F440" t="e">
        <f>(VLOOKUP(Games!#REF!, Data!$B$2:$L$135, 6, FALSE)-VLOOKUP(Games!#REF!, Data!$B$2:$L$135, 6, FALSE))*Coefficients!$F$2</f>
        <v>#REF!</v>
      </c>
      <c r="G440" t="e">
        <f>(VLOOKUP(Games!#REF!, Data!$B$2:$L$135, 7, FALSE)-VLOOKUP(Games!#REF!, Data!$B$2:$L$135, 7, FALSE))*Coefficients!$G$2</f>
        <v>#REF!</v>
      </c>
      <c r="H440" t="e">
        <f>(VLOOKUP(Games!#REF!, Data!$B$2:$L$135, 8, FALSE)-VLOOKUP(Games!#REF!, Data!$B$2:$L$135, 8, FALSE))*Coefficients!$H$2</f>
        <v>#REF!</v>
      </c>
      <c r="I440" t="e">
        <f>(VLOOKUP(Games!#REF!, Data!$B$2:$L$135, 9, FALSE)-VLOOKUP(Games!#REF!, Data!$B$2:$L$135, 9, FALSE))*Coefficients!$I$2</f>
        <v>#REF!</v>
      </c>
      <c r="J440" t="e">
        <f>IF(ISBLANK(Data!K440), Games!#REF!-Games!#REF!,VLOOKUP(Games!#REF!, Data!$B$2:$L$135, 10, FALSE)-VLOOKUP(Games!#REF!, Data!$B$2:$L$135, 10, FALSE))*Coefficients!$J$2</f>
        <v>#REF!</v>
      </c>
      <c r="K440" t="e">
        <f>(IF(AND(VLOOKUP(Games!#REF!, Data!$B$2:$L$135, 11, FALSE)=1, VLOOKUP(Games!#REF!, Data!$B$2:$L$135, 11, FALSE)&lt;&gt;1), 1,0))*Coefficients!K$2</f>
        <v>#REF!</v>
      </c>
      <c r="L440" t="e">
        <f>(IF(AND(VLOOKUP(Games!#REF!, Data!$B$2:$L$135, 11, FALSE)&lt;&gt;1, VLOOKUP(Games!#REF!, Data!$B$2:$L$135, 11, FALSE)=1), 1,0))*Coefficients!L$2</f>
        <v>#REF!</v>
      </c>
      <c r="O440" t="e">
        <f t="shared" si="7"/>
        <v>#REF!</v>
      </c>
    </row>
    <row r="441">
      <c r="A441" t="n">
        <f>Coefficients!$A$2</f>
        <v>-3.7765953152866998</v>
      </c>
      <c r="B441" t="e">
        <f>(Games!#REF!)*(-1*Coefficients!$B$2)</f>
        <v>#REF!</v>
      </c>
      <c r="C441" t="e">
        <f>(VLOOKUP(Games!#REF!, Data!$B$2:$L$135, 4, FALSE)-VLOOKUP(Games!#REF!, Data!$B$2:$L$135, 4, FALSE))*Coefficients!$C$2</f>
        <v>#REF!</v>
      </c>
      <c r="D441" t="e">
        <f>(VLOOKUP(Games!#REF!, Data!$B$2:$L$135, 3, FALSE)-VLOOKUP(Games!#REF!, Data!$B$2:$L$135, 3, FALSE))*Coefficients!$D$2</f>
        <v>#REF!</v>
      </c>
      <c r="E441" t="e">
        <f>(VLOOKUP(Games!#REF!, Data!$B$2:$L$135, 5, FALSE)-VLOOKUP(Games!#REF!, Data!$B$2:$L$135, 5, FALSE))*Coefficients!$E$2</f>
        <v>#REF!</v>
      </c>
      <c r="F441" t="e">
        <f>(VLOOKUP(Games!#REF!, Data!$B$2:$L$135, 6, FALSE)-VLOOKUP(Games!#REF!, Data!$B$2:$L$135, 6, FALSE))*Coefficients!$F$2</f>
        <v>#REF!</v>
      </c>
      <c r="G441" t="e">
        <f>(VLOOKUP(Games!#REF!, Data!$B$2:$L$135, 7, FALSE)-VLOOKUP(Games!#REF!, Data!$B$2:$L$135, 7, FALSE))*Coefficients!$G$2</f>
        <v>#REF!</v>
      </c>
      <c r="H441" t="e">
        <f>(VLOOKUP(Games!#REF!, Data!$B$2:$L$135, 8, FALSE)-VLOOKUP(Games!#REF!, Data!$B$2:$L$135, 8, FALSE))*Coefficients!$H$2</f>
        <v>#REF!</v>
      </c>
      <c r="I441" t="e">
        <f>(VLOOKUP(Games!#REF!, Data!$B$2:$L$135, 9, FALSE)-VLOOKUP(Games!#REF!, Data!$B$2:$L$135, 9, FALSE))*Coefficients!$I$2</f>
        <v>#REF!</v>
      </c>
      <c r="J441" t="e">
        <f>IF(ISBLANK(Data!K441), Games!#REF!-Games!#REF!,VLOOKUP(Games!#REF!, Data!$B$2:$L$135, 10, FALSE)-VLOOKUP(Games!#REF!, Data!$B$2:$L$135, 10, FALSE))*Coefficients!$J$2</f>
        <v>#REF!</v>
      </c>
      <c r="K441" t="e">
        <f>(IF(AND(VLOOKUP(Games!#REF!, Data!$B$2:$L$135, 11, FALSE)=1, VLOOKUP(Games!#REF!, Data!$B$2:$L$135, 11, FALSE)&lt;&gt;1), 1,0))*Coefficients!K$2</f>
        <v>#REF!</v>
      </c>
      <c r="L441" t="e">
        <f>(IF(AND(VLOOKUP(Games!#REF!, Data!$B$2:$L$135, 11, FALSE)&lt;&gt;1, VLOOKUP(Games!#REF!, Data!$B$2:$L$135, 11, FALSE)=1), 1,0))*Coefficients!L$2</f>
        <v>#REF!</v>
      </c>
      <c r="O441" t="e">
        <f t="shared" si="7"/>
        <v>#REF!</v>
      </c>
    </row>
    <row r="442">
      <c r="A442" t="n">
        <f>Coefficients!$A$2</f>
        <v>-3.7765953152866998</v>
      </c>
      <c r="B442" t="e">
        <f>(Games!#REF!)*(-1*Coefficients!$B$2)</f>
        <v>#REF!</v>
      </c>
      <c r="C442" t="e">
        <f>(VLOOKUP(Games!#REF!, Data!$B$2:$L$135, 4, FALSE)-VLOOKUP(Games!#REF!, Data!$B$2:$L$135, 4, FALSE))*Coefficients!$C$2</f>
        <v>#REF!</v>
      </c>
      <c r="D442" t="e">
        <f>(VLOOKUP(Games!#REF!, Data!$B$2:$L$135, 3, FALSE)-VLOOKUP(Games!#REF!, Data!$B$2:$L$135, 3, FALSE))*Coefficients!$D$2</f>
        <v>#REF!</v>
      </c>
      <c r="E442" t="e">
        <f>(VLOOKUP(Games!#REF!, Data!$B$2:$L$135, 5, FALSE)-VLOOKUP(Games!#REF!, Data!$B$2:$L$135, 5, FALSE))*Coefficients!$E$2</f>
        <v>#REF!</v>
      </c>
      <c r="F442" t="e">
        <f>(VLOOKUP(Games!#REF!, Data!$B$2:$L$135, 6, FALSE)-VLOOKUP(Games!#REF!, Data!$B$2:$L$135, 6, FALSE))*Coefficients!$F$2</f>
        <v>#REF!</v>
      </c>
      <c r="G442" t="e">
        <f>(VLOOKUP(Games!#REF!, Data!$B$2:$L$135, 7, FALSE)-VLOOKUP(Games!#REF!, Data!$B$2:$L$135, 7, FALSE))*Coefficients!$G$2</f>
        <v>#REF!</v>
      </c>
      <c r="H442" t="e">
        <f>(VLOOKUP(Games!#REF!, Data!$B$2:$L$135, 8, FALSE)-VLOOKUP(Games!#REF!, Data!$B$2:$L$135, 8, FALSE))*Coefficients!$H$2</f>
        <v>#REF!</v>
      </c>
      <c r="I442" t="e">
        <f>(VLOOKUP(Games!#REF!, Data!$B$2:$L$135, 9, FALSE)-VLOOKUP(Games!#REF!, Data!$B$2:$L$135, 9, FALSE))*Coefficients!$I$2</f>
        <v>#REF!</v>
      </c>
      <c r="J442" t="e">
        <f>IF(ISBLANK(Data!K442), Games!#REF!-Games!#REF!,VLOOKUP(Games!#REF!, Data!$B$2:$L$135, 10, FALSE)-VLOOKUP(Games!#REF!, Data!$B$2:$L$135, 10, FALSE))*Coefficients!$J$2</f>
        <v>#REF!</v>
      </c>
      <c r="K442" t="e">
        <f>(IF(AND(VLOOKUP(Games!#REF!, Data!$B$2:$L$135, 11, FALSE)=1, VLOOKUP(Games!#REF!, Data!$B$2:$L$135, 11, FALSE)&lt;&gt;1), 1,0))*Coefficients!K$2</f>
        <v>#REF!</v>
      </c>
      <c r="L442" t="e">
        <f>(IF(AND(VLOOKUP(Games!#REF!, Data!$B$2:$L$135, 11, FALSE)&lt;&gt;1, VLOOKUP(Games!#REF!, Data!$B$2:$L$135, 11, FALSE)=1), 1,0))*Coefficients!L$2</f>
        <v>#REF!</v>
      </c>
      <c r="O442" t="e">
        <f t="shared" si="7"/>
        <v>#REF!</v>
      </c>
    </row>
    <row r="443">
      <c r="A443" t="n">
        <f>Coefficients!$A$2</f>
        <v>-3.7765953152866998</v>
      </c>
      <c r="B443" t="e">
        <f>(Games!#REF!)*(-1*Coefficients!$B$2)</f>
        <v>#REF!</v>
      </c>
      <c r="C443" t="e">
        <f>(VLOOKUP(Games!#REF!, Data!$B$2:$L$135, 4, FALSE)-VLOOKUP(Games!#REF!, Data!$B$2:$L$135, 4, FALSE))*Coefficients!$C$2</f>
        <v>#REF!</v>
      </c>
      <c r="D443" t="e">
        <f>(VLOOKUP(Games!#REF!, Data!$B$2:$L$135, 3, FALSE)-VLOOKUP(Games!#REF!, Data!$B$2:$L$135, 3, FALSE))*Coefficients!$D$2</f>
        <v>#REF!</v>
      </c>
      <c r="E443" t="e">
        <f>(VLOOKUP(Games!#REF!, Data!$B$2:$L$135, 5, FALSE)-VLOOKUP(Games!#REF!, Data!$B$2:$L$135, 5, FALSE))*Coefficients!$E$2</f>
        <v>#REF!</v>
      </c>
      <c r="F443" t="e">
        <f>(VLOOKUP(Games!#REF!, Data!$B$2:$L$135, 6, FALSE)-VLOOKUP(Games!#REF!, Data!$B$2:$L$135, 6, FALSE))*Coefficients!$F$2</f>
        <v>#REF!</v>
      </c>
      <c r="G443" t="e">
        <f>(VLOOKUP(Games!#REF!, Data!$B$2:$L$135, 7, FALSE)-VLOOKUP(Games!#REF!, Data!$B$2:$L$135, 7, FALSE))*Coefficients!$G$2</f>
        <v>#REF!</v>
      </c>
      <c r="H443" t="e">
        <f>(VLOOKUP(Games!#REF!, Data!$B$2:$L$135, 8, FALSE)-VLOOKUP(Games!#REF!, Data!$B$2:$L$135, 8, FALSE))*Coefficients!$H$2</f>
        <v>#REF!</v>
      </c>
      <c r="I443" t="e">
        <f>(VLOOKUP(Games!#REF!, Data!$B$2:$L$135, 9, FALSE)-VLOOKUP(Games!#REF!, Data!$B$2:$L$135, 9, FALSE))*Coefficients!$I$2</f>
        <v>#REF!</v>
      </c>
      <c r="J443" t="e">
        <f>IF(ISBLANK(Data!K443), Games!#REF!-Games!#REF!,VLOOKUP(Games!#REF!, Data!$B$2:$L$135, 10, FALSE)-VLOOKUP(Games!#REF!, Data!$B$2:$L$135, 10, FALSE))*Coefficients!$J$2</f>
        <v>#REF!</v>
      </c>
      <c r="K443" t="e">
        <f>(IF(AND(VLOOKUP(Games!#REF!, Data!$B$2:$L$135, 11, FALSE)=1, VLOOKUP(Games!#REF!, Data!$B$2:$L$135, 11, FALSE)&lt;&gt;1), 1,0))*Coefficients!K$2</f>
        <v>#REF!</v>
      </c>
      <c r="L443" t="e">
        <f>(IF(AND(VLOOKUP(Games!#REF!, Data!$B$2:$L$135, 11, FALSE)&lt;&gt;1, VLOOKUP(Games!#REF!, Data!$B$2:$L$135, 11, FALSE)=1), 1,0))*Coefficients!L$2</f>
        <v>#REF!</v>
      </c>
      <c r="O443" t="e">
        <f t="shared" si="7"/>
        <v>#REF!</v>
      </c>
    </row>
    <row r="444">
      <c r="A444" t="n">
        <f>Coefficients!$A$2</f>
        <v>-3.7765953152866998</v>
      </c>
      <c r="B444" t="e">
        <f>(Games!#REF!)*(-1*Coefficients!$B$2)</f>
        <v>#REF!</v>
      </c>
      <c r="C444" t="e">
        <f>(VLOOKUP(Games!#REF!, Data!$B$2:$L$135, 4, FALSE)-VLOOKUP(Games!#REF!, Data!$B$2:$L$135, 4, FALSE))*Coefficients!$C$2</f>
        <v>#REF!</v>
      </c>
      <c r="D444" t="e">
        <f>(VLOOKUP(Games!#REF!, Data!$B$2:$L$135, 3, FALSE)-VLOOKUP(Games!#REF!, Data!$B$2:$L$135, 3, FALSE))*Coefficients!$D$2</f>
        <v>#REF!</v>
      </c>
      <c r="E444" t="e">
        <f>(VLOOKUP(Games!#REF!, Data!$B$2:$L$135, 5, FALSE)-VLOOKUP(Games!#REF!, Data!$B$2:$L$135, 5, FALSE))*Coefficients!$E$2</f>
        <v>#REF!</v>
      </c>
      <c r="F444" t="e">
        <f>(VLOOKUP(Games!#REF!, Data!$B$2:$L$135, 6, FALSE)-VLOOKUP(Games!#REF!, Data!$B$2:$L$135, 6, FALSE))*Coefficients!$F$2</f>
        <v>#REF!</v>
      </c>
      <c r="G444" t="e">
        <f>(VLOOKUP(Games!#REF!, Data!$B$2:$L$135, 7, FALSE)-VLOOKUP(Games!#REF!, Data!$B$2:$L$135, 7, FALSE))*Coefficients!$G$2</f>
        <v>#REF!</v>
      </c>
      <c r="H444" t="e">
        <f>(VLOOKUP(Games!#REF!, Data!$B$2:$L$135, 8, FALSE)-VLOOKUP(Games!#REF!, Data!$B$2:$L$135, 8, FALSE))*Coefficients!$H$2</f>
        <v>#REF!</v>
      </c>
      <c r="I444" t="e">
        <f>(VLOOKUP(Games!#REF!, Data!$B$2:$L$135, 9, FALSE)-VLOOKUP(Games!#REF!, Data!$B$2:$L$135, 9, FALSE))*Coefficients!$I$2</f>
        <v>#REF!</v>
      </c>
      <c r="J444" t="e">
        <f>IF(ISBLANK(Data!K444), Games!#REF!-Games!#REF!,VLOOKUP(Games!#REF!, Data!$B$2:$L$135, 10, FALSE)-VLOOKUP(Games!#REF!, Data!$B$2:$L$135, 10, FALSE))*Coefficients!$J$2</f>
        <v>#REF!</v>
      </c>
      <c r="K444" t="e">
        <f>(IF(AND(VLOOKUP(Games!#REF!, Data!$B$2:$L$135, 11, FALSE)=1, VLOOKUP(Games!#REF!, Data!$B$2:$L$135, 11, FALSE)&lt;&gt;1), 1,0))*Coefficients!K$2</f>
        <v>#REF!</v>
      </c>
      <c r="L444" t="e">
        <f>(IF(AND(VLOOKUP(Games!#REF!, Data!$B$2:$L$135, 11, FALSE)&lt;&gt;1, VLOOKUP(Games!#REF!, Data!$B$2:$L$135, 11, FALSE)=1), 1,0))*Coefficients!L$2</f>
        <v>#REF!</v>
      </c>
      <c r="O444" t="e">
        <f t="shared" si="7"/>
        <v>#REF!</v>
      </c>
    </row>
    <row r="445">
      <c r="A445" t="n">
        <f>Coefficients!$A$2</f>
        <v>-3.7765953152866998</v>
      </c>
      <c r="B445" t="e">
        <f>(Games!#REF!)*(-1*Coefficients!$B$2)</f>
        <v>#REF!</v>
      </c>
      <c r="C445" t="e">
        <f>(VLOOKUP(Games!#REF!, Data!$B$2:$L$135, 4, FALSE)-VLOOKUP(Games!#REF!, Data!$B$2:$L$135, 4, FALSE))*Coefficients!$C$2</f>
        <v>#REF!</v>
      </c>
      <c r="D445" t="e">
        <f>(VLOOKUP(Games!#REF!, Data!$B$2:$L$135, 3, FALSE)-VLOOKUP(Games!#REF!, Data!$B$2:$L$135, 3, FALSE))*Coefficients!$D$2</f>
        <v>#REF!</v>
      </c>
      <c r="E445" t="e">
        <f>(VLOOKUP(Games!#REF!, Data!$B$2:$L$135, 5, FALSE)-VLOOKUP(Games!#REF!, Data!$B$2:$L$135, 5, FALSE))*Coefficients!$E$2</f>
        <v>#REF!</v>
      </c>
      <c r="F445" t="e">
        <f>(VLOOKUP(Games!#REF!, Data!$B$2:$L$135, 6, FALSE)-VLOOKUP(Games!#REF!, Data!$B$2:$L$135, 6, FALSE))*Coefficients!$F$2</f>
        <v>#REF!</v>
      </c>
      <c r="G445" t="e">
        <f>(VLOOKUP(Games!#REF!, Data!$B$2:$L$135, 7, FALSE)-VLOOKUP(Games!#REF!, Data!$B$2:$L$135, 7, FALSE))*Coefficients!$G$2</f>
        <v>#REF!</v>
      </c>
      <c r="H445" t="e">
        <f>(VLOOKUP(Games!#REF!, Data!$B$2:$L$135, 8, FALSE)-VLOOKUP(Games!#REF!, Data!$B$2:$L$135, 8, FALSE))*Coefficients!$H$2</f>
        <v>#REF!</v>
      </c>
      <c r="I445" t="e">
        <f>(VLOOKUP(Games!#REF!, Data!$B$2:$L$135, 9, FALSE)-VLOOKUP(Games!#REF!, Data!$B$2:$L$135, 9, FALSE))*Coefficients!$I$2</f>
        <v>#REF!</v>
      </c>
      <c r="J445" t="e">
        <f>IF(ISBLANK(Data!K445), Games!#REF!-Games!#REF!,VLOOKUP(Games!#REF!, Data!$B$2:$L$135, 10, FALSE)-VLOOKUP(Games!#REF!, Data!$B$2:$L$135, 10, FALSE))*Coefficients!$J$2</f>
        <v>#REF!</v>
      </c>
      <c r="K445" t="e">
        <f>(IF(AND(VLOOKUP(Games!#REF!, Data!$B$2:$L$135, 11, FALSE)=1, VLOOKUP(Games!#REF!, Data!$B$2:$L$135, 11, FALSE)&lt;&gt;1), 1,0))*Coefficients!K$2</f>
        <v>#REF!</v>
      </c>
      <c r="L445" t="e">
        <f>(IF(AND(VLOOKUP(Games!#REF!, Data!$B$2:$L$135, 11, FALSE)&lt;&gt;1, VLOOKUP(Games!#REF!, Data!$B$2:$L$135, 11, FALSE)=1), 1,0))*Coefficients!L$2</f>
        <v>#REF!</v>
      </c>
      <c r="O445" t="e">
        <f t="shared" si="7"/>
        <v>#REF!</v>
      </c>
    </row>
    <row r="446">
      <c r="A446" t="n">
        <f>Coefficients!$A$2</f>
        <v>-3.7765953152866998</v>
      </c>
      <c r="B446" t="e">
        <f>(Games!#REF!)*(-1*Coefficients!$B$2)</f>
        <v>#REF!</v>
      </c>
      <c r="C446" t="e">
        <f>(VLOOKUP(Games!#REF!, Data!$B$2:$L$135, 4, FALSE)-VLOOKUP(Games!#REF!, Data!$B$2:$L$135, 4, FALSE))*Coefficients!$C$2</f>
        <v>#REF!</v>
      </c>
      <c r="D446" t="e">
        <f>(VLOOKUP(Games!#REF!, Data!$B$2:$L$135, 3, FALSE)-VLOOKUP(Games!#REF!, Data!$B$2:$L$135, 3, FALSE))*Coefficients!$D$2</f>
        <v>#REF!</v>
      </c>
      <c r="E446" t="e">
        <f>(VLOOKUP(Games!#REF!, Data!$B$2:$L$135, 5, FALSE)-VLOOKUP(Games!#REF!, Data!$B$2:$L$135, 5, FALSE))*Coefficients!$E$2</f>
        <v>#REF!</v>
      </c>
      <c r="F446" t="e">
        <f>(VLOOKUP(Games!#REF!, Data!$B$2:$L$135, 6, FALSE)-VLOOKUP(Games!#REF!, Data!$B$2:$L$135, 6, FALSE))*Coefficients!$F$2</f>
        <v>#REF!</v>
      </c>
      <c r="G446" t="e">
        <f>(VLOOKUP(Games!#REF!, Data!$B$2:$L$135, 7, FALSE)-VLOOKUP(Games!#REF!, Data!$B$2:$L$135, 7, FALSE))*Coefficients!$G$2</f>
        <v>#REF!</v>
      </c>
      <c r="H446" t="e">
        <f>(VLOOKUP(Games!#REF!, Data!$B$2:$L$135, 8, FALSE)-VLOOKUP(Games!#REF!, Data!$B$2:$L$135, 8, FALSE))*Coefficients!$H$2</f>
        <v>#REF!</v>
      </c>
      <c r="I446" t="e">
        <f>(VLOOKUP(Games!#REF!, Data!$B$2:$L$135, 9, FALSE)-VLOOKUP(Games!#REF!, Data!$B$2:$L$135, 9, FALSE))*Coefficients!$I$2</f>
        <v>#REF!</v>
      </c>
      <c r="J446" t="e">
        <f>IF(ISBLANK(Data!K446), Games!#REF!-Games!#REF!,VLOOKUP(Games!#REF!, Data!$B$2:$L$135, 10, FALSE)-VLOOKUP(Games!#REF!, Data!$B$2:$L$135, 10, FALSE))*Coefficients!$J$2</f>
        <v>#REF!</v>
      </c>
      <c r="K446" t="e">
        <f>(IF(AND(VLOOKUP(Games!#REF!, Data!$B$2:$L$135, 11, FALSE)=1, VLOOKUP(Games!#REF!, Data!$B$2:$L$135, 11, FALSE)&lt;&gt;1), 1,0))*Coefficients!K$2</f>
        <v>#REF!</v>
      </c>
      <c r="L446" t="e">
        <f>(IF(AND(VLOOKUP(Games!#REF!, Data!$B$2:$L$135, 11, FALSE)&lt;&gt;1, VLOOKUP(Games!#REF!, Data!$B$2:$L$135, 11, FALSE)=1), 1,0))*Coefficients!L$2</f>
        <v>#REF!</v>
      </c>
      <c r="O446" t="e">
        <f t="shared" si="7"/>
        <v>#REF!</v>
      </c>
    </row>
    <row r="447">
      <c r="A447" t="n">
        <f>Coefficients!$A$2</f>
        <v>-3.7765953152866998</v>
      </c>
      <c r="B447" t="e">
        <f>(Games!#REF!)*(-1*Coefficients!$B$2)</f>
        <v>#REF!</v>
      </c>
      <c r="C447" t="e">
        <f>(VLOOKUP(Games!#REF!, Data!$B$2:$L$135, 4, FALSE)-VLOOKUP(Games!#REF!, Data!$B$2:$L$135, 4, FALSE))*Coefficients!$C$2</f>
        <v>#REF!</v>
      </c>
      <c r="D447" t="e">
        <f>(VLOOKUP(Games!#REF!, Data!$B$2:$L$135, 3, FALSE)-VLOOKUP(Games!#REF!, Data!$B$2:$L$135, 3, FALSE))*Coefficients!$D$2</f>
        <v>#REF!</v>
      </c>
      <c r="E447" t="e">
        <f>(VLOOKUP(Games!#REF!, Data!$B$2:$L$135, 5, FALSE)-VLOOKUP(Games!#REF!, Data!$B$2:$L$135, 5, FALSE))*Coefficients!$E$2</f>
        <v>#REF!</v>
      </c>
      <c r="F447" t="e">
        <f>(VLOOKUP(Games!#REF!, Data!$B$2:$L$135, 6, FALSE)-VLOOKUP(Games!#REF!, Data!$B$2:$L$135, 6, FALSE))*Coefficients!$F$2</f>
        <v>#REF!</v>
      </c>
      <c r="G447" t="e">
        <f>(VLOOKUP(Games!#REF!, Data!$B$2:$L$135, 7, FALSE)-VLOOKUP(Games!#REF!, Data!$B$2:$L$135, 7, FALSE))*Coefficients!$G$2</f>
        <v>#REF!</v>
      </c>
      <c r="H447" t="e">
        <f>(VLOOKUP(Games!#REF!, Data!$B$2:$L$135, 8, FALSE)-VLOOKUP(Games!#REF!, Data!$B$2:$L$135, 8, FALSE))*Coefficients!$H$2</f>
        <v>#REF!</v>
      </c>
      <c r="I447" t="e">
        <f>(VLOOKUP(Games!#REF!, Data!$B$2:$L$135, 9, FALSE)-VLOOKUP(Games!#REF!, Data!$B$2:$L$135, 9, FALSE))*Coefficients!$I$2</f>
        <v>#REF!</v>
      </c>
      <c r="J447" t="e">
        <f>IF(ISBLANK(Data!K447), Games!#REF!-Games!#REF!,VLOOKUP(Games!#REF!, Data!$B$2:$L$135, 10, FALSE)-VLOOKUP(Games!#REF!, Data!$B$2:$L$135, 10, FALSE))*Coefficients!$J$2</f>
        <v>#REF!</v>
      </c>
      <c r="K447" t="e">
        <f>(IF(AND(VLOOKUP(Games!#REF!, Data!$B$2:$L$135, 11, FALSE)=1, VLOOKUP(Games!#REF!, Data!$B$2:$L$135, 11, FALSE)&lt;&gt;1), 1,0))*Coefficients!K$2</f>
        <v>#REF!</v>
      </c>
      <c r="L447" t="e">
        <f>(IF(AND(VLOOKUP(Games!#REF!, Data!$B$2:$L$135, 11, FALSE)&lt;&gt;1, VLOOKUP(Games!#REF!, Data!$B$2:$L$135, 11, FALSE)=1), 1,0))*Coefficients!L$2</f>
        <v>#REF!</v>
      </c>
      <c r="O447" t="e">
        <f t="shared" si="7"/>
        <v>#REF!</v>
      </c>
    </row>
    <row r="448">
      <c r="A448" t="n">
        <f>Coefficients!$A$2</f>
        <v>-3.7765953152866998</v>
      </c>
      <c r="B448" t="e">
        <f>(Games!#REF!)*(-1*Coefficients!$B$2)</f>
        <v>#REF!</v>
      </c>
      <c r="C448" t="e">
        <f>(VLOOKUP(Games!#REF!, Data!$B$2:$L$135, 4, FALSE)-VLOOKUP(Games!#REF!, Data!$B$2:$L$135, 4, FALSE))*Coefficients!$C$2</f>
        <v>#REF!</v>
      </c>
      <c r="D448" t="e">
        <f>(VLOOKUP(Games!#REF!, Data!$B$2:$L$135, 3, FALSE)-VLOOKUP(Games!#REF!, Data!$B$2:$L$135, 3, FALSE))*Coefficients!$D$2</f>
        <v>#REF!</v>
      </c>
      <c r="E448" t="e">
        <f>(VLOOKUP(Games!#REF!, Data!$B$2:$L$135, 5, FALSE)-VLOOKUP(Games!#REF!, Data!$B$2:$L$135, 5, FALSE))*Coefficients!$E$2</f>
        <v>#REF!</v>
      </c>
      <c r="F448" t="e">
        <f>(VLOOKUP(Games!#REF!, Data!$B$2:$L$135, 6, FALSE)-VLOOKUP(Games!#REF!, Data!$B$2:$L$135, 6, FALSE))*Coefficients!$F$2</f>
        <v>#REF!</v>
      </c>
      <c r="G448" t="e">
        <f>(VLOOKUP(Games!#REF!, Data!$B$2:$L$135, 7, FALSE)-VLOOKUP(Games!#REF!, Data!$B$2:$L$135, 7, FALSE))*Coefficients!$G$2</f>
        <v>#REF!</v>
      </c>
      <c r="H448" t="e">
        <f>(VLOOKUP(Games!#REF!, Data!$B$2:$L$135, 8, FALSE)-VLOOKUP(Games!#REF!, Data!$B$2:$L$135, 8, FALSE))*Coefficients!$H$2</f>
        <v>#REF!</v>
      </c>
      <c r="I448" t="e">
        <f>(VLOOKUP(Games!#REF!, Data!$B$2:$L$135, 9, FALSE)-VLOOKUP(Games!#REF!, Data!$B$2:$L$135, 9, FALSE))*Coefficients!$I$2</f>
        <v>#REF!</v>
      </c>
      <c r="J448" t="e">
        <f>IF(ISBLANK(Data!K448), Games!#REF!-Games!#REF!,VLOOKUP(Games!#REF!, Data!$B$2:$L$135, 10, FALSE)-VLOOKUP(Games!#REF!, Data!$B$2:$L$135, 10, FALSE))*Coefficients!$J$2</f>
        <v>#REF!</v>
      </c>
      <c r="K448" t="e">
        <f>(IF(AND(VLOOKUP(Games!#REF!, Data!$B$2:$L$135, 11, FALSE)=1, VLOOKUP(Games!#REF!, Data!$B$2:$L$135, 11, FALSE)&lt;&gt;1), 1,0))*Coefficients!K$2</f>
        <v>#REF!</v>
      </c>
      <c r="L448" t="e">
        <f>(IF(AND(VLOOKUP(Games!#REF!, Data!$B$2:$L$135, 11, FALSE)&lt;&gt;1, VLOOKUP(Games!#REF!, Data!$B$2:$L$135, 11, FALSE)=1), 1,0))*Coefficients!L$2</f>
        <v>#REF!</v>
      </c>
      <c r="O448" t="e">
        <f t="shared" si="7"/>
        <v>#REF!</v>
      </c>
    </row>
    <row r="449">
      <c r="A449" t="n">
        <f>Coefficients!$A$2</f>
        <v>-3.7765953152866998</v>
      </c>
      <c r="B449" t="e">
        <f>(Games!#REF!)*(-1*Coefficients!$B$2)</f>
        <v>#REF!</v>
      </c>
      <c r="C449" t="e">
        <f>(VLOOKUP(Games!#REF!, Data!$B$2:$L$135, 4, FALSE)-VLOOKUP(Games!#REF!, Data!$B$2:$L$135, 4, FALSE))*Coefficients!$C$2</f>
        <v>#REF!</v>
      </c>
      <c r="D449" t="e">
        <f>(VLOOKUP(Games!#REF!, Data!$B$2:$L$135, 3, FALSE)-VLOOKUP(Games!#REF!, Data!$B$2:$L$135, 3, FALSE))*Coefficients!$D$2</f>
        <v>#REF!</v>
      </c>
      <c r="E449" t="e">
        <f>(VLOOKUP(Games!#REF!, Data!$B$2:$L$135, 5, FALSE)-VLOOKUP(Games!#REF!, Data!$B$2:$L$135, 5, FALSE))*Coefficients!$E$2</f>
        <v>#REF!</v>
      </c>
      <c r="F449" t="e">
        <f>(VLOOKUP(Games!#REF!, Data!$B$2:$L$135, 6, FALSE)-VLOOKUP(Games!#REF!, Data!$B$2:$L$135, 6, FALSE))*Coefficients!$F$2</f>
        <v>#REF!</v>
      </c>
      <c r="G449" t="e">
        <f>(VLOOKUP(Games!#REF!, Data!$B$2:$L$135, 7, FALSE)-VLOOKUP(Games!#REF!, Data!$B$2:$L$135, 7, FALSE))*Coefficients!$G$2</f>
        <v>#REF!</v>
      </c>
      <c r="H449" t="e">
        <f>(VLOOKUP(Games!#REF!, Data!$B$2:$L$135, 8, FALSE)-VLOOKUP(Games!#REF!, Data!$B$2:$L$135, 8, FALSE))*Coefficients!$H$2</f>
        <v>#REF!</v>
      </c>
      <c r="I449" t="e">
        <f>(VLOOKUP(Games!#REF!, Data!$B$2:$L$135, 9, FALSE)-VLOOKUP(Games!#REF!, Data!$B$2:$L$135, 9, FALSE))*Coefficients!$I$2</f>
        <v>#REF!</v>
      </c>
      <c r="J449" t="e">
        <f>IF(ISBLANK(Data!K449), Games!#REF!-Games!#REF!,VLOOKUP(Games!#REF!, Data!$B$2:$L$135, 10, FALSE)-VLOOKUP(Games!#REF!, Data!$B$2:$L$135, 10, FALSE))*Coefficients!$J$2</f>
        <v>#REF!</v>
      </c>
      <c r="K449" t="e">
        <f>(IF(AND(VLOOKUP(Games!#REF!, Data!$B$2:$L$135, 11, FALSE)=1, VLOOKUP(Games!#REF!, Data!$B$2:$L$135, 11, FALSE)&lt;&gt;1), 1,0))*Coefficients!K$2</f>
        <v>#REF!</v>
      </c>
      <c r="L449" t="e">
        <f>(IF(AND(VLOOKUP(Games!#REF!, Data!$B$2:$L$135, 11, FALSE)&lt;&gt;1, VLOOKUP(Games!#REF!, Data!$B$2:$L$135, 11, FALSE)=1), 1,0))*Coefficients!L$2</f>
        <v>#REF!</v>
      </c>
      <c r="O449" t="e">
        <f t="shared" si="7"/>
        <v>#REF!</v>
      </c>
    </row>
    <row r="450">
      <c r="A450" t="n">
        <f>Coefficients!$A$2</f>
        <v>-3.7765953152866998</v>
      </c>
      <c r="B450" t="e">
        <f>(Games!#REF!)*(-1*Coefficients!$B$2)</f>
        <v>#REF!</v>
      </c>
      <c r="C450" t="e">
        <f>(VLOOKUP(Games!#REF!, Data!$B$2:$L$135, 4, FALSE)-VLOOKUP(Games!#REF!, Data!$B$2:$L$135, 4, FALSE))*Coefficients!$C$2</f>
        <v>#REF!</v>
      </c>
      <c r="D450" t="e">
        <f>(VLOOKUP(Games!#REF!, Data!$B$2:$L$135, 3, FALSE)-VLOOKUP(Games!#REF!, Data!$B$2:$L$135, 3, FALSE))*Coefficients!$D$2</f>
        <v>#REF!</v>
      </c>
      <c r="E450" t="e">
        <f>(VLOOKUP(Games!#REF!, Data!$B$2:$L$135, 5, FALSE)-VLOOKUP(Games!#REF!, Data!$B$2:$L$135, 5, FALSE))*Coefficients!$E$2</f>
        <v>#REF!</v>
      </c>
      <c r="F450" t="e">
        <f>(VLOOKUP(Games!#REF!, Data!$B$2:$L$135, 6, FALSE)-VLOOKUP(Games!#REF!, Data!$B$2:$L$135, 6, FALSE))*Coefficients!$F$2</f>
        <v>#REF!</v>
      </c>
      <c r="G450" t="e">
        <f>(VLOOKUP(Games!#REF!, Data!$B$2:$L$135, 7, FALSE)-VLOOKUP(Games!#REF!, Data!$B$2:$L$135, 7, FALSE))*Coefficients!$G$2</f>
        <v>#REF!</v>
      </c>
      <c r="H450" t="e">
        <f>(VLOOKUP(Games!#REF!, Data!$B$2:$L$135, 8, FALSE)-VLOOKUP(Games!#REF!, Data!$B$2:$L$135, 8, FALSE))*Coefficients!$H$2</f>
        <v>#REF!</v>
      </c>
      <c r="I450" t="e">
        <f>(VLOOKUP(Games!#REF!, Data!$B$2:$L$135, 9, FALSE)-VLOOKUP(Games!#REF!, Data!$B$2:$L$135, 9, FALSE))*Coefficients!$I$2</f>
        <v>#REF!</v>
      </c>
      <c r="J450" t="e">
        <f>IF(ISBLANK(Data!K450), Games!#REF!-Games!#REF!,VLOOKUP(Games!#REF!, Data!$B$2:$L$135, 10, FALSE)-VLOOKUP(Games!#REF!, Data!$B$2:$L$135, 10, FALSE))*Coefficients!$J$2</f>
        <v>#REF!</v>
      </c>
      <c r="K450" t="e">
        <f>(IF(AND(VLOOKUP(Games!#REF!, Data!$B$2:$L$135, 11, FALSE)=1, VLOOKUP(Games!#REF!, Data!$B$2:$L$135, 11, FALSE)&lt;&gt;1), 1,0))*Coefficients!K$2</f>
        <v>#REF!</v>
      </c>
      <c r="L450" t="e">
        <f>(IF(AND(VLOOKUP(Games!#REF!, Data!$B$2:$L$135, 11, FALSE)&lt;&gt;1, VLOOKUP(Games!#REF!, Data!$B$2:$L$135, 11, FALSE)=1), 1,0))*Coefficients!L$2</f>
        <v>#REF!</v>
      </c>
      <c r="O450" t="e">
        <f t="shared" si="7"/>
        <v>#REF!</v>
      </c>
    </row>
    <row r="451">
      <c r="A451" t="n">
        <f>Coefficients!$A$2</f>
        <v>-3.7765953152866998</v>
      </c>
      <c r="B451" t="e">
        <f>(Games!#REF!)*(-1*Coefficients!$B$2)</f>
        <v>#REF!</v>
      </c>
      <c r="C451" t="e">
        <f>(VLOOKUP(Games!#REF!, Data!$B$2:$L$135, 4, FALSE)-VLOOKUP(Games!#REF!, Data!$B$2:$L$135, 4, FALSE))*Coefficients!$C$2</f>
        <v>#REF!</v>
      </c>
      <c r="D451" t="e">
        <f>(VLOOKUP(Games!#REF!, Data!$B$2:$L$135, 3, FALSE)-VLOOKUP(Games!#REF!, Data!$B$2:$L$135, 3, FALSE))*Coefficients!$D$2</f>
        <v>#REF!</v>
      </c>
      <c r="E451" t="e">
        <f>(VLOOKUP(Games!#REF!, Data!$B$2:$L$135, 5, FALSE)-VLOOKUP(Games!#REF!, Data!$B$2:$L$135, 5, FALSE))*Coefficients!$E$2</f>
        <v>#REF!</v>
      </c>
      <c r="F451" t="e">
        <f>(VLOOKUP(Games!#REF!, Data!$B$2:$L$135, 6, FALSE)-VLOOKUP(Games!#REF!, Data!$B$2:$L$135, 6, FALSE))*Coefficients!$F$2</f>
        <v>#REF!</v>
      </c>
      <c r="G451" t="e">
        <f>(VLOOKUP(Games!#REF!, Data!$B$2:$L$135, 7, FALSE)-VLOOKUP(Games!#REF!, Data!$B$2:$L$135, 7, FALSE))*Coefficients!$G$2</f>
        <v>#REF!</v>
      </c>
      <c r="H451" t="e">
        <f>(VLOOKUP(Games!#REF!, Data!$B$2:$L$135, 8, FALSE)-VLOOKUP(Games!#REF!, Data!$B$2:$L$135, 8, FALSE))*Coefficients!$H$2</f>
        <v>#REF!</v>
      </c>
      <c r="I451" t="e">
        <f>(VLOOKUP(Games!#REF!, Data!$B$2:$L$135, 9, FALSE)-VLOOKUP(Games!#REF!, Data!$B$2:$L$135, 9, FALSE))*Coefficients!$I$2</f>
        <v>#REF!</v>
      </c>
      <c r="J451" t="e">
        <f>IF(ISBLANK(Data!K451), Games!#REF!-Games!#REF!,VLOOKUP(Games!#REF!, Data!$B$2:$L$135, 10, FALSE)-VLOOKUP(Games!#REF!, Data!$B$2:$L$135, 10, FALSE))*Coefficients!$J$2</f>
        <v>#REF!</v>
      </c>
      <c r="K451" t="e">
        <f>(IF(AND(VLOOKUP(Games!#REF!, Data!$B$2:$L$135, 11, FALSE)=1, VLOOKUP(Games!#REF!, Data!$B$2:$L$135, 11, FALSE)&lt;&gt;1), 1,0))*Coefficients!K$2</f>
        <v>#REF!</v>
      </c>
      <c r="L451" t="e">
        <f>(IF(AND(VLOOKUP(Games!#REF!, Data!$B$2:$L$135, 11, FALSE)&lt;&gt;1, VLOOKUP(Games!#REF!, Data!$B$2:$L$135, 11, FALSE)=1), 1,0))*Coefficients!L$2</f>
        <v>#REF!</v>
      </c>
      <c r="O451" t="e">
        <f t="shared" ref="O451:O514" si="8">SUM(A451:L451)</f>
        <v>#REF!</v>
      </c>
    </row>
    <row r="452">
      <c r="A452" t="n">
        <f>Coefficients!$A$2</f>
        <v>-3.7765953152866998</v>
      </c>
      <c r="B452" t="e">
        <f>(Games!#REF!)*(-1*Coefficients!$B$2)</f>
        <v>#REF!</v>
      </c>
      <c r="C452" t="e">
        <f>(VLOOKUP(Games!#REF!, Data!$B$2:$L$135, 4, FALSE)-VLOOKUP(Games!#REF!, Data!$B$2:$L$135, 4, FALSE))*Coefficients!$C$2</f>
        <v>#REF!</v>
      </c>
      <c r="D452" t="e">
        <f>(VLOOKUP(Games!#REF!, Data!$B$2:$L$135, 3, FALSE)-VLOOKUP(Games!#REF!, Data!$B$2:$L$135, 3, FALSE))*Coefficients!$D$2</f>
        <v>#REF!</v>
      </c>
      <c r="E452" t="e">
        <f>(VLOOKUP(Games!#REF!, Data!$B$2:$L$135, 5, FALSE)-VLOOKUP(Games!#REF!, Data!$B$2:$L$135, 5, FALSE))*Coefficients!$E$2</f>
        <v>#REF!</v>
      </c>
      <c r="F452" t="e">
        <f>(VLOOKUP(Games!#REF!, Data!$B$2:$L$135, 6, FALSE)-VLOOKUP(Games!#REF!, Data!$B$2:$L$135, 6, FALSE))*Coefficients!$F$2</f>
        <v>#REF!</v>
      </c>
      <c r="G452" t="e">
        <f>(VLOOKUP(Games!#REF!, Data!$B$2:$L$135, 7, FALSE)-VLOOKUP(Games!#REF!, Data!$B$2:$L$135, 7, FALSE))*Coefficients!$G$2</f>
        <v>#REF!</v>
      </c>
      <c r="H452" t="e">
        <f>(VLOOKUP(Games!#REF!, Data!$B$2:$L$135, 8, FALSE)-VLOOKUP(Games!#REF!, Data!$B$2:$L$135, 8, FALSE))*Coefficients!$H$2</f>
        <v>#REF!</v>
      </c>
      <c r="I452" t="e">
        <f>(VLOOKUP(Games!#REF!, Data!$B$2:$L$135, 9, FALSE)-VLOOKUP(Games!#REF!, Data!$B$2:$L$135, 9, FALSE))*Coefficients!$I$2</f>
        <v>#REF!</v>
      </c>
      <c r="J452" t="e">
        <f>IF(ISBLANK(Data!K452), Games!#REF!-Games!#REF!,VLOOKUP(Games!#REF!, Data!$B$2:$L$135, 10, FALSE)-VLOOKUP(Games!#REF!, Data!$B$2:$L$135, 10, FALSE))*Coefficients!$J$2</f>
        <v>#REF!</v>
      </c>
      <c r="K452" t="e">
        <f>(IF(AND(VLOOKUP(Games!#REF!, Data!$B$2:$L$135, 11, FALSE)=1, VLOOKUP(Games!#REF!, Data!$B$2:$L$135, 11, FALSE)&lt;&gt;1), 1,0))*Coefficients!K$2</f>
        <v>#REF!</v>
      </c>
      <c r="L452" t="e">
        <f>(IF(AND(VLOOKUP(Games!#REF!, Data!$B$2:$L$135, 11, FALSE)&lt;&gt;1, VLOOKUP(Games!#REF!, Data!$B$2:$L$135, 11, FALSE)=1), 1,0))*Coefficients!L$2</f>
        <v>#REF!</v>
      </c>
      <c r="O452" t="e">
        <f t="shared" si="8"/>
        <v>#REF!</v>
      </c>
    </row>
    <row r="453">
      <c r="A453" t="n">
        <f>Coefficients!$A$2</f>
        <v>-3.7765953152866998</v>
      </c>
      <c r="B453" t="e">
        <f>(Games!#REF!)*(-1*Coefficients!$B$2)</f>
        <v>#REF!</v>
      </c>
      <c r="C453" t="e">
        <f>(VLOOKUP(Games!#REF!, Data!$B$2:$L$135, 4, FALSE)-VLOOKUP(Games!#REF!, Data!$B$2:$L$135, 4, FALSE))*Coefficients!$C$2</f>
        <v>#REF!</v>
      </c>
      <c r="D453" t="e">
        <f>(VLOOKUP(Games!#REF!, Data!$B$2:$L$135, 3, FALSE)-VLOOKUP(Games!#REF!, Data!$B$2:$L$135, 3, FALSE))*Coefficients!$D$2</f>
        <v>#REF!</v>
      </c>
      <c r="E453" t="e">
        <f>(VLOOKUP(Games!#REF!, Data!$B$2:$L$135, 5, FALSE)-VLOOKUP(Games!#REF!, Data!$B$2:$L$135, 5, FALSE))*Coefficients!$E$2</f>
        <v>#REF!</v>
      </c>
      <c r="F453" t="e">
        <f>(VLOOKUP(Games!#REF!, Data!$B$2:$L$135, 6, FALSE)-VLOOKUP(Games!#REF!, Data!$B$2:$L$135, 6, FALSE))*Coefficients!$F$2</f>
        <v>#REF!</v>
      </c>
      <c r="G453" t="e">
        <f>(VLOOKUP(Games!#REF!, Data!$B$2:$L$135, 7, FALSE)-VLOOKUP(Games!#REF!, Data!$B$2:$L$135, 7, FALSE))*Coefficients!$G$2</f>
        <v>#REF!</v>
      </c>
      <c r="H453" t="e">
        <f>(VLOOKUP(Games!#REF!, Data!$B$2:$L$135, 8, FALSE)-VLOOKUP(Games!#REF!, Data!$B$2:$L$135, 8, FALSE))*Coefficients!$H$2</f>
        <v>#REF!</v>
      </c>
      <c r="I453" t="e">
        <f>(VLOOKUP(Games!#REF!, Data!$B$2:$L$135, 9, FALSE)-VLOOKUP(Games!#REF!, Data!$B$2:$L$135, 9, FALSE))*Coefficients!$I$2</f>
        <v>#REF!</v>
      </c>
      <c r="J453" t="e">
        <f>IF(ISBLANK(Data!K453), Games!#REF!-Games!#REF!,VLOOKUP(Games!#REF!, Data!$B$2:$L$135, 10, FALSE)-VLOOKUP(Games!#REF!, Data!$B$2:$L$135, 10, FALSE))*Coefficients!$J$2</f>
        <v>#REF!</v>
      </c>
      <c r="K453" t="e">
        <f>(IF(AND(VLOOKUP(Games!#REF!, Data!$B$2:$L$135, 11, FALSE)=1, VLOOKUP(Games!#REF!, Data!$B$2:$L$135, 11, FALSE)&lt;&gt;1), 1,0))*Coefficients!K$2</f>
        <v>#REF!</v>
      </c>
      <c r="L453" t="e">
        <f>(IF(AND(VLOOKUP(Games!#REF!, Data!$B$2:$L$135, 11, FALSE)&lt;&gt;1, VLOOKUP(Games!#REF!, Data!$B$2:$L$135, 11, FALSE)=1), 1,0))*Coefficients!L$2</f>
        <v>#REF!</v>
      </c>
      <c r="O453" t="e">
        <f t="shared" si="8"/>
        <v>#REF!</v>
      </c>
    </row>
    <row r="454">
      <c r="A454" t="n">
        <f>Coefficients!$A$2</f>
        <v>-3.7765953152866998</v>
      </c>
      <c r="B454" t="e">
        <f>(Games!#REF!)*(-1*Coefficients!$B$2)</f>
        <v>#REF!</v>
      </c>
      <c r="C454" t="e">
        <f>(VLOOKUP(Games!#REF!, Data!$B$2:$L$135, 4, FALSE)-VLOOKUP(Games!#REF!, Data!$B$2:$L$135, 4, FALSE))*Coefficients!$C$2</f>
        <v>#REF!</v>
      </c>
      <c r="D454" t="e">
        <f>(VLOOKUP(Games!#REF!, Data!$B$2:$L$135, 3, FALSE)-VLOOKUP(Games!#REF!, Data!$B$2:$L$135, 3, FALSE))*Coefficients!$D$2</f>
        <v>#REF!</v>
      </c>
      <c r="E454" t="e">
        <f>(VLOOKUP(Games!#REF!, Data!$B$2:$L$135, 5, FALSE)-VLOOKUP(Games!#REF!, Data!$B$2:$L$135, 5, FALSE))*Coefficients!$E$2</f>
        <v>#REF!</v>
      </c>
      <c r="F454" t="e">
        <f>(VLOOKUP(Games!#REF!, Data!$B$2:$L$135, 6, FALSE)-VLOOKUP(Games!#REF!, Data!$B$2:$L$135, 6, FALSE))*Coefficients!$F$2</f>
        <v>#REF!</v>
      </c>
      <c r="G454" t="e">
        <f>(VLOOKUP(Games!#REF!, Data!$B$2:$L$135, 7, FALSE)-VLOOKUP(Games!#REF!, Data!$B$2:$L$135, 7, FALSE))*Coefficients!$G$2</f>
        <v>#REF!</v>
      </c>
      <c r="H454" t="e">
        <f>(VLOOKUP(Games!#REF!, Data!$B$2:$L$135, 8, FALSE)-VLOOKUP(Games!#REF!, Data!$B$2:$L$135, 8, FALSE))*Coefficients!$H$2</f>
        <v>#REF!</v>
      </c>
      <c r="I454" t="e">
        <f>(VLOOKUP(Games!#REF!, Data!$B$2:$L$135, 9, FALSE)-VLOOKUP(Games!#REF!, Data!$B$2:$L$135, 9, FALSE))*Coefficients!$I$2</f>
        <v>#REF!</v>
      </c>
      <c r="J454" t="e">
        <f>IF(ISBLANK(Data!K454), Games!#REF!-Games!#REF!,VLOOKUP(Games!#REF!, Data!$B$2:$L$135, 10, FALSE)-VLOOKUP(Games!#REF!, Data!$B$2:$L$135, 10, FALSE))*Coefficients!$J$2</f>
        <v>#REF!</v>
      </c>
      <c r="K454" t="e">
        <f>(IF(AND(VLOOKUP(Games!#REF!, Data!$B$2:$L$135, 11, FALSE)=1, VLOOKUP(Games!#REF!, Data!$B$2:$L$135, 11, FALSE)&lt;&gt;1), 1,0))*Coefficients!K$2</f>
        <v>#REF!</v>
      </c>
      <c r="L454" t="e">
        <f>(IF(AND(VLOOKUP(Games!#REF!, Data!$B$2:$L$135, 11, FALSE)&lt;&gt;1, VLOOKUP(Games!#REF!, Data!$B$2:$L$135, 11, FALSE)=1), 1,0))*Coefficients!L$2</f>
        <v>#REF!</v>
      </c>
      <c r="O454" t="e">
        <f t="shared" si="8"/>
        <v>#REF!</v>
      </c>
    </row>
    <row r="455">
      <c r="A455" t="n">
        <f>Coefficients!$A$2</f>
        <v>-3.7765953152866998</v>
      </c>
      <c r="B455" t="e">
        <f>(Games!#REF!)*(-1*Coefficients!$B$2)</f>
        <v>#REF!</v>
      </c>
      <c r="C455" t="e">
        <f>(VLOOKUP(Games!#REF!, Data!$B$2:$L$135, 4, FALSE)-VLOOKUP(Games!#REF!, Data!$B$2:$L$135, 4, FALSE))*Coefficients!$C$2</f>
        <v>#REF!</v>
      </c>
      <c r="D455" t="e">
        <f>(VLOOKUP(Games!#REF!, Data!$B$2:$L$135, 3, FALSE)-VLOOKUP(Games!#REF!, Data!$B$2:$L$135, 3, FALSE))*Coefficients!$D$2</f>
        <v>#REF!</v>
      </c>
      <c r="E455" t="e">
        <f>(VLOOKUP(Games!#REF!, Data!$B$2:$L$135, 5, FALSE)-VLOOKUP(Games!#REF!, Data!$B$2:$L$135, 5, FALSE))*Coefficients!$E$2</f>
        <v>#REF!</v>
      </c>
      <c r="F455" t="e">
        <f>(VLOOKUP(Games!#REF!, Data!$B$2:$L$135, 6, FALSE)-VLOOKUP(Games!#REF!, Data!$B$2:$L$135, 6, FALSE))*Coefficients!$F$2</f>
        <v>#REF!</v>
      </c>
      <c r="G455" t="e">
        <f>(VLOOKUP(Games!#REF!, Data!$B$2:$L$135, 7, FALSE)-VLOOKUP(Games!#REF!, Data!$B$2:$L$135, 7, FALSE))*Coefficients!$G$2</f>
        <v>#REF!</v>
      </c>
      <c r="H455" t="e">
        <f>(VLOOKUP(Games!#REF!, Data!$B$2:$L$135, 8, FALSE)-VLOOKUP(Games!#REF!, Data!$B$2:$L$135, 8, FALSE))*Coefficients!$H$2</f>
        <v>#REF!</v>
      </c>
      <c r="I455" t="e">
        <f>(VLOOKUP(Games!#REF!, Data!$B$2:$L$135, 9, FALSE)-VLOOKUP(Games!#REF!, Data!$B$2:$L$135, 9, FALSE))*Coefficients!$I$2</f>
        <v>#REF!</v>
      </c>
      <c r="J455" t="e">
        <f>IF(ISBLANK(Data!K455), Games!#REF!-Games!#REF!,VLOOKUP(Games!#REF!, Data!$B$2:$L$135, 10, FALSE)-VLOOKUP(Games!#REF!, Data!$B$2:$L$135, 10, FALSE))*Coefficients!$J$2</f>
        <v>#REF!</v>
      </c>
      <c r="K455" t="e">
        <f>(IF(AND(VLOOKUP(Games!#REF!, Data!$B$2:$L$135, 11, FALSE)=1, VLOOKUP(Games!#REF!, Data!$B$2:$L$135, 11, FALSE)&lt;&gt;1), 1,0))*Coefficients!K$2</f>
        <v>#REF!</v>
      </c>
      <c r="L455" t="e">
        <f>(IF(AND(VLOOKUP(Games!#REF!, Data!$B$2:$L$135, 11, FALSE)&lt;&gt;1, VLOOKUP(Games!#REF!, Data!$B$2:$L$135, 11, FALSE)=1), 1,0))*Coefficients!L$2</f>
        <v>#REF!</v>
      </c>
      <c r="O455" t="e">
        <f t="shared" si="8"/>
        <v>#REF!</v>
      </c>
    </row>
    <row r="456">
      <c r="A456" t="n">
        <f>Coefficients!$A$2</f>
        <v>-3.7765953152866998</v>
      </c>
      <c r="B456" t="e">
        <f>(Games!#REF!)*(-1*Coefficients!$B$2)</f>
        <v>#REF!</v>
      </c>
      <c r="C456" t="e">
        <f>(VLOOKUP(Games!#REF!, Data!$B$2:$L$135, 4, FALSE)-VLOOKUP(Games!#REF!, Data!$B$2:$L$135, 4, FALSE))*Coefficients!$C$2</f>
        <v>#REF!</v>
      </c>
      <c r="D456" t="e">
        <f>(VLOOKUP(Games!#REF!, Data!$B$2:$L$135, 3, FALSE)-VLOOKUP(Games!#REF!, Data!$B$2:$L$135, 3, FALSE))*Coefficients!$D$2</f>
        <v>#REF!</v>
      </c>
      <c r="E456" t="e">
        <f>(VLOOKUP(Games!#REF!, Data!$B$2:$L$135, 5, FALSE)-VLOOKUP(Games!#REF!, Data!$B$2:$L$135, 5, FALSE))*Coefficients!$E$2</f>
        <v>#REF!</v>
      </c>
      <c r="F456" t="e">
        <f>(VLOOKUP(Games!#REF!, Data!$B$2:$L$135, 6, FALSE)-VLOOKUP(Games!#REF!, Data!$B$2:$L$135, 6, FALSE))*Coefficients!$F$2</f>
        <v>#REF!</v>
      </c>
      <c r="G456" t="e">
        <f>(VLOOKUP(Games!#REF!, Data!$B$2:$L$135, 7, FALSE)-VLOOKUP(Games!#REF!, Data!$B$2:$L$135, 7, FALSE))*Coefficients!$G$2</f>
        <v>#REF!</v>
      </c>
      <c r="H456" t="e">
        <f>(VLOOKUP(Games!#REF!, Data!$B$2:$L$135, 8, FALSE)-VLOOKUP(Games!#REF!, Data!$B$2:$L$135, 8, FALSE))*Coefficients!$H$2</f>
        <v>#REF!</v>
      </c>
      <c r="I456" t="e">
        <f>(VLOOKUP(Games!#REF!, Data!$B$2:$L$135, 9, FALSE)-VLOOKUP(Games!#REF!, Data!$B$2:$L$135, 9, FALSE))*Coefficients!$I$2</f>
        <v>#REF!</v>
      </c>
      <c r="J456" t="e">
        <f>IF(ISBLANK(Data!K456), Games!#REF!-Games!#REF!,VLOOKUP(Games!#REF!, Data!$B$2:$L$135, 10, FALSE)-VLOOKUP(Games!#REF!, Data!$B$2:$L$135, 10, FALSE))*Coefficients!$J$2</f>
        <v>#REF!</v>
      </c>
      <c r="K456" t="e">
        <f>(IF(AND(VLOOKUP(Games!#REF!, Data!$B$2:$L$135, 11, FALSE)=1, VLOOKUP(Games!#REF!, Data!$B$2:$L$135, 11, FALSE)&lt;&gt;1), 1,0))*Coefficients!K$2</f>
        <v>#REF!</v>
      </c>
      <c r="L456" t="e">
        <f>(IF(AND(VLOOKUP(Games!#REF!, Data!$B$2:$L$135, 11, FALSE)&lt;&gt;1, VLOOKUP(Games!#REF!, Data!$B$2:$L$135, 11, FALSE)=1), 1,0))*Coefficients!L$2</f>
        <v>#REF!</v>
      </c>
      <c r="O456" t="e">
        <f t="shared" si="8"/>
        <v>#REF!</v>
      </c>
    </row>
    <row r="457">
      <c r="A457" t="n">
        <f>Coefficients!$A$2</f>
        <v>-3.7765953152866998</v>
      </c>
      <c r="B457" t="e">
        <f>(Games!#REF!)*(-1*Coefficients!$B$2)</f>
        <v>#REF!</v>
      </c>
      <c r="C457" t="e">
        <f>(VLOOKUP(Games!#REF!, Data!$B$2:$L$135, 4, FALSE)-VLOOKUP(Games!#REF!, Data!$B$2:$L$135, 4, FALSE))*Coefficients!$C$2</f>
        <v>#REF!</v>
      </c>
      <c r="D457" t="e">
        <f>(VLOOKUP(Games!#REF!, Data!$B$2:$L$135, 3, FALSE)-VLOOKUP(Games!#REF!, Data!$B$2:$L$135, 3, FALSE))*Coefficients!$D$2</f>
        <v>#REF!</v>
      </c>
      <c r="E457" t="e">
        <f>(VLOOKUP(Games!#REF!, Data!$B$2:$L$135, 5, FALSE)-VLOOKUP(Games!#REF!, Data!$B$2:$L$135, 5, FALSE))*Coefficients!$E$2</f>
        <v>#REF!</v>
      </c>
      <c r="F457" t="e">
        <f>(VLOOKUP(Games!#REF!, Data!$B$2:$L$135, 6, FALSE)-VLOOKUP(Games!#REF!, Data!$B$2:$L$135, 6, FALSE))*Coefficients!$F$2</f>
        <v>#REF!</v>
      </c>
      <c r="G457" t="e">
        <f>(VLOOKUP(Games!#REF!, Data!$B$2:$L$135, 7, FALSE)-VLOOKUP(Games!#REF!, Data!$B$2:$L$135, 7, FALSE))*Coefficients!$G$2</f>
        <v>#REF!</v>
      </c>
      <c r="H457" t="e">
        <f>(VLOOKUP(Games!#REF!, Data!$B$2:$L$135, 8, FALSE)-VLOOKUP(Games!#REF!, Data!$B$2:$L$135, 8, FALSE))*Coefficients!$H$2</f>
        <v>#REF!</v>
      </c>
      <c r="I457" t="e">
        <f>(VLOOKUP(Games!#REF!, Data!$B$2:$L$135, 9, FALSE)-VLOOKUP(Games!#REF!, Data!$B$2:$L$135, 9, FALSE))*Coefficients!$I$2</f>
        <v>#REF!</v>
      </c>
      <c r="J457" t="e">
        <f>IF(ISBLANK(Data!K457), Games!#REF!-Games!#REF!,VLOOKUP(Games!#REF!, Data!$B$2:$L$135, 10, FALSE)-VLOOKUP(Games!#REF!, Data!$B$2:$L$135, 10, FALSE))*Coefficients!$J$2</f>
        <v>#REF!</v>
      </c>
      <c r="K457" t="e">
        <f>(IF(AND(VLOOKUP(Games!#REF!, Data!$B$2:$L$135, 11, FALSE)=1, VLOOKUP(Games!#REF!, Data!$B$2:$L$135, 11, FALSE)&lt;&gt;1), 1,0))*Coefficients!K$2</f>
        <v>#REF!</v>
      </c>
      <c r="L457" t="e">
        <f>(IF(AND(VLOOKUP(Games!#REF!, Data!$B$2:$L$135, 11, FALSE)&lt;&gt;1, VLOOKUP(Games!#REF!, Data!$B$2:$L$135, 11, FALSE)=1), 1,0))*Coefficients!L$2</f>
        <v>#REF!</v>
      </c>
      <c r="O457" t="e">
        <f t="shared" si="8"/>
        <v>#REF!</v>
      </c>
    </row>
    <row r="458">
      <c r="A458" t="n">
        <f>Coefficients!$A$2</f>
        <v>-3.7765953152866998</v>
      </c>
      <c r="B458" t="e">
        <f>(Games!#REF!)*(-1*Coefficients!$B$2)</f>
        <v>#REF!</v>
      </c>
      <c r="C458" t="e">
        <f>(VLOOKUP(Games!#REF!, Data!$B$2:$L$135, 4, FALSE)-VLOOKUP(Games!#REF!, Data!$B$2:$L$135, 4, FALSE))*Coefficients!$C$2</f>
        <v>#REF!</v>
      </c>
      <c r="D458" t="e">
        <f>(VLOOKUP(Games!#REF!, Data!$B$2:$L$135, 3, FALSE)-VLOOKUP(Games!#REF!, Data!$B$2:$L$135, 3, FALSE))*Coefficients!$D$2</f>
        <v>#REF!</v>
      </c>
      <c r="E458" t="e">
        <f>(VLOOKUP(Games!#REF!, Data!$B$2:$L$135, 5, FALSE)-VLOOKUP(Games!#REF!, Data!$B$2:$L$135, 5, FALSE))*Coefficients!$E$2</f>
        <v>#REF!</v>
      </c>
      <c r="F458" t="e">
        <f>(VLOOKUP(Games!#REF!, Data!$B$2:$L$135, 6, FALSE)-VLOOKUP(Games!#REF!, Data!$B$2:$L$135, 6, FALSE))*Coefficients!$F$2</f>
        <v>#REF!</v>
      </c>
      <c r="G458" t="e">
        <f>(VLOOKUP(Games!#REF!, Data!$B$2:$L$135, 7, FALSE)-VLOOKUP(Games!#REF!, Data!$B$2:$L$135, 7, FALSE))*Coefficients!$G$2</f>
        <v>#REF!</v>
      </c>
      <c r="H458" t="e">
        <f>(VLOOKUP(Games!#REF!, Data!$B$2:$L$135, 8, FALSE)-VLOOKUP(Games!#REF!, Data!$B$2:$L$135, 8, FALSE))*Coefficients!$H$2</f>
        <v>#REF!</v>
      </c>
      <c r="I458" t="e">
        <f>(VLOOKUP(Games!#REF!, Data!$B$2:$L$135, 9, FALSE)-VLOOKUP(Games!#REF!, Data!$B$2:$L$135, 9, FALSE))*Coefficients!$I$2</f>
        <v>#REF!</v>
      </c>
      <c r="J458" t="e">
        <f>IF(ISBLANK(Data!K458), Games!#REF!-Games!#REF!,VLOOKUP(Games!#REF!, Data!$B$2:$L$135, 10, FALSE)-VLOOKUP(Games!#REF!, Data!$B$2:$L$135, 10, FALSE))*Coefficients!$J$2</f>
        <v>#REF!</v>
      </c>
      <c r="K458" t="e">
        <f>(IF(AND(VLOOKUP(Games!#REF!, Data!$B$2:$L$135, 11, FALSE)=1, VLOOKUP(Games!#REF!, Data!$B$2:$L$135, 11, FALSE)&lt;&gt;1), 1,0))*Coefficients!K$2</f>
        <v>#REF!</v>
      </c>
      <c r="L458" t="e">
        <f>(IF(AND(VLOOKUP(Games!#REF!, Data!$B$2:$L$135, 11, FALSE)&lt;&gt;1, VLOOKUP(Games!#REF!, Data!$B$2:$L$135, 11, FALSE)=1), 1,0))*Coefficients!L$2</f>
        <v>#REF!</v>
      </c>
      <c r="O458" t="e">
        <f t="shared" si="8"/>
        <v>#REF!</v>
      </c>
    </row>
    <row r="459">
      <c r="A459" t="n">
        <f>Coefficients!$A$2</f>
        <v>-3.7765953152866998</v>
      </c>
      <c r="B459" t="e">
        <f>(Games!#REF!)*(-1*Coefficients!$B$2)</f>
        <v>#REF!</v>
      </c>
      <c r="C459" t="e">
        <f>(VLOOKUP(Games!#REF!, Data!$B$2:$L$135, 4, FALSE)-VLOOKUP(Games!#REF!, Data!$B$2:$L$135, 4, FALSE))*Coefficients!$C$2</f>
        <v>#REF!</v>
      </c>
      <c r="D459" t="e">
        <f>(VLOOKUP(Games!#REF!, Data!$B$2:$L$135, 3, FALSE)-VLOOKUP(Games!#REF!, Data!$B$2:$L$135, 3, FALSE))*Coefficients!$D$2</f>
        <v>#REF!</v>
      </c>
      <c r="E459" t="e">
        <f>(VLOOKUP(Games!#REF!, Data!$B$2:$L$135, 5, FALSE)-VLOOKUP(Games!#REF!, Data!$B$2:$L$135, 5, FALSE))*Coefficients!$E$2</f>
        <v>#REF!</v>
      </c>
      <c r="F459" t="e">
        <f>(VLOOKUP(Games!#REF!, Data!$B$2:$L$135, 6, FALSE)-VLOOKUP(Games!#REF!, Data!$B$2:$L$135, 6, FALSE))*Coefficients!$F$2</f>
        <v>#REF!</v>
      </c>
      <c r="G459" t="e">
        <f>(VLOOKUP(Games!#REF!, Data!$B$2:$L$135, 7, FALSE)-VLOOKUP(Games!#REF!, Data!$B$2:$L$135, 7, FALSE))*Coefficients!$G$2</f>
        <v>#REF!</v>
      </c>
      <c r="H459" t="e">
        <f>(VLOOKUP(Games!#REF!, Data!$B$2:$L$135, 8, FALSE)-VLOOKUP(Games!#REF!, Data!$B$2:$L$135, 8, FALSE))*Coefficients!$H$2</f>
        <v>#REF!</v>
      </c>
      <c r="I459" t="e">
        <f>(VLOOKUP(Games!#REF!, Data!$B$2:$L$135, 9, FALSE)-VLOOKUP(Games!#REF!, Data!$B$2:$L$135, 9, FALSE))*Coefficients!$I$2</f>
        <v>#REF!</v>
      </c>
      <c r="J459" t="e">
        <f>IF(ISBLANK(Data!K459), Games!#REF!-Games!#REF!,VLOOKUP(Games!#REF!, Data!$B$2:$L$135, 10, FALSE)-VLOOKUP(Games!#REF!, Data!$B$2:$L$135, 10, FALSE))*Coefficients!$J$2</f>
        <v>#REF!</v>
      </c>
      <c r="K459" t="e">
        <f>(IF(AND(VLOOKUP(Games!#REF!, Data!$B$2:$L$135, 11, FALSE)=1, VLOOKUP(Games!#REF!, Data!$B$2:$L$135, 11, FALSE)&lt;&gt;1), 1,0))*Coefficients!K$2</f>
        <v>#REF!</v>
      </c>
      <c r="L459" t="e">
        <f>(IF(AND(VLOOKUP(Games!#REF!, Data!$B$2:$L$135, 11, FALSE)&lt;&gt;1, VLOOKUP(Games!#REF!, Data!$B$2:$L$135, 11, FALSE)=1), 1,0))*Coefficients!L$2</f>
        <v>#REF!</v>
      </c>
      <c r="O459" t="e">
        <f t="shared" si="8"/>
        <v>#REF!</v>
      </c>
    </row>
    <row r="460">
      <c r="A460" t="n">
        <f>Coefficients!$A$2</f>
        <v>-3.7765953152866998</v>
      </c>
      <c r="B460" t="e">
        <f>(Games!#REF!)*(-1*Coefficients!$B$2)</f>
        <v>#REF!</v>
      </c>
      <c r="C460" t="e">
        <f>(VLOOKUP(Games!#REF!, Data!$B$2:$L$135, 4, FALSE)-VLOOKUP(Games!#REF!, Data!$B$2:$L$135, 4, FALSE))*Coefficients!$C$2</f>
        <v>#REF!</v>
      </c>
      <c r="D460" t="e">
        <f>(VLOOKUP(Games!#REF!, Data!$B$2:$L$135, 3, FALSE)-VLOOKUP(Games!#REF!, Data!$B$2:$L$135, 3, FALSE))*Coefficients!$D$2</f>
        <v>#REF!</v>
      </c>
      <c r="E460" t="e">
        <f>(VLOOKUP(Games!#REF!, Data!$B$2:$L$135, 5, FALSE)-VLOOKUP(Games!#REF!, Data!$B$2:$L$135, 5, FALSE))*Coefficients!$E$2</f>
        <v>#REF!</v>
      </c>
      <c r="F460" t="e">
        <f>(VLOOKUP(Games!#REF!, Data!$B$2:$L$135, 6, FALSE)-VLOOKUP(Games!#REF!, Data!$B$2:$L$135, 6, FALSE))*Coefficients!$F$2</f>
        <v>#REF!</v>
      </c>
      <c r="G460" t="e">
        <f>(VLOOKUP(Games!#REF!, Data!$B$2:$L$135, 7, FALSE)-VLOOKUP(Games!#REF!, Data!$B$2:$L$135, 7, FALSE))*Coefficients!$G$2</f>
        <v>#REF!</v>
      </c>
      <c r="H460" t="e">
        <f>(VLOOKUP(Games!#REF!, Data!$B$2:$L$135, 8, FALSE)-VLOOKUP(Games!#REF!, Data!$B$2:$L$135, 8, FALSE))*Coefficients!$H$2</f>
        <v>#REF!</v>
      </c>
      <c r="I460" t="e">
        <f>(VLOOKUP(Games!#REF!, Data!$B$2:$L$135, 9, FALSE)-VLOOKUP(Games!#REF!, Data!$B$2:$L$135, 9, FALSE))*Coefficients!$I$2</f>
        <v>#REF!</v>
      </c>
      <c r="J460" t="e">
        <f>IF(ISBLANK(Data!K460), Games!#REF!-Games!#REF!,VLOOKUP(Games!#REF!, Data!$B$2:$L$135, 10, FALSE)-VLOOKUP(Games!#REF!, Data!$B$2:$L$135, 10, FALSE))*Coefficients!$J$2</f>
        <v>#REF!</v>
      </c>
      <c r="K460" t="e">
        <f>(IF(AND(VLOOKUP(Games!#REF!, Data!$B$2:$L$135, 11, FALSE)=1, VLOOKUP(Games!#REF!, Data!$B$2:$L$135, 11, FALSE)&lt;&gt;1), 1,0))*Coefficients!K$2</f>
        <v>#REF!</v>
      </c>
      <c r="L460" t="e">
        <f>(IF(AND(VLOOKUP(Games!#REF!, Data!$B$2:$L$135, 11, FALSE)&lt;&gt;1, VLOOKUP(Games!#REF!, Data!$B$2:$L$135, 11, FALSE)=1), 1,0))*Coefficients!L$2</f>
        <v>#REF!</v>
      </c>
      <c r="O460" t="e">
        <f t="shared" si="8"/>
        <v>#REF!</v>
      </c>
    </row>
    <row r="461">
      <c r="A461" t="n">
        <f>Coefficients!$A$2</f>
        <v>-3.7765953152866998</v>
      </c>
      <c r="B461" t="e">
        <f>(Games!#REF!)*(-1*Coefficients!$B$2)</f>
        <v>#REF!</v>
      </c>
      <c r="C461" t="e">
        <f>(VLOOKUP(Games!#REF!, Data!$B$2:$L$135, 4, FALSE)-VLOOKUP(Games!#REF!, Data!$B$2:$L$135, 4, FALSE))*Coefficients!$C$2</f>
        <v>#REF!</v>
      </c>
      <c r="D461" t="e">
        <f>(VLOOKUP(Games!#REF!, Data!$B$2:$L$135, 3, FALSE)-VLOOKUP(Games!#REF!, Data!$B$2:$L$135, 3, FALSE))*Coefficients!$D$2</f>
        <v>#REF!</v>
      </c>
      <c r="E461" t="e">
        <f>(VLOOKUP(Games!#REF!, Data!$B$2:$L$135, 5, FALSE)-VLOOKUP(Games!#REF!, Data!$B$2:$L$135, 5, FALSE))*Coefficients!$E$2</f>
        <v>#REF!</v>
      </c>
      <c r="F461" t="e">
        <f>(VLOOKUP(Games!#REF!, Data!$B$2:$L$135, 6, FALSE)-VLOOKUP(Games!#REF!, Data!$B$2:$L$135, 6, FALSE))*Coefficients!$F$2</f>
        <v>#REF!</v>
      </c>
      <c r="G461" t="e">
        <f>(VLOOKUP(Games!#REF!, Data!$B$2:$L$135, 7, FALSE)-VLOOKUP(Games!#REF!, Data!$B$2:$L$135, 7, FALSE))*Coefficients!$G$2</f>
        <v>#REF!</v>
      </c>
      <c r="H461" t="e">
        <f>(VLOOKUP(Games!#REF!, Data!$B$2:$L$135, 8, FALSE)-VLOOKUP(Games!#REF!, Data!$B$2:$L$135, 8, FALSE))*Coefficients!$H$2</f>
        <v>#REF!</v>
      </c>
      <c r="I461" t="e">
        <f>(VLOOKUP(Games!#REF!, Data!$B$2:$L$135, 9, FALSE)-VLOOKUP(Games!#REF!, Data!$B$2:$L$135, 9, FALSE))*Coefficients!$I$2</f>
        <v>#REF!</v>
      </c>
      <c r="J461" t="e">
        <f>IF(ISBLANK(Data!K461), Games!#REF!-Games!#REF!,VLOOKUP(Games!#REF!, Data!$B$2:$L$135, 10, FALSE)-VLOOKUP(Games!#REF!, Data!$B$2:$L$135, 10, FALSE))*Coefficients!$J$2</f>
        <v>#REF!</v>
      </c>
      <c r="K461" t="e">
        <f>(IF(AND(VLOOKUP(Games!#REF!, Data!$B$2:$L$135, 11, FALSE)=1, VLOOKUP(Games!#REF!, Data!$B$2:$L$135, 11, FALSE)&lt;&gt;1), 1,0))*Coefficients!K$2</f>
        <v>#REF!</v>
      </c>
      <c r="L461" t="e">
        <f>(IF(AND(VLOOKUP(Games!#REF!, Data!$B$2:$L$135, 11, FALSE)&lt;&gt;1, VLOOKUP(Games!#REF!, Data!$B$2:$L$135, 11, FALSE)=1), 1,0))*Coefficients!L$2</f>
        <v>#REF!</v>
      </c>
      <c r="O461" t="e">
        <f t="shared" si="8"/>
        <v>#REF!</v>
      </c>
    </row>
    <row r="462">
      <c r="A462" t="n">
        <f>Coefficients!$A$2</f>
        <v>-3.7765953152866998</v>
      </c>
      <c r="B462" t="e">
        <f>(Games!#REF!)*(-1*Coefficients!$B$2)</f>
        <v>#REF!</v>
      </c>
      <c r="C462" t="e">
        <f>(VLOOKUP(Games!#REF!, Data!$B$2:$L$135, 4, FALSE)-VLOOKUP(Games!#REF!, Data!$B$2:$L$135, 4, FALSE))*Coefficients!$C$2</f>
        <v>#REF!</v>
      </c>
      <c r="D462" t="e">
        <f>(VLOOKUP(Games!#REF!, Data!$B$2:$L$135, 3, FALSE)-VLOOKUP(Games!#REF!, Data!$B$2:$L$135, 3, FALSE))*Coefficients!$D$2</f>
        <v>#REF!</v>
      </c>
      <c r="E462" t="e">
        <f>(VLOOKUP(Games!#REF!, Data!$B$2:$L$135, 5, FALSE)-VLOOKUP(Games!#REF!, Data!$B$2:$L$135, 5, FALSE))*Coefficients!$E$2</f>
        <v>#REF!</v>
      </c>
      <c r="F462" t="e">
        <f>(VLOOKUP(Games!#REF!, Data!$B$2:$L$135, 6, FALSE)-VLOOKUP(Games!#REF!, Data!$B$2:$L$135, 6, FALSE))*Coefficients!$F$2</f>
        <v>#REF!</v>
      </c>
      <c r="G462" t="e">
        <f>(VLOOKUP(Games!#REF!, Data!$B$2:$L$135, 7, FALSE)-VLOOKUP(Games!#REF!, Data!$B$2:$L$135, 7, FALSE))*Coefficients!$G$2</f>
        <v>#REF!</v>
      </c>
      <c r="H462" t="e">
        <f>(VLOOKUP(Games!#REF!, Data!$B$2:$L$135, 8, FALSE)-VLOOKUP(Games!#REF!, Data!$B$2:$L$135, 8, FALSE))*Coefficients!$H$2</f>
        <v>#REF!</v>
      </c>
      <c r="I462" t="e">
        <f>(VLOOKUP(Games!#REF!, Data!$B$2:$L$135, 9, FALSE)-VLOOKUP(Games!#REF!, Data!$B$2:$L$135, 9, FALSE))*Coefficients!$I$2</f>
        <v>#REF!</v>
      </c>
      <c r="J462" t="e">
        <f>IF(ISBLANK(Data!K462), Games!#REF!-Games!#REF!,VLOOKUP(Games!#REF!, Data!$B$2:$L$135, 10, FALSE)-VLOOKUP(Games!#REF!, Data!$B$2:$L$135, 10, FALSE))*Coefficients!$J$2</f>
        <v>#REF!</v>
      </c>
      <c r="K462" t="e">
        <f>(IF(AND(VLOOKUP(Games!#REF!, Data!$B$2:$L$135, 11, FALSE)=1, VLOOKUP(Games!#REF!, Data!$B$2:$L$135, 11, FALSE)&lt;&gt;1), 1,0))*Coefficients!K$2</f>
        <v>#REF!</v>
      </c>
      <c r="L462" t="e">
        <f>(IF(AND(VLOOKUP(Games!#REF!, Data!$B$2:$L$135, 11, FALSE)&lt;&gt;1, VLOOKUP(Games!#REF!, Data!$B$2:$L$135, 11, FALSE)=1), 1,0))*Coefficients!L$2</f>
        <v>#REF!</v>
      </c>
      <c r="O462" t="e">
        <f t="shared" si="8"/>
        <v>#REF!</v>
      </c>
    </row>
    <row r="463">
      <c r="A463" t="n">
        <f>Coefficients!$A$2</f>
        <v>-3.7765953152866998</v>
      </c>
      <c r="B463" t="e">
        <f>(Games!#REF!)*(-1*Coefficients!$B$2)</f>
        <v>#REF!</v>
      </c>
      <c r="C463" t="e">
        <f>(VLOOKUP(Games!#REF!, Data!$B$2:$L$135, 4, FALSE)-VLOOKUP(Games!#REF!, Data!$B$2:$L$135, 4, FALSE))*Coefficients!$C$2</f>
        <v>#REF!</v>
      </c>
      <c r="D463" t="e">
        <f>(VLOOKUP(Games!#REF!, Data!$B$2:$L$135, 3, FALSE)-VLOOKUP(Games!#REF!, Data!$B$2:$L$135, 3, FALSE))*Coefficients!$D$2</f>
        <v>#REF!</v>
      </c>
      <c r="E463" t="e">
        <f>(VLOOKUP(Games!#REF!, Data!$B$2:$L$135, 5, FALSE)-VLOOKUP(Games!#REF!, Data!$B$2:$L$135, 5, FALSE))*Coefficients!$E$2</f>
        <v>#REF!</v>
      </c>
      <c r="F463" t="e">
        <f>(VLOOKUP(Games!#REF!, Data!$B$2:$L$135, 6, FALSE)-VLOOKUP(Games!#REF!, Data!$B$2:$L$135, 6, FALSE))*Coefficients!$F$2</f>
        <v>#REF!</v>
      </c>
      <c r="G463" t="e">
        <f>(VLOOKUP(Games!#REF!, Data!$B$2:$L$135, 7, FALSE)-VLOOKUP(Games!#REF!, Data!$B$2:$L$135, 7, FALSE))*Coefficients!$G$2</f>
        <v>#REF!</v>
      </c>
      <c r="H463" t="e">
        <f>(VLOOKUP(Games!#REF!, Data!$B$2:$L$135, 8, FALSE)-VLOOKUP(Games!#REF!, Data!$B$2:$L$135, 8, FALSE))*Coefficients!$H$2</f>
        <v>#REF!</v>
      </c>
      <c r="I463" t="e">
        <f>(VLOOKUP(Games!#REF!, Data!$B$2:$L$135, 9, FALSE)-VLOOKUP(Games!#REF!, Data!$B$2:$L$135, 9, FALSE))*Coefficients!$I$2</f>
        <v>#REF!</v>
      </c>
      <c r="J463" t="e">
        <f>IF(ISBLANK(Data!K463), Games!#REF!-Games!#REF!,VLOOKUP(Games!#REF!, Data!$B$2:$L$135, 10, FALSE)-VLOOKUP(Games!#REF!, Data!$B$2:$L$135, 10, FALSE))*Coefficients!$J$2</f>
        <v>#REF!</v>
      </c>
      <c r="K463" t="e">
        <f>(IF(AND(VLOOKUP(Games!#REF!, Data!$B$2:$L$135, 11, FALSE)=1, VLOOKUP(Games!#REF!, Data!$B$2:$L$135, 11, FALSE)&lt;&gt;1), 1,0))*Coefficients!K$2</f>
        <v>#REF!</v>
      </c>
      <c r="L463" t="e">
        <f>(IF(AND(VLOOKUP(Games!#REF!, Data!$B$2:$L$135, 11, FALSE)&lt;&gt;1, VLOOKUP(Games!#REF!, Data!$B$2:$L$135, 11, FALSE)=1), 1,0))*Coefficients!L$2</f>
        <v>#REF!</v>
      </c>
      <c r="O463" t="e">
        <f t="shared" si="8"/>
        <v>#REF!</v>
      </c>
    </row>
    <row r="464">
      <c r="A464" t="n">
        <f>Coefficients!$A$2</f>
        <v>-3.7765953152866998</v>
      </c>
      <c r="B464" t="e">
        <f>(Games!#REF!)*(-1*Coefficients!$B$2)</f>
        <v>#REF!</v>
      </c>
      <c r="C464" t="e">
        <f>(VLOOKUP(Games!#REF!, Data!$B$2:$L$135, 4, FALSE)-VLOOKUP(Games!#REF!, Data!$B$2:$L$135, 4, FALSE))*Coefficients!$C$2</f>
        <v>#REF!</v>
      </c>
      <c r="D464" t="e">
        <f>(VLOOKUP(Games!#REF!, Data!$B$2:$L$135, 3, FALSE)-VLOOKUP(Games!#REF!, Data!$B$2:$L$135, 3, FALSE))*Coefficients!$D$2</f>
        <v>#REF!</v>
      </c>
      <c r="E464" t="e">
        <f>(VLOOKUP(Games!#REF!, Data!$B$2:$L$135, 5, FALSE)-VLOOKUP(Games!#REF!, Data!$B$2:$L$135, 5, FALSE))*Coefficients!$E$2</f>
        <v>#REF!</v>
      </c>
      <c r="F464" t="e">
        <f>(VLOOKUP(Games!#REF!, Data!$B$2:$L$135, 6, FALSE)-VLOOKUP(Games!#REF!, Data!$B$2:$L$135, 6, FALSE))*Coefficients!$F$2</f>
        <v>#REF!</v>
      </c>
      <c r="G464" t="e">
        <f>(VLOOKUP(Games!#REF!, Data!$B$2:$L$135, 7, FALSE)-VLOOKUP(Games!#REF!, Data!$B$2:$L$135, 7, FALSE))*Coefficients!$G$2</f>
        <v>#REF!</v>
      </c>
      <c r="H464" t="e">
        <f>(VLOOKUP(Games!#REF!, Data!$B$2:$L$135, 8, FALSE)-VLOOKUP(Games!#REF!, Data!$B$2:$L$135, 8, FALSE))*Coefficients!$H$2</f>
        <v>#REF!</v>
      </c>
      <c r="I464" t="e">
        <f>(VLOOKUP(Games!#REF!, Data!$B$2:$L$135, 9, FALSE)-VLOOKUP(Games!#REF!, Data!$B$2:$L$135, 9, FALSE))*Coefficients!$I$2</f>
        <v>#REF!</v>
      </c>
      <c r="J464" t="e">
        <f>IF(ISBLANK(Data!K464), Games!#REF!-Games!#REF!,VLOOKUP(Games!#REF!, Data!$B$2:$L$135, 10, FALSE)-VLOOKUP(Games!#REF!, Data!$B$2:$L$135, 10, FALSE))*Coefficients!$J$2</f>
        <v>#REF!</v>
      </c>
      <c r="K464" t="e">
        <f>(IF(AND(VLOOKUP(Games!#REF!, Data!$B$2:$L$135, 11, FALSE)=1, VLOOKUP(Games!#REF!, Data!$B$2:$L$135, 11, FALSE)&lt;&gt;1), 1,0))*Coefficients!K$2</f>
        <v>#REF!</v>
      </c>
      <c r="L464" t="e">
        <f>(IF(AND(VLOOKUP(Games!#REF!, Data!$B$2:$L$135, 11, FALSE)&lt;&gt;1, VLOOKUP(Games!#REF!, Data!$B$2:$L$135, 11, FALSE)=1), 1,0))*Coefficients!L$2</f>
        <v>#REF!</v>
      </c>
      <c r="O464" t="e">
        <f t="shared" si="8"/>
        <v>#REF!</v>
      </c>
    </row>
    <row r="465">
      <c r="A465" t="n">
        <f>Coefficients!$A$2</f>
        <v>-3.7765953152866998</v>
      </c>
      <c r="B465" t="e">
        <f>(Games!#REF!)*(-1*Coefficients!$B$2)</f>
        <v>#REF!</v>
      </c>
      <c r="C465" t="e">
        <f>(VLOOKUP(Games!#REF!, Data!$B$2:$L$135, 4, FALSE)-VLOOKUP(Games!#REF!, Data!$B$2:$L$135, 4, FALSE))*Coefficients!$C$2</f>
        <v>#REF!</v>
      </c>
      <c r="D465" t="e">
        <f>(VLOOKUP(Games!#REF!, Data!$B$2:$L$135, 3, FALSE)-VLOOKUP(Games!#REF!, Data!$B$2:$L$135, 3, FALSE))*Coefficients!$D$2</f>
        <v>#REF!</v>
      </c>
      <c r="E465" t="e">
        <f>(VLOOKUP(Games!#REF!, Data!$B$2:$L$135, 5, FALSE)-VLOOKUP(Games!#REF!, Data!$B$2:$L$135, 5, FALSE))*Coefficients!$E$2</f>
        <v>#REF!</v>
      </c>
      <c r="F465" t="e">
        <f>(VLOOKUP(Games!#REF!, Data!$B$2:$L$135, 6, FALSE)-VLOOKUP(Games!#REF!, Data!$B$2:$L$135, 6, FALSE))*Coefficients!$F$2</f>
        <v>#REF!</v>
      </c>
      <c r="G465" t="e">
        <f>(VLOOKUP(Games!#REF!, Data!$B$2:$L$135, 7, FALSE)-VLOOKUP(Games!#REF!, Data!$B$2:$L$135, 7, FALSE))*Coefficients!$G$2</f>
        <v>#REF!</v>
      </c>
      <c r="H465" t="e">
        <f>(VLOOKUP(Games!#REF!, Data!$B$2:$L$135, 8, FALSE)-VLOOKUP(Games!#REF!, Data!$B$2:$L$135, 8, FALSE))*Coefficients!$H$2</f>
        <v>#REF!</v>
      </c>
      <c r="I465" t="e">
        <f>(VLOOKUP(Games!#REF!, Data!$B$2:$L$135, 9, FALSE)-VLOOKUP(Games!#REF!, Data!$B$2:$L$135, 9, FALSE))*Coefficients!$I$2</f>
        <v>#REF!</v>
      </c>
      <c r="J465" t="e">
        <f>IF(ISBLANK(Data!K465), Games!#REF!-Games!#REF!,VLOOKUP(Games!#REF!, Data!$B$2:$L$135, 10, FALSE)-VLOOKUP(Games!#REF!, Data!$B$2:$L$135, 10, FALSE))*Coefficients!$J$2</f>
        <v>#REF!</v>
      </c>
      <c r="K465" t="e">
        <f>(IF(AND(VLOOKUP(Games!#REF!, Data!$B$2:$L$135, 11, FALSE)=1, VLOOKUP(Games!#REF!, Data!$B$2:$L$135, 11, FALSE)&lt;&gt;1), 1,0))*Coefficients!K$2</f>
        <v>#REF!</v>
      </c>
      <c r="L465" t="e">
        <f>(IF(AND(VLOOKUP(Games!#REF!, Data!$B$2:$L$135, 11, FALSE)&lt;&gt;1, VLOOKUP(Games!#REF!, Data!$B$2:$L$135, 11, FALSE)=1), 1,0))*Coefficients!L$2</f>
        <v>#REF!</v>
      </c>
      <c r="O465" t="e">
        <f t="shared" si="8"/>
        <v>#REF!</v>
      </c>
    </row>
    <row r="466">
      <c r="A466" t="n">
        <f>Coefficients!$A$2</f>
        <v>-3.7765953152866998</v>
      </c>
      <c r="B466" t="e">
        <f>(Games!#REF!)*(-1*Coefficients!$B$2)</f>
        <v>#REF!</v>
      </c>
      <c r="C466" t="e">
        <f>(VLOOKUP(Games!#REF!, Data!$B$2:$L$135, 4, FALSE)-VLOOKUP(Games!#REF!, Data!$B$2:$L$135, 4, FALSE))*Coefficients!$C$2</f>
        <v>#REF!</v>
      </c>
      <c r="D466" t="e">
        <f>(VLOOKUP(Games!#REF!, Data!$B$2:$L$135, 3, FALSE)-VLOOKUP(Games!#REF!, Data!$B$2:$L$135, 3, FALSE))*Coefficients!$D$2</f>
        <v>#REF!</v>
      </c>
      <c r="E466" t="e">
        <f>(VLOOKUP(Games!#REF!, Data!$B$2:$L$135, 5, FALSE)-VLOOKUP(Games!#REF!, Data!$B$2:$L$135, 5, FALSE))*Coefficients!$E$2</f>
        <v>#REF!</v>
      </c>
      <c r="F466" t="e">
        <f>(VLOOKUP(Games!#REF!, Data!$B$2:$L$135, 6, FALSE)-VLOOKUP(Games!#REF!, Data!$B$2:$L$135, 6, FALSE))*Coefficients!$F$2</f>
        <v>#REF!</v>
      </c>
      <c r="G466" t="e">
        <f>(VLOOKUP(Games!#REF!, Data!$B$2:$L$135, 7, FALSE)-VLOOKUP(Games!#REF!, Data!$B$2:$L$135, 7, FALSE))*Coefficients!$G$2</f>
        <v>#REF!</v>
      </c>
      <c r="H466" t="e">
        <f>(VLOOKUP(Games!#REF!, Data!$B$2:$L$135, 8, FALSE)-VLOOKUP(Games!#REF!, Data!$B$2:$L$135, 8, FALSE))*Coefficients!$H$2</f>
        <v>#REF!</v>
      </c>
      <c r="I466" t="e">
        <f>(VLOOKUP(Games!#REF!, Data!$B$2:$L$135, 9, FALSE)-VLOOKUP(Games!#REF!, Data!$B$2:$L$135, 9, FALSE))*Coefficients!$I$2</f>
        <v>#REF!</v>
      </c>
      <c r="J466" t="e">
        <f>IF(ISBLANK(Data!K466), Games!#REF!-Games!#REF!,VLOOKUP(Games!#REF!, Data!$B$2:$L$135, 10, FALSE)-VLOOKUP(Games!#REF!, Data!$B$2:$L$135, 10, FALSE))*Coefficients!$J$2</f>
        <v>#REF!</v>
      </c>
      <c r="K466" t="e">
        <f>(IF(AND(VLOOKUP(Games!#REF!, Data!$B$2:$L$135, 11, FALSE)=1, VLOOKUP(Games!#REF!, Data!$B$2:$L$135, 11, FALSE)&lt;&gt;1), 1,0))*Coefficients!K$2</f>
        <v>#REF!</v>
      </c>
      <c r="L466" t="e">
        <f>(IF(AND(VLOOKUP(Games!#REF!, Data!$B$2:$L$135, 11, FALSE)&lt;&gt;1, VLOOKUP(Games!#REF!, Data!$B$2:$L$135, 11, FALSE)=1), 1,0))*Coefficients!L$2</f>
        <v>#REF!</v>
      </c>
      <c r="O466" t="e">
        <f t="shared" si="8"/>
        <v>#REF!</v>
      </c>
    </row>
    <row r="467">
      <c r="A467" t="n">
        <f>Coefficients!$A$2</f>
        <v>-3.7765953152866998</v>
      </c>
      <c r="B467" t="e">
        <f>(Games!#REF!)*(-1*Coefficients!$B$2)</f>
        <v>#REF!</v>
      </c>
      <c r="C467" t="e">
        <f>(VLOOKUP(Games!#REF!, Data!$B$2:$L$135, 4, FALSE)-VLOOKUP(Games!#REF!, Data!$B$2:$L$135, 4, FALSE))*Coefficients!$C$2</f>
        <v>#REF!</v>
      </c>
      <c r="D467" t="e">
        <f>(VLOOKUP(Games!#REF!, Data!$B$2:$L$135, 3, FALSE)-VLOOKUP(Games!#REF!, Data!$B$2:$L$135, 3, FALSE))*Coefficients!$D$2</f>
        <v>#REF!</v>
      </c>
      <c r="E467" t="e">
        <f>(VLOOKUP(Games!#REF!, Data!$B$2:$L$135, 5, FALSE)-VLOOKUP(Games!#REF!, Data!$B$2:$L$135, 5, FALSE))*Coefficients!$E$2</f>
        <v>#REF!</v>
      </c>
      <c r="F467" t="e">
        <f>(VLOOKUP(Games!#REF!, Data!$B$2:$L$135, 6, FALSE)-VLOOKUP(Games!#REF!, Data!$B$2:$L$135, 6, FALSE))*Coefficients!$F$2</f>
        <v>#REF!</v>
      </c>
      <c r="G467" t="e">
        <f>(VLOOKUP(Games!#REF!, Data!$B$2:$L$135, 7, FALSE)-VLOOKUP(Games!#REF!, Data!$B$2:$L$135, 7, FALSE))*Coefficients!$G$2</f>
        <v>#REF!</v>
      </c>
      <c r="H467" t="e">
        <f>(VLOOKUP(Games!#REF!, Data!$B$2:$L$135, 8, FALSE)-VLOOKUP(Games!#REF!, Data!$B$2:$L$135, 8, FALSE))*Coefficients!$H$2</f>
        <v>#REF!</v>
      </c>
      <c r="I467" t="e">
        <f>(VLOOKUP(Games!#REF!, Data!$B$2:$L$135, 9, FALSE)-VLOOKUP(Games!#REF!, Data!$B$2:$L$135, 9, FALSE))*Coefficients!$I$2</f>
        <v>#REF!</v>
      </c>
      <c r="J467" t="e">
        <f>IF(ISBLANK(Data!K467), Games!#REF!-Games!#REF!,VLOOKUP(Games!#REF!, Data!$B$2:$L$135, 10, FALSE)-VLOOKUP(Games!#REF!, Data!$B$2:$L$135, 10, FALSE))*Coefficients!$J$2</f>
        <v>#REF!</v>
      </c>
      <c r="K467" t="e">
        <f>(IF(AND(VLOOKUP(Games!#REF!, Data!$B$2:$L$135, 11, FALSE)=1, VLOOKUP(Games!#REF!, Data!$B$2:$L$135, 11, FALSE)&lt;&gt;1), 1,0))*Coefficients!K$2</f>
        <v>#REF!</v>
      </c>
      <c r="L467" t="e">
        <f>(IF(AND(VLOOKUP(Games!#REF!, Data!$B$2:$L$135, 11, FALSE)&lt;&gt;1, VLOOKUP(Games!#REF!, Data!$B$2:$L$135, 11, FALSE)=1), 1,0))*Coefficients!L$2</f>
        <v>#REF!</v>
      </c>
      <c r="O467" t="e">
        <f t="shared" si="8"/>
        <v>#REF!</v>
      </c>
    </row>
    <row r="468">
      <c r="A468" t="n">
        <f>Coefficients!$A$2</f>
        <v>-3.7765953152866998</v>
      </c>
      <c r="B468" t="e">
        <f>(Games!#REF!)*(-1*Coefficients!$B$2)</f>
        <v>#REF!</v>
      </c>
      <c r="C468" t="e">
        <f>(VLOOKUP(Games!#REF!, Data!$B$2:$L$135, 4, FALSE)-VLOOKUP(Games!#REF!, Data!$B$2:$L$135, 4, FALSE))*Coefficients!$C$2</f>
        <v>#REF!</v>
      </c>
      <c r="D468" t="e">
        <f>(VLOOKUP(Games!#REF!, Data!$B$2:$L$135, 3, FALSE)-VLOOKUP(Games!#REF!, Data!$B$2:$L$135, 3, FALSE))*Coefficients!$D$2</f>
        <v>#REF!</v>
      </c>
      <c r="E468" t="e">
        <f>(VLOOKUP(Games!#REF!, Data!$B$2:$L$135, 5, FALSE)-VLOOKUP(Games!#REF!, Data!$B$2:$L$135, 5, FALSE))*Coefficients!$E$2</f>
        <v>#REF!</v>
      </c>
      <c r="F468" t="e">
        <f>(VLOOKUP(Games!#REF!, Data!$B$2:$L$135, 6, FALSE)-VLOOKUP(Games!#REF!, Data!$B$2:$L$135, 6, FALSE))*Coefficients!$F$2</f>
        <v>#REF!</v>
      </c>
      <c r="G468" t="e">
        <f>(VLOOKUP(Games!#REF!, Data!$B$2:$L$135, 7, FALSE)-VLOOKUP(Games!#REF!, Data!$B$2:$L$135, 7, FALSE))*Coefficients!$G$2</f>
        <v>#REF!</v>
      </c>
      <c r="H468" t="e">
        <f>(VLOOKUP(Games!#REF!, Data!$B$2:$L$135, 8, FALSE)-VLOOKUP(Games!#REF!, Data!$B$2:$L$135, 8, FALSE))*Coefficients!$H$2</f>
        <v>#REF!</v>
      </c>
      <c r="I468" t="e">
        <f>(VLOOKUP(Games!#REF!, Data!$B$2:$L$135, 9, FALSE)-VLOOKUP(Games!#REF!, Data!$B$2:$L$135, 9, FALSE))*Coefficients!$I$2</f>
        <v>#REF!</v>
      </c>
      <c r="J468" t="e">
        <f>IF(ISBLANK(Data!K468), Games!#REF!-Games!#REF!,VLOOKUP(Games!#REF!, Data!$B$2:$L$135, 10, FALSE)-VLOOKUP(Games!#REF!, Data!$B$2:$L$135, 10, FALSE))*Coefficients!$J$2</f>
        <v>#REF!</v>
      </c>
      <c r="K468" t="e">
        <f>(IF(AND(VLOOKUP(Games!#REF!, Data!$B$2:$L$135, 11, FALSE)=1, VLOOKUP(Games!#REF!, Data!$B$2:$L$135, 11, FALSE)&lt;&gt;1), 1,0))*Coefficients!K$2</f>
        <v>#REF!</v>
      </c>
      <c r="L468" t="e">
        <f>(IF(AND(VLOOKUP(Games!#REF!, Data!$B$2:$L$135, 11, FALSE)&lt;&gt;1, VLOOKUP(Games!#REF!, Data!$B$2:$L$135, 11, FALSE)=1), 1,0))*Coefficients!L$2</f>
        <v>#REF!</v>
      </c>
      <c r="O468" t="e">
        <f t="shared" si="8"/>
        <v>#REF!</v>
      </c>
    </row>
    <row r="469">
      <c r="A469" t="n">
        <f>Coefficients!$A$2</f>
        <v>-3.7765953152866998</v>
      </c>
      <c r="B469" t="e">
        <f>(Games!#REF!)*(-1*Coefficients!$B$2)</f>
        <v>#REF!</v>
      </c>
      <c r="C469" t="e">
        <f>(VLOOKUP(Games!#REF!, Data!$B$2:$L$135, 4, FALSE)-VLOOKUP(Games!#REF!, Data!$B$2:$L$135, 4, FALSE))*Coefficients!$C$2</f>
        <v>#REF!</v>
      </c>
      <c r="D469" t="e">
        <f>(VLOOKUP(Games!#REF!, Data!$B$2:$L$135, 3, FALSE)-VLOOKUP(Games!#REF!, Data!$B$2:$L$135, 3, FALSE))*Coefficients!$D$2</f>
        <v>#REF!</v>
      </c>
      <c r="E469" t="e">
        <f>(VLOOKUP(Games!#REF!, Data!$B$2:$L$135, 5, FALSE)-VLOOKUP(Games!#REF!, Data!$B$2:$L$135, 5, FALSE))*Coefficients!$E$2</f>
        <v>#REF!</v>
      </c>
      <c r="F469" t="e">
        <f>(VLOOKUP(Games!#REF!, Data!$B$2:$L$135, 6, FALSE)-VLOOKUP(Games!#REF!, Data!$B$2:$L$135, 6, FALSE))*Coefficients!$F$2</f>
        <v>#REF!</v>
      </c>
      <c r="G469" t="e">
        <f>(VLOOKUP(Games!#REF!, Data!$B$2:$L$135, 7, FALSE)-VLOOKUP(Games!#REF!, Data!$B$2:$L$135, 7, FALSE))*Coefficients!$G$2</f>
        <v>#REF!</v>
      </c>
      <c r="H469" t="e">
        <f>(VLOOKUP(Games!#REF!, Data!$B$2:$L$135, 8, FALSE)-VLOOKUP(Games!#REF!, Data!$B$2:$L$135, 8, FALSE))*Coefficients!$H$2</f>
        <v>#REF!</v>
      </c>
      <c r="I469" t="e">
        <f>(VLOOKUP(Games!#REF!, Data!$B$2:$L$135, 9, FALSE)-VLOOKUP(Games!#REF!, Data!$B$2:$L$135, 9, FALSE))*Coefficients!$I$2</f>
        <v>#REF!</v>
      </c>
      <c r="J469" t="e">
        <f>IF(ISBLANK(Data!K469), Games!#REF!-Games!#REF!,VLOOKUP(Games!#REF!, Data!$B$2:$L$135, 10, FALSE)-VLOOKUP(Games!#REF!, Data!$B$2:$L$135, 10, FALSE))*Coefficients!$J$2</f>
        <v>#REF!</v>
      </c>
      <c r="K469" t="e">
        <f>(IF(AND(VLOOKUP(Games!#REF!, Data!$B$2:$L$135, 11, FALSE)=1, VLOOKUP(Games!#REF!, Data!$B$2:$L$135, 11, FALSE)&lt;&gt;1), 1,0))*Coefficients!K$2</f>
        <v>#REF!</v>
      </c>
      <c r="L469" t="e">
        <f>(IF(AND(VLOOKUP(Games!#REF!, Data!$B$2:$L$135, 11, FALSE)&lt;&gt;1, VLOOKUP(Games!#REF!, Data!$B$2:$L$135, 11, FALSE)=1), 1,0))*Coefficients!L$2</f>
        <v>#REF!</v>
      </c>
      <c r="O469" t="e">
        <f t="shared" si="8"/>
        <v>#REF!</v>
      </c>
    </row>
    <row r="470">
      <c r="A470" t="n">
        <f>Coefficients!$A$2</f>
        <v>-3.7765953152866998</v>
      </c>
      <c r="B470" t="e">
        <f>(Games!#REF!)*(-1*Coefficients!$B$2)</f>
        <v>#REF!</v>
      </c>
      <c r="C470" t="e">
        <f>(VLOOKUP(Games!#REF!, Data!$B$2:$L$135, 4, FALSE)-VLOOKUP(Games!#REF!, Data!$B$2:$L$135, 4, FALSE))*Coefficients!$C$2</f>
        <v>#REF!</v>
      </c>
      <c r="D470" t="e">
        <f>(VLOOKUP(Games!#REF!, Data!$B$2:$L$135, 3, FALSE)-VLOOKUP(Games!#REF!, Data!$B$2:$L$135, 3, FALSE))*Coefficients!$D$2</f>
        <v>#REF!</v>
      </c>
      <c r="E470" t="e">
        <f>(VLOOKUP(Games!#REF!, Data!$B$2:$L$135, 5, FALSE)-VLOOKUP(Games!#REF!, Data!$B$2:$L$135, 5, FALSE))*Coefficients!$E$2</f>
        <v>#REF!</v>
      </c>
      <c r="F470" t="e">
        <f>(VLOOKUP(Games!#REF!, Data!$B$2:$L$135, 6, FALSE)-VLOOKUP(Games!#REF!, Data!$B$2:$L$135, 6, FALSE))*Coefficients!$F$2</f>
        <v>#REF!</v>
      </c>
      <c r="G470" t="e">
        <f>(VLOOKUP(Games!#REF!, Data!$B$2:$L$135, 7, FALSE)-VLOOKUP(Games!#REF!, Data!$B$2:$L$135, 7, FALSE))*Coefficients!$G$2</f>
        <v>#REF!</v>
      </c>
      <c r="H470" t="e">
        <f>(VLOOKUP(Games!#REF!, Data!$B$2:$L$135, 8, FALSE)-VLOOKUP(Games!#REF!, Data!$B$2:$L$135, 8, FALSE))*Coefficients!$H$2</f>
        <v>#REF!</v>
      </c>
      <c r="I470" t="e">
        <f>(VLOOKUP(Games!#REF!, Data!$B$2:$L$135, 9, FALSE)-VLOOKUP(Games!#REF!, Data!$B$2:$L$135, 9, FALSE))*Coefficients!$I$2</f>
        <v>#REF!</v>
      </c>
      <c r="J470" t="e">
        <f>IF(ISBLANK(Data!K470), Games!#REF!-Games!#REF!,VLOOKUP(Games!#REF!, Data!$B$2:$L$135, 10, FALSE)-VLOOKUP(Games!#REF!, Data!$B$2:$L$135, 10, FALSE))*Coefficients!$J$2</f>
        <v>#REF!</v>
      </c>
      <c r="K470" t="e">
        <f>(IF(AND(VLOOKUP(Games!#REF!, Data!$B$2:$L$135, 11, FALSE)=1, VLOOKUP(Games!#REF!, Data!$B$2:$L$135, 11, FALSE)&lt;&gt;1), 1,0))*Coefficients!K$2</f>
        <v>#REF!</v>
      </c>
      <c r="L470" t="e">
        <f>(IF(AND(VLOOKUP(Games!#REF!, Data!$B$2:$L$135, 11, FALSE)&lt;&gt;1, VLOOKUP(Games!#REF!, Data!$B$2:$L$135, 11, FALSE)=1), 1,0))*Coefficients!L$2</f>
        <v>#REF!</v>
      </c>
      <c r="O470" t="e">
        <f t="shared" si="8"/>
        <v>#REF!</v>
      </c>
    </row>
    <row r="471">
      <c r="A471" t="n">
        <f>Coefficients!$A$2</f>
        <v>-3.7765953152866998</v>
      </c>
      <c r="B471" t="e">
        <f>(Games!#REF!)*(-1*Coefficients!$B$2)</f>
        <v>#REF!</v>
      </c>
      <c r="C471" t="e">
        <f>(VLOOKUP(Games!#REF!, Data!$B$2:$L$135, 4, FALSE)-VLOOKUP(Games!#REF!, Data!$B$2:$L$135, 4, FALSE))*Coefficients!$C$2</f>
        <v>#REF!</v>
      </c>
      <c r="D471" t="e">
        <f>(VLOOKUP(Games!#REF!, Data!$B$2:$L$135, 3, FALSE)-VLOOKUP(Games!#REF!, Data!$B$2:$L$135, 3, FALSE))*Coefficients!$D$2</f>
        <v>#REF!</v>
      </c>
      <c r="E471" t="e">
        <f>(VLOOKUP(Games!#REF!, Data!$B$2:$L$135, 5, FALSE)-VLOOKUP(Games!#REF!, Data!$B$2:$L$135, 5, FALSE))*Coefficients!$E$2</f>
        <v>#REF!</v>
      </c>
      <c r="F471" t="e">
        <f>(VLOOKUP(Games!#REF!, Data!$B$2:$L$135, 6, FALSE)-VLOOKUP(Games!#REF!, Data!$B$2:$L$135, 6, FALSE))*Coefficients!$F$2</f>
        <v>#REF!</v>
      </c>
      <c r="G471" t="e">
        <f>(VLOOKUP(Games!#REF!, Data!$B$2:$L$135, 7, FALSE)-VLOOKUP(Games!#REF!, Data!$B$2:$L$135, 7, FALSE))*Coefficients!$G$2</f>
        <v>#REF!</v>
      </c>
      <c r="H471" t="e">
        <f>(VLOOKUP(Games!#REF!, Data!$B$2:$L$135, 8, FALSE)-VLOOKUP(Games!#REF!, Data!$B$2:$L$135, 8, FALSE))*Coefficients!$H$2</f>
        <v>#REF!</v>
      </c>
      <c r="I471" t="e">
        <f>(VLOOKUP(Games!#REF!, Data!$B$2:$L$135, 9, FALSE)-VLOOKUP(Games!#REF!, Data!$B$2:$L$135, 9, FALSE))*Coefficients!$I$2</f>
        <v>#REF!</v>
      </c>
      <c r="J471" t="e">
        <f>IF(ISBLANK(Data!K471), Games!#REF!-Games!#REF!,VLOOKUP(Games!#REF!, Data!$B$2:$L$135, 10, FALSE)-VLOOKUP(Games!#REF!, Data!$B$2:$L$135, 10, FALSE))*Coefficients!$J$2</f>
        <v>#REF!</v>
      </c>
      <c r="K471" t="e">
        <f>(IF(AND(VLOOKUP(Games!#REF!, Data!$B$2:$L$135, 11, FALSE)=1, VLOOKUP(Games!#REF!, Data!$B$2:$L$135, 11, FALSE)&lt;&gt;1), 1,0))*Coefficients!K$2</f>
        <v>#REF!</v>
      </c>
      <c r="L471" t="e">
        <f>(IF(AND(VLOOKUP(Games!#REF!, Data!$B$2:$L$135, 11, FALSE)&lt;&gt;1, VLOOKUP(Games!#REF!, Data!$B$2:$L$135, 11, FALSE)=1), 1,0))*Coefficients!L$2</f>
        <v>#REF!</v>
      </c>
      <c r="O471" t="e">
        <f t="shared" si="8"/>
        <v>#REF!</v>
      </c>
    </row>
    <row r="472">
      <c r="A472" t="n">
        <f>Coefficients!$A$2</f>
        <v>-3.7765953152866998</v>
      </c>
      <c r="B472" t="e">
        <f>(Games!#REF!)*(-1*Coefficients!$B$2)</f>
        <v>#REF!</v>
      </c>
      <c r="C472" t="e">
        <f>(VLOOKUP(Games!#REF!, Data!$B$2:$L$135, 4, FALSE)-VLOOKUP(Games!#REF!, Data!$B$2:$L$135, 4, FALSE))*Coefficients!$C$2</f>
        <v>#REF!</v>
      </c>
      <c r="D472" t="e">
        <f>(VLOOKUP(Games!#REF!, Data!$B$2:$L$135, 3, FALSE)-VLOOKUP(Games!#REF!, Data!$B$2:$L$135, 3, FALSE))*Coefficients!$D$2</f>
        <v>#REF!</v>
      </c>
      <c r="E472" t="e">
        <f>(VLOOKUP(Games!#REF!, Data!$B$2:$L$135, 5, FALSE)-VLOOKUP(Games!#REF!, Data!$B$2:$L$135, 5, FALSE))*Coefficients!$E$2</f>
        <v>#REF!</v>
      </c>
      <c r="F472" t="e">
        <f>(VLOOKUP(Games!#REF!, Data!$B$2:$L$135, 6, FALSE)-VLOOKUP(Games!#REF!, Data!$B$2:$L$135, 6, FALSE))*Coefficients!$F$2</f>
        <v>#REF!</v>
      </c>
      <c r="G472" t="e">
        <f>(VLOOKUP(Games!#REF!, Data!$B$2:$L$135, 7, FALSE)-VLOOKUP(Games!#REF!, Data!$B$2:$L$135, 7, FALSE))*Coefficients!$G$2</f>
        <v>#REF!</v>
      </c>
      <c r="H472" t="e">
        <f>(VLOOKUP(Games!#REF!, Data!$B$2:$L$135, 8, FALSE)-VLOOKUP(Games!#REF!, Data!$B$2:$L$135, 8, FALSE))*Coefficients!$H$2</f>
        <v>#REF!</v>
      </c>
      <c r="I472" t="e">
        <f>(VLOOKUP(Games!#REF!, Data!$B$2:$L$135, 9, FALSE)-VLOOKUP(Games!#REF!, Data!$B$2:$L$135, 9, FALSE))*Coefficients!$I$2</f>
        <v>#REF!</v>
      </c>
      <c r="J472" t="e">
        <f>IF(ISBLANK(Data!K472), Games!#REF!-Games!#REF!,VLOOKUP(Games!#REF!, Data!$B$2:$L$135, 10, FALSE)-VLOOKUP(Games!#REF!, Data!$B$2:$L$135, 10, FALSE))*Coefficients!$J$2</f>
        <v>#REF!</v>
      </c>
      <c r="K472" t="e">
        <f>(IF(AND(VLOOKUP(Games!#REF!, Data!$B$2:$L$135, 11, FALSE)=1, VLOOKUP(Games!#REF!, Data!$B$2:$L$135, 11, FALSE)&lt;&gt;1), 1,0))*Coefficients!K$2</f>
        <v>#REF!</v>
      </c>
      <c r="L472" t="e">
        <f>(IF(AND(VLOOKUP(Games!#REF!, Data!$B$2:$L$135, 11, FALSE)&lt;&gt;1, VLOOKUP(Games!#REF!, Data!$B$2:$L$135, 11, FALSE)=1), 1,0))*Coefficients!L$2</f>
        <v>#REF!</v>
      </c>
      <c r="O472" t="e">
        <f t="shared" si="8"/>
        <v>#REF!</v>
      </c>
    </row>
    <row r="473">
      <c r="A473" t="n">
        <f>Coefficients!$A$2</f>
        <v>-3.7765953152866998</v>
      </c>
      <c r="B473" t="e">
        <f>(Games!#REF!)*(-1*Coefficients!$B$2)</f>
        <v>#REF!</v>
      </c>
      <c r="C473" t="e">
        <f>(VLOOKUP(Games!#REF!, Data!$B$2:$L$135, 4, FALSE)-VLOOKUP(Games!#REF!, Data!$B$2:$L$135, 4, FALSE))*Coefficients!$C$2</f>
        <v>#REF!</v>
      </c>
      <c r="D473" t="e">
        <f>(VLOOKUP(Games!#REF!, Data!$B$2:$L$135, 3, FALSE)-VLOOKUP(Games!#REF!, Data!$B$2:$L$135, 3, FALSE))*Coefficients!$D$2</f>
        <v>#REF!</v>
      </c>
      <c r="E473" t="e">
        <f>(VLOOKUP(Games!#REF!, Data!$B$2:$L$135, 5, FALSE)-VLOOKUP(Games!#REF!, Data!$B$2:$L$135, 5, FALSE))*Coefficients!$E$2</f>
        <v>#REF!</v>
      </c>
      <c r="F473" t="e">
        <f>(VLOOKUP(Games!#REF!, Data!$B$2:$L$135, 6, FALSE)-VLOOKUP(Games!#REF!, Data!$B$2:$L$135, 6, FALSE))*Coefficients!$F$2</f>
        <v>#REF!</v>
      </c>
      <c r="G473" t="e">
        <f>(VLOOKUP(Games!#REF!, Data!$B$2:$L$135, 7, FALSE)-VLOOKUP(Games!#REF!, Data!$B$2:$L$135, 7, FALSE))*Coefficients!$G$2</f>
        <v>#REF!</v>
      </c>
      <c r="H473" t="e">
        <f>(VLOOKUP(Games!#REF!, Data!$B$2:$L$135, 8, FALSE)-VLOOKUP(Games!#REF!, Data!$B$2:$L$135, 8, FALSE))*Coefficients!$H$2</f>
        <v>#REF!</v>
      </c>
      <c r="I473" t="e">
        <f>(VLOOKUP(Games!#REF!, Data!$B$2:$L$135, 9, FALSE)-VLOOKUP(Games!#REF!, Data!$B$2:$L$135, 9, FALSE))*Coefficients!$I$2</f>
        <v>#REF!</v>
      </c>
      <c r="J473" t="e">
        <f>IF(ISBLANK(Data!K473), Games!#REF!-Games!#REF!,VLOOKUP(Games!#REF!, Data!$B$2:$L$135, 10, FALSE)-VLOOKUP(Games!#REF!, Data!$B$2:$L$135, 10, FALSE))*Coefficients!$J$2</f>
        <v>#REF!</v>
      </c>
      <c r="K473" t="e">
        <f>(IF(AND(VLOOKUP(Games!#REF!, Data!$B$2:$L$135, 11, FALSE)=1, VLOOKUP(Games!#REF!, Data!$B$2:$L$135, 11, FALSE)&lt;&gt;1), 1,0))*Coefficients!K$2</f>
        <v>#REF!</v>
      </c>
      <c r="L473" t="e">
        <f>(IF(AND(VLOOKUP(Games!#REF!, Data!$B$2:$L$135, 11, FALSE)&lt;&gt;1, VLOOKUP(Games!#REF!, Data!$B$2:$L$135, 11, FALSE)=1), 1,0))*Coefficients!L$2</f>
        <v>#REF!</v>
      </c>
      <c r="O473" t="e">
        <f t="shared" si="8"/>
        <v>#REF!</v>
      </c>
    </row>
    <row r="474">
      <c r="A474" t="n">
        <f>Coefficients!$A$2</f>
        <v>-3.7765953152866998</v>
      </c>
      <c r="B474" t="e">
        <f>(Games!#REF!)*(-1*Coefficients!$B$2)</f>
        <v>#REF!</v>
      </c>
      <c r="C474" t="e">
        <f>(VLOOKUP(Games!#REF!, Data!$B$2:$L$135, 4, FALSE)-VLOOKUP(Games!#REF!, Data!$B$2:$L$135, 4, FALSE))*Coefficients!$C$2</f>
        <v>#REF!</v>
      </c>
      <c r="D474" t="e">
        <f>(VLOOKUP(Games!#REF!, Data!$B$2:$L$135, 3, FALSE)-VLOOKUP(Games!#REF!, Data!$B$2:$L$135, 3, FALSE))*Coefficients!$D$2</f>
        <v>#REF!</v>
      </c>
      <c r="E474" t="e">
        <f>(VLOOKUP(Games!#REF!, Data!$B$2:$L$135, 5, FALSE)-VLOOKUP(Games!#REF!, Data!$B$2:$L$135, 5, FALSE))*Coefficients!$E$2</f>
        <v>#REF!</v>
      </c>
      <c r="F474" t="e">
        <f>(VLOOKUP(Games!#REF!, Data!$B$2:$L$135, 6, FALSE)-VLOOKUP(Games!#REF!, Data!$B$2:$L$135, 6, FALSE))*Coefficients!$F$2</f>
        <v>#REF!</v>
      </c>
      <c r="G474" t="e">
        <f>(VLOOKUP(Games!#REF!, Data!$B$2:$L$135, 7, FALSE)-VLOOKUP(Games!#REF!, Data!$B$2:$L$135, 7, FALSE))*Coefficients!$G$2</f>
        <v>#REF!</v>
      </c>
      <c r="H474" t="e">
        <f>(VLOOKUP(Games!#REF!, Data!$B$2:$L$135, 8, FALSE)-VLOOKUP(Games!#REF!, Data!$B$2:$L$135, 8, FALSE))*Coefficients!$H$2</f>
        <v>#REF!</v>
      </c>
      <c r="I474" t="e">
        <f>(VLOOKUP(Games!#REF!, Data!$B$2:$L$135, 9, FALSE)-VLOOKUP(Games!#REF!, Data!$B$2:$L$135, 9, FALSE))*Coefficients!$I$2</f>
        <v>#REF!</v>
      </c>
      <c r="J474" t="e">
        <f>IF(ISBLANK(Data!K474), Games!#REF!-Games!#REF!,VLOOKUP(Games!#REF!, Data!$B$2:$L$135, 10, FALSE)-VLOOKUP(Games!#REF!, Data!$B$2:$L$135, 10, FALSE))*Coefficients!$J$2</f>
        <v>#REF!</v>
      </c>
      <c r="K474" t="e">
        <f>(IF(AND(VLOOKUP(Games!#REF!, Data!$B$2:$L$135, 11, FALSE)=1, VLOOKUP(Games!#REF!, Data!$B$2:$L$135, 11, FALSE)&lt;&gt;1), 1,0))*Coefficients!K$2</f>
        <v>#REF!</v>
      </c>
      <c r="L474" t="e">
        <f>(IF(AND(VLOOKUP(Games!#REF!, Data!$B$2:$L$135, 11, FALSE)&lt;&gt;1, VLOOKUP(Games!#REF!, Data!$B$2:$L$135, 11, FALSE)=1), 1,0))*Coefficients!L$2</f>
        <v>#REF!</v>
      </c>
      <c r="O474" t="e">
        <f t="shared" si="8"/>
        <v>#REF!</v>
      </c>
    </row>
    <row r="475">
      <c r="A475" t="n">
        <f>Coefficients!$A$2</f>
        <v>-3.7765953152866998</v>
      </c>
      <c r="B475" t="e">
        <f>(Games!#REF!)*(-1*Coefficients!$B$2)</f>
        <v>#REF!</v>
      </c>
      <c r="C475" t="e">
        <f>(VLOOKUP(Games!#REF!, Data!$B$2:$L$135, 4, FALSE)-VLOOKUP(Games!#REF!, Data!$B$2:$L$135, 4, FALSE))*Coefficients!$C$2</f>
        <v>#REF!</v>
      </c>
      <c r="D475" t="e">
        <f>(VLOOKUP(Games!#REF!, Data!$B$2:$L$135, 3, FALSE)-VLOOKUP(Games!#REF!, Data!$B$2:$L$135, 3, FALSE))*Coefficients!$D$2</f>
        <v>#REF!</v>
      </c>
      <c r="E475" t="e">
        <f>(VLOOKUP(Games!#REF!, Data!$B$2:$L$135, 5, FALSE)-VLOOKUP(Games!#REF!, Data!$B$2:$L$135, 5, FALSE))*Coefficients!$E$2</f>
        <v>#REF!</v>
      </c>
      <c r="F475" t="e">
        <f>(VLOOKUP(Games!#REF!, Data!$B$2:$L$135, 6, FALSE)-VLOOKUP(Games!#REF!, Data!$B$2:$L$135, 6, FALSE))*Coefficients!$F$2</f>
        <v>#REF!</v>
      </c>
      <c r="G475" t="e">
        <f>(VLOOKUP(Games!#REF!, Data!$B$2:$L$135, 7, FALSE)-VLOOKUP(Games!#REF!, Data!$B$2:$L$135, 7, FALSE))*Coefficients!$G$2</f>
        <v>#REF!</v>
      </c>
      <c r="H475" t="e">
        <f>(VLOOKUP(Games!#REF!, Data!$B$2:$L$135, 8, FALSE)-VLOOKUP(Games!#REF!, Data!$B$2:$L$135, 8, FALSE))*Coefficients!$H$2</f>
        <v>#REF!</v>
      </c>
      <c r="I475" t="e">
        <f>(VLOOKUP(Games!#REF!, Data!$B$2:$L$135, 9, FALSE)-VLOOKUP(Games!#REF!, Data!$B$2:$L$135, 9, FALSE))*Coefficients!$I$2</f>
        <v>#REF!</v>
      </c>
      <c r="J475" t="e">
        <f>IF(ISBLANK(Data!K475), Games!#REF!-Games!#REF!,VLOOKUP(Games!#REF!, Data!$B$2:$L$135, 10, FALSE)-VLOOKUP(Games!#REF!, Data!$B$2:$L$135, 10, FALSE))*Coefficients!$J$2</f>
        <v>#REF!</v>
      </c>
      <c r="K475" t="e">
        <f>(IF(AND(VLOOKUP(Games!#REF!, Data!$B$2:$L$135, 11, FALSE)=1, VLOOKUP(Games!#REF!, Data!$B$2:$L$135, 11, FALSE)&lt;&gt;1), 1,0))*Coefficients!K$2</f>
        <v>#REF!</v>
      </c>
      <c r="L475" t="e">
        <f>(IF(AND(VLOOKUP(Games!#REF!, Data!$B$2:$L$135, 11, FALSE)&lt;&gt;1, VLOOKUP(Games!#REF!, Data!$B$2:$L$135, 11, FALSE)=1), 1,0))*Coefficients!L$2</f>
        <v>#REF!</v>
      </c>
      <c r="O475" t="e">
        <f t="shared" si="8"/>
        <v>#REF!</v>
      </c>
    </row>
    <row r="476">
      <c r="A476" t="n">
        <f>Coefficients!$A$2</f>
        <v>-3.7765953152866998</v>
      </c>
      <c r="B476" t="e">
        <f>(Games!#REF!)*(-1*Coefficients!$B$2)</f>
        <v>#REF!</v>
      </c>
      <c r="C476" t="e">
        <f>(VLOOKUP(Games!#REF!, Data!$B$2:$L$135, 4, FALSE)-VLOOKUP(Games!#REF!, Data!$B$2:$L$135, 4, FALSE))*Coefficients!$C$2</f>
        <v>#REF!</v>
      </c>
      <c r="D476" t="e">
        <f>(VLOOKUP(Games!#REF!, Data!$B$2:$L$135, 3, FALSE)-VLOOKUP(Games!#REF!, Data!$B$2:$L$135, 3, FALSE))*Coefficients!$D$2</f>
        <v>#REF!</v>
      </c>
      <c r="E476" t="e">
        <f>(VLOOKUP(Games!#REF!, Data!$B$2:$L$135, 5, FALSE)-VLOOKUP(Games!#REF!, Data!$B$2:$L$135, 5, FALSE))*Coefficients!$E$2</f>
        <v>#REF!</v>
      </c>
      <c r="F476" t="e">
        <f>(VLOOKUP(Games!#REF!, Data!$B$2:$L$135, 6, FALSE)-VLOOKUP(Games!#REF!, Data!$B$2:$L$135, 6, FALSE))*Coefficients!$F$2</f>
        <v>#REF!</v>
      </c>
      <c r="G476" t="e">
        <f>(VLOOKUP(Games!#REF!, Data!$B$2:$L$135, 7, FALSE)-VLOOKUP(Games!#REF!, Data!$B$2:$L$135, 7, FALSE))*Coefficients!$G$2</f>
        <v>#REF!</v>
      </c>
      <c r="H476" t="e">
        <f>(VLOOKUP(Games!#REF!, Data!$B$2:$L$135, 8, FALSE)-VLOOKUP(Games!#REF!, Data!$B$2:$L$135, 8, FALSE))*Coefficients!$H$2</f>
        <v>#REF!</v>
      </c>
      <c r="I476" t="e">
        <f>(VLOOKUP(Games!#REF!, Data!$B$2:$L$135, 9, FALSE)-VLOOKUP(Games!#REF!, Data!$B$2:$L$135, 9, FALSE))*Coefficients!$I$2</f>
        <v>#REF!</v>
      </c>
      <c r="J476" t="e">
        <f>IF(ISBLANK(Data!K476), Games!#REF!-Games!#REF!,VLOOKUP(Games!#REF!, Data!$B$2:$L$135, 10, FALSE)-VLOOKUP(Games!#REF!, Data!$B$2:$L$135, 10, FALSE))*Coefficients!$J$2</f>
        <v>#REF!</v>
      </c>
      <c r="K476" t="e">
        <f>(IF(AND(VLOOKUP(Games!#REF!, Data!$B$2:$L$135, 11, FALSE)=1, VLOOKUP(Games!#REF!, Data!$B$2:$L$135, 11, FALSE)&lt;&gt;1), 1,0))*Coefficients!K$2</f>
        <v>#REF!</v>
      </c>
      <c r="L476" t="e">
        <f>(IF(AND(VLOOKUP(Games!#REF!, Data!$B$2:$L$135, 11, FALSE)&lt;&gt;1, VLOOKUP(Games!#REF!, Data!$B$2:$L$135, 11, FALSE)=1), 1,0))*Coefficients!L$2</f>
        <v>#REF!</v>
      </c>
      <c r="O476" t="e">
        <f t="shared" si="8"/>
        <v>#REF!</v>
      </c>
    </row>
    <row r="477">
      <c r="A477" t="n">
        <f>Coefficients!$A$2</f>
        <v>-3.7765953152866998</v>
      </c>
      <c r="B477" t="e">
        <f>(Games!#REF!)*(-1*Coefficients!$B$2)</f>
        <v>#REF!</v>
      </c>
      <c r="C477" t="e">
        <f>(VLOOKUP(Games!#REF!, Data!$B$2:$L$135, 4, FALSE)-VLOOKUP(Games!#REF!, Data!$B$2:$L$135, 4, FALSE))*Coefficients!$C$2</f>
        <v>#REF!</v>
      </c>
      <c r="D477" t="e">
        <f>(VLOOKUP(Games!#REF!, Data!$B$2:$L$135, 3, FALSE)-VLOOKUP(Games!#REF!, Data!$B$2:$L$135, 3, FALSE))*Coefficients!$D$2</f>
        <v>#REF!</v>
      </c>
      <c r="E477" t="e">
        <f>(VLOOKUP(Games!#REF!, Data!$B$2:$L$135, 5, FALSE)-VLOOKUP(Games!#REF!, Data!$B$2:$L$135, 5, FALSE))*Coefficients!$E$2</f>
        <v>#REF!</v>
      </c>
      <c r="F477" t="e">
        <f>(VLOOKUP(Games!#REF!, Data!$B$2:$L$135, 6, FALSE)-VLOOKUP(Games!#REF!, Data!$B$2:$L$135, 6, FALSE))*Coefficients!$F$2</f>
        <v>#REF!</v>
      </c>
      <c r="G477" t="e">
        <f>(VLOOKUP(Games!#REF!, Data!$B$2:$L$135, 7, FALSE)-VLOOKUP(Games!#REF!, Data!$B$2:$L$135, 7, FALSE))*Coefficients!$G$2</f>
        <v>#REF!</v>
      </c>
      <c r="H477" t="e">
        <f>(VLOOKUP(Games!#REF!, Data!$B$2:$L$135, 8, FALSE)-VLOOKUP(Games!#REF!, Data!$B$2:$L$135, 8, FALSE))*Coefficients!$H$2</f>
        <v>#REF!</v>
      </c>
      <c r="I477" t="e">
        <f>(VLOOKUP(Games!#REF!, Data!$B$2:$L$135, 9, FALSE)-VLOOKUP(Games!#REF!, Data!$B$2:$L$135, 9, FALSE))*Coefficients!$I$2</f>
        <v>#REF!</v>
      </c>
      <c r="J477" t="e">
        <f>IF(ISBLANK(Data!K477), Games!#REF!-Games!#REF!,VLOOKUP(Games!#REF!, Data!$B$2:$L$135, 10, FALSE)-VLOOKUP(Games!#REF!, Data!$B$2:$L$135, 10, FALSE))*Coefficients!$J$2</f>
        <v>#REF!</v>
      </c>
      <c r="K477" t="e">
        <f>(IF(AND(VLOOKUP(Games!#REF!, Data!$B$2:$L$135, 11, FALSE)=1, VLOOKUP(Games!#REF!, Data!$B$2:$L$135, 11, FALSE)&lt;&gt;1), 1,0))*Coefficients!K$2</f>
        <v>#REF!</v>
      </c>
      <c r="L477" t="e">
        <f>(IF(AND(VLOOKUP(Games!#REF!, Data!$B$2:$L$135, 11, FALSE)&lt;&gt;1, VLOOKUP(Games!#REF!, Data!$B$2:$L$135, 11, FALSE)=1), 1,0))*Coefficients!L$2</f>
        <v>#REF!</v>
      </c>
      <c r="O477" t="e">
        <f t="shared" si="8"/>
        <v>#REF!</v>
      </c>
    </row>
    <row r="478">
      <c r="A478" t="n">
        <f>Coefficients!$A$2</f>
        <v>-3.7765953152866998</v>
      </c>
      <c r="B478" t="e">
        <f>(Games!#REF!)*(-1*Coefficients!$B$2)</f>
        <v>#REF!</v>
      </c>
      <c r="C478" t="e">
        <f>(VLOOKUP(Games!#REF!, Data!$B$2:$L$135, 4, FALSE)-VLOOKUP(Games!#REF!, Data!$B$2:$L$135, 4, FALSE))*Coefficients!$C$2</f>
        <v>#REF!</v>
      </c>
      <c r="D478" t="e">
        <f>(VLOOKUP(Games!#REF!, Data!$B$2:$L$135, 3, FALSE)-VLOOKUP(Games!#REF!, Data!$B$2:$L$135, 3, FALSE))*Coefficients!$D$2</f>
        <v>#REF!</v>
      </c>
      <c r="E478" t="e">
        <f>(VLOOKUP(Games!#REF!, Data!$B$2:$L$135, 5, FALSE)-VLOOKUP(Games!#REF!, Data!$B$2:$L$135, 5, FALSE))*Coefficients!$E$2</f>
        <v>#REF!</v>
      </c>
      <c r="F478" t="e">
        <f>(VLOOKUP(Games!#REF!, Data!$B$2:$L$135, 6, FALSE)-VLOOKUP(Games!#REF!, Data!$B$2:$L$135, 6, FALSE))*Coefficients!$F$2</f>
        <v>#REF!</v>
      </c>
      <c r="G478" t="e">
        <f>(VLOOKUP(Games!#REF!, Data!$B$2:$L$135, 7, FALSE)-VLOOKUP(Games!#REF!, Data!$B$2:$L$135, 7, FALSE))*Coefficients!$G$2</f>
        <v>#REF!</v>
      </c>
      <c r="H478" t="e">
        <f>(VLOOKUP(Games!#REF!, Data!$B$2:$L$135, 8, FALSE)-VLOOKUP(Games!#REF!, Data!$B$2:$L$135, 8, FALSE))*Coefficients!$H$2</f>
        <v>#REF!</v>
      </c>
      <c r="I478" t="e">
        <f>(VLOOKUP(Games!#REF!, Data!$B$2:$L$135, 9, FALSE)-VLOOKUP(Games!#REF!, Data!$B$2:$L$135, 9, FALSE))*Coefficients!$I$2</f>
        <v>#REF!</v>
      </c>
      <c r="J478" t="e">
        <f>IF(ISBLANK(Data!K478), Games!#REF!-Games!#REF!,VLOOKUP(Games!#REF!, Data!$B$2:$L$135, 10, FALSE)-VLOOKUP(Games!#REF!, Data!$B$2:$L$135, 10, FALSE))*Coefficients!$J$2</f>
        <v>#REF!</v>
      </c>
      <c r="K478" t="e">
        <f>(IF(AND(VLOOKUP(Games!#REF!, Data!$B$2:$L$135, 11, FALSE)=1, VLOOKUP(Games!#REF!, Data!$B$2:$L$135, 11, FALSE)&lt;&gt;1), 1,0))*Coefficients!K$2</f>
        <v>#REF!</v>
      </c>
      <c r="L478" t="e">
        <f>(IF(AND(VLOOKUP(Games!#REF!, Data!$B$2:$L$135, 11, FALSE)&lt;&gt;1, VLOOKUP(Games!#REF!, Data!$B$2:$L$135, 11, FALSE)=1), 1,0))*Coefficients!L$2</f>
        <v>#REF!</v>
      </c>
      <c r="O478" t="e">
        <f t="shared" si="8"/>
        <v>#REF!</v>
      </c>
    </row>
    <row r="479">
      <c r="A479" t="n">
        <f>Coefficients!$A$2</f>
        <v>-3.7765953152866998</v>
      </c>
      <c r="B479" t="e">
        <f>(Games!#REF!)*(-1*Coefficients!$B$2)</f>
        <v>#REF!</v>
      </c>
      <c r="C479" t="e">
        <f>(VLOOKUP(Games!#REF!, Data!$B$2:$L$135, 4, FALSE)-VLOOKUP(Games!#REF!, Data!$B$2:$L$135, 4, FALSE))*Coefficients!$C$2</f>
        <v>#REF!</v>
      </c>
      <c r="D479" t="e">
        <f>(VLOOKUP(Games!#REF!, Data!$B$2:$L$135, 3, FALSE)-VLOOKUP(Games!#REF!, Data!$B$2:$L$135, 3, FALSE))*Coefficients!$D$2</f>
        <v>#REF!</v>
      </c>
      <c r="E479" t="e">
        <f>(VLOOKUP(Games!#REF!, Data!$B$2:$L$135, 5, FALSE)-VLOOKUP(Games!#REF!, Data!$B$2:$L$135, 5, FALSE))*Coefficients!$E$2</f>
        <v>#REF!</v>
      </c>
      <c r="F479" t="e">
        <f>(VLOOKUP(Games!#REF!, Data!$B$2:$L$135, 6, FALSE)-VLOOKUP(Games!#REF!, Data!$B$2:$L$135, 6, FALSE))*Coefficients!$F$2</f>
        <v>#REF!</v>
      </c>
      <c r="G479" t="e">
        <f>(VLOOKUP(Games!#REF!, Data!$B$2:$L$135, 7, FALSE)-VLOOKUP(Games!#REF!, Data!$B$2:$L$135, 7, FALSE))*Coefficients!$G$2</f>
        <v>#REF!</v>
      </c>
      <c r="H479" t="e">
        <f>(VLOOKUP(Games!#REF!, Data!$B$2:$L$135, 8, FALSE)-VLOOKUP(Games!#REF!, Data!$B$2:$L$135, 8, FALSE))*Coefficients!$H$2</f>
        <v>#REF!</v>
      </c>
      <c r="I479" t="e">
        <f>(VLOOKUP(Games!#REF!, Data!$B$2:$L$135, 9, FALSE)-VLOOKUP(Games!#REF!, Data!$B$2:$L$135, 9, FALSE))*Coefficients!$I$2</f>
        <v>#REF!</v>
      </c>
      <c r="J479" t="e">
        <f>IF(ISBLANK(Data!K479), Games!#REF!-Games!#REF!,VLOOKUP(Games!#REF!, Data!$B$2:$L$135, 10, FALSE)-VLOOKUP(Games!#REF!, Data!$B$2:$L$135, 10, FALSE))*Coefficients!$J$2</f>
        <v>#REF!</v>
      </c>
      <c r="K479" t="e">
        <f>(IF(AND(VLOOKUP(Games!#REF!, Data!$B$2:$L$135, 11, FALSE)=1, VLOOKUP(Games!#REF!, Data!$B$2:$L$135, 11, FALSE)&lt;&gt;1), 1,0))*Coefficients!K$2</f>
        <v>#REF!</v>
      </c>
      <c r="L479" t="e">
        <f>(IF(AND(VLOOKUP(Games!#REF!, Data!$B$2:$L$135, 11, FALSE)&lt;&gt;1, VLOOKUP(Games!#REF!, Data!$B$2:$L$135, 11, FALSE)=1), 1,0))*Coefficients!L$2</f>
        <v>#REF!</v>
      </c>
      <c r="O479" t="e">
        <f t="shared" si="8"/>
        <v>#REF!</v>
      </c>
    </row>
    <row r="480">
      <c r="A480" t="n">
        <f>Coefficients!$A$2</f>
        <v>-3.7765953152866998</v>
      </c>
      <c r="B480" t="e">
        <f>(Games!#REF!)*(-1*Coefficients!$B$2)</f>
        <v>#REF!</v>
      </c>
      <c r="C480" t="e">
        <f>(VLOOKUP(Games!#REF!, Data!$B$2:$L$135, 4, FALSE)-VLOOKUP(Games!#REF!, Data!$B$2:$L$135, 4, FALSE))*Coefficients!$C$2</f>
        <v>#REF!</v>
      </c>
      <c r="D480" t="e">
        <f>(VLOOKUP(Games!#REF!, Data!$B$2:$L$135, 3, FALSE)-VLOOKUP(Games!#REF!, Data!$B$2:$L$135, 3, FALSE))*Coefficients!$D$2</f>
        <v>#REF!</v>
      </c>
      <c r="E480" t="e">
        <f>(VLOOKUP(Games!#REF!, Data!$B$2:$L$135, 5, FALSE)-VLOOKUP(Games!#REF!, Data!$B$2:$L$135, 5, FALSE))*Coefficients!$E$2</f>
        <v>#REF!</v>
      </c>
      <c r="F480" t="e">
        <f>(VLOOKUP(Games!#REF!, Data!$B$2:$L$135, 6, FALSE)-VLOOKUP(Games!#REF!, Data!$B$2:$L$135, 6, FALSE))*Coefficients!$F$2</f>
        <v>#REF!</v>
      </c>
      <c r="G480" t="e">
        <f>(VLOOKUP(Games!#REF!, Data!$B$2:$L$135, 7, FALSE)-VLOOKUP(Games!#REF!, Data!$B$2:$L$135, 7, FALSE))*Coefficients!$G$2</f>
        <v>#REF!</v>
      </c>
      <c r="H480" t="e">
        <f>(VLOOKUP(Games!#REF!, Data!$B$2:$L$135, 8, FALSE)-VLOOKUP(Games!#REF!, Data!$B$2:$L$135, 8, FALSE))*Coefficients!$H$2</f>
        <v>#REF!</v>
      </c>
      <c r="I480" t="e">
        <f>(VLOOKUP(Games!#REF!, Data!$B$2:$L$135, 9, FALSE)-VLOOKUP(Games!#REF!, Data!$B$2:$L$135, 9, FALSE))*Coefficients!$I$2</f>
        <v>#REF!</v>
      </c>
      <c r="J480" t="e">
        <f>IF(ISBLANK(Data!K480), Games!#REF!-Games!#REF!,VLOOKUP(Games!#REF!, Data!$B$2:$L$135, 10, FALSE)-VLOOKUP(Games!#REF!, Data!$B$2:$L$135, 10, FALSE))*Coefficients!$J$2</f>
        <v>#REF!</v>
      </c>
      <c r="K480" t="e">
        <f>(IF(AND(VLOOKUP(Games!#REF!, Data!$B$2:$L$135, 11, FALSE)=1, VLOOKUP(Games!#REF!, Data!$B$2:$L$135, 11, FALSE)&lt;&gt;1), 1,0))*Coefficients!K$2</f>
        <v>#REF!</v>
      </c>
      <c r="L480" t="e">
        <f>(IF(AND(VLOOKUP(Games!#REF!, Data!$B$2:$L$135, 11, FALSE)&lt;&gt;1, VLOOKUP(Games!#REF!, Data!$B$2:$L$135, 11, FALSE)=1), 1,0))*Coefficients!L$2</f>
        <v>#REF!</v>
      </c>
      <c r="O480" t="e">
        <f t="shared" si="8"/>
        <v>#REF!</v>
      </c>
    </row>
    <row r="481">
      <c r="A481" t="n">
        <f>Coefficients!$A$2</f>
        <v>-3.7765953152866998</v>
      </c>
      <c r="B481" t="e">
        <f>(Games!#REF!)*(-1*Coefficients!$B$2)</f>
        <v>#REF!</v>
      </c>
      <c r="C481" t="e">
        <f>(VLOOKUP(Games!#REF!, Data!$B$2:$L$135, 4, FALSE)-VLOOKUP(Games!#REF!, Data!$B$2:$L$135, 4, FALSE))*Coefficients!$C$2</f>
        <v>#REF!</v>
      </c>
      <c r="D481" t="e">
        <f>(VLOOKUP(Games!#REF!, Data!$B$2:$L$135, 3, FALSE)-VLOOKUP(Games!#REF!, Data!$B$2:$L$135, 3, FALSE))*Coefficients!$D$2</f>
        <v>#REF!</v>
      </c>
      <c r="E481" t="e">
        <f>(VLOOKUP(Games!#REF!, Data!$B$2:$L$135, 5, FALSE)-VLOOKUP(Games!#REF!, Data!$B$2:$L$135, 5, FALSE))*Coefficients!$E$2</f>
        <v>#REF!</v>
      </c>
      <c r="F481" t="e">
        <f>(VLOOKUP(Games!#REF!, Data!$B$2:$L$135, 6, FALSE)-VLOOKUP(Games!#REF!, Data!$B$2:$L$135, 6, FALSE))*Coefficients!$F$2</f>
        <v>#REF!</v>
      </c>
      <c r="G481" t="e">
        <f>(VLOOKUP(Games!#REF!, Data!$B$2:$L$135, 7, FALSE)-VLOOKUP(Games!#REF!, Data!$B$2:$L$135, 7, FALSE))*Coefficients!$G$2</f>
        <v>#REF!</v>
      </c>
      <c r="H481" t="e">
        <f>(VLOOKUP(Games!#REF!, Data!$B$2:$L$135, 8, FALSE)-VLOOKUP(Games!#REF!, Data!$B$2:$L$135, 8, FALSE))*Coefficients!$H$2</f>
        <v>#REF!</v>
      </c>
      <c r="I481" t="e">
        <f>(VLOOKUP(Games!#REF!, Data!$B$2:$L$135, 9, FALSE)-VLOOKUP(Games!#REF!, Data!$B$2:$L$135, 9, FALSE))*Coefficients!$I$2</f>
        <v>#REF!</v>
      </c>
      <c r="J481" t="e">
        <f>IF(ISBLANK(Data!K481), Games!#REF!-Games!#REF!,VLOOKUP(Games!#REF!, Data!$B$2:$L$135, 10, FALSE)-VLOOKUP(Games!#REF!, Data!$B$2:$L$135, 10, FALSE))*Coefficients!$J$2</f>
        <v>#REF!</v>
      </c>
      <c r="K481" t="e">
        <f>(IF(AND(VLOOKUP(Games!#REF!, Data!$B$2:$L$135, 11, FALSE)=1, VLOOKUP(Games!#REF!, Data!$B$2:$L$135, 11, FALSE)&lt;&gt;1), 1,0))*Coefficients!K$2</f>
        <v>#REF!</v>
      </c>
      <c r="L481" t="e">
        <f>(IF(AND(VLOOKUP(Games!#REF!, Data!$B$2:$L$135, 11, FALSE)&lt;&gt;1, VLOOKUP(Games!#REF!, Data!$B$2:$L$135, 11, FALSE)=1), 1,0))*Coefficients!L$2</f>
        <v>#REF!</v>
      </c>
      <c r="O481" t="e">
        <f t="shared" si="8"/>
        <v>#REF!</v>
      </c>
    </row>
    <row r="482">
      <c r="A482" t="n">
        <f>Coefficients!$A$2</f>
        <v>-3.7765953152866998</v>
      </c>
      <c r="B482" t="e">
        <f>(Games!#REF!)*(-1*Coefficients!$B$2)</f>
        <v>#REF!</v>
      </c>
      <c r="C482" t="e">
        <f>(VLOOKUP(Games!#REF!, Data!$B$2:$L$135, 4, FALSE)-VLOOKUP(Games!#REF!, Data!$B$2:$L$135, 4, FALSE))*Coefficients!$C$2</f>
        <v>#REF!</v>
      </c>
      <c r="D482" t="e">
        <f>(VLOOKUP(Games!#REF!, Data!$B$2:$L$135, 3, FALSE)-VLOOKUP(Games!#REF!, Data!$B$2:$L$135, 3, FALSE))*Coefficients!$D$2</f>
        <v>#REF!</v>
      </c>
      <c r="E482" t="e">
        <f>(VLOOKUP(Games!#REF!, Data!$B$2:$L$135, 5, FALSE)-VLOOKUP(Games!#REF!, Data!$B$2:$L$135, 5, FALSE))*Coefficients!$E$2</f>
        <v>#REF!</v>
      </c>
      <c r="F482" t="e">
        <f>(VLOOKUP(Games!#REF!, Data!$B$2:$L$135, 6, FALSE)-VLOOKUP(Games!#REF!, Data!$B$2:$L$135, 6, FALSE))*Coefficients!$F$2</f>
        <v>#REF!</v>
      </c>
      <c r="G482" t="e">
        <f>(VLOOKUP(Games!#REF!, Data!$B$2:$L$135, 7, FALSE)-VLOOKUP(Games!#REF!, Data!$B$2:$L$135, 7, FALSE))*Coefficients!$G$2</f>
        <v>#REF!</v>
      </c>
      <c r="H482" t="e">
        <f>(VLOOKUP(Games!#REF!, Data!$B$2:$L$135, 8, FALSE)-VLOOKUP(Games!#REF!, Data!$B$2:$L$135, 8, FALSE))*Coefficients!$H$2</f>
        <v>#REF!</v>
      </c>
      <c r="I482" t="e">
        <f>(VLOOKUP(Games!#REF!, Data!$B$2:$L$135, 9, FALSE)-VLOOKUP(Games!#REF!, Data!$B$2:$L$135, 9, FALSE))*Coefficients!$I$2</f>
        <v>#REF!</v>
      </c>
      <c r="J482" t="e">
        <f>IF(ISBLANK(Data!K482), Games!#REF!-Games!#REF!,VLOOKUP(Games!#REF!, Data!$B$2:$L$135, 10, FALSE)-VLOOKUP(Games!#REF!, Data!$B$2:$L$135, 10, FALSE))*Coefficients!$J$2</f>
        <v>#REF!</v>
      </c>
      <c r="K482" t="e">
        <f>(IF(AND(VLOOKUP(Games!#REF!, Data!$B$2:$L$135, 11, FALSE)=1, VLOOKUP(Games!#REF!, Data!$B$2:$L$135, 11, FALSE)&lt;&gt;1), 1,0))*Coefficients!K$2</f>
        <v>#REF!</v>
      </c>
      <c r="L482" t="e">
        <f>(IF(AND(VLOOKUP(Games!#REF!, Data!$B$2:$L$135, 11, FALSE)&lt;&gt;1, VLOOKUP(Games!#REF!, Data!$B$2:$L$135, 11, FALSE)=1), 1,0))*Coefficients!L$2</f>
        <v>#REF!</v>
      </c>
      <c r="O482" t="e">
        <f t="shared" si="8"/>
        <v>#REF!</v>
      </c>
    </row>
    <row r="483">
      <c r="A483" t="n">
        <f>Coefficients!$A$2</f>
        <v>-3.7765953152866998</v>
      </c>
      <c r="B483" t="e">
        <f>(Games!#REF!)*(-1*Coefficients!$B$2)</f>
        <v>#REF!</v>
      </c>
      <c r="C483" t="e">
        <f>(VLOOKUP(Games!#REF!, Data!$B$2:$L$135, 4, FALSE)-VLOOKUP(Games!#REF!, Data!$B$2:$L$135, 4, FALSE))*Coefficients!$C$2</f>
        <v>#REF!</v>
      </c>
      <c r="D483" t="e">
        <f>(VLOOKUP(Games!#REF!, Data!$B$2:$L$135, 3, FALSE)-VLOOKUP(Games!#REF!, Data!$B$2:$L$135, 3, FALSE))*Coefficients!$D$2</f>
        <v>#REF!</v>
      </c>
      <c r="E483" t="e">
        <f>(VLOOKUP(Games!#REF!, Data!$B$2:$L$135, 5, FALSE)-VLOOKUP(Games!#REF!, Data!$B$2:$L$135, 5, FALSE))*Coefficients!$E$2</f>
        <v>#REF!</v>
      </c>
      <c r="F483" t="e">
        <f>(VLOOKUP(Games!#REF!, Data!$B$2:$L$135, 6, FALSE)-VLOOKUP(Games!#REF!, Data!$B$2:$L$135, 6, FALSE))*Coefficients!$F$2</f>
        <v>#REF!</v>
      </c>
      <c r="G483" t="e">
        <f>(VLOOKUP(Games!#REF!, Data!$B$2:$L$135, 7, FALSE)-VLOOKUP(Games!#REF!, Data!$B$2:$L$135, 7, FALSE))*Coefficients!$G$2</f>
        <v>#REF!</v>
      </c>
      <c r="H483" t="e">
        <f>(VLOOKUP(Games!#REF!, Data!$B$2:$L$135, 8, FALSE)-VLOOKUP(Games!#REF!, Data!$B$2:$L$135, 8, FALSE))*Coefficients!$H$2</f>
        <v>#REF!</v>
      </c>
      <c r="I483" t="e">
        <f>(VLOOKUP(Games!#REF!, Data!$B$2:$L$135, 9, FALSE)-VLOOKUP(Games!#REF!, Data!$B$2:$L$135, 9, FALSE))*Coefficients!$I$2</f>
        <v>#REF!</v>
      </c>
      <c r="J483" t="e">
        <f>IF(ISBLANK(Data!K483), Games!#REF!-Games!#REF!,VLOOKUP(Games!#REF!, Data!$B$2:$L$135, 10, FALSE)-VLOOKUP(Games!#REF!, Data!$B$2:$L$135, 10, FALSE))*Coefficients!$J$2</f>
        <v>#REF!</v>
      </c>
      <c r="K483" t="e">
        <f>(IF(AND(VLOOKUP(Games!#REF!, Data!$B$2:$L$135, 11, FALSE)=1, VLOOKUP(Games!#REF!, Data!$B$2:$L$135, 11, FALSE)&lt;&gt;1), 1,0))*Coefficients!K$2</f>
        <v>#REF!</v>
      </c>
      <c r="L483" t="e">
        <f>(IF(AND(VLOOKUP(Games!#REF!, Data!$B$2:$L$135, 11, FALSE)&lt;&gt;1, VLOOKUP(Games!#REF!, Data!$B$2:$L$135, 11, FALSE)=1), 1,0))*Coefficients!L$2</f>
        <v>#REF!</v>
      </c>
      <c r="O483" t="e">
        <f t="shared" si="8"/>
        <v>#REF!</v>
      </c>
    </row>
    <row r="484">
      <c r="A484" t="n">
        <f>Coefficients!$A$2</f>
        <v>-3.7765953152866998</v>
      </c>
      <c r="B484" t="e">
        <f>(Games!#REF!)*(-1*Coefficients!$B$2)</f>
        <v>#REF!</v>
      </c>
      <c r="C484" t="e">
        <f>(VLOOKUP(Games!#REF!, Data!$B$2:$L$135, 4, FALSE)-VLOOKUP(Games!#REF!, Data!$B$2:$L$135, 4, FALSE))*Coefficients!$C$2</f>
        <v>#REF!</v>
      </c>
      <c r="D484" t="e">
        <f>(VLOOKUP(Games!#REF!, Data!$B$2:$L$135, 3, FALSE)-VLOOKUP(Games!#REF!, Data!$B$2:$L$135, 3, FALSE))*Coefficients!$D$2</f>
        <v>#REF!</v>
      </c>
      <c r="E484" t="e">
        <f>(VLOOKUP(Games!#REF!, Data!$B$2:$L$135, 5, FALSE)-VLOOKUP(Games!#REF!, Data!$B$2:$L$135, 5, FALSE))*Coefficients!$E$2</f>
        <v>#REF!</v>
      </c>
      <c r="F484" t="e">
        <f>(VLOOKUP(Games!#REF!, Data!$B$2:$L$135, 6, FALSE)-VLOOKUP(Games!#REF!, Data!$B$2:$L$135, 6, FALSE))*Coefficients!$F$2</f>
        <v>#REF!</v>
      </c>
      <c r="G484" t="e">
        <f>(VLOOKUP(Games!#REF!, Data!$B$2:$L$135, 7, FALSE)-VLOOKUP(Games!#REF!, Data!$B$2:$L$135, 7, FALSE))*Coefficients!$G$2</f>
        <v>#REF!</v>
      </c>
      <c r="H484" t="e">
        <f>(VLOOKUP(Games!#REF!, Data!$B$2:$L$135, 8, FALSE)-VLOOKUP(Games!#REF!, Data!$B$2:$L$135, 8, FALSE))*Coefficients!$H$2</f>
        <v>#REF!</v>
      </c>
      <c r="I484" t="e">
        <f>(VLOOKUP(Games!#REF!, Data!$B$2:$L$135, 9, FALSE)-VLOOKUP(Games!#REF!, Data!$B$2:$L$135, 9, FALSE))*Coefficients!$I$2</f>
        <v>#REF!</v>
      </c>
      <c r="J484" t="e">
        <f>IF(ISBLANK(Data!K484), Games!#REF!-Games!#REF!,VLOOKUP(Games!#REF!, Data!$B$2:$L$135, 10, FALSE)-VLOOKUP(Games!#REF!, Data!$B$2:$L$135, 10, FALSE))*Coefficients!$J$2</f>
        <v>#REF!</v>
      </c>
      <c r="K484" t="e">
        <f>(IF(AND(VLOOKUP(Games!#REF!, Data!$B$2:$L$135, 11, FALSE)=1, VLOOKUP(Games!#REF!, Data!$B$2:$L$135, 11, FALSE)&lt;&gt;1), 1,0))*Coefficients!K$2</f>
        <v>#REF!</v>
      </c>
      <c r="L484" t="e">
        <f>(IF(AND(VLOOKUP(Games!#REF!, Data!$B$2:$L$135, 11, FALSE)&lt;&gt;1, VLOOKUP(Games!#REF!, Data!$B$2:$L$135, 11, FALSE)=1), 1,0))*Coefficients!L$2</f>
        <v>#REF!</v>
      </c>
      <c r="O484" t="e">
        <f t="shared" si="8"/>
        <v>#REF!</v>
      </c>
    </row>
    <row r="485">
      <c r="A485" t="n">
        <f>Coefficients!$A$2</f>
        <v>-3.7765953152866998</v>
      </c>
      <c r="B485" t="e">
        <f>(Games!#REF!)*(-1*Coefficients!$B$2)</f>
        <v>#REF!</v>
      </c>
      <c r="C485" t="e">
        <f>(VLOOKUP(Games!#REF!, Data!$B$2:$L$135, 4, FALSE)-VLOOKUP(Games!#REF!, Data!$B$2:$L$135, 4, FALSE))*Coefficients!$C$2</f>
        <v>#REF!</v>
      </c>
      <c r="D485" t="e">
        <f>(VLOOKUP(Games!#REF!, Data!$B$2:$L$135, 3, FALSE)-VLOOKUP(Games!#REF!, Data!$B$2:$L$135, 3, FALSE))*Coefficients!$D$2</f>
        <v>#REF!</v>
      </c>
      <c r="E485" t="e">
        <f>(VLOOKUP(Games!#REF!, Data!$B$2:$L$135, 5, FALSE)-VLOOKUP(Games!#REF!, Data!$B$2:$L$135, 5, FALSE))*Coefficients!$E$2</f>
        <v>#REF!</v>
      </c>
      <c r="F485" t="e">
        <f>(VLOOKUP(Games!#REF!, Data!$B$2:$L$135, 6, FALSE)-VLOOKUP(Games!#REF!, Data!$B$2:$L$135, 6, FALSE))*Coefficients!$F$2</f>
        <v>#REF!</v>
      </c>
      <c r="G485" t="e">
        <f>(VLOOKUP(Games!#REF!, Data!$B$2:$L$135, 7, FALSE)-VLOOKUP(Games!#REF!, Data!$B$2:$L$135, 7, FALSE))*Coefficients!$G$2</f>
        <v>#REF!</v>
      </c>
      <c r="H485" t="e">
        <f>(VLOOKUP(Games!#REF!, Data!$B$2:$L$135, 8, FALSE)-VLOOKUP(Games!#REF!, Data!$B$2:$L$135, 8, FALSE))*Coefficients!$H$2</f>
        <v>#REF!</v>
      </c>
      <c r="I485" t="e">
        <f>(VLOOKUP(Games!#REF!, Data!$B$2:$L$135, 9, FALSE)-VLOOKUP(Games!#REF!, Data!$B$2:$L$135, 9, FALSE))*Coefficients!$I$2</f>
        <v>#REF!</v>
      </c>
      <c r="J485" t="e">
        <f>IF(ISBLANK(Data!K485), Games!#REF!-Games!#REF!,VLOOKUP(Games!#REF!, Data!$B$2:$L$135, 10, FALSE)-VLOOKUP(Games!#REF!, Data!$B$2:$L$135, 10, FALSE))*Coefficients!$J$2</f>
        <v>#REF!</v>
      </c>
      <c r="K485" t="e">
        <f>(IF(AND(VLOOKUP(Games!#REF!, Data!$B$2:$L$135, 11, FALSE)=1, VLOOKUP(Games!#REF!, Data!$B$2:$L$135, 11, FALSE)&lt;&gt;1), 1,0))*Coefficients!K$2</f>
        <v>#REF!</v>
      </c>
      <c r="L485" t="e">
        <f>(IF(AND(VLOOKUP(Games!#REF!, Data!$B$2:$L$135, 11, FALSE)&lt;&gt;1, VLOOKUP(Games!#REF!, Data!$B$2:$L$135, 11, FALSE)=1), 1,0))*Coefficients!L$2</f>
        <v>#REF!</v>
      </c>
      <c r="O485" t="e">
        <f t="shared" si="8"/>
        <v>#REF!</v>
      </c>
    </row>
    <row r="486">
      <c r="A486" t="n">
        <f>Coefficients!$A$2</f>
        <v>-3.7765953152866998</v>
      </c>
      <c r="B486" t="e">
        <f>(Games!#REF!)*(-1*Coefficients!$B$2)</f>
        <v>#REF!</v>
      </c>
      <c r="C486" t="e">
        <f>(VLOOKUP(Games!#REF!, Data!$B$2:$L$135, 4, FALSE)-VLOOKUP(Games!#REF!, Data!$B$2:$L$135, 4, FALSE))*Coefficients!$C$2</f>
        <v>#REF!</v>
      </c>
      <c r="D486" t="e">
        <f>(VLOOKUP(Games!#REF!, Data!$B$2:$L$135, 3, FALSE)-VLOOKUP(Games!#REF!, Data!$B$2:$L$135, 3, FALSE))*Coefficients!$D$2</f>
        <v>#REF!</v>
      </c>
      <c r="E486" t="e">
        <f>(VLOOKUP(Games!#REF!, Data!$B$2:$L$135, 5, FALSE)-VLOOKUP(Games!#REF!, Data!$B$2:$L$135, 5, FALSE))*Coefficients!$E$2</f>
        <v>#REF!</v>
      </c>
      <c r="F486" t="e">
        <f>(VLOOKUP(Games!#REF!, Data!$B$2:$L$135, 6, FALSE)-VLOOKUP(Games!#REF!, Data!$B$2:$L$135, 6, FALSE))*Coefficients!$F$2</f>
        <v>#REF!</v>
      </c>
      <c r="G486" t="e">
        <f>(VLOOKUP(Games!#REF!, Data!$B$2:$L$135, 7, FALSE)-VLOOKUP(Games!#REF!, Data!$B$2:$L$135, 7, FALSE))*Coefficients!$G$2</f>
        <v>#REF!</v>
      </c>
      <c r="H486" t="e">
        <f>(VLOOKUP(Games!#REF!, Data!$B$2:$L$135, 8, FALSE)-VLOOKUP(Games!#REF!, Data!$B$2:$L$135, 8, FALSE))*Coefficients!$H$2</f>
        <v>#REF!</v>
      </c>
      <c r="I486" t="e">
        <f>(VLOOKUP(Games!#REF!, Data!$B$2:$L$135, 9, FALSE)-VLOOKUP(Games!#REF!, Data!$B$2:$L$135, 9, FALSE))*Coefficients!$I$2</f>
        <v>#REF!</v>
      </c>
      <c r="J486" t="e">
        <f>IF(ISBLANK(Data!K486), Games!#REF!-Games!#REF!,VLOOKUP(Games!#REF!, Data!$B$2:$L$135, 10, FALSE)-VLOOKUP(Games!#REF!, Data!$B$2:$L$135, 10, FALSE))*Coefficients!$J$2</f>
        <v>#REF!</v>
      </c>
      <c r="K486" t="e">
        <f>(IF(AND(VLOOKUP(Games!#REF!, Data!$B$2:$L$135, 11, FALSE)=1, VLOOKUP(Games!#REF!, Data!$B$2:$L$135, 11, FALSE)&lt;&gt;1), 1,0))*Coefficients!K$2</f>
        <v>#REF!</v>
      </c>
      <c r="L486" t="e">
        <f>(IF(AND(VLOOKUP(Games!#REF!, Data!$B$2:$L$135, 11, FALSE)&lt;&gt;1, VLOOKUP(Games!#REF!, Data!$B$2:$L$135, 11, FALSE)=1), 1,0))*Coefficients!L$2</f>
        <v>#REF!</v>
      </c>
      <c r="O486" t="e">
        <f t="shared" si="8"/>
        <v>#REF!</v>
      </c>
    </row>
    <row r="487">
      <c r="A487" t="n">
        <f>Coefficients!$A$2</f>
        <v>-3.7765953152866998</v>
      </c>
      <c r="B487" t="e">
        <f>(Games!#REF!)*(-1*Coefficients!$B$2)</f>
        <v>#REF!</v>
      </c>
      <c r="C487" t="e">
        <f>(VLOOKUP(Games!#REF!, Data!$B$2:$L$135, 4, FALSE)-VLOOKUP(Games!#REF!, Data!$B$2:$L$135, 4, FALSE))*Coefficients!$C$2</f>
        <v>#REF!</v>
      </c>
      <c r="D487" t="e">
        <f>(VLOOKUP(Games!#REF!, Data!$B$2:$L$135, 3, FALSE)-VLOOKUP(Games!#REF!, Data!$B$2:$L$135, 3, FALSE))*Coefficients!$D$2</f>
        <v>#REF!</v>
      </c>
      <c r="E487" t="e">
        <f>(VLOOKUP(Games!#REF!, Data!$B$2:$L$135, 5, FALSE)-VLOOKUP(Games!#REF!, Data!$B$2:$L$135, 5, FALSE))*Coefficients!$E$2</f>
        <v>#REF!</v>
      </c>
      <c r="F487" t="e">
        <f>(VLOOKUP(Games!#REF!, Data!$B$2:$L$135, 6, FALSE)-VLOOKUP(Games!#REF!, Data!$B$2:$L$135, 6, FALSE))*Coefficients!$F$2</f>
        <v>#REF!</v>
      </c>
      <c r="G487" t="e">
        <f>(VLOOKUP(Games!#REF!, Data!$B$2:$L$135, 7, FALSE)-VLOOKUP(Games!#REF!, Data!$B$2:$L$135, 7, FALSE))*Coefficients!$G$2</f>
        <v>#REF!</v>
      </c>
      <c r="H487" t="e">
        <f>(VLOOKUP(Games!#REF!, Data!$B$2:$L$135, 8, FALSE)-VLOOKUP(Games!#REF!, Data!$B$2:$L$135, 8, FALSE))*Coefficients!$H$2</f>
        <v>#REF!</v>
      </c>
      <c r="I487" t="e">
        <f>(VLOOKUP(Games!#REF!, Data!$B$2:$L$135, 9, FALSE)-VLOOKUP(Games!#REF!, Data!$B$2:$L$135, 9, FALSE))*Coefficients!$I$2</f>
        <v>#REF!</v>
      </c>
      <c r="J487" t="e">
        <f>IF(ISBLANK(Data!K487), Games!#REF!-Games!#REF!,VLOOKUP(Games!#REF!, Data!$B$2:$L$135, 10, FALSE)-VLOOKUP(Games!#REF!, Data!$B$2:$L$135, 10, FALSE))*Coefficients!$J$2</f>
        <v>#REF!</v>
      </c>
      <c r="K487" t="e">
        <f>(IF(AND(VLOOKUP(Games!#REF!, Data!$B$2:$L$135, 11, FALSE)=1, VLOOKUP(Games!#REF!, Data!$B$2:$L$135, 11, FALSE)&lt;&gt;1), 1,0))*Coefficients!K$2</f>
        <v>#REF!</v>
      </c>
      <c r="L487" t="e">
        <f>(IF(AND(VLOOKUP(Games!#REF!, Data!$B$2:$L$135, 11, FALSE)&lt;&gt;1, VLOOKUP(Games!#REF!, Data!$B$2:$L$135, 11, FALSE)=1), 1,0))*Coefficients!L$2</f>
        <v>#REF!</v>
      </c>
      <c r="O487" t="e">
        <f t="shared" si="8"/>
        <v>#REF!</v>
      </c>
    </row>
    <row r="488">
      <c r="A488" t="n">
        <f>Coefficients!$A$2</f>
        <v>-3.7765953152866998</v>
      </c>
      <c r="B488" t="e">
        <f>(Games!#REF!)*(-1*Coefficients!$B$2)</f>
        <v>#REF!</v>
      </c>
      <c r="C488" t="e">
        <f>(VLOOKUP(Games!#REF!, Data!$B$2:$L$135, 4, FALSE)-VLOOKUP(Games!#REF!, Data!$B$2:$L$135, 4, FALSE))*Coefficients!$C$2</f>
        <v>#REF!</v>
      </c>
      <c r="D488" t="e">
        <f>(VLOOKUP(Games!#REF!, Data!$B$2:$L$135, 3, FALSE)-VLOOKUP(Games!#REF!, Data!$B$2:$L$135, 3, FALSE))*Coefficients!$D$2</f>
        <v>#REF!</v>
      </c>
      <c r="E488" t="e">
        <f>(VLOOKUP(Games!#REF!, Data!$B$2:$L$135, 5, FALSE)-VLOOKUP(Games!#REF!, Data!$B$2:$L$135, 5, FALSE))*Coefficients!$E$2</f>
        <v>#REF!</v>
      </c>
      <c r="F488" t="e">
        <f>(VLOOKUP(Games!#REF!, Data!$B$2:$L$135, 6, FALSE)-VLOOKUP(Games!#REF!, Data!$B$2:$L$135, 6, FALSE))*Coefficients!$F$2</f>
        <v>#REF!</v>
      </c>
      <c r="G488" t="e">
        <f>(VLOOKUP(Games!#REF!, Data!$B$2:$L$135, 7, FALSE)-VLOOKUP(Games!#REF!, Data!$B$2:$L$135, 7, FALSE))*Coefficients!$G$2</f>
        <v>#REF!</v>
      </c>
      <c r="H488" t="e">
        <f>(VLOOKUP(Games!#REF!, Data!$B$2:$L$135, 8, FALSE)-VLOOKUP(Games!#REF!, Data!$B$2:$L$135, 8, FALSE))*Coefficients!$H$2</f>
        <v>#REF!</v>
      </c>
      <c r="I488" t="e">
        <f>(VLOOKUP(Games!#REF!, Data!$B$2:$L$135, 9, FALSE)-VLOOKUP(Games!#REF!, Data!$B$2:$L$135, 9, FALSE))*Coefficients!$I$2</f>
        <v>#REF!</v>
      </c>
      <c r="J488" t="e">
        <f>IF(ISBLANK(Data!K488), Games!#REF!-Games!#REF!,VLOOKUP(Games!#REF!, Data!$B$2:$L$135, 10, FALSE)-VLOOKUP(Games!#REF!, Data!$B$2:$L$135, 10, FALSE))*Coefficients!$J$2</f>
        <v>#REF!</v>
      </c>
      <c r="K488" t="e">
        <f>(IF(AND(VLOOKUP(Games!#REF!, Data!$B$2:$L$135, 11, FALSE)=1, VLOOKUP(Games!#REF!, Data!$B$2:$L$135, 11, FALSE)&lt;&gt;1), 1,0))*Coefficients!K$2</f>
        <v>#REF!</v>
      </c>
      <c r="L488" t="e">
        <f>(IF(AND(VLOOKUP(Games!#REF!, Data!$B$2:$L$135, 11, FALSE)&lt;&gt;1, VLOOKUP(Games!#REF!, Data!$B$2:$L$135, 11, FALSE)=1), 1,0))*Coefficients!L$2</f>
        <v>#REF!</v>
      </c>
      <c r="O488" t="e">
        <f t="shared" si="8"/>
        <v>#REF!</v>
      </c>
    </row>
    <row r="489">
      <c r="A489" t="n">
        <f>Coefficients!$A$2</f>
        <v>-3.7765953152866998</v>
      </c>
      <c r="B489" t="e">
        <f>(Games!#REF!)*(-1*Coefficients!$B$2)</f>
        <v>#REF!</v>
      </c>
      <c r="C489" t="e">
        <f>(VLOOKUP(Games!#REF!, Data!$B$2:$L$135, 4, FALSE)-VLOOKUP(Games!#REF!, Data!$B$2:$L$135, 4, FALSE))*Coefficients!$C$2</f>
        <v>#REF!</v>
      </c>
      <c r="D489" t="e">
        <f>(VLOOKUP(Games!#REF!, Data!$B$2:$L$135, 3, FALSE)-VLOOKUP(Games!#REF!, Data!$B$2:$L$135, 3, FALSE))*Coefficients!$D$2</f>
        <v>#REF!</v>
      </c>
      <c r="E489" t="e">
        <f>(VLOOKUP(Games!#REF!, Data!$B$2:$L$135, 5, FALSE)-VLOOKUP(Games!#REF!, Data!$B$2:$L$135, 5, FALSE))*Coefficients!$E$2</f>
        <v>#REF!</v>
      </c>
      <c r="F489" t="e">
        <f>(VLOOKUP(Games!#REF!, Data!$B$2:$L$135, 6, FALSE)-VLOOKUP(Games!#REF!, Data!$B$2:$L$135, 6, FALSE))*Coefficients!$F$2</f>
        <v>#REF!</v>
      </c>
      <c r="G489" t="e">
        <f>(VLOOKUP(Games!#REF!, Data!$B$2:$L$135, 7, FALSE)-VLOOKUP(Games!#REF!, Data!$B$2:$L$135, 7, FALSE))*Coefficients!$G$2</f>
        <v>#REF!</v>
      </c>
      <c r="H489" t="e">
        <f>(VLOOKUP(Games!#REF!, Data!$B$2:$L$135, 8, FALSE)-VLOOKUP(Games!#REF!, Data!$B$2:$L$135, 8, FALSE))*Coefficients!$H$2</f>
        <v>#REF!</v>
      </c>
      <c r="I489" t="e">
        <f>(VLOOKUP(Games!#REF!, Data!$B$2:$L$135, 9, FALSE)-VLOOKUP(Games!#REF!, Data!$B$2:$L$135, 9, FALSE))*Coefficients!$I$2</f>
        <v>#REF!</v>
      </c>
      <c r="J489" t="e">
        <f>IF(ISBLANK(Data!K489), Games!#REF!-Games!#REF!,VLOOKUP(Games!#REF!, Data!$B$2:$L$135, 10, FALSE)-VLOOKUP(Games!#REF!, Data!$B$2:$L$135, 10, FALSE))*Coefficients!$J$2</f>
        <v>#REF!</v>
      </c>
      <c r="K489" t="e">
        <f>(IF(AND(VLOOKUP(Games!#REF!, Data!$B$2:$L$135, 11, FALSE)=1, VLOOKUP(Games!#REF!, Data!$B$2:$L$135, 11, FALSE)&lt;&gt;1), 1,0))*Coefficients!K$2</f>
        <v>#REF!</v>
      </c>
      <c r="L489" t="e">
        <f>(IF(AND(VLOOKUP(Games!#REF!, Data!$B$2:$L$135, 11, FALSE)&lt;&gt;1, VLOOKUP(Games!#REF!, Data!$B$2:$L$135, 11, FALSE)=1), 1,0))*Coefficients!L$2</f>
        <v>#REF!</v>
      </c>
      <c r="O489" t="e">
        <f t="shared" si="8"/>
        <v>#REF!</v>
      </c>
    </row>
    <row r="490">
      <c r="A490" t="n">
        <f>Coefficients!$A$2</f>
        <v>-3.7765953152866998</v>
      </c>
      <c r="B490" t="e">
        <f>(Games!#REF!)*(-1*Coefficients!$B$2)</f>
        <v>#REF!</v>
      </c>
      <c r="C490" t="e">
        <f>(VLOOKUP(Games!#REF!, Data!$B$2:$L$135, 4, FALSE)-VLOOKUP(Games!#REF!, Data!$B$2:$L$135, 4, FALSE))*Coefficients!$C$2</f>
        <v>#REF!</v>
      </c>
      <c r="D490" t="e">
        <f>(VLOOKUP(Games!#REF!, Data!$B$2:$L$135, 3, FALSE)-VLOOKUP(Games!#REF!, Data!$B$2:$L$135, 3, FALSE))*Coefficients!$D$2</f>
        <v>#REF!</v>
      </c>
      <c r="E490" t="e">
        <f>(VLOOKUP(Games!#REF!, Data!$B$2:$L$135, 5, FALSE)-VLOOKUP(Games!#REF!, Data!$B$2:$L$135, 5, FALSE))*Coefficients!$E$2</f>
        <v>#REF!</v>
      </c>
      <c r="F490" t="e">
        <f>(VLOOKUP(Games!#REF!, Data!$B$2:$L$135, 6, FALSE)-VLOOKUP(Games!#REF!, Data!$B$2:$L$135, 6, FALSE))*Coefficients!$F$2</f>
        <v>#REF!</v>
      </c>
      <c r="G490" t="e">
        <f>(VLOOKUP(Games!#REF!, Data!$B$2:$L$135, 7, FALSE)-VLOOKUP(Games!#REF!, Data!$B$2:$L$135, 7, FALSE))*Coefficients!$G$2</f>
        <v>#REF!</v>
      </c>
      <c r="H490" t="e">
        <f>(VLOOKUP(Games!#REF!, Data!$B$2:$L$135, 8, FALSE)-VLOOKUP(Games!#REF!, Data!$B$2:$L$135, 8, FALSE))*Coefficients!$H$2</f>
        <v>#REF!</v>
      </c>
      <c r="I490" t="e">
        <f>(VLOOKUP(Games!#REF!, Data!$B$2:$L$135, 9, FALSE)-VLOOKUP(Games!#REF!, Data!$B$2:$L$135, 9, FALSE))*Coefficients!$I$2</f>
        <v>#REF!</v>
      </c>
      <c r="J490" t="e">
        <f>IF(ISBLANK(Data!K490), Games!#REF!-Games!#REF!,VLOOKUP(Games!#REF!, Data!$B$2:$L$135, 10, FALSE)-VLOOKUP(Games!#REF!, Data!$B$2:$L$135, 10, FALSE))*Coefficients!$J$2</f>
        <v>#REF!</v>
      </c>
      <c r="K490" t="e">
        <f>(IF(AND(VLOOKUP(Games!#REF!, Data!$B$2:$L$135, 11, FALSE)=1, VLOOKUP(Games!#REF!, Data!$B$2:$L$135, 11, FALSE)&lt;&gt;1), 1,0))*Coefficients!K$2</f>
        <v>#REF!</v>
      </c>
      <c r="L490" t="e">
        <f>(IF(AND(VLOOKUP(Games!#REF!, Data!$B$2:$L$135, 11, FALSE)&lt;&gt;1, VLOOKUP(Games!#REF!, Data!$B$2:$L$135, 11, FALSE)=1), 1,0))*Coefficients!L$2</f>
        <v>#REF!</v>
      </c>
      <c r="O490" t="e">
        <f t="shared" si="8"/>
        <v>#REF!</v>
      </c>
    </row>
    <row r="491">
      <c r="A491" t="n">
        <f>Coefficients!$A$2</f>
        <v>-3.7765953152866998</v>
      </c>
      <c r="B491" t="e">
        <f>(Games!#REF!)*(-1*Coefficients!$B$2)</f>
        <v>#REF!</v>
      </c>
      <c r="C491" t="e">
        <f>(VLOOKUP(Games!#REF!, Data!$B$2:$L$135, 4, FALSE)-VLOOKUP(Games!#REF!, Data!$B$2:$L$135, 4, FALSE))*Coefficients!$C$2</f>
        <v>#REF!</v>
      </c>
      <c r="D491" t="e">
        <f>(VLOOKUP(Games!#REF!, Data!$B$2:$L$135, 3, FALSE)-VLOOKUP(Games!#REF!, Data!$B$2:$L$135, 3, FALSE))*Coefficients!$D$2</f>
        <v>#REF!</v>
      </c>
      <c r="E491" t="e">
        <f>(VLOOKUP(Games!#REF!, Data!$B$2:$L$135, 5, FALSE)-VLOOKUP(Games!#REF!, Data!$B$2:$L$135, 5, FALSE))*Coefficients!$E$2</f>
        <v>#REF!</v>
      </c>
      <c r="F491" t="e">
        <f>(VLOOKUP(Games!#REF!, Data!$B$2:$L$135, 6, FALSE)-VLOOKUP(Games!#REF!, Data!$B$2:$L$135, 6, FALSE))*Coefficients!$F$2</f>
        <v>#REF!</v>
      </c>
      <c r="G491" t="e">
        <f>(VLOOKUP(Games!#REF!, Data!$B$2:$L$135, 7, FALSE)-VLOOKUP(Games!#REF!, Data!$B$2:$L$135, 7, FALSE))*Coefficients!$G$2</f>
        <v>#REF!</v>
      </c>
      <c r="H491" t="e">
        <f>(VLOOKUP(Games!#REF!, Data!$B$2:$L$135, 8, FALSE)-VLOOKUP(Games!#REF!, Data!$B$2:$L$135, 8, FALSE))*Coefficients!$H$2</f>
        <v>#REF!</v>
      </c>
      <c r="I491" t="e">
        <f>(VLOOKUP(Games!#REF!, Data!$B$2:$L$135, 9, FALSE)-VLOOKUP(Games!#REF!, Data!$B$2:$L$135, 9, FALSE))*Coefficients!$I$2</f>
        <v>#REF!</v>
      </c>
      <c r="J491" t="e">
        <f>IF(ISBLANK(Data!K491), Games!#REF!-Games!#REF!,VLOOKUP(Games!#REF!, Data!$B$2:$L$135, 10, FALSE)-VLOOKUP(Games!#REF!, Data!$B$2:$L$135, 10, FALSE))*Coefficients!$J$2</f>
        <v>#REF!</v>
      </c>
      <c r="K491" t="e">
        <f>(IF(AND(VLOOKUP(Games!#REF!, Data!$B$2:$L$135, 11, FALSE)=1, VLOOKUP(Games!#REF!, Data!$B$2:$L$135, 11, FALSE)&lt;&gt;1), 1,0))*Coefficients!K$2</f>
        <v>#REF!</v>
      </c>
      <c r="L491" t="e">
        <f>(IF(AND(VLOOKUP(Games!#REF!, Data!$B$2:$L$135, 11, FALSE)&lt;&gt;1, VLOOKUP(Games!#REF!, Data!$B$2:$L$135, 11, FALSE)=1), 1,0))*Coefficients!L$2</f>
        <v>#REF!</v>
      </c>
      <c r="O491" t="e">
        <f t="shared" si="8"/>
        <v>#REF!</v>
      </c>
    </row>
    <row r="492">
      <c r="A492" t="n">
        <f>Coefficients!$A$2</f>
        <v>-3.7765953152866998</v>
      </c>
      <c r="B492" t="e">
        <f>(Games!#REF!)*(-1*Coefficients!$B$2)</f>
        <v>#REF!</v>
      </c>
      <c r="C492" t="e">
        <f>(VLOOKUP(Games!#REF!, Data!$B$2:$L$135, 4, FALSE)-VLOOKUP(Games!#REF!, Data!$B$2:$L$135, 4, FALSE))*Coefficients!$C$2</f>
        <v>#REF!</v>
      </c>
      <c r="D492" t="e">
        <f>(VLOOKUP(Games!#REF!, Data!$B$2:$L$135, 3, FALSE)-VLOOKUP(Games!#REF!, Data!$B$2:$L$135, 3, FALSE))*Coefficients!$D$2</f>
        <v>#REF!</v>
      </c>
      <c r="E492" t="e">
        <f>(VLOOKUP(Games!#REF!, Data!$B$2:$L$135, 5, FALSE)-VLOOKUP(Games!#REF!, Data!$B$2:$L$135, 5, FALSE))*Coefficients!$E$2</f>
        <v>#REF!</v>
      </c>
      <c r="F492" t="e">
        <f>(VLOOKUP(Games!#REF!, Data!$B$2:$L$135, 6, FALSE)-VLOOKUP(Games!#REF!, Data!$B$2:$L$135, 6, FALSE))*Coefficients!$F$2</f>
        <v>#REF!</v>
      </c>
      <c r="G492" t="e">
        <f>(VLOOKUP(Games!#REF!, Data!$B$2:$L$135, 7, FALSE)-VLOOKUP(Games!#REF!, Data!$B$2:$L$135, 7, FALSE))*Coefficients!$G$2</f>
        <v>#REF!</v>
      </c>
      <c r="H492" t="e">
        <f>(VLOOKUP(Games!#REF!, Data!$B$2:$L$135, 8, FALSE)-VLOOKUP(Games!#REF!, Data!$B$2:$L$135, 8, FALSE))*Coefficients!$H$2</f>
        <v>#REF!</v>
      </c>
      <c r="I492" t="e">
        <f>(VLOOKUP(Games!#REF!, Data!$B$2:$L$135, 9, FALSE)-VLOOKUP(Games!#REF!, Data!$B$2:$L$135, 9, FALSE))*Coefficients!$I$2</f>
        <v>#REF!</v>
      </c>
      <c r="J492" t="e">
        <f>IF(ISBLANK(Data!K492), Games!#REF!-Games!#REF!,VLOOKUP(Games!#REF!, Data!$B$2:$L$135, 10, FALSE)-VLOOKUP(Games!#REF!, Data!$B$2:$L$135, 10, FALSE))*Coefficients!$J$2</f>
        <v>#REF!</v>
      </c>
      <c r="K492" t="e">
        <f>(IF(AND(VLOOKUP(Games!#REF!, Data!$B$2:$L$135, 11, FALSE)=1, VLOOKUP(Games!#REF!, Data!$B$2:$L$135, 11, FALSE)&lt;&gt;1), 1,0))*Coefficients!K$2</f>
        <v>#REF!</v>
      </c>
      <c r="L492" t="e">
        <f>(IF(AND(VLOOKUP(Games!#REF!, Data!$B$2:$L$135, 11, FALSE)&lt;&gt;1, VLOOKUP(Games!#REF!, Data!$B$2:$L$135, 11, FALSE)=1), 1,0))*Coefficients!L$2</f>
        <v>#REF!</v>
      </c>
      <c r="O492" t="e">
        <f t="shared" si="8"/>
        <v>#REF!</v>
      </c>
    </row>
    <row r="493">
      <c r="A493" t="n">
        <f>Coefficients!$A$2</f>
        <v>-3.7765953152866998</v>
      </c>
      <c r="B493" t="e">
        <f>(Games!#REF!)*(-1*Coefficients!$B$2)</f>
        <v>#REF!</v>
      </c>
      <c r="C493" t="e">
        <f>(VLOOKUP(Games!#REF!, Data!$B$2:$L$135, 4, FALSE)-VLOOKUP(Games!#REF!, Data!$B$2:$L$135, 4, FALSE))*Coefficients!$C$2</f>
        <v>#REF!</v>
      </c>
      <c r="D493" t="e">
        <f>(VLOOKUP(Games!#REF!, Data!$B$2:$L$135, 3, FALSE)-VLOOKUP(Games!#REF!, Data!$B$2:$L$135, 3, FALSE))*Coefficients!$D$2</f>
        <v>#REF!</v>
      </c>
      <c r="E493" t="e">
        <f>(VLOOKUP(Games!#REF!, Data!$B$2:$L$135, 5, FALSE)-VLOOKUP(Games!#REF!, Data!$B$2:$L$135, 5, FALSE))*Coefficients!$E$2</f>
        <v>#REF!</v>
      </c>
      <c r="F493" t="e">
        <f>(VLOOKUP(Games!#REF!, Data!$B$2:$L$135, 6, FALSE)-VLOOKUP(Games!#REF!, Data!$B$2:$L$135, 6, FALSE))*Coefficients!$F$2</f>
        <v>#REF!</v>
      </c>
      <c r="G493" t="e">
        <f>(VLOOKUP(Games!#REF!, Data!$B$2:$L$135, 7, FALSE)-VLOOKUP(Games!#REF!, Data!$B$2:$L$135, 7, FALSE))*Coefficients!$G$2</f>
        <v>#REF!</v>
      </c>
      <c r="H493" t="e">
        <f>(VLOOKUP(Games!#REF!, Data!$B$2:$L$135, 8, FALSE)-VLOOKUP(Games!#REF!, Data!$B$2:$L$135, 8, FALSE))*Coefficients!$H$2</f>
        <v>#REF!</v>
      </c>
      <c r="I493" t="e">
        <f>(VLOOKUP(Games!#REF!, Data!$B$2:$L$135, 9, FALSE)-VLOOKUP(Games!#REF!, Data!$B$2:$L$135, 9, FALSE))*Coefficients!$I$2</f>
        <v>#REF!</v>
      </c>
      <c r="J493" t="e">
        <f>IF(ISBLANK(Data!K493), Games!#REF!-Games!#REF!,VLOOKUP(Games!#REF!, Data!$B$2:$L$135, 10, FALSE)-VLOOKUP(Games!#REF!, Data!$B$2:$L$135, 10, FALSE))*Coefficients!$J$2</f>
        <v>#REF!</v>
      </c>
      <c r="K493" t="e">
        <f>(IF(AND(VLOOKUP(Games!#REF!, Data!$B$2:$L$135, 11, FALSE)=1, VLOOKUP(Games!#REF!, Data!$B$2:$L$135, 11, FALSE)&lt;&gt;1), 1,0))*Coefficients!K$2</f>
        <v>#REF!</v>
      </c>
      <c r="L493" t="e">
        <f>(IF(AND(VLOOKUP(Games!#REF!, Data!$B$2:$L$135, 11, FALSE)&lt;&gt;1, VLOOKUP(Games!#REF!, Data!$B$2:$L$135, 11, FALSE)=1), 1,0))*Coefficients!L$2</f>
        <v>#REF!</v>
      </c>
      <c r="O493" t="e">
        <f t="shared" si="8"/>
        <v>#REF!</v>
      </c>
    </row>
    <row r="494">
      <c r="A494" t="n">
        <f>Coefficients!$A$2</f>
        <v>-3.7765953152866998</v>
      </c>
      <c r="B494" t="e">
        <f>(Games!#REF!)*(-1*Coefficients!$B$2)</f>
        <v>#REF!</v>
      </c>
      <c r="C494" t="e">
        <f>(VLOOKUP(Games!#REF!, Data!$B$2:$L$135, 4, FALSE)-VLOOKUP(Games!#REF!, Data!$B$2:$L$135, 4, FALSE))*Coefficients!$C$2</f>
        <v>#REF!</v>
      </c>
      <c r="D494" t="e">
        <f>(VLOOKUP(Games!#REF!, Data!$B$2:$L$135, 3, FALSE)-VLOOKUP(Games!#REF!, Data!$B$2:$L$135, 3, FALSE))*Coefficients!$D$2</f>
        <v>#REF!</v>
      </c>
      <c r="E494" t="e">
        <f>(VLOOKUP(Games!#REF!, Data!$B$2:$L$135, 5, FALSE)-VLOOKUP(Games!#REF!, Data!$B$2:$L$135, 5, FALSE))*Coefficients!$E$2</f>
        <v>#REF!</v>
      </c>
      <c r="F494" t="e">
        <f>(VLOOKUP(Games!#REF!, Data!$B$2:$L$135, 6, FALSE)-VLOOKUP(Games!#REF!, Data!$B$2:$L$135, 6, FALSE))*Coefficients!$F$2</f>
        <v>#REF!</v>
      </c>
      <c r="G494" t="e">
        <f>(VLOOKUP(Games!#REF!, Data!$B$2:$L$135, 7, FALSE)-VLOOKUP(Games!#REF!, Data!$B$2:$L$135, 7, FALSE))*Coefficients!$G$2</f>
        <v>#REF!</v>
      </c>
      <c r="H494" t="e">
        <f>(VLOOKUP(Games!#REF!, Data!$B$2:$L$135, 8, FALSE)-VLOOKUP(Games!#REF!, Data!$B$2:$L$135, 8, FALSE))*Coefficients!$H$2</f>
        <v>#REF!</v>
      </c>
      <c r="I494" t="e">
        <f>(VLOOKUP(Games!#REF!, Data!$B$2:$L$135, 9, FALSE)-VLOOKUP(Games!#REF!, Data!$B$2:$L$135, 9, FALSE))*Coefficients!$I$2</f>
        <v>#REF!</v>
      </c>
      <c r="J494" t="e">
        <f>IF(ISBLANK(Data!K494), Games!#REF!-Games!#REF!,VLOOKUP(Games!#REF!, Data!$B$2:$L$135, 10, FALSE)-VLOOKUP(Games!#REF!, Data!$B$2:$L$135, 10, FALSE))*Coefficients!$J$2</f>
        <v>#REF!</v>
      </c>
      <c r="K494" t="e">
        <f>(IF(AND(VLOOKUP(Games!#REF!, Data!$B$2:$L$135, 11, FALSE)=1, VLOOKUP(Games!#REF!, Data!$B$2:$L$135, 11, FALSE)&lt;&gt;1), 1,0))*Coefficients!K$2</f>
        <v>#REF!</v>
      </c>
      <c r="L494" t="e">
        <f>(IF(AND(VLOOKUP(Games!#REF!, Data!$B$2:$L$135, 11, FALSE)&lt;&gt;1, VLOOKUP(Games!#REF!, Data!$B$2:$L$135, 11, FALSE)=1), 1,0))*Coefficients!L$2</f>
        <v>#REF!</v>
      </c>
      <c r="O494" t="e">
        <f t="shared" si="8"/>
        <v>#REF!</v>
      </c>
    </row>
    <row r="495">
      <c r="A495" t="n">
        <f>Coefficients!$A$2</f>
        <v>-3.7765953152866998</v>
      </c>
      <c r="B495" t="e">
        <f>(Games!#REF!)*(-1*Coefficients!$B$2)</f>
        <v>#REF!</v>
      </c>
      <c r="C495" t="e">
        <f>(VLOOKUP(Games!#REF!, Data!$B$2:$L$135, 4, FALSE)-VLOOKUP(Games!#REF!, Data!$B$2:$L$135, 4, FALSE))*Coefficients!$C$2</f>
        <v>#REF!</v>
      </c>
      <c r="D495" t="e">
        <f>(VLOOKUP(Games!#REF!, Data!$B$2:$L$135, 3, FALSE)-VLOOKUP(Games!#REF!, Data!$B$2:$L$135, 3, FALSE))*Coefficients!$D$2</f>
        <v>#REF!</v>
      </c>
      <c r="E495" t="e">
        <f>(VLOOKUP(Games!#REF!, Data!$B$2:$L$135, 5, FALSE)-VLOOKUP(Games!#REF!, Data!$B$2:$L$135, 5, FALSE))*Coefficients!$E$2</f>
        <v>#REF!</v>
      </c>
      <c r="F495" t="e">
        <f>(VLOOKUP(Games!#REF!, Data!$B$2:$L$135, 6, FALSE)-VLOOKUP(Games!#REF!, Data!$B$2:$L$135, 6, FALSE))*Coefficients!$F$2</f>
        <v>#REF!</v>
      </c>
      <c r="G495" t="e">
        <f>(VLOOKUP(Games!#REF!, Data!$B$2:$L$135, 7, FALSE)-VLOOKUP(Games!#REF!, Data!$B$2:$L$135, 7, FALSE))*Coefficients!$G$2</f>
        <v>#REF!</v>
      </c>
      <c r="H495" t="e">
        <f>(VLOOKUP(Games!#REF!, Data!$B$2:$L$135, 8, FALSE)-VLOOKUP(Games!#REF!, Data!$B$2:$L$135, 8, FALSE))*Coefficients!$H$2</f>
        <v>#REF!</v>
      </c>
      <c r="I495" t="e">
        <f>(VLOOKUP(Games!#REF!, Data!$B$2:$L$135, 9, FALSE)-VLOOKUP(Games!#REF!, Data!$B$2:$L$135, 9, FALSE))*Coefficients!$I$2</f>
        <v>#REF!</v>
      </c>
      <c r="J495" t="e">
        <f>IF(ISBLANK(Data!K495), Games!#REF!-Games!#REF!,VLOOKUP(Games!#REF!, Data!$B$2:$L$135, 10, FALSE)-VLOOKUP(Games!#REF!, Data!$B$2:$L$135, 10, FALSE))*Coefficients!$J$2</f>
        <v>#REF!</v>
      </c>
      <c r="K495" t="e">
        <f>(IF(AND(VLOOKUP(Games!#REF!, Data!$B$2:$L$135, 11, FALSE)=1, VLOOKUP(Games!#REF!, Data!$B$2:$L$135, 11, FALSE)&lt;&gt;1), 1,0))*Coefficients!K$2</f>
        <v>#REF!</v>
      </c>
      <c r="L495" t="e">
        <f>(IF(AND(VLOOKUP(Games!#REF!, Data!$B$2:$L$135, 11, FALSE)&lt;&gt;1, VLOOKUP(Games!#REF!, Data!$B$2:$L$135, 11, FALSE)=1), 1,0))*Coefficients!L$2</f>
        <v>#REF!</v>
      </c>
      <c r="O495" t="e">
        <f t="shared" si="8"/>
        <v>#REF!</v>
      </c>
    </row>
    <row r="496">
      <c r="A496" t="n">
        <f>Coefficients!$A$2</f>
        <v>-3.7765953152866998</v>
      </c>
      <c r="B496" t="e">
        <f>(Games!#REF!)*(-1*Coefficients!$B$2)</f>
        <v>#REF!</v>
      </c>
      <c r="C496" t="e">
        <f>(VLOOKUP(Games!#REF!, Data!$B$2:$L$135, 4, FALSE)-VLOOKUP(Games!#REF!, Data!$B$2:$L$135, 4, FALSE))*Coefficients!$C$2</f>
        <v>#REF!</v>
      </c>
      <c r="D496" t="e">
        <f>(VLOOKUP(Games!#REF!, Data!$B$2:$L$135, 3, FALSE)-VLOOKUP(Games!#REF!, Data!$B$2:$L$135, 3, FALSE))*Coefficients!$D$2</f>
        <v>#REF!</v>
      </c>
      <c r="E496" t="e">
        <f>(VLOOKUP(Games!#REF!, Data!$B$2:$L$135, 5, FALSE)-VLOOKUP(Games!#REF!, Data!$B$2:$L$135, 5, FALSE))*Coefficients!$E$2</f>
        <v>#REF!</v>
      </c>
      <c r="F496" t="e">
        <f>(VLOOKUP(Games!#REF!, Data!$B$2:$L$135, 6, FALSE)-VLOOKUP(Games!#REF!, Data!$B$2:$L$135, 6, FALSE))*Coefficients!$F$2</f>
        <v>#REF!</v>
      </c>
      <c r="G496" t="e">
        <f>(VLOOKUP(Games!#REF!, Data!$B$2:$L$135, 7, FALSE)-VLOOKUP(Games!#REF!, Data!$B$2:$L$135, 7, FALSE))*Coefficients!$G$2</f>
        <v>#REF!</v>
      </c>
      <c r="H496" t="e">
        <f>(VLOOKUP(Games!#REF!, Data!$B$2:$L$135, 8, FALSE)-VLOOKUP(Games!#REF!, Data!$B$2:$L$135, 8, FALSE))*Coefficients!$H$2</f>
        <v>#REF!</v>
      </c>
      <c r="I496" t="e">
        <f>(VLOOKUP(Games!#REF!, Data!$B$2:$L$135, 9, FALSE)-VLOOKUP(Games!#REF!, Data!$B$2:$L$135, 9, FALSE))*Coefficients!$I$2</f>
        <v>#REF!</v>
      </c>
      <c r="J496" t="e">
        <f>IF(ISBLANK(Data!K496), Games!#REF!-Games!#REF!,VLOOKUP(Games!#REF!, Data!$B$2:$L$135, 10, FALSE)-VLOOKUP(Games!#REF!, Data!$B$2:$L$135, 10, FALSE))*Coefficients!$J$2</f>
        <v>#REF!</v>
      </c>
      <c r="K496" t="e">
        <f>(IF(AND(VLOOKUP(Games!#REF!, Data!$B$2:$L$135, 11, FALSE)=1, VLOOKUP(Games!#REF!, Data!$B$2:$L$135, 11, FALSE)&lt;&gt;1), 1,0))*Coefficients!K$2</f>
        <v>#REF!</v>
      </c>
      <c r="L496" t="e">
        <f>(IF(AND(VLOOKUP(Games!#REF!, Data!$B$2:$L$135, 11, FALSE)&lt;&gt;1, VLOOKUP(Games!#REF!, Data!$B$2:$L$135, 11, FALSE)=1), 1,0))*Coefficients!L$2</f>
        <v>#REF!</v>
      </c>
      <c r="O496" t="e">
        <f t="shared" si="8"/>
        <v>#REF!</v>
      </c>
    </row>
    <row r="497">
      <c r="A497" t="n">
        <f>Coefficients!$A$2</f>
        <v>-3.7765953152866998</v>
      </c>
      <c r="B497" t="e">
        <f>(Games!#REF!)*(-1*Coefficients!$B$2)</f>
        <v>#REF!</v>
      </c>
      <c r="C497" t="e">
        <f>(VLOOKUP(Games!#REF!, Data!$B$2:$L$135, 4, FALSE)-VLOOKUP(Games!#REF!, Data!$B$2:$L$135, 4, FALSE))*Coefficients!$C$2</f>
        <v>#REF!</v>
      </c>
      <c r="D497" t="e">
        <f>(VLOOKUP(Games!#REF!, Data!$B$2:$L$135, 3, FALSE)-VLOOKUP(Games!#REF!, Data!$B$2:$L$135, 3, FALSE))*Coefficients!$D$2</f>
        <v>#REF!</v>
      </c>
      <c r="E497" t="e">
        <f>(VLOOKUP(Games!#REF!, Data!$B$2:$L$135, 5, FALSE)-VLOOKUP(Games!#REF!, Data!$B$2:$L$135, 5, FALSE))*Coefficients!$E$2</f>
        <v>#REF!</v>
      </c>
      <c r="F497" t="e">
        <f>(VLOOKUP(Games!#REF!, Data!$B$2:$L$135, 6, FALSE)-VLOOKUP(Games!#REF!, Data!$B$2:$L$135, 6, FALSE))*Coefficients!$F$2</f>
        <v>#REF!</v>
      </c>
      <c r="G497" t="e">
        <f>(VLOOKUP(Games!#REF!, Data!$B$2:$L$135, 7, FALSE)-VLOOKUP(Games!#REF!, Data!$B$2:$L$135, 7, FALSE))*Coefficients!$G$2</f>
        <v>#REF!</v>
      </c>
      <c r="H497" t="e">
        <f>(VLOOKUP(Games!#REF!, Data!$B$2:$L$135, 8, FALSE)-VLOOKUP(Games!#REF!, Data!$B$2:$L$135, 8, FALSE))*Coefficients!$H$2</f>
        <v>#REF!</v>
      </c>
      <c r="I497" t="e">
        <f>(VLOOKUP(Games!#REF!, Data!$B$2:$L$135, 9, FALSE)-VLOOKUP(Games!#REF!, Data!$B$2:$L$135, 9, FALSE))*Coefficients!$I$2</f>
        <v>#REF!</v>
      </c>
      <c r="J497" t="e">
        <f>IF(ISBLANK(Data!K497), Games!#REF!-Games!#REF!,VLOOKUP(Games!#REF!, Data!$B$2:$L$135, 10, FALSE)-VLOOKUP(Games!#REF!, Data!$B$2:$L$135, 10, FALSE))*Coefficients!$J$2</f>
        <v>#REF!</v>
      </c>
      <c r="K497" t="e">
        <f>(IF(AND(VLOOKUP(Games!#REF!, Data!$B$2:$L$135, 11, FALSE)=1, VLOOKUP(Games!#REF!, Data!$B$2:$L$135, 11, FALSE)&lt;&gt;1), 1,0))*Coefficients!K$2</f>
        <v>#REF!</v>
      </c>
      <c r="L497" t="e">
        <f>(IF(AND(VLOOKUP(Games!#REF!, Data!$B$2:$L$135, 11, FALSE)&lt;&gt;1, VLOOKUP(Games!#REF!, Data!$B$2:$L$135, 11, FALSE)=1), 1,0))*Coefficients!L$2</f>
        <v>#REF!</v>
      </c>
      <c r="O497" t="e">
        <f t="shared" si="8"/>
        <v>#REF!</v>
      </c>
    </row>
    <row r="498">
      <c r="A498" t="n">
        <f>Coefficients!$A$2</f>
        <v>-3.7765953152866998</v>
      </c>
      <c r="B498" t="e">
        <f>(Games!#REF!)*(-1*Coefficients!$B$2)</f>
        <v>#REF!</v>
      </c>
      <c r="C498" t="e">
        <f>(VLOOKUP(Games!#REF!, Data!$B$2:$L$135, 4, FALSE)-VLOOKUP(Games!#REF!, Data!$B$2:$L$135, 4, FALSE))*Coefficients!$C$2</f>
        <v>#REF!</v>
      </c>
      <c r="D498" t="e">
        <f>(VLOOKUP(Games!#REF!, Data!$B$2:$L$135, 3, FALSE)-VLOOKUP(Games!#REF!, Data!$B$2:$L$135, 3, FALSE))*Coefficients!$D$2</f>
        <v>#REF!</v>
      </c>
      <c r="E498" t="e">
        <f>(VLOOKUP(Games!#REF!, Data!$B$2:$L$135, 5, FALSE)-VLOOKUP(Games!#REF!, Data!$B$2:$L$135, 5, FALSE))*Coefficients!$E$2</f>
        <v>#REF!</v>
      </c>
      <c r="F498" t="e">
        <f>(VLOOKUP(Games!#REF!, Data!$B$2:$L$135, 6, FALSE)-VLOOKUP(Games!#REF!, Data!$B$2:$L$135, 6, FALSE))*Coefficients!$F$2</f>
        <v>#REF!</v>
      </c>
      <c r="G498" t="e">
        <f>(VLOOKUP(Games!#REF!, Data!$B$2:$L$135, 7, FALSE)-VLOOKUP(Games!#REF!, Data!$B$2:$L$135, 7, FALSE))*Coefficients!$G$2</f>
        <v>#REF!</v>
      </c>
      <c r="H498" t="e">
        <f>(VLOOKUP(Games!#REF!, Data!$B$2:$L$135, 8, FALSE)-VLOOKUP(Games!#REF!, Data!$B$2:$L$135, 8, FALSE))*Coefficients!$H$2</f>
        <v>#REF!</v>
      </c>
      <c r="I498" t="e">
        <f>(VLOOKUP(Games!#REF!, Data!$B$2:$L$135, 9, FALSE)-VLOOKUP(Games!#REF!, Data!$B$2:$L$135, 9, FALSE))*Coefficients!$I$2</f>
        <v>#REF!</v>
      </c>
      <c r="J498" t="e">
        <f>IF(ISBLANK(Data!K498), Games!#REF!-Games!#REF!,VLOOKUP(Games!#REF!, Data!$B$2:$L$135, 10, FALSE)-VLOOKUP(Games!#REF!, Data!$B$2:$L$135, 10, FALSE))*Coefficients!$J$2</f>
        <v>#REF!</v>
      </c>
      <c r="K498" t="e">
        <f>(IF(AND(VLOOKUP(Games!#REF!, Data!$B$2:$L$135, 11, FALSE)=1, VLOOKUP(Games!#REF!, Data!$B$2:$L$135, 11, FALSE)&lt;&gt;1), 1,0))*Coefficients!K$2</f>
        <v>#REF!</v>
      </c>
      <c r="L498" t="e">
        <f>(IF(AND(VLOOKUP(Games!#REF!, Data!$B$2:$L$135, 11, FALSE)&lt;&gt;1, VLOOKUP(Games!#REF!, Data!$B$2:$L$135, 11, FALSE)=1), 1,0))*Coefficients!L$2</f>
        <v>#REF!</v>
      </c>
      <c r="O498" t="e">
        <f t="shared" si="8"/>
        <v>#REF!</v>
      </c>
    </row>
    <row r="499">
      <c r="A499" t="n">
        <f>Coefficients!$A$2</f>
        <v>-3.7765953152866998</v>
      </c>
      <c r="B499" t="e">
        <f>(Games!#REF!)*(-1*Coefficients!$B$2)</f>
        <v>#REF!</v>
      </c>
      <c r="C499" t="e">
        <f>(VLOOKUP(Games!#REF!, Data!$B$2:$L$135, 4, FALSE)-VLOOKUP(Games!#REF!, Data!$B$2:$L$135, 4, FALSE))*Coefficients!$C$2</f>
        <v>#REF!</v>
      </c>
      <c r="D499" t="e">
        <f>(VLOOKUP(Games!#REF!, Data!$B$2:$L$135, 3, FALSE)-VLOOKUP(Games!#REF!, Data!$B$2:$L$135, 3, FALSE))*Coefficients!$D$2</f>
        <v>#REF!</v>
      </c>
      <c r="E499" t="e">
        <f>(VLOOKUP(Games!#REF!, Data!$B$2:$L$135, 5, FALSE)-VLOOKUP(Games!#REF!, Data!$B$2:$L$135, 5, FALSE))*Coefficients!$E$2</f>
        <v>#REF!</v>
      </c>
      <c r="F499" t="e">
        <f>(VLOOKUP(Games!#REF!, Data!$B$2:$L$135, 6, FALSE)-VLOOKUP(Games!#REF!, Data!$B$2:$L$135, 6, FALSE))*Coefficients!$F$2</f>
        <v>#REF!</v>
      </c>
      <c r="G499" t="e">
        <f>(VLOOKUP(Games!#REF!, Data!$B$2:$L$135, 7, FALSE)-VLOOKUP(Games!#REF!, Data!$B$2:$L$135, 7, FALSE))*Coefficients!$G$2</f>
        <v>#REF!</v>
      </c>
      <c r="H499" t="e">
        <f>(VLOOKUP(Games!#REF!, Data!$B$2:$L$135, 8, FALSE)-VLOOKUP(Games!#REF!, Data!$B$2:$L$135, 8, FALSE))*Coefficients!$H$2</f>
        <v>#REF!</v>
      </c>
      <c r="I499" t="e">
        <f>(VLOOKUP(Games!#REF!, Data!$B$2:$L$135, 9, FALSE)-VLOOKUP(Games!#REF!, Data!$B$2:$L$135, 9, FALSE))*Coefficients!$I$2</f>
        <v>#REF!</v>
      </c>
      <c r="J499" t="e">
        <f>IF(ISBLANK(Data!K499), Games!#REF!-Games!#REF!,VLOOKUP(Games!#REF!, Data!$B$2:$L$135, 10, FALSE)-VLOOKUP(Games!#REF!, Data!$B$2:$L$135, 10, FALSE))*Coefficients!$J$2</f>
        <v>#REF!</v>
      </c>
      <c r="K499" t="e">
        <f>(IF(AND(VLOOKUP(Games!#REF!, Data!$B$2:$L$135, 11, FALSE)=1, VLOOKUP(Games!#REF!, Data!$B$2:$L$135, 11, FALSE)&lt;&gt;1), 1,0))*Coefficients!K$2</f>
        <v>#REF!</v>
      </c>
      <c r="L499" t="e">
        <f>(IF(AND(VLOOKUP(Games!#REF!, Data!$B$2:$L$135, 11, FALSE)&lt;&gt;1, VLOOKUP(Games!#REF!, Data!$B$2:$L$135, 11, FALSE)=1), 1,0))*Coefficients!L$2</f>
        <v>#REF!</v>
      </c>
      <c r="O499" t="e">
        <f t="shared" si="8"/>
        <v>#REF!</v>
      </c>
    </row>
    <row r="500">
      <c r="A500" t="n">
        <f>Coefficients!$A$2</f>
        <v>-3.7765953152866998</v>
      </c>
      <c r="B500" t="e">
        <f>(Games!#REF!)*(-1*Coefficients!$B$2)</f>
        <v>#REF!</v>
      </c>
      <c r="C500" t="e">
        <f>(VLOOKUP(Games!#REF!, Data!$B$2:$L$135, 4, FALSE)-VLOOKUP(Games!#REF!, Data!$B$2:$L$135, 4, FALSE))*Coefficients!$C$2</f>
        <v>#REF!</v>
      </c>
      <c r="D500" t="e">
        <f>(VLOOKUP(Games!#REF!, Data!$B$2:$L$135, 3, FALSE)-VLOOKUP(Games!#REF!, Data!$B$2:$L$135, 3, FALSE))*Coefficients!$D$2</f>
        <v>#REF!</v>
      </c>
      <c r="E500" t="e">
        <f>(VLOOKUP(Games!#REF!, Data!$B$2:$L$135, 5, FALSE)-VLOOKUP(Games!#REF!, Data!$B$2:$L$135, 5, FALSE))*Coefficients!$E$2</f>
        <v>#REF!</v>
      </c>
      <c r="F500" t="e">
        <f>(VLOOKUP(Games!#REF!, Data!$B$2:$L$135, 6, FALSE)-VLOOKUP(Games!#REF!, Data!$B$2:$L$135, 6, FALSE))*Coefficients!$F$2</f>
        <v>#REF!</v>
      </c>
      <c r="G500" t="e">
        <f>(VLOOKUP(Games!#REF!, Data!$B$2:$L$135, 7, FALSE)-VLOOKUP(Games!#REF!, Data!$B$2:$L$135, 7, FALSE))*Coefficients!$G$2</f>
        <v>#REF!</v>
      </c>
      <c r="H500" t="e">
        <f>(VLOOKUP(Games!#REF!, Data!$B$2:$L$135, 8, FALSE)-VLOOKUP(Games!#REF!, Data!$B$2:$L$135, 8, FALSE))*Coefficients!$H$2</f>
        <v>#REF!</v>
      </c>
      <c r="I500" t="e">
        <f>(VLOOKUP(Games!#REF!, Data!$B$2:$L$135, 9, FALSE)-VLOOKUP(Games!#REF!, Data!$B$2:$L$135, 9, FALSE))*Coefficients!$I$2</f>
        <v>#REF!</v>
      </c>
      <c r="J500" t="e">
        <f>IF(ISBLANK(Data!K500), Games!#REF!-Games!#REF!,VLOOKUP(Games!#REF!, Data!$B$2:$L$135, 10, FALSE)-VLOOKUP(Games!#REF!, Data!$B$2:$L$135, 10, FALSE))*Coefficients!$J$2</f>
        <v>#REF!</v>
      </c>
      <c r="K500" t="e">
        <f>(IF(AND(VLOOKUP(Games!#REF!, Data!$B$2:$L$135, 11, FALSE)=1, VLOOKUP(Games!#REF!, Data!$B$2:$L$135, 11, FALSE)&lt;&gt;1), 1,0))*Coefficients!K$2</f>
        <v>#REF!</v>
      </c>
      <c r="L500" t="e">
        <f>(IF(AND(VLOOKUP(Games!#REF!, Data!$B$2:$L$135, 11, FALSE)&lt;&gt;1, VLOOKUP(Games!#REF!, Data!$B$2:$L$135, 11, FALSE)=1), 1,0))*Coefficients!L$2</f>
        <v>#REF!</v>
      </c>
      <c r="O500" t="e">
        <f t="shared" si="8"/>
        <v>#REF!</v>
      </c>
    </row>
    <row r="501">
      <c r="A501" t="n">
        <f>Coefficients!$A$2</f>
        <v>-3.7765953152866998</v>
      </c>
      <c r="B501" t="e">
        <f>(Games!#REF!)*(-1*Coefficients!$B$2)</f>
        <v>#REF!</v>
      </c>
      <c r="C501" t="e">
        <f>(VLOOKUP(Games!#REF!, Data!$B$2:$L$135, 4, FALSE)-VLOOKUP(Games!#REF!, Data!$B$2:$L$135, 4, FALSE))*Coefficients!$C$2</f>
        <v>#REF!</v>
      </c>
      <c r="D501" t="e">
        <f>(VLOOKUP(Games!#REF!, Data!$B$2:$L$135, 3, FALSE)-VLOOKUP(Games!#REF!, Data!$B$2:$L$135, 3, FALSE))*Coefficients!$D$2</f>
        <v>#REF!</v>
      </c>
      <c r="E501" t="e">
        <f>(VLOOKUP(Games!#REF!, Data!$B$2:$L$135, 5, FALSE)-VLOOKUP(Games!#REF!, Data!$B$2:$L$135, 5, FALSE))*Coefficients!$E$2</f>
        <v>#REF!</v>
      </c>
      <c r="F501" t="e">
        <f>(VLOOKUP(Games!#REF!, Data!$B$2:$L$135, 6, FALSE)-VLOOKUP(Games!#REF!, Data!$B$2:$L$135, 6, FALSE))*Coefficients!$F$2</f>
        <v>#REF!</v>
      </c>
      <c r="G501" t="e">
        <f>(VLOOKUP(Games!#REF!, Data!$B$2:$L$135, 7, FALSE)-VLOOKUP(Games!#REF!, Data!$B$2:$L$135, 7, FALSE))*Coefficients!$G$2</f>
        <v>#REF!</v>
      </c>
      <c r="H501" t="e">
        <f>(VLOOKUP(Games!#REF!, Data!$B$2:$L$135, 8, FALSE)-VLOOKUP(Games!#REF!, Data!$B$2:$L$135, 8, FALSE))*Coefficients!$H$2</f>
        <v>#REF!</v>
      </c>
      <c r="I501" t="e">
        <f>(VLOOKUP(Games!#REF!, Data!$B$2:$L$135, 9, FALSE)-VLOOKUP(Games!#REF!, Data!$B$2:$L$135, 9, FALSE))*Coefficients!$I$2</f>
        <v>#REF!</v>
      </c>
      <c r="J501" t="e">
        <f>IF(ISBLANK(Data!K501), Games!#REF!-Games!#REF!,VLOOKUP(Games!#REF!, Data!$B$2:$L$135, 10, FALSE)-VLOOKUP(Games!#REF!, Data!$B$2:$L$135, 10, FALSE))*Coefficients!$J$2</f>
        <v>#REF!</v>
      </c>
      <c r="K501" t="e">
        <f>(IF(AND(VLOOKUP(Games!#REF!, Data!$B$2:$L$135, 11, FALSE)=1, VLOOKUP(Games!#REF!, Data!$B$2:$L$135, 11, FALSE)&lt;&gt;1), 1,0))*Coefficients!K$2</f>
        <v>#REF!</v>
      </c>
      <c r="L501" t="e">
        <f>(IF(AND(VLOOKUP(Games!#REF!, Data!$B$2:$L$135, 11, FALSE)&lt;&gt;1, VLOOKUP(Games!#REF!, Data!$B$2:$L$135, 11, FALSE)=1), 1,0))*Coefficients!L$2</f>
        <v>#REF!</v>
      </c>
      <c r="O501" t="e">
        <f t="shared" si="8"/>
        <v>#REF!</v>
      </c>
    </row>
    <row r="502">
      <c r="A502" t="n">
        <f>Coefficients!$A$2</f>
        <v>-3.7765953152866998</v>
      </c>
      <c r="B502" t="e">
        <f>(Games!#REF!)*(-1*Coefficients!$B$2)</f>
        <v>#REF!</v>
      </c>
      <c r="C502" t="e">
        <f>(VLOOKUP(Games!#REF!, Data!$B$2:$L$135, 4, FALSE)-VLOOKUP(Games!#REF!, Data!$B$2:$L$135, 4, FALSE))*Coefficients!$C$2</f>
        <v>#REF!</v>
      </c>
      <c r="D502" t="e">
        <f>(VLOOKUP(Games!#REF!, Data!$B$2:$L$135, 3, FALSE)-VLOOKUP(Games!#REF!, Data!$B$2:$L$135, 3, FALSE))*Coefficients!$D$2</f>
        <v>#REF!</v>
      </c>
      <c r="E502" t="e">
        <f>(VLOOKUP(Games!#REF!, Data!$B$2:$L$135, 5, FALSE)-VLOOKUP(Games!#REF!, Data!$B$2:$L$135, 5, FALSE))*Coefficients!$E$2</f>
        <v>#REF!</v>
      </c>
      <c r="F502" t="e">
        <f>(VLOOKUP(Games!#REF!, Data!$B$2:$L$135, 6, FALSE)-VLOOKUP(Games!#REF!, Data!$B$2:$L$135, 6, FALSE))*Coefficients!$F$2</f>
        <v>#REF!</v>
      </c>
      <c r="G502" t="e">
        <f>(VLOOKUP(Games!#REF!, Data!$B$2:$L$135, 7, FALSE)-VLOOKUP(Games!#REF!, Data!$B$2:$L$135, 7, FALSE))*Coefficients!$G$2</f>
        <v>#REF!</v>
      </c>
      <c r="H502" t="e">
        <f>(VLOOKUP(Games!#REF!, Data!$B$2:$L$135, 8, FALSE)-VLOOKUP(Games!#REF!, Data!$B$2:$L$135, 8, FALSE))*Coefficients!$H$2</f>
        <v>#REF!</v>
      </c>
      <c r="I502" t="e">
        <f>(VLOOKUP(Games!#REF!, Data!$B$2:$L$135, 9, FALSE)-VLOOKUP(Games!#REF!, Data!$B$2:$L$135, 9, FALSE))*Coefficients!$I$2</f>
        <v>#REF!</v>
      </c>
      <c r="J502" t="e">
        <f>IF(ISBLANK(Data!K502), Games!#REF!-Games!#REF!,VLOOKUP(Games!#REF!, Data!$B$2:$L$135, 10, FALSE)-VLOOKUP(Games!#REF!, Data!$B$2:$L$135, 10, FALSE))*Coefficients!$J$2</f>
        <v>#REF!</v>
      </c>
      <c r="K502" t="e">
        <f>(IF(AND(VLOOKUP(Games!#REF!, Data!$B$2:$L$135, 11, FALSE)=1, VLOOKUP(Games!#REF!, Data!$B$2:$L$135, 11, FALSE)&lt;&gt;1), 1,0))*Coefficients!K$2</f>
        <v>#REF!</v>
      </c>
      <c r="L502" t="e">
        <f>(IF(AND(VLOOKUP(Games!#REF!, Data!$B$2:$L$135, 11, FALSE)&lt;&gt;1, VLOOKUP(Games!#REF!, Data!$B$2:$L$135, 11, FALSE)=1), 1,0))*Coefficients!L$2</f>
        <v>#REF!</v>
      </c>
      <c r="O502" t="e">
        <f t="shared" si="8"/>
        <v>#REF!</v>
      </c>
    </row>
    <row r="503">
      <c r="A503" t="n">
        <f>Coefficients!$A$2</f>
        <v>-3.7765953152866998</v>
      </c>
      <c r="B503" t="e">
        <f>(Games!#REF!)*(-1*Coefficients!$B$2)</f>
        <v>#REF!</v>
      </c>
      <c r="C503" t="e">
        <f>(VLOOKUP(Games!#REF!, Data!$B$2:$L$135, 4, FALSE)-VLOOKUP(Games!#REF!, Data!$B$2:$L$135, 4, FALSE))*Coefficients!$C$2</f>
        <v>#REF!</v>
      </c>
      <c r="D503" t="e">
        <f>(VLOOKUP(Games!#REF!, Data!$B$2:$L$135, 3, FALSE)-VLOOKUP(Games!#REF!, Data!$B$2:$L$135, 3, FALSE))*Coefficients!$D$2</f>
        <v>#REF!</v>
      </c>
      <c r="E503" t="e">
        <f>(VLOOKUP(Games!#REF!, Data!$B$2:$L$135, 5, FALSE)-VLOOKUP(Games!#REF!, Data!$B$2:$L$135, 5, FALSE))*Coefficients!$E$2</f>
        <v>#REF!</v>
      </c>
      <c r="F503" t="e">
        <f>(VLOOKUP(Games!#REF!, Data!$B$2:$L$135, 6, FALSE)-VLOOKUP(Games!#REF!, Data!$B$2:$L$135, 6, FALSE))*Coefficients!$F$2</f>
        <v>#REF!</v>
      </c>
      <c r="G503" t="e">
        <f>(VLOOKUP(Games!#REF!, Data!$B$2:$L$135, 7, FALSE)-VLOOKUP(Games!#REF!, Data!$B$2:$L$135, 7, FALSE))*Coefficients!$G$2</f>
        <v>#REF!</v>
      </c>
      <c r="H503" t="e">
        <f>(VLOOKUP(Games!#REF!, Data!$B$2:$L$135, 8, FALSE)-VLOOKUP(Games!#REF!, Data!$B$2:$L$135, 8, FALSE))*Coefficients!$H$2</f>
        <v>#REF!</v>
      </c>
      <c r="I503" t="e">
        <f>(VLOOKUP(Games!#REF!, Data!$B$2:$L$135, 9, FALSE)-VLOOKUP(Games!#REF!, Data!$B$2:$L$135, 9, FALSE))*Coefficients!$I$2</f>
        <v>#REF!</v>
      </c>
      <c r="J503" t="e">
        <f>IF(ISBLANK(Data!K503), Games!#REF!-Games!#REF!,VLOOKUP(Games!#REF!, Data!$B$2:$L$135, 10, FALSE)-VLOOKUP(Games!#REF!, Data!$B$2:$L$135, 10, FALSE))*Coefficients!$J$2</f>
        <v>#REF!</v>
      </c>
      <c r="K503" t="e">
        <f>(IF(AND(VLOOKUP(Games!#REF!, Data!$B$2:$L$135, 11, FALSE)=1, VLOOKUP(Games!#REF!, Data!$B$2:$L$135, 11, FALSE)&lt;&gt;1), 1,0))*Coefficients!K$2</f>
        <v>#REF!</v>
      </c>
      <c r="L503" t="e">
        <f>(IF(AND(VLOOKUP(Games!#REF!, Data!$B$2:$L$135, 11, FALSE)&lt;&gt;1, VLOOKUP(Games!#REF!, Data!$B$2:$L$135, 11, FALSE)=1), 1,0))*Coefficients!L$2</f>
        <v>#REF!</v>
      </c>
      <c r="O503" t="e">
        <f t="shared" si="8"/>
        <v>#REF!</v>
      </c>
    </row>
    <row r="504">
      <c r="A504" t="n">
        <f>Coefficients!$A$2</f>
        <v>-3.7765953152866998</v>
      </c>
      <c r="B504" t="e">
        <f>(Games!#REF!)*(-1*Coefficients!$B$2)</f>
        <v>#REF!</v>
      </c>
      <c r="C504" t="e">
        <f>(VLOOKUP(Games!#REF!, Data!$B$2:$L$135, 4, FALSE)-VLOOKUP(Games!#REF!, Data!$B$2:$L$135, 4, FALSE))*Coefficients!$C$2</f>
        <v>#REF!</v>
      </c>
      <c r="D504" t="e">
        <f>(VLOOKUP(Games!#REF!, Data!$B$2:$L$135, 3, FALSE)-VLOOKUP(Games!#REF!, Data!$B$2:$L$135, 3, FALSE))*Coefficients!$D$2</f>
        <v>#REF!</v>
      </c>
      <c r="E504" t="e">
        <f>(VLOOKUP(Games!#REF!, Data!$B$2:$L$135, 5, FALSE)-VLOOKUP(Games!#REF!, Data!$B$2:$L$135, 5, FALSE))*Coefficients!$E$2</f>
        <v>#REF!</v>
      </c>
      <c r="F504" t="e">
        <f>(VLOOKUP(Games!#REF!, Data!$B$2:$L$135, 6, FALSE)-VLOOKUP(Games!#REF!, Data!$B$2:$L$135, 6, FALSE))*Coefficients!$F$2</f>
        <v>#REF!</v>
      </c>
      <c r="G504" t="e">
        <f>(VLOOKUP(Games!#REF!, Data!$B$2:$L$135, 7, FALSE)-VLOOKUP(Games!#REF!, Data!$B$2:$L$135, 7, FALSE))*Coefficients!$G$2</f>
        <v>#REF!</v>
      </c>
      <c r="H504" t="e">
        <f>(VLOOKUP(Games!#REF!, Data!$B$2:$L$135, 8, FALSE)-VLOOKUP(Games!#REF!, Data!$B$2:$L$135, 8, FALSE))*Coefficients!$H$2</f>
        <v>#REF!</v>
      </c>
      <c r="I504" t="e">
        <f>(VLOOKUP(Games!#REF!, Data!$B$2:$L$135, 9, FALSE)-VLOOKUP(Games!#REF!, Data!$B$2:$L$135, 9, FALSE))*Coefficients!$I$2</f>
        <v>#REF!</v>
      </c>
      <c r="J504" t="e">
        <f>IF(ISBLANK(Data!K504), Games!#REF!-Games!#REF!,VLOOKUP(Games!#REF!, Data!$B$2:$L$135, 10, FALSE)-VLOOKUP(Games!#REF!, Data!$B$2:$L$135, 10, FALSE))*Coefficients!$J$2</f>
        <v>#REF!</v>
      </c>
      <c r="K504" t="e">
        <f>(IF(AND(VLOOKUP(Games!#REF!, Data!$B$2:$L$135, 11, FALSE)=1, VLOOKUP(Games!#REF!, Data!$B$2:$L$135, 11, FALSE)&lt;&gt;1), 1,0))*Coefficients!K$2</f>
        <v>#REF!</v>
      </c>
      <c r="L504" t="e">
        <f>(IF(AND(VLOOKUP(Games!#REF!, Data!$B$2:$L$135, 11, FALSE)&lt;&gt;1, VLOOKUP(Games!#REF!, Data!$B$2:$L$135, 11, FALSE)=1), 1,0))*Coefficients!L$2</f>
        <v>#REF!</v>
      </c>
      <c r="O504" t="e">
        <f t="shared" si="8"/>
        <v>#REF!</v>
      </c>
    </row>
    <row r="505">
      <c r="A505" t="n">
        <f>Coefficients!$A$2</f>
        <v>-3.7765953152866998</v>
      </c>
      <c r="B505" t="e">
        <f>(Games!#REF!)*(-1*Coefficients!$B$2)</f>
        <v>#REF!</v>
      </c>
      <c r="C505" t="e">
        <f>(VLOOKUP(Games!#REF!, Data!$B$2:$L$135, 4, FALSE)-VLOOKUP(Games!#REF!, Data!$B$2:$L$135, 4, FALSE))*Coefficients!$C$2</f>
        <v>#REF!</v>
      </c>
      <c r="D505" t="e">
        <f>(VLOOKUP(Games!#REF!, Data!$B$2:$L$135, 3, FALSE)-VLOOKUP(Games!#REF!, Data!$B$2:$L$135, 3, FALSE))*Coefficients!$D$2</f>
        <v>#REF!</v>
      </c>
      <c r="E505" t="e">
        <f>(VLOOKUP(Games!#REF!, Data!$B$2:$L$135, 5, FALSE)-VLOOKUP(Games!#REF!, Data!$B$2:$L$135, 5, FALSE))*Coefficients!$E$2</f>
        <v>#REF!</v>
      </c>
      <c r="F505" t="e">
        <f>(VLOOKUP(Games!#REF!, Data!$B$2:$L$135, 6, FALSE)-VLOOKUP(Games!#REF!, Data!$B$2:$L$135, 6, FALSE))*Coefficients!$F$2</f>
        <v>#REF!</v>
      </c>
      <c r="G505" t="e">
        <f>(VLOOKUP(Games!#REF!, Data!$B$2:$L$135, 7, FALSE)-VLOOKUP(Games!#REF!, Data!$B$2:$L$135, 7, FALSE))*Coefficients!$G$2</f>
        <v>#REF!</v>
      </c>
      <c r="H505" t="e">
        <f>(VLOOKUP(Games!#REF!, Data!$B$2:$L$135, 8, FALSE)-VLOOKUP(Games!#REF!, Data!$B$2:$L$135, 8, FALSE))*Coefficients!$H$2</f>
        <v>#REF!</v>
      </c>
      <c r="I505" t="e">
        <f>(VLOOKUP(Games!#REF!, Data!$B$2:$L$135, 9, FALSE)-VLOOKUP(Games!#REF!, Data!$B$2:$L$135, 9, FALSE))*Coefficients!$I$2</f>
        <v>#REF!</v>
      </c>
      <c r="J505" t="e">
        <f>IF(ISBLANK(Data!K505), Games!#REF!-Games!#REF!,VLOOKUP(Games!#REF!, Data!$B$2:$L$135, 10, FALSE)-VLOOKUP(Games!#REF!, Data!$B$2:$L$135, 10, FALSE))*Coefficients!$J$2</f>
        <v>#REF!</v>
      </c>
      <c r="K505" t="e">
        <f>(IF(AND(VLOOKUP(Games!#REF!, Data!$B$2:$L$135, 11, FALSE)=1, VLOOKUP(Games!#REF!, Data!$B$2:$L$135, 11, FALSE)&lt;&gt;1), 1,0))*Coefficients!K$2</f>
        <v>#REF!</v>
      </c>
      <c r="L505" t="e">
        <f>(IF(AND(VLOOKUP(Games!#REF!, Data!$B$2:$L$135, 11, FALSE)&lt;&gt;1, VLOOKUP(Games!#REF!, Data!$B$2:$L$135, 11, FALSE)=1), 1,0))*Coefficients!L$2</f>
        <v>#REF!</v>
      </c>
      <c r="O505" t="e">
        <f t="shared" si="8"/>
        <v>#REF!</v>
      </c>
    </row>
    <row r="506">
      <c r="A506" t="n">
        <f>Coefficients!$A$2</f>
        <v>-3.7765953152866998</v>
      </c>
      <c r="B506" t="e">
        <f>(Games!#REF!)*(-1*Coefficients!$B$2)</f>
        <v>#REF!</v>
      </c>
      <c r="C506" t="e">
        <f>(VLOOKUP(Games!#REF!, Data!$B$2:$L$135, 4, FALSE)-VLOOKUP(Games!#REF!, Data!$B$2:$L$135, 4, FALSE))*Coefficients!$C$2</f>
        <v>#REF!</v>
      </c>
      <c r="D506" t="e">
        <f>(VLOOKUP(Games!#REF!, Data!$B$2:$L$135, 3, FALSE)-VLOOKUP(Games!#REF!, Data!$B$2:$L$135, 3, FALSE))*Coefficients!$D$2</f>
        <v>#REF!</v>
      </c>
      <c r="E506" t="e">
        <f>(VLOOKUP(Games!#REF!, Data!$B$2:$L$135, 5, FALSE)-VLOOKUP(Games!#REF!, Data!$B$2:$L$135, 5, FALSE))*Coefficients!$E$2</f>
        <v>#REF!</v>
      </c>
      <c r="F506" t="e">
        <f>(VLOOKUP(Games!#REF!, Data!$B$2:$L$135, 6, FALSE)-VLOOKUP(Games!#REF!, Data!$B$2:$L$135, 6, FALSE))*Coefficients!$F$2</f>
        <v>#REF!</v>
      </c>
      <c r="G506" t="e">
        <f>(VLOOKUP(Games!#REF!, Data!$B$2:$L$135, 7, FALSE)-VLOOKUP(Games!#REF!, Data!$B$2:$L$135, 7, FALSE))*Coefficients!$G$2</f>
        <v>#REF!</v>
      </c>
      <c r="H506" t="e">
        <f>(VLOOKUP(Games!#REF!, Data!$B$2:$L$135, 8, FALSE)-VLOOKUP(Games!#REF!, Data!$B$2:$L$135, 8, FALSE))*Coefficients!$H$2</f>
        <v>#REF!</v>
      </c>
      <c r="I506" t="e">
        <f>(VLOOKUP(Games!#REF!, Data!$B$2:$L$135, 9, FALSE)-VLOOKUP(Games!#REF!, Data!$B$2:$L$135, 9, FALSE))*Coefficients!$I$2</f>
        <v>#REF!</v>
      </c>
      <c r="J506" t="e">
        <f>IF(ISBLANK(Data!K506), Games!#REF!-Games!#REF!,VLOOKUP(Games!#REF!, Data!$B$2:$L$135, 10, FALSE)-VLOOKUP(Games!#REF!, Data!$B$2:$L$135, 10, FALSE))*Coefficients!$J$2</f>
        <v>#REF!</v>
      </c>
      <c r="K506" t="e">
        <f>(IF(AND(VLOOKUP(Games!#REF!, Data!$B$2:$L$135, 11, FALSE)=1, VLOOKUP(Games!#REF!, Data!$B$2:$L$135, 11, FALSE)&lt;&gt;1), 1,0))*Coefficients!K$2</f>
        <v>#REF!</v>
      </c>
      <c r="L506" t="e">
        <f>(IF(AND(VLOOKUP(Games!#REF!, Data!$B$2:$L$135, 11, FALSE)&lt;&gt;1, VLOOKUP(Games!#REF!, Data!$B$2:$L$135, 11, FALSE)=1), 1,0))*Coefficients!L$2</f>
        <v>#REF!</v>
      </c>
      <c r="O506" t="e">
        <f t="shared" si="8"/>
        <v>#REF!</v>
      </c>
    </row>
    <row r="507">
      <c r="A507" t="n">
        <f>Coefficients!$A$2</f>
        <v>-3.7765953152866998</v>
      </c>
      <c r="B507" t="e">
        <f>(Games!#REF!)*(-1*Coefficients!$B$2)</f>
        <v>#REF!</v>
      </c>
      <c r="C507" t="e">
        <f>(VLOOKUP(Games!#REF!, Data!$B$2:$L$135, 4, FALSE)-VLOOKUP(Games!#REF!, Data!$B$2:$L$135, 4, FALSE))*Coefficients!$C$2</f>
        <v>#REF!</v>
      </c>
      <c r="D507" t="e">
        <f>(VLOOKUP(Games!#REF!, Data!$B$2:$L$135, 3, FALSE)-VLOOKUP(Games!#REF!, Data!$B$2:$L$135, 3, FALSE))*Coefficients!$D$2</f>
        <v>#REF!</v>
      </c>
      <c r="E507" t="e">
        <f>(VLOOKUP(Games!#REF!, Data!$B$2:$L$135, 5, FALSE)-VLOOKUP(Games!#REF!, Data!$B$2:$L$135, 5, FALSE))*Coefficients!$E$2</f>
        <v>#REF!</v>
      </c>
      <c r="F507" t="e">
        <f>(VLOOKUP(Games!#REF!, Data!$B$2:$L$135, 6, FALSE)-VLOOKUP(Games!#REF!, Data!$B$2:$L$135, 6, FALSE))*Coefficients!$F$2</f>
        <v>#REF!</v>
      </c>
      <c r="G507" t="e">
        <f>(VLOOKUP(Games!#REF!, Data!$B$2:$L$135, 7, FALSE)-VLOOKUP(Games!#REF!, Data!$B$2:$L$135, 7, FALSE))*Coefficients!$G$2</f>
        <v>#REF!</v>
      </c>
      <c r="H507" t="e">
        <f>(VLOOKUP(Games!#REF!, Data!$B$2:$L$135, 8, FALSE)-VLOOKUP(Games!#REF!, Data!$B$2:$L$135, 8, FALSE))*Coefficients!$H$2</f>
        <v>#REF!</v>
      </c>
      <c r="I507" t="e">
        <f>(VLOOKUP(Games!#REF!, Data!$B$2:$L$135, 9, FALSE)-VLOOKUP(Games!#REF!, Data!$B$2:$L$135, 9, FALSE))*Coefficients!$I$2</f>
        <v>#REF!</v>
      </c>
      <c r="J507" t="e">
        <f>IF(ISBLANK(Data!K507), Games!#REF!-Games!#REF!,VLOOKUP(Games!#REF!, Data!$B$2:$L$135, 10, FALSE)-VLOOKUP(Games!#REF!, Data!$B$2:$L$135, 10, FALSE))*Coefficients!$J$2</f>
        <v>#REF!</v>
      </c>
      <c r="K507" t="e">
        <f>(IF(AND(VLOOKUP(Games!#REF!, Data!$B$2:$L$135, 11, FALSE)=1, VLOOKUP(Games!#REF!, Data!$B$2:$L$135, 11, FALSE)&lt;&gt;1), 1,0))*Coefficients!K$2</f>
        <v>#REF!</v>
      </c>
      <c r="L507" t="e">
        <f>(IF(AND(VLOOKUP(Games!#REF!, Data!$B$2:$L$135, 11, FALSE)&lt;&gt;1, VLOOKUP(Games!#REF!, Data!$B$2:$L$135, 11, FALSE)=1), 1,0))*Coefficients!L$2</f>
        <v>#REF!</v>
      </c>
      <c r="O507" t="e">
        <f t="shared" si="8"/>
        <v>#REF!</v>
      </c>
    </row>
    <row r="508">
      <c r="A508" t="n">
        <f>Coefficients!$A$2</f>
        <v>-3.7765953152866998</v>
      </c>
      <c r="B508" t="e">
        <f>(Games!#REF!)*(-1*Coefficients!$B$2)</f>
        <v>#REF!</v>
      </c>
      <c r="C508" t="e">
        <f>(VLOOKUP(Games!#REF!, Data!$B$2:$L$135, 4, FALSE)-VLOOKUP(Games!#REF!, Data!$B$2:$L$135, 4, FALSE))*Coefficients!$C$2</f>
        <v>#REF!</v>
      </c>
      <c r="D508" t="e">
        <f>(VLOOKUP(Games!#REF!, Data!$B$2:$L$135, 3, FALSE)-VLOOKUP(Games!#REF!, Data!$B$2:$L$135, 3, FALSE))*Coefficients!$D$2</f>
        <v>#REF!</v>
      </c>
      <c r="E508" t="e">
        <f>(VLOOKUP(Games!#REF!, Data!$B$2:$L$135, 5, FALSE)-VLOOKUP(Games!#REF!, Data!$B$2:$L$135, 5, FALSE))*Coefficients!$E$2</f>
        <v>#REF!</v>
      </c>
      <c r="F508" t="e">
        <f>(VLOOKUP(Games!#REF!, Data!$B$2:$L$135, 6, FALSE)-VLOOKUP(Games!#REF!, Data!$B$2:$L$135, 6, FALSE))*Coefficients!$F$2</f>
        <v>#REF!</v>
      </c>
      <c r="G508" t="e">
        <f>(VLOOKUP(Games!#REF!, Data!$B$2:$L$135, 7, FALSE)-VLOOKUP(Games!#REF!, Data!$B$2:$L$135, 7, FALSE))*Coefficients!$G$2</f>
        <v>#REF!</v>
      </c>
      <c r="H508" t="e">
        <f>(VLOOKUP(Games!#REF!, Data!$B$2:$L$135, 8, FALSE)-VLOOKUP(Games!#REF!, Data!$B$2:$L$135, 8, FALSE))*Coefficients!$H$2</f>
        <v>#REF!</v>
      </c>
      <c r="I508" t="e">
        <f>(VLOOKUP(Games!#REF!, Data!$B$2:$L$135, 9, FALSE)-VLOOKUP(Games!#REF!, Data!$B$2:$L$135, 9, FALSE))*Coefficients!$I$2</f>
        <v>#REF!</v>
      </c>
      <c r="J508" t="e">
        <f>IF(ISBLANK(Data!K508), Games!#REF!-Games!#REF!,VLOOKUP(Games!#REF!, Data!$B$2:$L$135, 10, FALSE)-VLOOKUP(Games!#REF!, Data!$B$2:$L$135, 10, FALSE))*Coefficients!$J$2</f>
        <v>#REF!</v>
      </c>
      <c r="K508" t="e">
        <f>(IF(AND(VLOOKUP(Games!#REF!, Data!$B$2:$L$135, 11, FALSE)=1, VLOOKUP(Games!#REF!, Data!$B$2:$L$135, 11, FALSE)&lt;&gt;1), 1,0))*Coefficients!K$2</f>
        <v>#REF!</v>
      </c>
      <c r="L508" t="e">
        <f>(IF(AND(VLOOKUP(Games!#REF!, Data!$B$2:$L$135, 11, FALSE)&lt;&gt;1, VLOOKUP(Games!#REF!, Data!$B$2:$L$135, 11, FALSE)=1), 1,0))*Coefficients!L$2</f>
        <v>#REF!</v>
      </c>
      <c r="O508" t="e">
        <f t="shared" si="8"/>
        <v>#REF!</v>
      </c>
    </row>
    <row r="509">
      <c r="A509" t="n">
        <f>Coefficients!$A$2</f>
        <v>-3.7765953152866998</v>
      </c>
      <c r="B509" t="e">
        <f>(Games!#REF!)*(-1*Coefficients!$B$2)</f>
        <v>#REF!</v>
      </c>
      <c r="C509" t="e">
        <f>(VLOOKUP(Games!#REF!, Data!$B$2:$L$135, 4, FALSE)-VLOOKUP(Games!#REF!, Data!$B$2:$L$135, 4, FALSE))*Coefficients!$C$2</f>
        <v>#REF!</v>
      </c>
      <c r="D509" t="e">
        <f>(VLOOKUP(Games!#REF!, Data!$B$2:$L$135, 3, FALSE)-VLOOKUP(Games!#REF!, Data!$B$2:$L$135, 3, FALSE))*Coefficients!$D$2</f>
        <v>#REF!</v>
      </c>
      <c r="E509" t="e">
        <f>(VLOOKUP(Games!#REF!, Data!$B$2:$L$135, 5, FALSE)-VLOOKUP(Games!#REF!, Data!$B$2:$L$135, 5, FALSE))*Coefficients!$E$2</f>
        <v>#REF!</v>
      </c>
      <c r="F509" t="e">
        <f>(VLOOKUP(Games!#REF!, Data!$B$2:$L$135, 6, FALSE)-VLOOKUP(Games!#REF!, Data!$B$2:$L$135, 6, FALSE))*Coefficients!$F$2</f>
        <v>#REF!</v>
      </c>
      <c r="G509" t="e">
        <f>(VLOOKUP(Games!#REF!, Data!$B$2:$L$135, 7, FALSE)-VLOOKUP(Games!#REF!, Data!$B$2:$L$135, 7, FALSE))*Coefficients!$G$2</f>
        <v>#REF!</v>
      </c>
      <c r="H509" t="e">
        <f>(VLOOKUP(Games!#REF!, Data!$B$2:$L$135, 8, FALSE)-VLOOKUP(Games!#REF!, Data!$B$2:$L$135, 8, FALSE))*Coefficients!$H$2</f>
        <v>#REF!</v>
      </c>
      <c r="I509" t="e">
        <f>(VLOOKUP(Games!#REF!, Data!$B$2:$L$135, 9, FALSE)-VLOOKUP(Games!#REF!, Data!$B$2:$L$135, 9, FALSE))*Coefficients!$I$2</f>
        <v>#REF!</v>
      </c>
      <c r="J509" t="e">
        <f>IF(ISBLANK(Data!K509), Games!#REF!-Games!#REF!,VLOOKUP(Games!#REF!, Data!$B$2:$L$135, 10, FALSE)-VLOOKUP(Games!#REF!, Data!$B$2:$L$135, 10, FALSE))*Coefficients!$J$2</f>
        <v>#REF!</v>
      </c>
      <c r="K509" t="e">
        <f>(IF(AND(VLOOKUP(Games!#REF!, Data!$B$2:$L$135, 11, FALSE)=1, VLOOKUP(Games!#REF!, Data!$B$2:$L$135, 11, FALSE)&lt;&gt;1), 1,0))*Coefficients!K$2</f>
        <v>#REF!</v>
      </c>
      <c r="L509" t="e">
        <f>(IF(AND(VLOOKUP(Games!#REF!, Data!$B$2:$L$135, 11, FALSE)&lt;&gt;1, VLOOKUP(Games!#REF!, Data!$B$2:$L$135, 11, FALSE)=1), 1,0))*Coefficients!L$2</f>
        <v>#REF!</v>
      </c>
      <c r="O509" t="e">
        <f t="shared" si="8"/>
        <v>#REF!</v>
      </c>
    </row>
    <row r="510">
      <c r="A510" t="n">
        <f>Coefficients!$A$2</f>
        <v>-3.7765953152866998</v>
      </c>
      <c r="B510" t="e">
        <f>(Games!#REF!)*(-1*Coefficients!$B$2)</f>
        <v>#REF!</v>
      </c>
      <c r="C510" t="e">
        <f>(VLOOKUP(Games!#REF!, Data!$B$2:$L$135, 4, FALSE)-VLOOKUP(Games!#REF!, Data!$B$2:$L$135, 4, FALSE))*Coefficients!$C$2</f>
        <v>#REF!</v>
      </c>
      <c r="D510" t="e">
        <f>(VLOOKUP(Games!#REF!, Data!$B$2:$L$135, 3, FALSE)-VLOOKUP(Games!#REF!, Data!$B$2:$L$135, 3, FALSE))*Coefficients!$D$2</f>
        <v>#REF!</v>
      </c>
      <c r="E510" t="e">
        <f>(VLOOKUP(Games!#REF!, Data!$B$2:$L$135, 5, FALSE)-VLOOKUP(Games!#REF!, Data!$B$2:$L$135, 5, FALSE))*Coefficients!$E$2</f>
        <v>#REF!</v>
      </c>
      <c r="F510" t="e">
        <f>(VLOOKUP(Games!#REF!, Data!$B$2:$L$135, 6, FALSE)-VLOOKUP(Games!#REF!, Data!$B$2:$L$135, 6, FALSE))*Coefficients!$F$2</f>
        <v>#REF!</v>
      </c>
      <c r="G510" t="e">
        <f>(VLOOKUP(Games!#REF!, Data!$B$2:$L$135, 7, FALSE)-VLOOKUP(Games!#REF!, Data!$B$2:$L$135, 7, FALSE))*Coefficients!$G$2</f>
        <v>#REF!</v>
      </c>
      <c r="H510" t="e">
        <f>(VLOOKUP(Games!#REF!, Data!$B$2:$L$135, 8, FALSE)-VLOOKUP(Games!#REF!, Data!$B$2:$L$135, 8, FALSE))*Coefficients!$H$2</f>
        <v>#REF!</v>
      </c>
      <c r="I510" t="e">
        <f>(VLOOKUP(Games!#REF!, Data!$B$2:$L$135, 9, FALSE)-VLOOKUP(Games!#REF!, Data!$B$2:$L$135, 9, FALSE))*Coefficients!$I$2</f>
        <v>#REF!</v>
      </c>
      <c r="J510" t="e">
        <f>IF(ISBLANK(Data!K510), Games!#REF!-Games!#REF!,VLOOKUP(Games!#REF!, Data!$B$2:$L$135, 10, FALSE)-VLOOKUP(Games!#REF!, Data!$B$2:$L$135, 10, FALSE))*Coefficients!$J$2</f>
        <v>#REF!</v>
      </c>
      <c r="K510" t="e">
        <f>(IF(AND(VLOOKUP(Games!#REF!, Data!$B$2:$L$135, 11, FALSE)=1, VLOOKUP(Games!#REF!, Data!$B$2:$L$135, 11, FALSE)&lt;&gt;1), 1,0))*Coefficients!K$2</f>
        <v>#REF!</v>
      </c>
      <c r="L510" t="e">
        <f>(IF(AND(VLOOKUP(Games!#REF!, Data!$B$2:$L$135, 11, FALSE)&lt;&gt;1, VLOOKUP(Games!#REF!, Data!$B$2:$L$135, 11, FALSE)=1), 1,0))*Coefficients!L$2</f>
        <v>#REF!</v>
      </c>
      <c r="O510" t="e">
        <f t="shared" si="8"/>
        <v>#REF!</v>
      </c>
    </row>
    <row r="511">
      <c r="A511" t="n">
        <f>Coefficients!$A$2</f>
        <v>-3.7765953152866998</v>
      </c>
      <c r="B511" t="e">
        <f>(Games!#REF!)*(-1*Coefficients!$B$2)</f>
        <v>#REF!</v>
      </c>
      <c r="C511" t="e">
        <f>(VLOOKUP(Games!#REF!, Data!$B$2:$L$135, 4, FALSE)-VLOOKUP(Games!#REF!, Data!$B$2:$L$135, 4, FALSE))*Coefficients!$C$2</f>
        <v>#REF!</v>
      </c>
      <c r="D511" t="e">
        <f>(VLOOKUP(Games!#REF!, Data!$B$2:$L$135, 3, FALSE)-VLOOKUP(Games!#REF!, Data!$B$2:$L$135, 3, FALSE))*Coefficients!$D$2</f>
        <v>#REF!</v>
      </c>
      <c r="E511" t="e">
        <f>(VLOOKUP(Games!#REF!, Data!$B$2:$L$135, 5, FALSE)-VLOOKUP(Games!#REF!, Data!$B$2:$L$135, 5, FALSE))*Coefficients!$E$2</f>
        <v>#REF!</v>
      </c>
      <c r="F511" t="e">
        <f>(VLOOKUP(Games!#REF!, Data!$B$2:$L$135, 6, FALSE)-VLOOKUP(Games!#REF!, Data!$B$2:$L$135, 6, FALSE))*Coefficients!$F$2</f>
        <v>#REF!</v>
      </c>
      <c r="G511" t="e">
        <f>(VLOOKUP(Games!#REF!, Data!$B$2:$L$135, 7, FALSE)-VLOOKUP(Games!#REF!, Data!$B$2:$L$135, 7, FALSE))*Coefficients!$G$2</f>
        <v>#REF!</v>
      </c>
      <c r="H511" t="e">
        <f>(VLOOKUP(Games!#REF!, Data!$B$2:$L$135, 8, FALSE)-VLOOKUP(Games!#REF!, Data!$B$2:$L$135, 8, FALSE))*Coefficients!$H$2</f>
        <v>#REF!</v>
      </c>
      <c r="I511" t="e">
        <f>(VLOOKUP(Games!#REF!, Data!$B$2:$L$135, 9, FALSE)-VLOOKUP(Games!#REF!, Data!$B$2:$L$135, 9, FALSE))*Coefficients!$I$2</f>
        <v>#REF!</v>
      </c>
      <c r="J511" t="e">
        <f>IF(ISBLANK(Data!K511), Games!#REF!-Games!#REF!,VLOOKUP(Games!#REF!, Data!$B$2:$L$135, 10, FALSE)-VLOOKUP(Games!#REF!, Data!$B$2:$L$135, 10, FALSE))*Coefficients!$J$2</f>
        <v>#REF!</v>
      </c>
      <c r="K511" t="e">
        <f>(IF(AND(VLOOKUP(Games!#REF!, Data!$B$2:$L$135, 11, FALSE)=1, VLOOKUP(Games!#REF!, Data!$B$2:$L$135, 11, FALSE)&lt;&gt;1), 1,0))*Coefficients!K$2</f>
        <v>#REF!</v>
      </c>
      <c r="L511" t="e">
        <f>(IF(AND(VLOOKUP(Games!#REF!, Data!$B$2:$L$135, 11, FALSE)&lt;&gt;1, VLOOKUP(Games!#REF!, Data!$B$2:$L$135, 11, FALSE)=1), 1,0))*Coefficients!L$2</f>
        <v>#REF!</v>
      </c>
      <c r="O511" t="e">
        <f t="shared" si="8"/>
        <v>#REF!</v>
      </c>
    </row>
    <row r="512">
      <c r="A512" t="n">
        <f>Coefficients!$A$2</f>
        <v>-3.7765953152866998</v>
      </c>
      <c r="B512" t="e">
        <f>(Games!#REF!)*(-1*Coefficients!$B$2)</f>
        <v>#REF!</v>
      </c>
      <c r="C512" t="e">
        <f>(VLOOKUP(Games!#REF!, Data!$B$2:$L$135, 4, FALSE)-VLOOKUP(Games!#REF!, Data!$B$2:$L$135, 4, FALSE))*Coefficients!$C$2</f>
        <v>#REF!</v>
      </c>
      <c r="D512" t="e">
        <f>(VLOOKUP(Games!#REF!, Data!$B$2:$L$135, 3, FALSE)-VLOOKUP(Games!#REF!, Data!$B$2:$L$135, 3, FALSE))*Coefficients!$D$2</f>
        <v>#REF!</v>
      </c>
      <c r="E512" t="e">
        <f>(VLOOKUP(Games!#REF!, Data!$B$2:$L$135, 5, FALSE)-VLOOKUP(Games!#REF!, Data!$B$2:$L$135, 5, FALSE))*Coefficients!$E$2</f>
        <v>#REF!</v>
      </c>
      <c r="F512" t="e">
        <f>(VLOOKUP(Games!#REF!, Data!$B$2:$L$135, 6, FALSE)-VLOOKUP(Games!#REF!, Data!$B$2:$L$135, 6, FALSE))*Coefficients!$F$2</f>
        <v>#REF!</v>
      </c>
      <c r="G512" t="e">
        <f>(VLOOKUP(Games!#REF!, Data!$B$2:$L$135, 7, FALSE)-VLOOKUP(Games!#REF!, Data!$B$2:$L$135, 7, FALSE))*Coefficients!$G$2</f>
        <v>#REF!</v>
      </c>
      <c r="H512" t="e">
        <f>(VLOOKUP(Games!#REF!, Data!$B$2:$L$135, 8, FALSE)-VLOOKUP(Games!#REF!, Data!$B$2:$L$135, 8, FALSE))*Coefficients!$H$2</f>
        <v>#REF!</v>
      </c>
      <c r="I512" t="e">
        <f>(VLOOKUP(Games!#REF!, Data!$B$2:$L$135, 9, FALSE)-VLOOKUP(Games!#REF!, Data!$B$2:$L$135, 9, FALSE))*Coefficients!$I$2</f>
        <v>#REF!</v>
      </c>
      <c r="J512" t="e">
        <f>IF(ISBLANK(Data!K512), Games!#REF!-Games!#REF!,VLOOKUP(Games!#REF!, Data!$B$2:$L$135, 10, FALSE)-VLOOKUP(Games!#REF!, Data!$B$2:$L$135, 10, FALSE))*Coefficients!$J$2</f>
        <v>#REF!</v>
      </c>
      <c r="K512" t="e">
        <f>(IF(AND(VLOOKUP(Games!#REF!, Data!$B$2:$L$135, 11, FALSE)=1, VLOOKUP(Games!#REF!, Data!$B$2:$L$135, 11, FALSE)&lt;&gt;1), 1,0))*Coefficients!K$2</f>
        <v>#REF!</v>
      </c>
      <c r="L512" t="e">
        <f>(IF(AND(VLOOKUP(Games!#REF!, Data!$B$2:$L$135, 11, FALSE)&lt;&gt;1, VLOOKUP(Games!#REF!, Data!$B$2:$L$135, 11, FALSE)=1), 1,0))*Coefficients!L$2</f>
        <v>#REF!</v>
      </c>
      <c r="O512" t="e">
        <f t="shared" si="8"/>
        <v>#REF!</v>
      </c>
    </row>
    <row r="513">
      <c r="A513" t="n">
        <f>Coefficients!$A$2</f>
        <v>-3.7765953152866998</v>
      </c>
      <c r="B513" t="e">
        <f>(Games!#REF!)*(-1*Coefficients!$B$2)</f>
        <v>#REF!</v>
      </c>
      <c r="C513" t="e">
        <f>(VLOOKUP(Games!#REF!, Data!$B$2:$L$135, 4, FALSE)-VLOOKUP(Games!#REF!, Data!$B$2:$L$135, 4, FALSE))*Coefficients!$C$2</f>
        <v>#REF!</v>
      </c>
      <c r="D513" t="e">
        <f>(VLOOKUP(Games!#REF!, Data!$B$2:$L$135, 3, FALSE)-VLOOKUP(Games!#REF!, Data!$B$2:$L$135, 3, FALSE))*Coefficients!$D$2</f>
        <v>#REF!</v>
      </c>
      <c r="E513" t="e">
        <f>(VLOOKUP(Games!#REF!, Data!$B$2:$L$135, 5, FALSE)-VLOOKUP(Games!#REF!, Data!$B$2:$L$135, 5, FALSE))*Coefficients!$E$2</f>
        <v>#REF!</v>
      </c>
      <c r="F513" t="e">
        <f>(VLOOKUP(Games!#REF!, Data!$B$2:$L$135, 6, FALSE)-VLOOKUP(Games!#REF!, Data!$B$2:$L$135, 6, FALSE))*Coefficients!$F$2</f>
        <v>#REF!</v>
      </c>
      <c r="G513" t="e">
        <f>(VLOOKUP(Games!#REF!, Data!$B$2:$L$135, 7, FALSE)-VLOOKUP(Games!#REF!, Data!$B$2:$L$135, 7, FALSE))*Coefficients!$G$2</f>
        <v>#REF!</v>
      </c>
      <c r="H513" t="e">
        <f>(VLOOKUP(Games!#REF!, Data!$B$2:$L$135, 8, FALSE)-VLOOKUP(Games!#REF!, Data!$B$2:$L$135, 8, FALSE))*Coefficients!$H$2</f>
        <v>#REF!</v>
      </c>
      <c r="I513" t="e">
        <f>(VLOOKUP(Games!#REF!, Data!$B$2:$L$135, 9, FALSE)-VLOOKUP(Games!#REF!, Data!$B$2:$L$135, 9, FALSE))*Coefficients!$I$2</f>
        <v>#REF!</v>
      </c>
      <c r="J513" t="e">
        <f>IF(ISBLANK(Data!K513), Games!#REF!-Games!#REF!,VLOOKUP(Games!#REF!, Data!$B$2:$L$135, 10, FALSE)-VLOOKUP(Games!#REF!, Data!$B$2:$L$135, 10, FALSE))*Coefficients!$J$2</f>
        <v>#REF!</v>
      </c>
      <c r="K513" t="e">
        <f>(IF(AND(VLOOKUP(Games!#REF!, Data!$B$2:$L$135, 11, FALSE)=1, VLOOKUP(Games!#REF!, Data!$B$2:$L$135, 11, FALSE)&lt;&gt;1), 1,0))*Coefficients!K$2</f>
        <v>#REF!</v>
      </c>
      <c r="L513" t="e">
        <f>(IF(AND(VLOOKUP(Games!#REF!, Data!$B$2:$L$135, 11, FALSE)&lt;&gt;1, VLOOKUP(Games!#REF!, Data!$B$2:$L$135, 11, FALSE)=1), 1,0))*Coefficients!L$2</f>
        <v>#REF!</v>
      </c>
      <c r="O513" t="e">
        <f t="shared" si="8"/>
        <v>#REF!</v>
      </c>
    </row>
    <row r="514">
      <c r="A514" t="n">
        <f>Coefficients!$A$2</f>
        <v>-3.7765953152866998</v>
      </c>
      <c r="B514" t="e">
        <f>(Games!#REF!)*(-1*Coefficients!$B$2)</f>
        <v>#REF!</v>
      </c>
      <c r="C514" t="e">
        <f>(VLOOKUP(Games!#REF!, Data!$B$2:$L$135, 4, FALSE)-VLOOKUP(Games!#REF!, Data!$B$2:$L$135, 4, FALSE))*Coefficients!$C$2</f>
        <v>#REF!</v>
      </c>
      <c r="D514" t="e">
        <f>(VLOOKUP(Games!#REF!, Data!$B$2:$L$135, 3, FALSE)-VLOOKUP(Games!#REF!, Data!$B$2:$L$135, 3, FALSE))*Coefficients!$D$2</f>
        <v>#REF!</v>
      </c>
      <c r="E514" t="e">
        <f>(VLOOKUP(Games!#REF!, Data!$B$2:$L$135, 5, FALSE)-VLOOKUP(Games!#REF!, Data!$B$2:$L$135, 5, FALSE))*Coefficients!$E$2</f>
        <v>#REF!</v>
      </c>
      <c r="F514" t="e">
        <f>(VLOOKUP(Games!#REF!, Data!$B$2:$L$135, 6, FALSE)-VLOOKUP(Games!#REF!, Data!$B$2:$L$135, 6, FALSE))*Coefficients!$F$2</f>
        <v>#REF!</v>
      </c>
      <c r="G514" t="e">
        <f>(VLOOKUP(Games!#REF!, Data!$B$2:$L$135, 7, FALSE)-VLOOKUP(Games!#REF!, Data!$B$2:$L$135, 7, FALSE))*Coefficients!$G$2</f>
        <v>#REF!</v>
      </c>
      <c r="H514" t="e">
        <f>(VLOOKUP(Games!#REF!, Data!$B$2:$L$135, 8, FALSE)-VLOOKUP(Games!#REF!, Data!$B$2:$L$135, 8, FALSE))*Coefficients!$H$2</f>
        <v>#REF!</v>
      </c>
      <c r="I514" t="e">
        <f>(VLOOKUP(Games!#REF!, Data!$B$2:$L$135, 9, FALSE)-VLOOKUP(Games!#REF!, Data!$B$2:$L$135, 9, FALSE))*Coefficients!$I$2</f>
        <v>#REF!</v>
      </c>
      <c r="J514" t="e">
        <f>IF(ISBLANK(Data!K514), Games!#REF!-Games!#REF!,VLOOKUP(Games!#REF!, Data!$B$2:$L$135, 10, FALSE)-VLOOKUP(Games!#REF!, Data!$B$2:$L$135, 10, FALSE))*Coefficients!$J$2</f>
        <v>#REF!</v>
      </c>
      <c r="K514" t="e">
        <f>(IF(AND(VLOOKUP(Games!#REF!, Data!$B$2:$L$135, 11, FALSE)=1, VLOOKUP(Games!#REF!, Data!$B$2:$L$135, 11, FALSE)&lt;&gt;1), 1,0))*Coefficients!K$2</f>
        <v>#REF!</v>
      </c>
      <c r="L514" t="e">
        <f>(IF(AND(VLOOKUP(Games!#REF!, Data!$B$2:$L$135, 11, FALSE)&lt;&gt;1, VLOOKUP(Games!#REF!, Data!$B$2:$L$135, 11, FALSE)=1), 1,0))*Coefficients!L$2</f>
        <v>#REF!</v>
      </c>
      <c r="O514" t="e">
        <f t="shared" si="8"/>
        <v>#REF!</v>
      </c>
    </row>
    <row r="515">
      <c r="A515" t="n">
        <f>Coefficients!$A$2</f>
        <v>-3.7765953152866998</v>
      </c>
      <c r="B515" t="e">
        <f>(Games!#REF!)*(-1*Coefficients!$B$2)</f>
        <v>#REF!</v>
      </c>
      <c r="C515" t="e">
        <f>(VLOOKUP(Games!#REF!, Data!$B$2:$L$135, 4, FALSE)-VLOOKUP(Games!#REF!, Data!$B$2:$L$135, 4, FALSE))*Coefficients!$C$2</f>
        <v>#REF!</v>
      </c>
      <c r="D515" t="e">
        <f>(VLOOKUP(Games!#REF!, Data!$B$2:$L$135, 3, FALSE)-VLOOKUP(Games!#REF!, Data!$B$2:$L$135, 3, FALSE))*Coefficients!$D$2</f>
        <v>#REF!</v>
      </c>
      <c r="E515" t="e">
        <f>(VLOOKUP(Games!#REF!, Data!$B$2:$L$135, 5, FALSE)-VLOOKUP(Games!#REF!, Data!$B$2:$L$135, 5, FALSE))*Coefficients!$E$2</f>
        <v>#REF!</v>
      </c>
      <c r="F515" t="e">
        <f>(VLOOKUP(Games!#REF!, Data!$B$2:$L$135, 6, FALSE)-VLOOKUP(Games!#REF!, Data!$B$2:$L$135, 6, FALSE))*Coefficients!$F$2</f>
        <v>#REF!</v>
      </c>
      <c r="G515" t="e">
        <f>(VLOOKUP(Games!#REF!, Data!$B$2:$L$135, 7, FALSE)-VLOOKUP(Games!#REF!, Data!$B$2:$L$135, 7, FALSE))*Coefficients!$G$2</f>
        <v>#REF!</v>
      </c>
      <c r="H515" t="e">
        <f>(VLOOKUP(Games!#REF!, Data!$B$2:$L$135, 8, FALSE)-VLOOKUP(Games!#REF!, Data!$B$2:$L$135, 8, FALSE))*Coefficients!$H$2</f>
        <v>#REF!</v>
      </c>
      <c r="I515" t="e">
        <f>(VLOOKUP(Games!#REF!, Data!$B$2:$L$135, 9, FALSE)-VLOOKUP(Games!#REF!, Data!$B$2:$L$135, 9, FALSE))*Coefficients!$I$2</f>
        <v>#REF!</v>
      </c>
      <c r="J515" t="e">
        <f>IF(ISBLANK(Data!K515), Games!#REF!-Games!#REF!,VLOOKUP(Games!#REF!, Data!$B$2:$L$135, 10, FALSE)-VLOOKUP(Games!#REF!, Data!$B$2:$L$135, 10, FALSE))*Coefficients!$J$2</f>
        <v>#REF!</v>
      </c>
      <c r="K515" t="e">
        <f>(IF(AND(VLOOKUP(Games!#REF!, Data!$B$2:$L$135, 11, FALSE)=1, VLOOKUP(Games!#REF!, Data!$B$2:$L$135, 11, FALSE)&lt;&gt;1), 1,0))*Coefficients!K$2</f>
        <v>#REF!</v>
      </c>
      <c r="L515" t="e">
        <f>(IF(AND(VLOOKUP(Games!#REF!, Data!$B$2:$L$135, 11, FALSE)&lt;&gt;1, VLOOKUP(Games!#REF!, Data!$B$2:$L$135, 11, FALSE)=1), 1,0))*Coefficients!L$2</f>
        <v>#REF!</v>
      </c>
      <c r="O515" t="e">
        <f t="shared" ref="O515:O546" si="9">SUM(A515:L515)</f>
        <v>#REF!</v>
      </c>
    </row>
    <row r="516">
      <c r="A516" t="n">
        <f>Coefficients!$A$2</f>
        <v>-3.7765953152866998</v>
      </c>
      <c r="B516" t="e">
        <f>(Games!#REF!)*(-1*Coefficients!$B$2)</f>
        <v>#REF!</v>
      </c>
      <c r="C516" t="e">
        <f>(VLOOKUP(Games!#REF!, Data!$B$2:$L$135, 4, FALSE)-VLOOKUP(Games!#REF!, Data!$B$2:$L$135, 4, FALSE))*Coefficients!$C$2</f>
        <v>#REF!</v>
      </c>
      <c r="D516" t="e">
        <f>(VLOOKUP(Games!#REF!, Data!$B$2:$L$135, 3, FALSE)-VLOOKUP(Games!#REF!, Data!$B$2:$L$135, 3, FALSE))*Coefficients!$D$2</f>
        <v>#REF!</v>
      </c>
      <c r="E516" t="e">
        <f>(VLOOKUP(Games!#REF!, Data!$B$2:$L$135, 5, FALSE)-VLOOKUP(Games!#REF!, Data!$B$2:$L$135, 5, FALSE))*Coefficients!$E$2</f>
        <v>#REF!</v>
      </c>
      <c r="F516" t="e">
        <f>(VLOOKUP(Games!#REF!, Data!$B$2:$L$135, 6, FALSE)-VLOOKUP(Games!#REF!, Data!$B$2:$L$135, 6, FALSE))*Coefficients!$F$2</f>
        <v>#REF!</v>
      </c>
      <c r="G516" t="e">
        <f>(VLOOKUP(Games!#REF!, Data!$B$2:$L$135, 7, FALSE)-VLOOKUP(Games!#REF!, Data!$B$2:$L$135, 7, FALSE))*Coefficients!$G$2</f>
        <v>#REF!</v>
      </c>
      <c r="H516" t="e">
        <f>(VLOOKUP(Games!#REF!, Data!$B$2:$L$135, 8, FALSE)-VLOOKUP(Games!#REF!, Data!$B$2:$L$135, 8, FALSE))*Coefficients!$H$2</f>
        <v>#REF!</v>
      </c>
      <c r="I516" t="e">
        <f>(VLOOKUP(Games!#REF!, Data!$B$2:$L$135, 9, FALSE)-VLOOKUP(Games!#REF!, Data!$B$2:$L$135, 9, FALSE))*Coefficients!$I$2</f>
        <v>#REF!</v>
      </c>
      <c r="J516" t="e">
        <f>IF(ISBLANK(Data!K516), Games!#REF!-Games!#REF!,VLOOKUP(Games!#REF!, Data!$B$2:$L$135, 10, FALSE)-VLOOKUP(Games!#REF!, Data!$B$2:$L$135, 10, FALSE))*Coefficients!$J$2</f>
        <v>#REF!</v>
      </c>
      <c r="K516" t="e">
        <f>(IF(AND(VLOOKUP(Games!#REF!, Data!$B$2:$L$135, 11, FALSE)=1, VLOOKUP(Games!#REF!, Data!$B$2:$L$135, 11, FALSE)&lt;&gt;1), 1,0))*Coefficients!K$2</f>
        <v>#REF!</v>
      </c>
      <c r="L516" t="e">
        <f>(IF(AND(VLOOKUP(Games!#REF!, Data!$B$2:$L$135, 11, FALSE)&lt;&gt;1, VLOOKUP(Games!#REF!, Data!$B$2:$L$135, 11, FALSE)=1), 1,0))*Coefficients!L$2</f>
        <v>#REF!</v>
      </c>
      <c r="O516" t="e">
        <f t="shared" si="9"/>
        <v>#REF!</v>
      </c>
    </row>
    <row r="517">
      <c r="A517" t="n">
        <f>Coefficients!$A$2</f>
        <v>-3.7765953152866998</v>
      </c>
      <c r="B517" t="e">
        <f>(Games!#REF!)*(-1*Coefficients!$B$2)</f>
        <v>#REF!</v>
      </c>
      <c r="C517" t="e">
        <f>(VLOOKUP(Games!#REF!, Data!$B$2:$L$135, 4, FALSE)-VLOOKUP(Games!#REF!, Data!$B$2:$L$135, 4, FALSE))*Coefficients!$C$2</f>
        <v>#REF!</v>
      </c>
      <c r="D517" t="e">
        <f>(VLOOKUP(Games!#REF!, Data!$B$2:$L$135, 3, FALSE)-VLOOKUP(Games!#REF!, Data!$B$2:$L$135, 3, FALSE))*Coefficients!$D$2</f>
        <v>#REF!</v>
      </c>
      <c r="E517" t="e">
        <f>(VLOOKUP(Games!#REF!, Data!$B$2:$L$135, 5, FALSE)-VLOOKUP(Games!#REF!, Data!$B$2:$L$135, 5, FALSE))*Coefficients!$E$2</f>
        <v>#REF!</v>
      </c>
      <c r="F517" t="e">
        <f>(VLOOKUP(Games!#REF!, Data!$B$2:$L$135, 6, FALSE)-VLOOKUP(Games!#REF!, Data!$B$2:$L$135, 6, FALSE))*Coefficients!$F$2</f>
        <v>#REF!</v>
      </c>
      <c r="G517" t="e">
        <f>(VLOOKUP(Games!#REF!, Data!$B$2:$L$135, 7, FALSE)-VLOOKUP(Games!#REF!, Data!$B$2:$L$135, 7, FALSE))*Coefficients!$G$2</f>
        <v>#REF!</v>
      </c>
      <c r="H517" t="e">
        <f>(VLOOKUP(Games!#REF!, Data!$B$2:$L$135, 8, FALSE)-VLOOKUP(Games!#REF!, Data!$B$2:$L$135, 8, FALSE))*Coefficients!$H$2</f>
        <v>#REF!</v>
      </c>
      <c r="I517" t="e">
        <f>(VLOOKUP(Games!#REF!, Data!$B$2:$L$135, 9, FALSE)-VLOOKUP(Games!#REF!, Data!$B$2:$L$135, 9, FALSE))*Coefficients!$I$2</f>
        <v>#REF!</v>
      </c>
      <c r="J517" t="e">
        <f>IF(ISBLANK(Data!K517), Games!#REF!-Games!#REF!,VLOOKUP(Games!#REF!, Data!$B$2:$L$135, 10, FALSE)-VLOOKUP(Games!#REF!, Data!$B$2:$L$135, 10, FALSE))*Coefficients!$J$2</f>
        <v>#REF!</v>
      </c>
      <c r="K517" t="e">
        <f>(IF(AND(VLOOKUP(Games!#REF!, Data!$B$2:$L$135, 11, FALSE)=1, VLOOKUP(Games!#REF!, Data!$B$2:$L$135, 11, FALSE)&lt;&gt;1), 1,0))*Coefficients!K$2</f>
        <v>#REF!</v>
      </c>
      <c r="L517" t="e">
        <f>(IF(AND(VLOOKUP(Games!#REF!, Data!$B$2:$L$135, 11, FALSE)&lt;&gt;1, VLOOKUP(Games!#REF!, Data!$B$2:$L$135, 11, FALSE)=1), 1,0))*Coefficients!L$2</f>
        <v>#REF!</v>
      </c>
      <c r="O517" t="e">
        <f t="shared" si="9"/>
        <v>#REF!</v>
      </c>
    </row>
    <row r="518">
      <c r="A518" t="n">
        <f>Coefficients!$A$2</f>
        <v>-3.7765953152866998</v>
      </c>
      <c r="B518" t="e">
        <f>(Games!#REF!)*(-1*Coefficients!$B$2)</f>
        <v>#REF!</v>
      </c>
      <c r="C518" t="e">
        <f>(VLOOKUP(Games!#REF!, Data!$B$2:$L$135, 4, FALSE)-VLOOKUP(Games!#REF!, Data!$B$2:$L$135, 4, FALSE))*Coefficients!$C$2</f>
        <v>#REF!</v>
      </c>
      <c r="D518" t="e">
        <f>(VLOOKUP(Games!#REF!, Data!$B$2:$L$135, 3, FALSE)-VLOOKUP(Games!#REF!, Data!$B$2:$L$135, 3, FALSE))*Coefficients!$D$2</f>
        <v>#REF!</v>
      </c>
      <c r="E518" t="e">
        <f>(VLOOKUP(Games!#REF!, Data!$B$2:$L$135, 5, FALSE)-VLOOKUP(Games!#REF!, Data!$B$2:$L$135, 5, FALSE))*Coefficients!$E$2</f>
        <v>#REF!</v>
      </c>
      <c r="F518" t="e">
        <f>(VLOOKUP(Games!#REF!, Data!$B$2:$L$135, 6, FALSE)-VLOOKUP(Games!#REF!, Data!$B$2:$L$135, 6, FALSE))*Coefficients!$F$2</f>
        <v>#REF!</v>
      </c>
      <c r="G518" t="e">
        <f>(VLOOKUP(Games!#REF!, Data!$B$2:$L$135, 7, FALSE)-VLOOKUP(Games!#REF!, Data!$B$2:$L$135, 7, FALSE))*Coefficients!$G$2</f>
        <v>#REF!</v>
      </c>
      <c r="H518" t="e">
        <f>(VLOOKUP(Games!#REF!, Data!$B$2:$L$135, 8, FALSE)-VLOOKUP(Games!#REF!, Data!$B$2:$L$135, 8, FALSE))*Coefficients!$H$2</f>
        <v>#REF!</v>
      </c>
      <c r="I518" t="e">
        <f>(VLOOKUP(Games!#REF!, Data!$B$2:$L$135, 9, FALSE)-VLOOKUP(Games!#REF!, Data!$B$2:$L$135, 9, FALSE))*Coefficients!$I$2</f>
        <v>#REF!</v>
      </c>
      <c r="J518" t="e">
        <f>IF(ISBLANK(Data!K518), Games!#REF!-Games!#REF!,VLOOKUP(Games!#REF!, Data!$B$2:$L$135, 10, FALSE)-VLOOKUP(Games!#REF!, Data!$B$2:$L$135, 10, FALSE))*Coefficients!$J$2</f>
        <v>#REF!</v>
      </c>
      <c r="K518" t="e">
        <f>(IF(AND(VLOOKUP(Games!#REF!, Data!$B$2:$L$135, 11, FALSE)=1, VLOOKUP(Games!#REF!, Data!$B$2:$L$135, 11, FALSE)&lt;&gt;1), 1,0))*Coefficients!K$2</f>
        <v>#REF!</v>
      </c>
      <c r="L518" t="e">
        <f>(IF(AND(VLOOKUP(Games!#REF!, Data!$B$2:$L$135, 11, FALSE)&lt;&gt;1, VLOOKUP(Games!#REF!, Data!$B$2:$L$135, 11, FALSE)=1), 1,0))*Coefficients!L$2</f>
        <v>#REF!</v>
      </c>
      <c r="O518" t="e">
        <f t="shared" si="9"/>
        <v>#REF!</v>
      </c>
    </row>
    <row r="519">
      <c r="A519" t="n">
        <f>Coefficients!$A$2</f>
        <v>-3.7765953152866998</v>
      </c>
      <c r="B519" t="e">
        <f>(Games!#REF!)*(-1*Coefficients!$B$2)</f>
        <v>#REF!</v>
      </c>
      <c r="C519" t="e">
        <f>(VLOOKUP(Games!#REF!, Data!$B$2:$L$135, 4, FALSE)-VLOOKUP(Games!#REF!, Data!$B$2:$L$135, 4, FALSE))*Coefficients!$C$2</f>
        <v>#REF!</v>
      </c>
      <c r="D519" t="e">
        <f>(VLOOKUP(Games!#REF!, Data!$B$2:$L$135, 3, FALSE)-VLOOKUP(Games!#REF!, Data!$B$2:$L$135, 3, FALSE))*Coefficients!$D$2</f>
        <v>#REF!</v>
      </c>
      <c r="E519" t="e">
        <f>(VLOOKUP(Games!#REF!, Data!$B$2:$L$135, 5, FALSE)-VLOOKUP(Games!#REF!, Data!$B$2:$L$135, 5, FALSE))*Coefficients!$E$2</f>
        <v>#REF!</v>
      </c>
      <c r="F519" t="e">
        <f>(VLOOKUP(Games!#REF!, Data!$B$2:$L$135, 6, FALSE)-VLOOKUP(Games!#REF!, Data!$B$2:$L$135, 6, FALSE))*Coefficients!$F$2</f>
        <v>#REF!</v>
      </c>
      <c r="G519" t="e">
        <f>(VLOOKUP(Games!#REF!, Data!$B$2:$L$135, 7, FALSE)-VLOOKUP(Games!#REF!, Data!$B$2:$L$135, 7, FALSE))*Coefficients!$G$2</f>
        <v>#REF!</v>
      </c>
      <c r="H519" t="e">
        <f>(VLOOKUP(Games!#REF!, Data!$B$2:$L$135, 8, FALSE)-VLOOKUP(Games!#REF!, Data!$B$2:$L$135, 8, FALSE))*Coefficients!$H$2</f>
        <v>#REF!</v>
      </c>
      <c r="I519" t="e">
        <f>(VLOOKUP(Games!#REF!, Data!$B$2:$L$135, 9, FALSE)-VLOOKUP(Games!#REF!, Data!$B$2:$L$135, 9, FALSE))*Coefficients!$I$2</f>
        <v>#REF!</v>
      </c>
      <c r="J519" t="e">
        <f>IF(ISBLANK(Data!K519), Games!#REF!-Games!#REF!,VLOOKUP(Games!#REF!, Data!$B$2:$L$135, 10, FALSE)-VLOOKUP(Games!#REF!, Data!$B$2:$L$135, 10, FALSE))*Coefficients!$J$2</f>
        <v>#REF!</v>
      </c>
      <c r="K519" t="e">
        <f>(IF(AND(VLOOKUP(Games!#REF!, Data!$B$2:$L$135, 11, FALSE)=1, VLOOKUP(Games!#REF!, Data!$B$2:$L$135, 11, FALSE)&lt;&gt;1), 1,0))*Coefficients!K$2</f>
        <v>#REF!</v>
      </c>
      <c r="L519" t="e">
        <f>(IF(AND(VLOOKUP(Games!#REF!, Data!$B$2:$L$135, 11, FALSE)&lt;&gt;1, VLOOKUP(Games!#REF!, Data!$B$2:$L$135, 11, FALSE)=1), 1,0))*Coefficients!L$2</f>
        <v>#REF!</v>
      </c>
      <c r="O519" t="e">
        <f t="shared" si="9"/>
        <v>#REF!</v>
      </c>
    </row>
    <row r="520">
      <c r="A520" t="n">
        <f>Coefficients!$A$2</f>
        <v>-3.7765953152866998</v>
      </c>
      <c r="B520" t="e">
        <f>(Games!#REF!)*(-1*Coefficients!$B$2)</f>
        <v>#REF!</v>
      </c>
      <c r="C520" t="e">
        <f>(VLOOKUP(Games!#REF!, Data!$B$2:$L$135, 4, FALSE)-VLOOKUP(Games!#REF!, Data!$B$2:$L$135, 4, FALSE))*Coefficients!$C$2</f>
        <v>#REF!</v>
      </c>
      <c r="D520" t="e">
        <f>(VLOOKUP(Games!#REF!, Data!$B$2:$L$135, 3, FALSE)-VLOOKUP(Games!#REF!, Data!$B$2:$L$135, 3, FALSE))*Coefficients!$D$2</f>
        <v>#REF!</v>
      </c>
      <c r="E520" t="e">
        <f>(VLOOKUP(Games!#REF!, Data!$B$2:$L$135, 5, FALSE)-VLOOKUP(Games!#REF!, Data!$B$2:$L$135, 5, FALSE))*Coefficients!$E$2</f>
        <v>#REF!</v>
      </c>
      <c r="F520" t="e">
        <f>(VLOOKUP(Games!#REF!, Data!$B$2:$L$135, 6, FALSE)-VLOOKUP(Games!#REF!, Data!$B$2:$L$135, 6, FALSE))*Coefficients!$F$2</f>
        <v>#REF!</v>
      </c>
      <c r="G520" t="e">
        <f>(VLOOKUP(Games!#REF!, Data!$B$2:$L$135, 7, FALSE)-VLOOKUP(Games!#REF!, Data!$B$2:$L$135, 7, FALSE))*Coefficients!$G$2</f>
        <v>#REF!</v>
      </c>
      <c r="H520" t="e">
        <f>(VLOOKUP(Games!#REF!, Data!$B$2:$L$135, 8, FALSE)-VLOOKUP(Games!#REF!, Data!$B$2:$L$135, 8, FALSE))*Coefficients!$H$2</f>
        <v>#REF!</v>
      </c>
      <c r="I520" t="e">
        <f>(VLOOKUP(Games!#REF!, Data!$B$2:$L$135, 9, FALSE)-VLOOKUP(Games!#REF!, Data!$B$2:$L$135, 9, FALSE))*Coefficients!$I$2</f>
        <v>#REF!</v>
      </c>
      <c r="J520" t="e">
        <f>IF(ISBLANK(Data!K520), Games!#REF!-Games!#REF!,VLOOKUP(Games!#REF!, Data!$B$2:$L$135, 10, FALSE)-VLOOKUP(Games!#REF!, Data!$B$2:$L$135, 10, FALSE))*Coefficients!$J$2</f>
        <v>#REF!</v>
      </c>
      <c r="K520" t="e">
        <f>(IF(AND(VLOOKUP(Games!#REF!, Data!$B$2:$L$135, 11, FALSE)=1, VLOOKUP(Games!#REF!, Data!$B$2:$L$135, 11, FALSE)&lt;&gt;1), 1,0))*Coefficients!K$2</f>
        <v>#REF!</v>
      </c>
      <c r="L520" t="e">
        <f>(IF(AND(VLOOKUP(Games!#REF!, Data!$B$2:$L$135, 11, FALSE)&lt;&gt;1, VLOOKUP(Games!#REF!, Data!$B$2:$L$135, 11, FALSE)=1), 1,0))*Coefficients!L$2</f>
        <v>#REF!</v>
      </c>
      <c r="O520" t="e">
        <f t="shared" si="9"/>
        <v>#REF!</v>
      </c>
    </row>
    <row r="521">
      <c r="A521" t="n">
        <f>Coefficients!$A$2</f>
        <v>-3.7765953152866998</v>
      </c>
      <c r="B521" t="e">
        <f>(Games!#REF!)*(-1*Coefficients!$B$2)</f>
        <v>#REF!</v>
      </c>
      <c r="C521" t="e">
        <f>(VLOOKUP(Games!#REF!, Data!$B$2:$L$135, 4, FALSE)-VLOOKUP(Games!#REF!, Data!$B$2:$L$135, 4, FALSE))*Coefficients!$C$2</f>
        <v>#REF!</v>
      </c>
      <c r="D521" t="e">
        <f>(VLOOKUP(Games!#REF!, Data!$B$2:$L$135, 3, FALSE)-VLOOKUP(Games!#REF!, Data!$B$2:$L$135, 3, FALSE))*Coefficients!$D$2</f>
        <v>#REF!</v>
      </c>
      <c r="E521" t="e">
        <f>(VLOOKUP(Games!#REF!, Data!$B$2:$L$135, 5, FALSE)-VLOOKUP(Games!#REF!, Data!$B$2:$L$135, 5, FALSE))*Coefficients!$E$2</f>
        <v>#REF!</v>
      </c>
      <c r="F521" t="e">
        <f>(VLOOKUP(Games!#REF!, Data!$B$2:$L$135, 6, FALSE)-VLOOKUP(Games!#REF!, Data!$B$2:$L$135, 6, FALSE))*Coefficients!$F$2</f>
        <v>#REF!</v>
      </c>
      <c r="G521" t="e">
        <f>(VLOOKUP(Games!#REF!, Data!$B$2:$L$135, 7, FALSE)-VLOOKUP(Games!#REF!, Data!$B$2:$L$135, 7, FALSE))*Coefficients!$G$2</f>
        <v>#REF!</v>
      </c>
      <c r="H521" t="e">
        <f>(VLOOKUP(Games!#REF!, Data!$B$2:$L$135, 8, FALSE)-VLOOKUP(Games!#REF!, Data!$B$2:$L$135, 8, FALSE))*Coefficients!$H$2</f>
        <v>#REF!</v>
      </c>
      <c r="I521" t="e">
        <f>(VLOOKUP(Games!#REF!, Data!$B$2:$L$135, 9, FALSE)-VLOOKUP(Games!#REF!, Data!$B$2:$L$135, 9, FALSE))*Coefficients!$I$2</f>
        <v>#REF!</v>
      </c>
      <c r="J521" t="e">
        <f>IF(ISBLANK(Data!K521), Games!#REF!-Games!#REF!,VLOOKUP(Games!#REF!, Data!$B$2:$L$135, 10, FALSE)-VLOOKUP(Games!#REF!, Data!$B$2:$L$135, 10, FALSE))*Coefficients!$J$2</f>
        <v>#REF!</v>
      </c>
      <c r="K521" t="e">
        <f>(IF(AND(VLOOKUP(Games!#REF!, Data!$B$2:$L$135, 11, FALSE)=1, VLOOKUP(Games!#REF!, Data!$B$2:$L$135, 11, FALSE)&lt;&gt;1), 1,0))*Coefficients!K$2</f>
        <v>#REF!</v>
      </c>
      <c r="L521" t="e">
        <f>(IF(AND(VLOOKUP(Games!#REF!, Data!$B$2:$L$135, 11, FALSE)&lt;&gt;1, VLOOKUP(Games!#REF!, Data!$B$2:$L$135, 11, FALSE)=1), 1,0))*Coefficients!L$2</f>
        <v>#REF!</v>
      </c>
      <c r="O521" t="e">
        <f t="shared" si="9"/>
        <v>#REF!</v>
      </c>
    </row>
    <row r="522">
      <c r="A522" t="n">
        <f>Coefficients!$A$2</f>
        <v>-3.7765953152866998</v>
      </c>
      <c r="B522" t="e">
        <f>(Games!#REF!)*(-1*Coefficients!$B$2)</f>
        <v>#REF!</v>
      </c>
      <c r="C522" t="e">
        <f>(VLOOKUP(Games!#REF!, Data!$B$2:$L$135, 4, FALSE)-VLOOKUP(Games!#REF!, Data!$B$2:$L$135, 4, FALSE))*Coefficients!$C$2</f>
        <v>#REF!</v>
      </c>
      <c r="D522" t="e">
        <f>(VLOOKUP(Games!#REF!, Data!$B$2:$L$135, 3, FALSE)-VLOOKUP(Games!#REF!, Data!$B$2:$L$135, 3, FALSE))*Coefficients!$D$2</f>
        <v>#REF!</v>
      </c>
      <c r="E522" t="e">
        <f>(VLOOKUP(Games!#REF!, Data!$B$2:$L$135, 5, FALSE)-VLOOKUP(Games!#REF!, Data!$B$2:$L$135, 5, FALSE))*Coefficients!$E$2</f>
        <v>#REF!</v>
      </c>
      <c r="F522" t="e">
        <f>(VLOOKUP(Games!#REF!, Data!$B$2:$L$135, 6, FALSE)-VLOOKUP(Games!#REF!, Data!$B$2:$L$135, 6, FALSE))*Coefficients!$F$2</f>
        <v>#REF!</v>
      </c>
      <c r="G522" t="e">
        <f>(VLOOKUP(Games!#REF!, Data!$B$2:$L$135, 7, FALSE)-VLOOKUP(Games!#REF!, Data!$B$2:$L$135, 7, FALSE))*Coefficients!$G$2</f>
        <v>#REF!</v>
      </c>
      <c r="H522" t="e">
        <f>(VLOOKUP(Games!#REF!, Data!$B$2:$L$135, 8, FALSE)-VLOOKUP(Games!#REF!, Data!$B$2:$L$135, 8, FALSE))*Coefficients!$H$2</f>
        <v>#REF!</v>
      </c>
      <c r="I522" t="e">
        <f>(VLOOKUP(Games!#REF!, Data!$B$2:$L$135, 9, FALSE)-VLOOKUP(Games!#REF!, Data!$B$2:$L$135, 9, FALSE))*Coefficients!$I$2</f>
        <v>#REF!</v>
      </c>
      <c r="J522" t="e">
        <f>IF(ISBLANK(Data!K522), Games!#REF!-Games!#REF!,VLOOKUP(Games!#REF!, Data!$B$2:$L$135, 10, FALSE)-VLOOKUP(Games!#REF!, Data!$B$2:$L$135, 10, FALSE))*Coefficients!$J$2</f>
        <v>#REF!</v>
      </c>
      <c r="K522" t="e">
        <f>(IF(AND(VLOOKUP(Games!#REF!, Data!$B$2:$L$135, 11, FALSE)=1, VLOOKUP(Games!#REF!, Data!$B$2:$L$135, 11, FALSE)&lt;&gt;1), 1,0))*Coefficients!K$2</f>
        <v>#REF!</v>
      </c>
      <c r="L522" t="e">
        <f>(IF(AND(VLOOKUP(Games!#REF!, Data!$B$2:$L$135, 11, FALSE)&lt;&gt;1, VLOOKUP(Games!#REF!, Data!$B$2:$L$135, 11, FALSE)=1), 1,0))*Coefficients!L$2</f>
        <v>#REF!</v>
      </c>
      <c r="O522" t="e">
        <f t="shared" si="9"/>
        <v>#REF!</v>
      </c>
    </row>
    <row r="523">
      <c r="A523" t="n">
        <f>Coefficients!$A$2</f>
        <v>-3.7765953152866998</v>
      </c>
      <c r="B523" t="e">
        <f>(Games!#REF!)*(-1*Coefficients!$B$2)</f>
        <v>#REF!</v>
      </c>
      <c r="C523" t="e">
        <f>(VLOOKUP(Games!#REF!, Data!$B$2:$L$135, 4, FALSE)-VLOOKUP(Games!#REF!, Data!$B$2:$L$135, 4, FALSE))*Coefficients!$C$2</f>
        <v>#REF!</v>
      </c>
      <c r="D523" t="e">
        <f>(VLOOKUP(Games!#REF!, Data!$B$2:$L$135, 3, FALSE)-VLOOKUP(Games!#REF!, Data!$B$2:$L$135, 3, FALSE))*Coefficients!$D$2</f>
        <v>#REF!</v>
      </c>
      <c r="E523" t="e">
        <f>(VLOOKUP(Games!#REF!, Data!$B$2:$L$135, 5, FALSE)-VLOOKUP(Games!#REF!, Data!$B$2:$L$135, 5, FALSE))*Coefficients!$E$2</f>
        <v>#REF!</v>
      </c>
      <c r="F523" t="e">
        <f>(VLOOKUP(Games!#REF!, Data!$B$2:$L$135, 6, FALSE)-VLOOKUP(Games!#REF!, Data!$B$2:$L$135, 6, FALSE))*Coefficients!$F$2</f>
        <v>#REF!</v>
      </c>
      <c r="G523" t="e">
        <f>(VLOOKUP(Games!#REF!, Data!$B$2:$L$135, 7, FALSE)-VLOOKUP(Games!#REF!, Data!$B$2:$L$135, 7, FALSE))*Coefficients!$G$2</f>
        <v>#REF!</v>
      </c>
      <c r="H523" t="e">
        <f>(VLOOKUP(Games!#REF!, Data!$B$2:$L$135, 8, FALSE)-VLOOKUP(Games!#REF!, Data!$B$2:$L$135, 8, FALSE))*Coefficients!$H$2</f>
        <v>#REF!</v>
      </c>
      <c r="I523" t="e">
        <f>(VLOOKUP(Games!#REF!, Data!$B$2:$L$135, 9, FALSE)-VLOOKUP(Games!#REF!, Data!$B$2:$L$135, 9, FALSE))*Coefficients!$I$2</f>
        <v>#REF!</v>
      </c>
      <c r="J523" t="e">
        <f>IF(ISBLANK(Data!K523), Games!#REF!-Games!#REF!,VLOOKUP(Games!#REF!, Data!$B$2:$L$135, 10, FALSE)-VLOOKUP(Games!#REF!, Data!$B$2:$L$135, 10, FALSE))*Coefficients!$J$2</f>
        <v>#REF!</v>
      </c>
      <c r="K523" t="e">
        <f>(IF(AND(VLOOKUP(Games!#REF!, Data!$B$2:$L$135, 11, FALSE)=1, VLOOKUP(Games!#REF!, Data!$B$2:$L$135, 11, FALSE)&lt;&gt;1), 1,0))*Coefficients!K$2</f>
        <v>#REF!</v>
      </c>
      <c r="L523" t="e">
        <f>(IF(AND(VLOOKUP(Games!#REF!, Data!$B$2:$L$135, 11, FALSE)&lt;&gt;1, VLOOKUP(Games!#REF!, Data!$B$2:$L$135, 11, FALSE)=1), 1,0))*Coefficients!L$2</f>
        <v>#REF!</v>
      </c>
      <c r="O523" t="e">
        <f t="shared" si="9"/>
        <v>#REF!</v>
      </c>
    </row>
    <row r="524">
      <c r="A524" t="n">
        <f>Coefficients!$A$2</f>
        <v>-3.7765953152866998</v>
      </c>
      <c r="B524" t="e">
        <f>(Games!#REF!)*(-1*Coefficients!$B$2)</f>
        <v>#REF!</v>
      </c>
      <c r="C524" t="e">
        <f>(VLOOKUP(Games!#REF!, Data!$B$2:$L$135, 4, FALSE)-VLOOKUP(Games!#REF!, Data!$B$2:$L$135, 4, FALSE))*Coefficients!$C$2</f>
        <v>#REF!</v>
      </c>
      <c r="D524" t="e">
        <f>(VLOOKUP(Games!#REF!, Data!$B$2:$L$135, 3, FALSE)-VLOOKUP(Games!#REF!, Data!$B$2:$L$135, 3, FALSE))*Coefficients!$D$2</f>
        <v>#REF!</v>
      </c>
      <c r="E524" t="e">
        <f>(VLOOKUP(Games!#REF!, Data!$B$2:$L$135, 5, FALSE)-VLOOKUP(Games!#REF!, Data!$B$2:$L$135, 5, FALSE))*Coefficients!$E$2</f>
        <v>#REF!</v>
      </c>
      <c r="F524" t="e">
        <f>(VLOOKUP(Games!#REF!, Data!$B$2:$L$135, 6, FALSE)-VLOOKUP(Games!#REF!, Data!$B$2:$L$135, 6, FALSE))*Coefficients!$F$2</f>
        <v>#REF!</v>
      </c>
      <c r="G524" t="e">
        <f>(VLOOKUP(Games!#REF!, Data!$B$2:$L$135, 7, FALSE)-VLOOKUP(Games!#REF!, Data!$B$2:$L$135, 7, FALSE))*Coefficients!$G$2</f>
        <v>#REF!</v>
      </c>
      <c r="H524" t="e">
        <f>(VLOOKUP(Games!#REF!, Data!$B$2:$L$135, 8, FALSE)-VLOOKUP(Games!#REF!, Data!$B$2:$L$135, 8, FALSE))*Coefficients!$H$2</f>
        <v>#REF!</v>
      </c>
      <c r="I524" t="e">
        <f>(VLOOKUP(Games!#REF!, Data!$B$2:$L$135, 9, FALSE)-VLOOKUP(Games!#REF!, Data!$B$2:$L$135, 9, FALSE))*Coefficients!$I$2</f>
        <v>#REF!</v>
      </c>
      <c r="J524" t="e">
        <f>IF(ISBLANK(Data!K524), Games!#REF!-Games!#REF!,VLOOKUP(Games!#REF!, Data!$B$2:$L$135, 10, FALSE)-VLOOKUP(Games!#REF!, Data!$B$2:$L$135, 10, FALSE))*Coefficients!$J$2</f>
        <v>#REF!</v>
      </c>
      <c r="K524" t="e">
        <f>(IF(AND(VLOOKUP(Games!#REF!, Data!$B$2:$L$135, 11, FALSE)=1, VLOOKUP(Games!#REF!, Data!$B$2:$L$135, 11, FALSE)&lt;&gt;1), 1,0))*Coefficients!K$2</f>
        <v>#REF!</v>
      </c>
      <c r="L524" t="e">
        <f>(IF(AND(VLOOKUP(Games!#REF!, Data!$B$2:$L$135, 11, FALSE)&lt;&gt;1, VLOOKUP(Games!#REF!, Data!$B$2:$L$135, 11, FALSE)=1), 1,0))*Coefficients!L$2</f>
        <v>#REF!</v>
      </c>
      <c r="O524" t="e">
        <f t="shared" si="9"/>
        <v>#REF!</v>
      </c>
    </row>
    <row r="525">
      <c r="A525" t="n">
        <f>Coefficients!$A$2</f>
        <v>-3.7765953152866998</v>
      </c>
      <c r="B525" t="e">
        <f>(Games!#REF!)*(-1*Coefficients!$B$2)</f>
        <v>#REF!</v>
      </c>
      <c r="C525" t="e">
        <f>(VLOOKUP(Games!#REF!, Data!$B$2:$L$135, 4, FALSE)-VLOOKUP(Games!#REF!, Data!$B$2:$L$135, 4, FALSE))*Coefficients!$C$2</f>
        <v>#REF!</v>
      </c>
      <c r="D525" t="e">
        <f>(VLOOKUP(Games!#REF!, Data!$B$2:$L$135, 3, FALSE)-VLOOKUP(Games!#REF!, Data!$B$2:$L$135, 3, FALSE))*Coefficients!$D$2</f>
        <v>#REF!</v>
      </c>
      <c r="E525" t="e">
        <f>(VLOOKUP(Games!#REF!, Data!$B$2:$L$135, 5, FALSE)-VLOOKUP(Games!#REF!, Data!$B$2:$L$135, 5, FALSE))*Coefficients!$E$2</f>
        <v>#REF!</v>
      </c>
      <c r="F525" t="e">
        <f>(VLOOKUP(Games!#REF!, Data!$B$2:$L$135, 6, FALSE)-VLOOKUP(Games!#REF!, Data!$B$2:$L$135, 6, FALSE))*Coefficients!$F$2</f>
        <v>#REF!</v>
      </c>
      <c r="G525" t="e">
        <f>(VLOOKUP(Games!#REF!, Data!$B$2:$L$135, 7, FALSE)-VLOOKUP(Games!#REF!, Data!$B$2:$L$135, 7, FALSE))*Coefficients!$G$2</f>
        <v>#REF!</v>
      </c>
      <c r="H525" t="e">
        <f>(VLOOKUP(Games!#REF!, Data!$B$2:$L$135, 8, FALSE)-VLOOKUP(Games!#REF!, Data!$B$2:$L$135, 8, FALSE))*Coefficients!$H$2</f>
        <v>#REF!</v>
      </c>
      <c r="I525" t="e">
        <f>(VLOOKUP(Games!#REF!, Data!$B$2:$L$135, 9, FALSE)-VLOOKUP(Games!#REF!, Data!$B$2:$L$135, 9, FALSE))*Coefficients!$I$2</f>
        <v>#REF!</v>
      </c>
      <c r="J525" t="e">
        <f>IF(ISBLANK(Data!K525), Games!#REF!-Games!#REF!,VLOOKUP(Games!#REF!, Data!$B$2:$L$135, 10, FALSE)-VLOOKUP(Games!#REF!, Data!$B$2:$L$135, 10, FALSE))*Coefficients!$J$2</f>
        <v>#REF!</v>
      </c>
      <c r="K525" t="e">
        <f>(IF(AND(VLOOKUP(Games!#REF!, Data!$B$2:$L$135, 11, FALSE)=1, VLOOKUP(Games!#REF!, Data!$B$2:$L$135, 11, FALSE)&lt;&gt;1), 1,0))*Coefficients!K$2</f>
        <v>#REF!</v>
      </c>
      <c r="L525" t="e">
        <f>(IF(AND(VLOOKUP(Games!#REF!, Data!$B$2:$L$135, 11, FALSE)&lt;&gt;1, VLOOKUP(Games!#REF!, Data!$B$2:$L$135, 11, FALSE)=1), 1,0))*Coefficients!L$2</f>
        <v>#REF!</v>
      </c>
      <c r="O525" t="e">
        <f t="shared" si="9"/>
        <v>#REF!</v>
      </c>
    </row>
    <row r="526">
      <c r="A526" t="n">
        <f>Coefficients!$A$2</f>
        <v>-3.7765953152866998</v>
      </c>
      <c r="B526" t="e">
        <f>(Games!#REF!)*(-1*Coefficients!$B$2)</f>
        <v>#REF!</v>
      </c>
      <c r="C526" t="e">
        <f>(VLOOKUP(Games!#REF!, Data!$B$2:$L$135, 4, FALSE)-VLOOKUP(Games!#REF!, Data!$B$2:$L$135, 4, FALSE))*Coefficients!$C$2</f>
        <v>#REF!</v>
      </c>
      <c r="D526" t="e">
        <f>(VLOOKUP(Games!#REF!, Data!$B$2:$L$135, 3, FALSE)-VLOOKUP(Games!#REF!, Data!$B$2:$L$135, 3, FALSE))*Coefficients!$D$2</f>
        <v>#REF!</v>
      </c>
      <c r="E526" t="e">
        <f>(VLOOKUP(Games!#REF!, Data!$B$2:$L$135, 5, FALSE)-VLOOKUP(Games!#REF!, Data!$B$2:$L$135, 5, FALSE))*Coefficients!$E$2</f>
        <v>#REF!</v>
      </c>
      <c r="F526" t="e">
        <f>(VLOOKUP(Games!#REF!, Data!$B$2:$L$135, 6, FALSE)-VLOOKUP(Games!#REF!, Data!$B$2:$L$135, 6, FALSE))*Coefficients!$F$2</f>
        <v>#REF!</v>
      </c>
      <c r="G526" t="e">
        <f>(VLOOKUP(Games!#REF!, Data!$B$2:$L$135, 7, FALSE)-VLOOKUP(Games!#REF!, Data!$B$2:$L$135, 7, FALSE))*Coefficients!$G$2</f>
        <v>#REF!</v>
      </c>
      <c r="H526" t="e">
        <f>(VLOOKUP(Games!#REF!, Data!$B$2:$L$135, 8, FALSE)-VLOOKUP(Games!#REF!, Data!$B$2:$L$135, 8, FALSE))*Coefficients!$H$2</f>
        <v>#REF!</v>
      </c>
      <c r="I526" t="e">
        <f>(VLOOKUP(Games!#REF!, Data!$B$2:$L$135, 9, FALSE)-VLOOKUP(Games!#REF!, Data!$B$2:$L$135, 9, FALSE))*Coefficients!$I$2</f>
        <v>#REF!</v>
      </c>
      <c r="J526" t="e">
        <f>IF(ISBLANK(Data!K526), Games!#REF!-Games!#REF!,VLOOKUP(Games!#REF!, Data!$B$2:$L$135, 10, FALSE)-VLOOKUP(Games!#REF!, Data!$B$2:$L$135, 10, FALSE))*Coefficients!$J$2</f>
        <v>#REF!</v>
      </c>
      <c r="K526" t="e">
        <f>(IF(AND(VLOOKUP(Games!#REF!, Data!$B$2:$L$135, 11, FALSE)=1, VLOOKUP(Games!#REF!, Data!$B$2:$L$135, 11, FALSE)&lt;&gt;1), 1,0))*Coefficients!K$2</f>
        <v>#REF!</v>
      </c>
      <c r="L526" t="e">
        <f>(IF(AND(VLOOKUP(Games!#REF!, Data!$B$2:$L$135, 11, FALSE)&lt;&gt;1, VLOOKUP(Games!#REF!, Data!$B$2:$L$135, 11, FALSE)=1), 1,0))*Coefficients!L$2</f>
        <v>#REF!</v>
      </c>
      <c r="O526" t="e">
        <f t="shared" si="9"/>
        <v>#REF!</v>
      </c>
    </row>
    <row r="527">
      <c r="A527" t="n">
        <f>Coefficients!$A$2</f>
        <v>-3.7765953152866998</v>
      </c>
      <c r="B527" t="e">
        <f>(Games!#REF!)*(-1*Coefficients!$B$2)</f>
        <v>#REF!</v>
      </c>
      <c r="C527" t="e">
        <f>(VLOOKUP(Games!#REF!, Data!$B$2:$L$135, 4, FALSE)-VLOOKUP(Games!#REF!, Data!$B$2:$L$135, 4, FALSE))*Coefficients!$C$2</f>
        <v>#REF!</v>
      </c>
      <c r="D527" t="e">
        <f>(VLOOKUP(Games!#REF!, Data!$B$2:$L$135, 3, FALSE)-VLOOKUP(Games!#REF!, Data!$B$2:$L$135, 3, FALSE))*Coefficients!$D$2</f>
        <v>#REF!</v>
      </c>
      <c r="E527" t="e">
        <f>(VLOOKUP(Games!#REF!, Data!$B$2:$L$135, 5, FALSE)-VLOOKUP(Games!#REF!, Data!$B$2:$L$135, 5, FALSE))*Coefficients!$E$2</f>
        <v>#REF!</v>
      </c>
      <c r="F527" t="e">
        <f>(VLOOKUP(Games!#REF!, Data!$B$2:$L$135, 6, FALSE)-VLOOKUP(Games!#REF!, Data!$B$2:$L$135, 6, FALSE))*Coefficients!$F$2</f>
        <v>#REF!</v>
      </c>
      <c r="G527" t="e">
        <f>(VLOOKUP(Games!#REF!, Data!$B$2:$L$135, 7, FALSE)-VLOOKUP(Games!#REF!, Data!$B$2:$L$135, 7, FALSE))*Coefficients!$G$2</f>
        <v>#REF!</v>
      </c>
      <c r="H527" t="e">
        <f>(VLOOKUP(Games!#REF!, Data!$B$2:$L$135, 8, FALSE)-VLOOKUP(Games!#REF!, Data!$B$2:$L$135, 8, FALSE))*Coefficients!$H$2</f>
        <v>#REF!</v>
      </c>
      <c r="I527" t="e">
        <f>(VLOOKUP(Games!#REF!, Data!$B$2:$L$135, 9, FALSE)-VLOOKUP(Games!#REF!, Data!$B$2:$L$135, 9, FALSE))*Coefficients!$I$2</f>
        <v>#REF!</v>
      </c>
      <c r="J527" t="e">
        <f>IF(ISBLANK(Data!K527), Games!#REF!-Games!#REF!,VLOOKUP(Games!#REF!, Data!$B$2:$L$135, 10, FALSE)-VLOOKUP(Games!#REF!, Data!$B$2:$L$135, 10, FALSE))*Coefficients!$J$2</f>
        <v>#REF!</v>
      </c>
      <c r="K527" t="e">
        <f>(IF(AND(VLOOKUP(Games!#REF!, Data!$B$2:$L$135, 11, FALSE)=1, VLOOKUP(Games!#REF!, Data!$B$2:$L$135, 11, FALSE)&lt;&gt;1), 1,0))*Coefficients!K$2</f>
        <v>#REF!</v>
      </c>
      <c r="L527" t="e">
        <f>(IF(AND(VLOOKUP(Games!#REF!, Data!$B$2:$L$135, 11, FALSE)&lt;&gt;1, VLOOKUP(Games!#REF!, Data!$B$2:$L$135, 11, FALSE)=1), 1,0))*Coefficients!L$2</f>
        <v>#REF!</v>
      </c>
      <c r="O527" t="e">
        <f t="shared" si="9"/>
        <v>#REF!</v>
      </c>
    </row>
    <row r="528">
      <c r="A528" t="n">
        <f>Coefficients!$A$2</f>
        <v>-3.7765953152866998</v>
      </c>
      <c r="B528" t="e">
        <f>(Games!#REF!)*(-1*Coefficients!$B$2)</f>
        <v>#REF!</v>
      </c>
      <c r="C528" t="e">
        <f>(VLOOKUP(Games!#REF!, Data!$B$2:$L$135, 4, FALSE)-VLOOKUP(Games!#REF!, Data!$B$2:$L$135, 4, FALSE))*Coefficients!$C$2</f>
        <v>#REF!</v>
      </c>
      <c r="D528" t="e">
        <f>(VLOOKUP(Games!#REF!, Data!$B$2:$L$135, 3, FALSE)-VLOOKUP(Games!#REF!, Data!$B$2:$L$135, 3, FALSE))*Coefficients!$D$2</f>
        <v>#REF!</v>
      </c>
      <c r="E528" t="e">
        <f>(VLOOKUP(Games!#REF!, Data!$B$2:$L$135, 5, FALSE)-VLOOKUP(Games!#REF!, Data!$B$2:$L$135, 5, FALSE))*Coefficients!$E$2</f>
        <v>#REF!</v>
      </c>
      <c r="F528" t="e">
        <f>(VLOOKUP(Games!#REF!, Data!$B$2:$L$135, 6, FALSE)-VLOOKUP(Games!#REF!, Data!$B$2:$L$135, 6, FALSE))*Coefficients!$F$2</f>
        <v>#REF!</v>
      </c>
      <c r="G528" t="e">
        <f>(VLOOKUP(Games!#REF!, Data!$B$2:$L$135, 7, FALSE)-VLOOKUP(Games!#REF!, Data!$B$2:$L$135, 7, FALSE))*Coefficients!$G$2</f>
        <v>#REF!</v>
      </c>
      <c r="H528" t="e">
        <f>(VLOOKUP(Games!#REF!, Data!$B$2:$L$135, 8, FALSE)-VLOOKUP(Games!#REF!, Data!$B$2:$L$135, 8, FALSE))*Coefficients!$H$2</f>
        <v>#REF!</v>
      </c>
      <c r="I528" t="e">
        <f>(VLOOKUP(Games!#REF!, Data!$B$2:$L$135, 9, FALSE)-VLOOKUP(Games!#REF!, Data!$B$2:$L$135, 9, FALSE))*Coefficients!$I$2</f>
        <v>#REF!</v>
      </c>
      <c r="J528" t="e">
        <f>IF(ISBLANK(Data!K528), Games!#REF!-Games!#REF!,VLOOKUP(Games!#REF!, Data!$B$2:$L$135, 10, FALSE)-VLOOKUP(Games!#REF!, Data!$B$2:$L$135, 10, FALSE))*Coefficients!$J$2</f>
        <v>#REF!</v>
      </c>
      <c r="K528" t="e">
        <f>(IF(AND(VLOOKUP(Games!#REF!, Data!$B$2:$L$135, 11, FALSE)=1, VLOOKUP(Games!#REF!, Data!$B$2:$L$135, 11, FALSE)&lt;&gt;1), 1,0))*Coefficients!K$2</f>
        <v>#REF!</v>
      </c>
      <c r="L528" t="e">
        <f>(IF(AND(VLOOKUP(Games!#REF!, Data!$B$2:$L$135, 11, FALSE)&lt;&gt;1, VLOOKUP(Games!#REF!, Data!$B$2:$L$135, 11, FALSE)=1), 1,0))*Coefficients!L$2</f>
        <v>#REF!</v>
      </c>
      <c r="O528" t="e">
        <f t="shared" si="9"/>
        <v>#REF!</v>
      </c>
    </row>
    <row r="529">
      <c r="A529" t="n">
        <f>Coefficients!$A$2</f>
        <v>-3.7765953152866998</v>
      </c>
      <c r="B529" t="e">
        <f>(Games!#REF!)*(-1*Coefficients!$B$2)</f>
        <v>#REF!</v>
      </c>
      <c r="C529" t="e">
        <f>(VLOOKUP(Games!#REF!, Data!$B$2:$L$135, 4, FALSE)-VLOOKUP(Games!#REF!, Data!$B$2:$L$135, 4, FALSE))*Coefficients!$C$2</f>
        <v>#REF!</v>
      </c>
      <c r="D529" t="e">
        <f>(VLOOKUP(Games!#REF!, Data!$B$2:$L$135, 3, FALSE)-VLOOKUP(Games!#REF!, Data!$B$2:$L$135, 3, FALSE))*Coefficients!$D$2</f>
        <v>#REF!</v>
      </c>
      <c r="E529" t="e">
        <f>(VLOOKUP(Games!#REF!, Data!$B$2:$L$135, 5, FALSE)-VLOOKUP(Games!#REF!, Data!$B$2:$L$135, 5, FALSE))*Coefficients!$E$2</f>
        <v>#REF!</v>
      </c>
      <c r="F529" t="e">
        <f>(VLOOKUP(Games!#REF!, Data!$B$2:$L$135, 6, FALSE)-VLOOKUP(Games!#REF!, Data!$B$2:$L$135, 6, FALSE))*Coefficients!$F$2</f>
        <v>#REF!</v>
      </c>
      <c r="G529" t="e">
        <f>(VLOOKUP(Games!#REF!, Data!$B$2:$L$135, 7, FALSE)-VLOOKUP(Games!#REF!, Data!$B$2:$L$135, 7, FALSE))*Coefficients!$G$2</f>
        <v>#REF!</v>
      </c>
      <c r="H529" t="e">
        <f>(VLOOKUP(Games!#REF!, Data!$B$2:$L$135, 8, FALSE)-VLOOKUP(Games!#REF!, Data!$B$2:$L$135, 8, FALSE))*Coefficients!$H$2</f>
        <v>#REF!</v>
      </c>
      <c r="I529" t="e">
        <f>(VLOOKUP(Games!#REF!, Data!$B$2:$L$135, 9, FALSE)-VLOOKUP(Games!#REF!, Data!$B$2:$L$135, 9, FALSE))*Coefficients!$I$2</f>
        <v>#REF!</v>
      </c>
      <c r="J529" t="e">
        <f>IF(ISBLANK(Data!K529), Games!#REF!-Games!#REF!,VLOOKUP(Games!#REF!, Data!$B$2:$L$135, 10, FALSE)-VLOOKUP(Games!#REF!, Data!$B$2:$L$135, 10, FALSE))*Coefficients!$J$2</f>
        <v>#REF!</v>
      </c>
      <c r="K529" t="e">
        <f>(IF(AND(VLOOKUP(Games!#REF!, Data!$B$2:$L$135, 11, FALSE)=1, VLOOKUP(Games!#REF!, Data!$B$2:$L$135, 11, FALSE)&lt;&gt;1), 1,0))*Coefficients!K$2</f>
        <v>#REF!</v>
      </c>
      <c r="L529" t="e">
        <f>(IF(AND(VLOOKUP(Games!#REF!, Data!$B$2:$L$135, 11, FALSE)&lt;&gt;1, VLOOKUP(Games!#REF!, Data!$B$2:$L$135, 11, FALSE)=1), 1,0))*Coefficients!L$2</f>
        <v>#REF!</v>
      </c>
      <c r="O529" t="e">
        <f t="shared" si="9"/>
        <v>#REF!</v>
      </c>
    </row>
    <row r="530">
      <c r="A530" t="n">
        <f>Coefficients!$A$2</f>
        <v>-3.7765953152866998</v>
      </c>
      <c r="B530" t="e">
        <f>(Games!#REF!)*(-1*Coefficients!$B$2)</f>
        <v>#REF!</v>
      </c>
      <c r="C530" t="e">
        <f>(VLOOKUP(Games!#REF!, Data!$B$2:$L$135, 4, FALSE)-VLOOKUP(Games!#REF!, Data!$B$2:$L$135, 4, FALSE))*Coefficients!$C$2</f>
        <v>#REF!</v>
      </c>
      <c r="D530" t="e">
        <f>(VLOOKUP(Games!#REF!, Data!$B$2:$L$135, 3, FALSE)-VLOOKUP(Games!#REF!, Data!$B$2:$L$135, 3, FALSE))*Coefficients!$D$2</f>
        <v>#REF!</v>
      </c>
      <c r="E530" t="e">
        <f>(VLOOKUP(Games!#REF!, Data!$B$2:$L$135, 5, FALSE)-VLOOKUP(Games!#REF!, Data!$B$2:$L$135, 5, FALSE))*Coefficients!$E$2</f>
        <v>#REF!</v>
      </c>
      <c r="F530" t="e">
        <f>(VLOOKUP(Games!#REF!, Data!$B$2:$L$135, 6, FALSE)-VLOOKUP(Games!#REF!, Data!$B$2:$L$135, 6, FALSE))*Coefficients!$F$2</f>
        <v>#REF!</v>
      </c>
      <c r="G530" t="e">
        <f>(VLOOKUP(Games!#REF!, Data!$B$2:$L$135, 7, FALSE)-VLOOKUP(Games!#REF!, Data!$B$2:$L$135, 7, FALSE))*Coefficients!$G$2</f>
        <v>#REF!</v>
      </c>
      <c r="H530" t="e">
        <f>(VLOOKUP(Games!#REF!, Data!$B$2:$L$135, 8, FALSE)-VLOOKUP(Games!#REF!, Data!$B$2:$L$135, 8, FALSE))*Coefficients!$H$2</f>
        <v>#REF!</v>
      </c>
      <c r="I530" t="e">
        <f>(VLOOKUP(Games!#REF!, Data!$B$2:$L$135, 9, FALSE)-VLOOKUP(Games!#REF!, Data!$B$2:$L$135, 9, FALSE))*Coefficients!$I$2</f>
        <v>#REF!</v>
      </c>
      <c r="J530" t="e">
        <f>IF(ISBLANK(Data!K530), Games!#REF!-Games!#REF!,VLOOKUP(Games!#REF!, Data!$B$2:$L$135, 10, FALSE)-VLOOKUP(Games!#REF!, Data!$B$2:$L$135, 10, FALSE))*Coefficients!$J$2</f>
        <v>#REF!</v>
      </c>
      <c r="K530" t="e">
        <f>(IF(AND(VLOOKUP(Games!#REF!, Data!$B$2:$L$135, 11, FALSE)=1, VLOOKUP(Games!#REF!, Data!$B$2:$L$135, 11, FALSE)&lt;&gt;1), 1,0))*Coefficients!K$2</f>
        <v>#REF!</v>
      </c>
      <c r="L530" t="e">
        <f>(IF(AND(VLOOKUP(Games!#REF!, Data!$B$2:$L$135, 11, FALSE)&lt;&gt;1, VLOOKUP(Games!#REF!, Data!$B$2:$L$135, 11, FALSE)=1), 1,0))*Coefficients!L$2</f>
        <v>#REF!</v>
      </c>
      <c r="O530" t="e">
        <f t="shared" si="9"/>
        <v>#REF!</v>
      </c>
    </row>
    <row r="531">
      <c r="A531" t="n">
        <f>Coefficients!$A$2</f>
        <v>-3.7765953152866998</v>
      </c>
      <c r="B531" t="e">
        <f>(Games!#REF!)*(-1*Coefficients!$B$2)</f>
        <v>#REF!</v>
      </c>
      <c r="C531" t="e">
        <f>(VLOOKUP(Games!#REF!, Data!$B$2:$L$135, 4, FALSE)-VLOOKUP(Games!#REF!, Data!$B$2:$L$135, 4, FALSE))*Coefficients!$C$2</f>
        <v>#REF!</v>
      </c>
      <c r="D531" t="e">
        <f>(VLOOKUP(Games!#REF!, Data!$B$2:$L$135, 3, FALSE)-VLOOKUP(Games!#REF!, Data!$B$2:$L$135, 3, FALSE))*Coefficients!$D$2</f>
        <v>#REF!</v>
      </c>
      <c r="E531" t="e">
        <f>(VLOOKUP(Games!#REF!, Data!$B$2:$L$135, 5, FALSE)-VLOOKUP(Games!#REF!, Data!$B$2:$L$135, 5, FALSE))*Coefficients!$E$2</f>
        <v>#REF!</v>
      </c>
      <c r="F531" t="e">
        <f>(VLOOKUP(Games!#REF!, Data!$B$2:$L$135, 6, FALSE)-VLOOKUP(Games!#REF!, Data!$B$2:$L$135, 6, FALSE))*Coefficients!$F$2</f>
        <v>#REF!</v>
      </c>
      <c r="G531" t="e">
        <f>(VLOOKUP(Games!#REF!, Data!$B$2:$L$135, 7, FALSE)-VLOOKUP(Games!#REF!, Data!$B$2:$L$135, 7, FALSE))*Coefficients!$G$2</f>
        <v>#REF!</v>
      </c>
      <c r="H531" t="e">
        <f>(VLOOKUP(Games!#REF!, Data!$B$2:$L$135, 8, FALSE)-VLOOKUP(Games!#REF!, Data!$B$2:$L$135, 8, FALSE))*Coefficients!$H$2</f>
        <v>#REF!</v>
      </c>
      <c r="I531" t="e">
        <f>(VLOOKUP(Games!#REF!, Data!$B$2:$L$135, 9, FALSE)-VLOOKUP(Games!#REF!, Data!$B$2:$L$135, 9, FALSE))*Coefficients!$I$2</f>
        <v>#REF!</v>
      </c>
      <c r="J531" t="e">
        <f>IF(ISBLANK(Data!K531), Games!#REF!-Games!#REF!,VLOOKUP(Games!#REF!, Data!$B$2:$L$135, 10, FALSE)-VLOOKUP(Games!#REF!, Data!$B$2:$L$135, 10, FALSE))*Coefficients!$J$2</f>
        <v>#REF!</v>
      </c>
      <c r="K531" t="e">
        <f>(IF(AND(VLOOKUP(Games!#REF!, Data!$B$2:$L$135, 11, FALSE)=1, VLOOKUP(Games!#REF!, Data!$B$2:$L$135, 11, FALSE)&lt;&gt;1), 1,0))*Coefficients!K$2</f>
        <v>#REF!</v>
      </c>
      <c r="L531" t="e">
        <f>(IF(AND(VLOOKUP(Games!#REF!, Data!$B$2:$L$135, 11, FALSE)&lt;&gt;1, VLOOKUP(Games!#REF!, Data!$B$2:$L$135, 11, FALSE)=1), 1,0))*Coefficients!L$2</f>
        <v>#REF!</v>
      </c>
      <c r="O531" t="e">
        <f t="shared" si="9"/>
        <v>#REF!</v>
      </c>
    </row>
    <row r="532">
      <c r="A532" t="n">
        <f>Coefficients!$A$2</f>
        <v>-3.7765953152866998</v>
      </c>
      <c r="B532" t="e">
        <f>(Games!#REF!)*(-1*Coefficients!$B$2)</f>
        <v>#REF!</v>
      </c>
      <c r="C532" t="e">
        <f>(VLOOKUP(Games!#REF!, Data!$B$2:$L$135, 4, FALSE)-VLOOKUP(Games!#REF!, Data!$B$2:$L$135, 4, FALSE))*Coefficients!$C$2</f>
        <v>#REF!</v>
      </c>
      <c r="D532" t="e">
        <f>(VLOOKUP(Games!#REF!, Data!$B$2:$L$135, 3, FALSE)-VLOOKUP(Games!#REF!, Data!$B$2:$L$135, 3, FALSE))*Coefficients!$D$2</f>
        <v>#REF!</v>
      </c>
      <c r="E532" t="e">
        <f>(VLOOKUP(Games!#REF!, Data!$B$2:$L$135, 5, FALSE)-VLOOKUP(Games!#REF!, Data!$B$2:$L$135, 5, FALSE))*Coefficients!$E$2</f>
        <v>#REF!</v>
      </c>
      <c r="F532" t="e">
        <f>(VLOOKUP(Games!#REF!, Data!$B$2:$L$135, 6, FALSE)-VLOOKUP(Games!#REF!, Data!$B$2:$L$135, 6, FALSE))*Coefficients!$F$2</f>
        <v>#REF!</v>
      </c>
      <c r="G532" t="e">
        <f>(VLOOKUP(Games!#REF!, Data!$B$2:$L$135, 7, FALSE)-VLOOKUP(Games!#REF!, Data!$B$2:$L$135, 7, FALSE))*Coefficients!$G$2</f>
        <v>#REF!</v>
      </c>
      <c r="H532" t="e">
        <f>(VLOOKUP(Games!#REF!, Data!$B$2:$L$135, 8, FALSE)-VLOOKUP(Games!#REF!, Data!$B$2:$L$135, 8, FALSE))*Coefficients!$H$2</f>
        <v>#REF!</v>
      </c>
      <c r="I532" t="e">
        <f>(VLOOKUP(Games!#REF!, Data!$B$2:$L$135, 9, FALSE)-VLOOKUP(Games!#REF!, Data!$B$2:$L$135, 9, FALSE))*Coefficients!$I$2</f>
        <v>#REF!</v>
      </c>
      <c r="J532" t="e">
        <f>IF(ISBLANK(Data!K532), Games!#REF!-Games!#REF!,VLOOKUP(Games!#REF!, Data!$B$2:$L$135, 10, FALSE)-VLOOKUP(Games!#REF!, Data!$B$2:$L$135, 10, FALSE))*Coefficients!$J$2</f>
        <v>#REF!</v>
      </c>
      <c r="K532" t="e">
        <f>(IF(AND(VLOOKUP(Games!#REF!, Data!$B$2:$L$135, 11, FALSE)=1, VLOOKUP(Games!#REF!, Data!$B$2:$L$135, 11, FALSE)&lt;&gt;1), 1,0))*Coefficients!K$2</f>
        <v>#REF!</v>
      </c>
      <c r="L532" t="e">
        <f>(IF(AND(VLOOKUP(Games!#REF!, Data!$B$2:$L$135, 11, FALSE)&lt;&gt;1, VLOOKUP(Games!#REF!, Data!$B$2:$L$135, 11, FALSE)=1), 1,0))*Coefficients!L$2</f>
        <v>#REF!</v>
      </c>
      <c r="O532" t="e">
        <f t="shared" si="9"/>
        <v>#REF!</v>
      </c>
    </row>
    <row r="533">
      <c r="A533" t="n">
        <f>Coefficients!$A$2</f>
        <v>-3.7765953152866998</v>
      </c>
      <c r="B533" t="e">
        <f>(Games!#REF!)*(-1*Coefficients!$B$2)</f>
        <v>#REF!</v>
      </c>
      <c r="C533" t="e">
        <f>(VLOOKUP(Games!#REF!, Data!$B$2:$L$135, 4, FALSE)-VLOOKUP(Games!#REF!, Data!$B$2:$L$135, 4, FALSE))*Coefficients!$C$2</f>
        <v>#REF!</v>
      </c>
      <c r="D533" t="e">
        <f>(VLOOKUP(Games!#REF!, Data!$B$2:$L$135, 3, FALSE)-VLOOKUP(Games!#REF!, Data!$B$2:$L$135, 3, FALSE))*Coefficients!$D$2</f>
        <v>#REF!</v>
      </c>
      <c r="E533" t="e">
        <f>(VLOOKUP(Games!#REF!, Data!$B$2:$L$135, 5, FALSE)-VLOOKUP(Games!#REF!, Data!$B$2:$L$135, 5, FALSE))*Coefficients!$E$2</f>
        <v>#REF!</v>
      </c>
      <c r="F533" t="e">
        <f>(VLOOKUP(Games!#REF!, Data!$B$2:$L$135, 6, FALSE)-VLOOKUP(Games!#REF!, Data!$B$2:$L$135, 6, FALSE))*Coefficients!$F$2</f>
        <v>#REF!</v>
      </c>
      <c r="G533" t="e">
        <f>(VLOOKUP(Games!#REF!, Data!$B$2:$L$135, 7, FALSE)-VLOOKUP(Games!#REF!, Data!$B$2:$L$135, 7, FALSE))*Coefficients!$G$2</f>
        <v>#REF!</v>
      </c>
      <c r="H533" t="e">
        <f>(VLOOKUP(Games!#REF!, Data!$B$2:$L$135, 8, FALSE)-VLOOKUP(Games!#REF!, Data!$B$2:$L$135, 8, FALSE))*Coefficients!$H$2</f>
        <v>#REF!</v>
      </c>
      <c r="I533" t="e">
        <f>(VLOOKUP(Games!#REF!, Data!$B$2:$L$135, 9, FALSE)-VLOOKUP(Games!#REF!, Data!$B$2:$L$135, 9, FALSE))*Coefficients!$I$2</f>
        <v>#REF!</v>
      </c>
      <c r="J533" t="e">
        <f>IF(ISBLANK(Data!K533), Games!#REF!-Games!#REF!,VLOOKUP(Games!#REF!, Data!$B$2:$L$135, 10, FALSE)-VLOOKUP(Games!#REF!, Data!$B$2:$L$135, 10, FALSE))*Coefficients!$J$2</f>
        <v>#REF!</v>
      </c>
      <c r="K533" t="e">
        <f>(IF(AND(VLOOKUP(Games!#REF!, Data!$B$2:$L$135, 11, FALSE)=1, VLOOKUP(Games!#REF!, Data!$B$2:$L$135, 11, FALSE)&lt;&gt;1), 1,0))*Coefficients!K$2</f>
        <v>#REF!</v>
      </c>
      <c r="L533" t="e">
        <f>(IF(AND(VLOOKUP(Games!#REF!, Data!$B$2:$L$135, 11, FALSE)&lt;&gt;1, VLOOKUP(Games!#REF!, Data!$B$2:$L$135, 11, FALSE)=1), 1,0))*Coefficients!L$2</f>
        <v>#REF!</v>
      </c>
      <c r="O533" t="e">
        <f t="shared" si="9"/>
        <v>#REF!</v>
      </c>
    </row>
    <row r="534">
      <c r="A534" t="n">
        <f>Coefficients!$A$2</f>
        <v>-3.7765953152866998</v>
      </c>
      <c r="B534" t="e">
        <f>(Games!#REF!)*(-1*Coefficients!$B$2)</f>
        <v>#REF!</v>
      </c>
      <c r="C534" t="e">
        <f>(VLOOKUP(Games!#REF!, Data!$B$2:$L$135, 4, FALSE)-VLOOKUP(Games!#REF!, Data!$B$2:$L$135, 4, FALSE))*Coefficients!$C$2</f>
        <v>#REF!</v>
      </c>
      <c r="D534" t="e">
        <f>(VLOOKUP(Games!#REF!, Data!$B$2:$L$135, 3, FALSE)-VLOOKUP(Games!#REF!, Data!$B$2:$L$135, 3, FALSE))*Coefficients!$D$2</f>
        <v>#REF!</v>
      </c>
      <c r="E534" t="e">
        <f>(VLOOKUP(Games!#REF!, Data!$B$2:$L$135, 5, FALSE)-VLOOKUP(Games!#REF!, Data!$B$2:$L$135, 5, FALSE))*Coefficients!$E$2</f>
        <v>#REF!</v>
      </c>
      <c r="F534" t="e">
        <f>(VLOOKUP(Games!#REF!, Data!$B$2:$L$135, 6, FALSE)-VLOOKUP(Games!#REF!, Data!$B$2:$L$135, 6, FALSE))*Coefficients!$F$2</f>
        <v>#REF!</v>
      </c>
      <c r="G534" t="e">
        <f>(VLOOKUP(Games!#REF!, Data!$B$2:$L$135, 7, FALSE)-VLOOKUP(Games!#REF!, Data!$B$2:$L$135, 7, FALSE))*Coefficients!$G$2</f>
        <v>#REF!</v>
      </c>
      <c r="H534" t="e">
        <f>(VLOOKUP(Games!#REF!, Data!$B$2:$L$135, 8, FALSE)-VLOOKUP(Games!#REF!, Data!$B$2:$L$135, 8, FALSE))*Coefficients!$H$2</f>
        <v>#REF!</v>
      </c>
      <c r="I534" t="e">
        <f>(VLOOKUP(Games!#REF!, Data!$B$2:$L$135, 9, FALSE)-VLOOKUP(Games!#REF!, Data!$B$2:$L$135, 9, FALSE))*Coefficients!$I$2</f>
        <v>#REF!</v>
      </c>
      <c r="J534" t="e">
        <f>IF(ISBLANK(Data!K534), Games!#REF!-Games!#REF!,VLOOKUP(Games!#REF!, Data!$B$2:$L$135, 10, FALSE)-VLOOKUP(Games!#REF!, Data!$B$2:$L$135, 10, FALSE))*Coefficients!$J$2</f>
        <v>#REF!</v>
      </c>
      <c r="K534" t="e">
        <f>(IF(AND(VLOOKUP(Games!#REF!, Data!$B$2:$L$135, 11, FALSE)=1, VLOOKUP(Games!#REF!, Data!$B$2:$L$135, 11, FALSE)&lt;&gt;1), 1,0))*Coefficients!K$2</f>
        <v>#REF!</v>
      </c>
      <c r="L534" t="e">
        <f>(IF(AND(VLOOKUP(Games!#REF!, Data!$B$2:$L$135, 11, FALSE)&lt;&gt;1, VLOOKUP(Games!#REF!, Data!$B$2:$L$135, 11, FALSE)=1), 1,0))*Coefficients!L$2</f>
        <v>#REF!</v>
      </c>
      <c r="O534" t="e">
        <f t="shared" si="9"/>
        <v>#REF!</v>
      </c>
    </row>
    <row r="535">
      <c r="A535" t="n">
        <f>Coefficients!$A$2</f>
        <v>-3.7765953152866998</v>
      </c>
      <c r="B535" t="e">
        <f>(Games!#REF!)*(-1*Coefficients!$B$2)</f>
        <v>#REF!</v>
      </c>
      <c r="C535" t="e">
        <f>(VLOOKUP(Games!#REF!, Data!$B$2:$L$135, 4, FALSE)-VLOOKUP(Games!#REF!, Data!$B$2:$L$135, 4, FALSE))*Coefficients!$C$2</f>
        <v>#REF!</v>
      </c>
      <c r="D535" t="e">
        <f>(VLOOKUP(Games!#REF!, Data!$B$2:$L$135, 3, FALSE)-VLOOKUP(Games!#REF!, Data!$B$2:$L$135, 3, FALSE))*Coefficients!$D$2</f>
        <v>#REF!</v>
      </c>
      <c r="E535" t="e">
        <f>(VLOOKUP(Games!#REF!, Data!$B$2:$L$135, 5, FALSE)-VLOOKUP(Games!#REF!, Data!$B$2:$L$135, 5, FALSE))*Coefficients!$E$2</f>
        <v>#REF!</v>
      </c>
      <c r="F535" t="e">
        <f>(VLOOKUP(Games!#REF!, Data!$B$2:$L$135, 6, FALSE)-VLOOKUP(Games!#REF!, Data!$B$2:$L$135, 6, FALSE))*Coefficients!$F$2</f>
        <v>#REF!</v>
      </c>
      <c r="G535" t="e">
        <f>(VLOOKUP(Games!#REF!, Data!$B$2:$L$135, 7, FALSE)-VLOOKUP(Games!#REF!, Data!$B$2:$L$135, 7, FALSE))*Coefficients!$G$2</f>
        <v>#REF!</v>
      </c>
      <c r="H535" t="e">
        <f>(VLOOKUP(Games!#REF!, Data!$B$2:$L$135, 8, FALSE)-VLOOKUP(Games!#REF!, Data!$B$2:$L$135, 8, FALSE))*Coefficients!$H$2</f>
        <v>#REF!</v>
      </c>
      <c r="I535" t="e">
        <f>(VLOOKUP(Games!#REF!, Data!$B$2:$L$135, 9, FALSE)-VLOOKUP(Games!#REF!, Data!$B$2:$L$135, 9, FALSE))*Coefficients!$I$2</f>
        <v>#REF!</v>
      </c>
      <c r="J535" t="e">
        <f>IF(ISBLANK(Data!K535), Games!#REF!-Games!#REF!,VLOOKUP(Games!#REF!, Data!$B$2:$L$135, 10, FALSE)-VLOOKUP(Games!#REF!, Data!$B$2:$L$135, 10, FALSE))*Coefficients!$J$2</f>
        <v>#REF!</v>
      </c>
      <c r="K535" t="e">
        <f>(IF(AND(VLOOKUP(Games!#REF!, Data!$B$2:$L$135, 11, FALSE)=1, VLOOKUP(Games!#REF!, Data!$B$2:$L$135, 11, FALSE)&lt;&gt;1), 1,0))*Coefficients!K$2</f>
        <v>#REF!</v>
      </c>
      <c r="L535" t="e">
        <f>(IF(AND(VLOOKUP(Games!#REF!, Data!$B$2:$L$135, 11, FALSE)&lt;&gt;1, VLOOKUP(Games!#REF!, Data!$B$2:$L$135, 11, FALSE)=1), 1,0))*Coefficients!L$2</f>
        <v>#REF!</v>
      </c>
      <c r="O535" t="e">
        <f t="shared" si="9"/>
        <v>#REF!</v>
      </c>
    </row>
    <row r="536">
      <c r="A536" t="n">
        <f>Coefficients!$A$2</f>
        <v>-3.7765953152866998</v>
      </c>
      <c r="B536" t="e">
        <f>(Games!#REF!)*(-1*Coefficients!$B$2)</f>
        <v>#REF!</v>
      </c>
      <c r="C536" t="e">
        <f>(VLOOKUP(Games!#REF!, Data!$B$2:$L$135, 4, FALSE)-VLOOKUP(Games!#REF!, Data!$B$2:$L$135, 4, FALSE))*Coefficients!$C$2</f>
        <v>#REF!</v>
      </c>
      <c r="D536" t="e">
        <f>(VLOOKUP(Games!#REF!, Data!$B$2:$L$135, 3, FALSE)-VLOOKUP(Games!#REF!, Data!$B$2:$L$135, 3, FALSE))*Coefficients!$D$2</f>
        <v>#REF!</v>
      </c>
      <c r="E536" t="e">
        <f>(VLOOKUP(Games!#REF!, Data!$B$2:$L$135, 5, FALSE)-VLOOKUP(Games!#REF!, Data!$B$2:$L$135, 5, FALSE))*Coefficients!$E$2</f>
        <v>#REF!</v>
      </c>
      <c r="F536" t="e">
        <f>(VLOOKUP(Games!#REF!, Data!$B$2:$L$135, 6, FALSE)-VLOOKUP(Games!#REF!, Data!$B$2:$L$135, 6, FALSE))*Coefficients!$F$2</f>
        <v>#REF!</v>
      </c>
      <c r="G536" t="e">
        <f>(VLOOKUP(Games!#REF!, Data!$B$2:$L$135, 7, FALSE)-VLOOKUP(Games!#REF!, Data!$B$2:$L$135, 7, FALSE))*Coefficients!$G$2</f>
        <v>#REF!</v>
      </c>
      <c r="H536" t="e">
        <f>(VLOOKUP(Games!#REF!, Data!$B$2:$L$135, 8, FALSE)-VLOOKUP(Games!#REF!, Data!$B$2:$L$135, 8, FALSE))*Coefficients!$H$2</f>
        <v>#REF!</v>
      </c>
      <c r="I536" t="e">
        <f>(VLOOKUP(Games!#REF!, Data!$B$2:$L$135, 9, FALSE)-VLOOKUP(Games!#REF!, Data!$B$2:$L$135, 9, FALSE))*Coefficients!$I$2</f>
        <v>#REF!</v>
      </c>
      <c r="J536" t="e">
        <f>IF(ISBLANK(Data!K536), Games!#REF!-Games!#REF!,VLOOKUP(Games!#REF!, Data!$B$2:$L$135, 10, FALSE)-VLOOKUP(Games!#REF!, Data!$B$2:$L$135, 10, FALSE))*Coefficients!$J$2</f>
        <v>#REF!</v>
      </c>
      <c r="K536" t="e">
        <f>(IF(AND(VLOOKUP(Games!#REF!, Data!$B$2:$L$135, 11, FALSE)=1, VLOOKUP(Games!#REF!, Data!$B$2:$L$135, 11, FALSE)&lt;&gt;1), 1,0))*Coefficients!K$2</f>
        <v>#REF!</v>
      </c>
      <c r="L536" t="e">
        <f>(IF(AND(VLOOKUP(Games!#REF!, Data!$B$2:$L$135, 11, FALSE)&lt;&gt;1, VLOOKUP(Games!#REF!, Data!$B$2:$L$135, 11, FALSE)=1), 1,0))*Coefficients!L$2</f>
        <v>#REF!</v>
      </c>
      <c r="O536" t="e">
        <f t="shared" si="9"/>
        <v>#REF!</v>
      </c>
    </row>
    <row r="537">
      <c r="A537" t="n">
        <f>Coefficients!$A$2</f>
        <v>-3.7765953152866998</v>
      </c>
      <c r="B537" t="e">
        <f>(Games!#REF!)*(-1*Coefficients!$B$2)</f>
        <v>#REF!</v>
      </c>
      <c r="C537" t="e">
        <f>(VLOOKUP(Games!#REF!, Data!$B$2:$L$135, 4, FALSE)-VLOOKUP(Games!#REF!, Data!$B$2:$L$135, 4, FALSE))*Coefficients!$C$2</f>
        <v>#REF!</v>
      </c>
      <c r="D537" t="e">
        <f>(VLOOKUP(Games!#REF!, Data!$B$2:$L$135, 3, FALSE)-VLOOKUP(Games!#REF!, Data!$B$2:$L$135, 3, FALSE))*Coefficients!$D$2</f>
        <v>#REF!</v>
      </c>
      <c r="E537" t="e">
        <f>(VLOOKUP(Games!#REF!, Data!$B$2:$L$135, 5, FALSE)-VLOOKUP(Games!#REF!, Data!$B$2:$L$135, 5, FALSE))*Coefficients!$E$2</f>
        <v>#REF!</v>
      </c>
      <c r="F537" t="e">
        <f>(VLOOKUP(Games!#REF!, Data!$B$2:$L$135, 6, FALSE)-VLOOKUP(Games!#REF!, Data!$B$2:$L$135, 6, FALSE))*Coefficients!$F$2</f>
        <v>#REF!</v>
      </c>
      <c r="G537" t="e">
        <f>(VLOOKUP(Games!#REF!, Data!$B$2:$L$135, 7, FALSE)-VLOOKUP(Games!#REF!, Data!$B$2:$L$135, 7, FALSE))*Coefficients!$G$2</f>
        <v>#REF!</v>
      </c>
      <c r="H537" t="e">
        <f>(VLOOKUP(Games!#REF!, Data!$B$2:$L$135, 8, FALSE)-VLOOKUP(Games!#REF!, Data!$B$2:$L$135, 8, FALSE))*Coefficients!$H$2</f>
        <v>#REF!</v>
      </c>
      <c r="I537" t="e">
        <f>(VLOOKUP(Games!#REF!, Data!$B$2:$L$135, 9, FALSE)-VLOOKUP(Games!#REF!, Data!$B$2:$L$135, 9, FALSE))*Coefficients!$I$2</f>
        <v>#REF!</v>
      </c>
      <c r="J537" t="e">
        <f>IF(ISBLANK(Data!K537), Games!#REF!-Games!#REF!,VLOOKUP(Games!#REF!, Data!$B$2:$L$135, 10, FALSE)-VLOOKUP(Games!#REF!, Data!$B$2:$L$135, 10, FALSE))*Coefficients!$J$2</f>
        <v>#REF!</v>
      </c>
      <c r="K537" t="e">
        <f>(IF(AND(VLOOKUP(Games!#REF!, Data!$B$2:$L$135, 11, FALSE)=1, VLOOKUP(Games!#REF!, Data!$B$2:$L$135, 11, FALSE)&lt;&gt;1), 1,0))*Coefficients!K$2</f>
        <v>#REF!</v>
      </c>
      <c r="L537" t="e">
        <f>(IF(AND(VLOOKUP(Games!#REF!, Data!$B$2:$L$135, 11, FALSE)&lt;&gt;1, VLOOKUP(Games!#REF!, Data!$B$2:$L$135, 11, FALSE)=1), 1,0))*Coefficients!L$2</f>
        <v>#REF!</v>
      </c>
      <c r="O537" t="e">
        <f t="shared" si="9"/>
        <v>#REF!</v>
      </c>
    </row>
    <row r="538">
      <c r="A538" t="n">
        <f>Coefficients!$A$2</f>
        <v>-3.7765953152866998</v>
      </c>
      <c r="B538" t="e">
        <f>(Games!#REF!)*(-1*Coefficients!$B$2)</f>
        <v>#REF!</v>
      </c>
      <c r="C538" t="e">
        <f>(VLOOKUP(Games!#REF!, Data!$B$2:$L$135, 4, FALSE)-VLOOKUP(Games!#REF!, Data!$B$2:$L$135, 4, FALSE))*Coefficients!$C$2</f>
        <v>#REF!</v>
      </c>
      <c r="D538" t="e">
        <f>(VLOOKUP(Games!#REF!, Data!$B$2:$L$135, 3, FALSE)-VLOOKUP(Games!#REF!, Data!$B$2:$L$135, 3, FALSE))*Coefficients!$D$2</f>
        <v>#REF!</v>
      </c>
      <c r="E538" t="e">
        <f>(VLOOKUP(Games!#REF!, Data!$B$2:$L$135, 5, FALSE)-VLOOKUP(Games!#REF!, Data!$B$2:$L$135, 5, FALSE))*Coefficients!$E$2</f>
        <v>#REF!</v>
      </c>
      <c r="F538" t="e">
        <f>(VLOOKUP(Games!#REF!, Data!$B$2:$L$135, 6, FALSE)-VLOOKUP(Games!#REF!, Data!$B$2:$L$135, 6, FALSE))*Coefficients!$F$2</f>
        <v>#REF!</v>
      </c>
      <c r="G538" t="e">
        <f>(VLOOKUP(Games!#REF!, Data!$B$2:$L$135, 7, FALSE)-VLOOKUP(Games!#REF!, Data!$B$2:$L$135, 7, FALSE))*Coefficients!$G$2</f>
        <v>#REF!</v>
      </c>
      <c r="H538" t="e">
        <f>(VLOOKUP(Games!#REF!, Data!$B$2:$L$135, 8, FALSE)-VLOOKUP(Games!#REF!, Data!$B$2:$L$135, 8, FALSE))*Coefficients!$H$2</f>
        <v>#REF!</v>
      </c>
      <c r="I538" t="e">
        <f>(VLOOKUP(Games!#REF!, Data!$B$2:$L$135, 9, FALSE)-VLOOKUP(Games!#REF!, Data!$B$2:$L$135, 9, FALSE))*Coefficients!$I$2</f>
        <v>#REF!</v>
      </c>
      <c r="J538" t="e">
        <f>IF(ISBLANK(Data!K538), Games!#REF!-Games!#REF!,VLOOKUP(Games!#REF!, Data!$B$2:$L$135, 10, FALSE)-VLOOKUP(Games!#REF!, Data!$B$2:$L$135, 10, FALSE))*Coefficients!$J$2</f>
        <v>#REF!</v>
      </c>
      <c r="K538" t="e">
        <f>(IF(AND(VLOOKUP(Games!#REF!, Data!$B$2:$L$135, 11, FALSE)=1, VLOOKUP(Games!#REF!, Data!$B$2:$L$135, 11, FALSE)&lt;&gt;1), 1,0))*Coefficients!K$2</f>
        <v>#REF!</v>
      </c>
      <c r="L538" t="e">
        <f>(IF(AND(VLOOKUP(Games!#REF!, Data!$B$2:$L$135, 11, FALSE)&lt;&gt;1, VLOOKUP(Games!#REF!, Data!$B$2:$L$135, 11, FALSE)=1), 1,0))*Coefficients!L$2</f>
        <v>#REF!</v>
      </c>
      <c r="O538" t="e">
        <f t="shared" si="9"/>
        <v>#REF!</v>
      </c>
    </row>
    <row r="539">
      <c r="A539" t="n">
        <f>Coefficients!$A$2</f>
        <v>-3.7765953152866998</v>
      </c>
      <c r="B539" t="e">
        <f>(Games!#REF!)*(-1*Coefficients!$B$2)</f>
        <v>#REF!</v>
      </c>
      <c r="C539" t="e">
        <f>(VLOOKUP(Games!#REF!, Data!$B$2:$L$135, 4, FALSE)-VLOOKUP(Games!#REF!, Data!$B$2:$L$135, 4, FALSE))*Coefficients!$C$2</f>
        <v>#REF!</v>
      </c>
      <c r="D539" t="e">
        <f>(VLOOKUP(Games!#REF!, Data!$B$2:$L$135, 3, FALSE)-VLOOKUP(Games!#REF!, Data!$B$2:$L$135, 3, FALSE))*Coefficients!$D$2</f>
        <v>#REF!</v>
      </c>
      <c r="E539" t="e">
        <f>(VLOOKUP(Games!#REF!, Data!$B$2:$L$135, 5, FALSE)-VLOOKUP(Games!#REF!, Data!$B$2:$L$135, 5, FALSE))*Coefficients!$E$2</f>
        <v>#REF!</v>
      </c>
      <c r="F539" t="e">
        <f>(VLOOKUP(Games!#REF!, Data!$B$2:$L$135, 6, FALSE)-VLOOKUP(Games!#REF!, Data!$B$2:$L$135, 6, FALSE))*Coefficients!$F$2</f>
        <v>#REF!</v>
      </c>
      <c r="G539" t="e">
        <f>(VLOOKUP(Games!#REF!, Data!$B$2:$L$135, 7, FALSE)-VLOOKUP(Games!#REF!, Data!$B$2:$L$135, 7, FALSE))*Coefficients!$G$2</f>
        <v>#REF!</v>
      </c>
      <c r="H539" t="e">
        <f>(VLOOKUP(Games!#REF!, Data!$B$2:$L$135, 8, FALSE)-VLOOKUP(Games!#REF!, Data!$B$2:$L$135, 8, FALSE))*Coefficients!$H$2</f>
        <v>#REF!</v>
      </c>
      <c r="I539" t="e">
        <f>(VLOOKUP(Games!#REF!, Data!$B$2:$L$135, 9, FALSE)-VLOOKUP(Games!#REF!, Data!$B$2:$L$135, 9, FALSE))*Coefficients!$I$2</f>
        <v>#REF!</v>
      </c>
      <c r="J539" t="e">
        <f>IF(ISBLANK(Data!K539), Games!#REF!-Games!#REF!,VLOOKUP(Games!#REF!, Data!$B$2:$L$135, 10, FALSE)-VLOOKUP(Games!#REF!, Data!$B$2:$L$135, 10, FALSE))*Coefficients!$J$2</f>
        <v>#REF!</v>
      </c>
      <c r="K539" t="e">
        <f>(IF(AND(VLOOKUP(Games!#REF!, Data!$B$2:$L$135, 11, FALSE)=1, VLOOKUP(Games!#REF!, Data!$B$2:$L$135, 11, FALSE)&lt;&gt;1), 1,0))*Coefficients!K$2</f>
        <v>#REF!</v>
      </c>
      <c r="L539" t="e">
        <f>(IF(AND(VLOOKUP(Games!#REF!, Data!$B$2:$L$135, 11, FALSE)&lt;&gt;1, VLOOKUP(Games!#REF!, Data!$B$2:$L$135, 11, FALSE)=1), 1,0))*Coefficients!L$2</f>
        <v>#REF!</v>
      </c>
      <c r="O539" t="e">
        <f t="shared" si="9"/>
        <v>#REF!</v>
      </c>
    </row>
    <row r="540">
      <c r="A540" t="n">
        <f>Coefficients!$A$2</f>
        <v>-3.7765953152866998</v>
      </c>
      <c r="B540" t="e">
        <f>(Games!#REF!)*(-1*Coefficients!$B$2)</f>
        <v>#REF!</v>
      </c>
      <c r="C540" t="e">
        <f>(VLOOKUP(Games!#REF!, Data!$B$2:$L$135, 4, FALSE)-VLOOKUP(Games!#REF!, Data!$B$2:$L$135, 4, FALSE))*Coefficients!$C$2</f>
        <v>#REF!</v>
      </c>
      <c r="D540" t="e">
        <f>(VLOOKUP(Games!#REF!, Data!$B$2:$L$135, 3, FALSE)-VLOOKUP(Games!#REF!, Data!$B$2:$L$135, 3, FALSE))*Coefficients!$D$2</f>
        <v>#REF!</v>
      </c>
      <c r="E540" t="e">
        <f>(VLOOKUP(Games!#REF!, Data!$B$2:$L$135, 5, FALSE)-VLOOKUP(Games!#REF!, Data!$B$2:$L$135, 5, FALSE))*Coefficients!$E$2</f>
        <v>#REF!</v>
      </c>
      <c r="F540" t="e">
        <f>(VLOOKUP(Games!#REF!, Data!$B$2:$L$135, 6, FALSE)-VLOOKUP(Games!#REF!, Data!$B$2:$L$135, 6, FALSE))*Coefficients!$F$2</f>
        <v>#REF!</v>
      </c>
      <c r="G540" t="e">
        <f>(VLOOKUP(Games!#REF!, Data!$B$2:$L$135, 7, FALSE)-VLOOKUP(Games!#REF!, Data!$B$2:$L$135, 7, FALSE))*Coefficients!$G$2</f>
        <v>#REF!</v>
      </c>
      <c r="H540" t="e">
        <f>(VLOOKUP(Games!#REF!, Data!$B$2:$L$135, 8, FALSE)-VLOOKUP(Games!#REF!, Data!$B$2:$L$135, 8, FALSE))*Coefficients!$H$2</f>
        <v>#REF!</v>
      </c>
      <c r="I540" t="e">
        <f>(VLOOKUP(Games!#REF!, Data!$B$2:$L$135, 9, FALSE)-VLOOKUP(Games!#REF!, Data!$B$2:$L$135, 9, FALSE))*Coefficients!$I$2</f>
        <v>#REF!</v>
      </c>
      <c r="J540" t="e">
        <f>IF(ISBLANK(Data!K540), Games!#REF!-Games!#REF!,VLOOKUP(Games!#REF!, Data!$B$2:$L$135, 10, FALSE)-VLOOKUP(Games!#REF!, Data!$B$2:$L$135, 10, FALSE))*Coefficients!$J$2</f>
        <v>#REF!</v>
      </c>
      <c r="K540" t="e">
        <f>(IF(AND(VLOOKUP(Games!#REF!, Data!$B$2:$L$135, 11, FALSE)=1, VLOOKUP(Games!#REF!, Data!$B$2:$L$135, 11, FALSE)&lt;&gt;1), 1,0))*Coefficients!K$2</f>
        <v>#REF!</v>
      </c>
      <c r="L540" t="e">
        <f>(IF(AND(VLOOKUP(Games!#REF!, Data!$B$2:$L$135, 11, FALSE)&lt;&gt;1, VLOOKUP(Games!#REF!, Data!$B$2:$L$135, 11, FALSE)=1), 1,0))*Coefficients!L$2</f>
        <v>#REF!</v>
      </c>
      <c r="O540" t="e">
        <f t="shared" si="9"/>
        <v>#REF!</v>
      </c>
    </row>
    <row r="541">
      <c r="A541" t="n">
        <f>Coefficients!$A$2</f>
        <v>-3.7765953152866998</v>
      </c>
      <c r="B541" t="e">
        <f>(Games!#REF!)*(-1*Coefficients!$B$2)</f>
        <v>#REF!</v>
      </c>
      <c r="C541" t="e">
        <f>(VLOOKUP(Games!#REF!, Data!$B$2:$L$135, 4, FALSE)-VLOOKUP(Games!#REF!, Data!$B$2:$L$135, 4, FALSE))*Coefficients!$C$2</f>
        <v>#REF!</v>
      </c>
      <c r="D541" t="e">
        <f>(VLOOKUP(Games!#REF!, Data!$B$2:$L$135, 3, FALSE)-VLOOKUP(Games!#REF!, Data!$B$2:$L$135, 3, FALSE))*Coefficients!$D$2</f>
        <v>#REF!</v>
      </c>
      <c r="E541" t="e">
        <f>(VLOOKUP(Games!#REF!, Data!$B$2:$L$135, 5, FALSE)-VLOOKUP(Games!#REF!, Data!$B$2:$L$135, 5, FALSE))*Coefficients!$E$2</f>
        <v>#REF!</v>
      </c>
      <c r="F541" t="e">
        <f>(VLOOKUP(Games!#REF!, Data!$B$2:$L$135, 6, FALSE)-VLOOKUP(Games!#REF!, Data!$B$2:$L$135, 6, FALSE))*Coefficients!$F$2</f>
        <v>#REF!</v>
      </c>
      <c r="G541" t="e">
        <f>(VLOOKUP(Games!#REF!, Data!$B$2:$L$135, 7, FALSE)-VLOOKUP(Games!#REF!, Data!$B$2:$L$135, 7, FALSE))*Coefficients!$G$2</f>
        <v>#REF!</v>
      </c>
      <c r="H541" t="e">
        <f>(VLOOKUP(Games!#REF!, Data!$B$2:$L$135, 8, FALSE)-VLOOKUP(Games!#REF!, Data!$B$2:$L$135, 8, FALSE))*Coefficients!$H$2</f>
        <v>#REF!</v>
      </c>
      <c r="I541" t="e">
        <f>(VLOOKUP(Games!#REF!, Data!$B$2:$L$135, 9, FALSE)-VLOOKUP(Games!#REF!, Data!$B$2:$L$135, 9, FALSE))*Coefficients!$I$2</f>
        <v>#REF!</v>
      </c>
      <c r="J541" t="e">
        <f>IF(ISBLANK(Data!K541), Games!#REF!-Games!#REF!,VLOOKUP(Games!#REF!, Data!$B$2:$L$135, 10, FALSE)-VLOOKUP(Games!#REF!, Data!$B$2:$L$135, 10, FALSE))*Coefficients!$J$2</f>
        <v>#REF!</v>
      </c>
      <c r="K541" t="e">
        <f>(IF(AND(VLOOKUP(Games!#REF!, Data!$B$2:$L$135, 11, FALSE)=1, VLOOKUP(Games!#REF!, Data!$B$2:$L$135, 11, FALSE)&lt;&gt;1), 1,0))*Coefficients!K$2</f>
        <v>#REF!</v>
      </c>
      <c r="L541" t="e">
        <f>(IF(AND(VLOOKUP(Games!#REF!, Data!$B$2:$L$135, 11, FALSE)&lt;&gt;1, VLOOKUP(Games!#REF!, Data!$B$2:$L$135, 11, FALSE)=1), 1,0))*Coefficients!L$2</f>
        <v>#REF!</v>
      </c>
      <c r="O541" t="e">
        <f t="shared" si="9"/>
        <v>#REF!</v>
      </c>
    </row>
    <row r="542">
      <c r="A542" t="n">
        <f>Coefficients!$A$2</f>
        <v>-3.7765953152866998</v>
      </c>
      <c r="B542" t="e">
        <f>(Games!#REF!)*(-1*Coefficients!$B$2)</f>
        <v>#REF!</v>
      </c>
      <c r="C542" t="e">
        <f>(VLOOKUP(Games!#REF!, Data!$B$2:$L$135, 4, FALSE)-VLOOKUP(Games!#REF!, Data!$B$2:$L$135, 4, FALSE))*Coefficients!$C$2</f>
        <v>#REF!</v>
      </c>
      <c r="D542" t="e">
        <f>(VLOOKUP(Games!#REF!, Data!$B$2:$L$135, 3, FALSE)-VLOOKUP(Games!#REF!, Data!$B$2:$L$135, 3, FALSE))*Coefficients!$D$2</f>
        <v>#REF!</v>
      </c>
      <c r="E542" t="e">
        <f>(VLOOKUP(Games!#REF!, Data!$B$2:$L$135, 5, FALSE)-VLOOKUP(Games!#REF!, Data!$B$2:$L$135, 5, FALSE))*Coefficients!$E$2</f>
        <v>#REF!</v>
      </c>
      <c r="F542" t="e">
        <f>(VLOOKUP(Games!#REF!, Data!$B$2:$L$135, 6, FALSE)-VLOOKUP(Games!#REF!, Data!$B$2:$L$135, 6, FALSE))*Coefficients!$F$2</f>
        <v>#REF!</v>
      </c>
      <c r="G542" t="e">
        <f>(VLOOKUP(Games!#REF!, Data!$B$2:$L$135, 7, FALSE)-VLOOKUP(Games!#REF!, Data!$B$2:$L$135, 7, FALSE))*Coefficients!$G$2</f>
        <v>#REF!</v>
      </c>
      <c r="H542" t="e">
        <f>(VLOOKUP(Games!#REF!, Data!$B$2:$L$135, 8, FALSE)-VLOOKUP(Games!#REF!, Data!$B$2:$L$135, 8, FALSE))*Coefficients!$H$2</f>
        <v>#REF!</v>
      </c>
      <c r="I542" t="e">
        <f>(VLOOKUP(Games!#REF!, Data!$B$2:$L$135, 9, FALSE)-VLOOKUP(Games!#REF!, Data!$B$2:$L$135, 9, FALSE))*Coefficients!$I$2</f>
        <v>#REF!</v>
      </c>
      <c r="J542" t="e">
        <f>IF(ISBLANK(Data!K542), Games!#REF!-Games!#REF!,VLOOKUP(Games!#REF!, Data!$B$2:$L$135, 10, FALSE)-VLOOKUP(Games!#REF!, Data!$B$2:$L$135, 10, FALSE))*Coefficients!$J$2</f>
        <v>#REF!</v>
      </c>
      <c r="K542" t="e">
        <f>(IF(AND(VLOOKUP(Games!#REF!, Data!$B$2:$L$135, 11, FALSE)=1, VLOOKUP(Games!#REF!, Data!$B$2:$L$135, 11, FALSE)&lt;&gt;1), 1,0))*Coefficients!K$2</f>
        <v>#REF!</v>
      </c>
      <c r="L542" t="e">
        <f>(IF(AND(VLOOKUP(Games!#REF!, Data!$B$2:$L$135, 11, FALSE)&lt;&gt;1, VLOOKUP(Games!#REF!, Data!$B$2:$L$135, 11, FALSE)=1), 1,0))*Coefficients!L$2</f>
        <v>#REF!</v>
      </c>
      <c r="O542" t="e">
        <f t="shared" si="9"/>
        <v>#REF!</v>
      </c>
    </row>
    <row r="543">
      <c r="A543" t="n">
        <f>Coefficients!$A$2</f>
        <v>-3.7765953152866998</v>
      </c>
      <c r="B543" t="e">
        <f>(Games!#REF!)*(-1*Coefficients!$B$2)</f>
        <v>#REF!</v>
      </c>
      <c r="C543" t="e">
        <f>(VLOOKUP(Games!#REF!, Data!$B$2:$L$135, 4, FALSE)-VLOOKUP(Games!#REF!, Data!$B$2:$L$135, 4, FALSE))*Coefficients!$C$2</f>
        <v>#REF!</v>
      </c>
      <c r="D543" t="e">
        <f>(VLOOKUP(Games!#REF!, Data!$B$2:$L$135, 3, FALSE)-VLOOKUP(Games!#REF!, Data!$B$2:$L$135, 3, FALSE))*Coefficients!$D$2</f>
        <v>#REF!</v>
      </c>
      <c r="E543" t="e">
        <f>(VLOOKUP(Games!#REF!, Data!$B$2:$L$135, 5, FALSE)-VLOOKUP(Games!#REF!, Data!$B$2:$L$135, 5, FALSE))*Coefficients!$E$2</f>
        <v>#REF!</v>
      </c>
      <c r="F543" t="e">
        <f>(VLOOKUP(Games!#REF!, Data!$B$2:$L$135, 6, FALSE)-VLOOKUP(Games!#REF!, Data!$B$2:$L$135, 6, FALSE))*Coefficients!$F$2</f>
        <v>#REF!</v>
      </c>
      <c r="G543" t="e">
        <f>(VLOOKUP(Games!#REF!, Data!$B$2:$L$135, 7, FALSE)-VLOOKUP(Games!#REF!, Data!$B$2:$L$135, 7, FALSE))*Coefficients!$G$2</f>
        <v>#REF!</v>
      </c>
      <c r="H543" t="e">
        <f>(VLOOKUP(Games!#REF!, Data!$B$2:$L$135, 8, FALSE)-VLOOKUP(Games!#REF!, Data!$B$2:$L$135, 8, FALSE))*Coefficients!$H$2</f>
        <v>#REF!</v>
      </c>
      <c r="I543" t="e">
        <f>(VLOOKUP(Games!#REF!, Data!$B$2:$L$135, 9, FALSE)-VLOOKUP(Games!#REF!, Data!$B$2:$L$135, 9, FALSE))*Coefficients!$I$2</f>
        <v>#REF!</v>
      </c>
      <c r="J543" t="e">
        <f>IF(ISBLANK(Data!K543), Games!#REF!-Games!#REF!,VLOOKUP(Games!#REF!, Data!$B$2:$L$135, 10, FALSE)-VLOOKUP(Games!#REF!, Data!$B$2:$L$135, 10, FALSE))*Coefficients!$J$2</f>
        <v>#REF!</v>
      </c>
      <c r="K543" t="e">
        <f>(IF(AND(VLOOKUP(Games!#REF!, Data!$B$2:$L$135, 11, FALSE)=1, VLOOKUP(Games!#REF!, Data!$B$2:$L$135, 11, FALSE)&lt;&gt;1), 1,0))*Coefficients!K$2</f>
        <v>#REF!</v>
      </c>
      <c r="L543" t="e">
        <f>(IF(AND(VLOOKUP(Games!#REF!, Data!$B$2:$L$135, 11, FALSE)&lt;&gt;1, VLOOKUP(Games!#REF!, Data!$B$2:$L$135, 11, FALSE)=1), 1,0))*Coefficients!L$2</f>
        <v>#REF!</v>
      </c>
      <c r="O543" t="e">
        <f t="shared" si="9"/>
        <v>#REF!</v>
      </c>
    </row>
    <row r="544">
      <c r="A544" t="n">
        <f>Coefficients!$A$2</f>
        <v>-3.7765953152866998</v>
      </c>
      <c r="B544" t="e">
        <f>(Games!#REF!)*(-1*Coefficients!$B$2)</f>
        <v>#REF!</v>
      </c>
      <c r="C544" t="e">
        <f>(VLOOKUP(Games!#REF!, Data!$B$2:$L$135, 4, FALSE)-VLOOKUP(Games!#REF!, Data!$B$2:$L$135, 4, FALSE))*Coefficients!$C$2</f>
        <v>#REF!</v>
      </c>
      <c r="D544" t="e">
        <f>(VLOOKUP(Games!#REF!, Data!$B$2:$L$135, 3, FALSE)-VLOOKUP(Games!#REF!, Data!$B$2:$L$135, 3, FALSE))*Coefficients!$D$2</f>
        <v>#REF!</v>
      </c>
      <c r="E544" t="e">
        <f>(VLOOKUP(Games!#REF!, Data!$B$2:$L$135, 5, FALSE)-VLOOKUP(Games!#REF!, Data!$B$2:$L$135, 5, FALSE))*Coefficients!$E$2</f>
        <v>#REF!</v>
      </c>
      <c r="F544" t="e">
        <f>(VLOOKUP(Games!#REF!, Data!$B$2:$L$135, 6, FALSE)-VLOOKUP(Games!#REF!, Data!$B$2:$L$135, 6, FALSE))*Coefficients!$F$2</f>
        <v>#REF!</v>
      </c>
      <c r="G544" t="e">
        <f>(VLOOKUP(Games!#REF!, Data!$B$2:$L$135, 7, FALSE)-VLOOKUP(Games!#REF!, Data!$B$2:$L$135, 7, FALSE))*Coefficients!$G$2</f>
        <v>#REF!</v>
      </c>
      <c r="H544" t="e">
        <f>(VLOOKUP(Games!#REF!, Data!$B$2:$L$135, 8, FALSE)-VLOOKUP(Games!#REF!, Data!$B$2:$L$135, 8, FALSE))*Coefficients!$H$2</f>
        <v>#REF!</v>
      </c>
      <c r="I544" t="e">
        <f>(VLOOKUP(Games!#REF!, Data!$B$2:$L$135, 9, FALSE)-VLOOKUP(Games!#REF!, Data!$B$2:$L$135, 9, FALSE))*Coefficients!$I$2</f>
        <v>#REF!</v>
      </c>
      <c r="J544" t="e">
        <f>IF(ISBLANK(Data!K544), Games!#REF!-Games!#REF!,VLOOKUP(Games!#REF!, Data!$B$2:$L$135, 10, FALSE)-VLOOKUP(Games!#REF!, Data!$B$2:$L$135, 10, FALSE))*Coefficients!$J$2</f>
        <v>#REF!</v>
      </c>
      <c r="K544" t="e">
        <f>(IF(AND(VLOOKUP(Games!#REF!, Data!$B$2:$L$135, 11, FALSE)=1, VLOOKUP(Games!#REF!, Data!$B$2:$L$135, 11, FALSE)&lt;&gt;1), 1,0))*Coefficients!K$2</f>
        <v>#REF!</v>
      </c>
      <c r="L544" t="e">
        <f>(IF(AND(VLOOKUP(Games!#REF!, Data!$B$2:$L$135, 11, FALSE)&lt;&gt;1, VLOOKUP(Games!#REF!, Data!$B$2:$L$135, 11, FALSE)=1), 1,0))*Coefficients!L$2</f>
        <v>#REF!</v>
      </c>
      <c r="O544" t="e">
        <f t="shared" si="9"/>
        <v>#REF!</v>
      </c>
    </row>
    <row r="545">
      <c r="A545" t="n">
        <f>Coefficients!$A$2</f>
        <v>-3.7765953152866998</v>
      </c>
      <c r="B545" t="e">
        <f>(Games!#REF!)*(-1*Coefficients!$B$2)</f>
        <v>#REF!</v>
      </c>
      <c r="C545" t="e">
        <f>(VLOOKUP(Games!#REF!, Data!$B$2:$L$135, 4, FALSE)-VLOOKUP(Games!#REF!, Data!$B$2:$L$135, 4, FALSE))*Coefficients!$C$2</f>
        <v>#REF!</v>
      </c>
      <c r="D545" t="e">
        <f>(VLOOKUP(Games!#REF!, Data!$B$2:$L$135, 3, FALSE)-VLOOKUP(Games!#REF!, Data!$B$2:$L$135, 3, FALSE))*Coefficients!$D$2</f>
        <v>#REF!</v>
      </c>
      <c r="E545" t="e">
        <f>(VLOOKUP(Games!#REF!, Data!$B$2:$L$135, 5, FALSE)-VLOOKUP(Games!#REF!, Data!$B$2:$L$135, 5, FALSE))*Coefficients!$E$2</f>
        <v>#REF!</v>
      </c>
      <c r="F545" t="e">
        <f>(VLOOKUP(Games!#REF!, Data!$B$2:$L$135, 6, FALSE)-VLOOKUP(Games!#REF!, Data!$B$2:$L$135, 6, FALSE))*Coefficients!$F$2</f>
        <v>#REF!</v>
      </c>
      <c r="G545" t="e">
        <f>(VLOOKUP(Games!#REF!, Data!$B$2:$L$135, 7, FALSE)-VLOOKUP(Games!#REF!, Data!$B$2:$L$135, 7, FALSE))*Coefficients!$G$2</f>
        <v>#REF!</v>
      </c>
      <c r="H545" t="e">
        <f>(VLOOKUP(Games!#REF!, Data!$B$2:$L$135, 8, FALSE)-VLOOKUP(Games!#REF!, Data!$B$2:$L$135, 8, FALSE))*Coefficients!$H$2</f>
        <v>#REF!</v>
      </c>
      <c r="I545" t="e">
        <f>(VLOOKUP(Games!#REF!, Data!$B$2:$L$135, 9, FALSE)-VLOOKUP(Games!#REF!, Data!$B$2:$L$135, 9, FALSE))*Coefficients!$I$2</f>
        <v>#REF!</v>
      </c>
      <c r="J545" t="e">
        <f>IF(ISBLANK(Data!K545), Games!#REF!-Games!#REF!,VLOOKUP(Games!#REF!, Data!$B$2:$L$135, 10, FALSE)-VLOOKUP(Games!#REF!, Data!$B$2:$L$135, 10, FALSE))*Coefficients!$J$2</f>
        <v>#REF!</v>
      </c>
      <c r="K545" t="e">
        <f>(IF(AND(VLOOKUP(Games!#REF!, Data!$B$2:$L$135, 11, FALSE)=1, VLOOKUP(Games!#REF!, Data!$B$2:$L$135, 11, FALSE)&lt;&gt;1), 1,0))*Coefficients!K$2</f>
        <v>#REF!</v>
      </c>
      <c r="L545" t="e">
        <f>(IF(AND(VLOOKUP(Games!#REF!, Data!$B$2:$L$135, 11, FALSE)&lt;&gt;1, VLOOKUP(Games!#REF!, Data!$B$2:$L$135, 11, FALSE)=1), 1,0))*Coefficients!L$2</f>
        <v>#REF!</v>
      </c>
      <c r="O545" t="e">
        <f t="shared" si="9"/>
        <v>#REF!</v>
      </c>
    </row>
    <row r="546">
      <c r="A546" t="n">
        <f>Coefficients!$A$2</f>
        <v>-3.7765953152866998</v>
      </c>
      <c r="B546" t="e">
        <f>(Games!#REF!)*(-1*Coefficients!$B$2)</f>
        <v>#REF!</v>
      </c>
      <c r="C546" t="e">
        <f>(VLOOKUP(Games!#REF!, Data!$B$2:$L$135, 4, FALSE)-VLOOKUP(Games!#REF!, Data!$B$2:$L$135, 4, FALSE))*Coefficients!$C$2</f>
        <v>#REF!</v>
      </c>
      <c r="D546" t="e">
        <f>(VLOOKUP(Games!#REF!, Data!$B$2:$L$135, 3, FALSE)-VLOOKUP(Games!#REF!, Data!$B$2:$L$135, 3, FALSE))*Coefficients!$D$2</f>
        <v>#REF!</v>
      </c>
      <c r="E546" t="e">
        <f>(VLOOKUP(Games!#REF!, Data!$B$2:$L$135, 5, FALSE)-VLOOKUP(Games!#REF!, Data!$B$2:$L$135, 5, FALSE))*Coefficients!$E$2</f>
        <v>#REF!</v>
      </c>
      <c r="F546" t="e">
        <f>(VLOOKUP(Games!#REF!, Data!$B$2:$L$135, 6, FALSE)-VLOOKUP(Games!#REF!, Data!$B$2:$L$135, 6, FALSE))*Coefficients!$F$2</f>
        <v>#REF!</v>
      </c>
      <c r="G546" t="e">
        <f>(VLOOKUP(Games!#REF!, Data!$B$2:$L$135, 7, FALSE)-VLOOKUP(Games!#REF!, Data!$B$2:$L$135, 7, FALSE))*Coefficients!$G$2</f>
        <v>#REF!</v>
      </c>
      <c r="H546" t="e">
        <f>(VLOOKUP(Games!#REF!, Data!$B$2:$L$135, 8, FALSE)-VLOOKUP(Games!#REF!, Data!$B$2:$L$135, 8, FALSE))*Coefficients!$H$2</f>
        <v>#REF!</v>
      </c>
      <c r="I546" t="e">
        <f>(VLOOKUP(Games!#REF!, Data!$B$2:$L$135, 9, FALSE)-VLOOKUP(Games!#REF!, Data!$B$2:$L$135, 9, FALSE))*Coefficients!$I$2</f>
        <v>#REF!</v>
      </c>
      <c r="J546" t="e">
        <f>IF(ISBLANK(Data!K546), Games!#REF!-Games!#REF!,VLOOKUP(Games!#REF!, Data!$B$2:$L$135, 10, FALSE)-VLOOKUP(Games!#REF!, Data!$B$2:$L$135, 10, FALSE))*Coefficients!$J$2</f>
        <v>#REF!</v>
      </c>
      <c r="K546" t="e">
        <f>(IF(AND(VLOOKUP(Games!#REF!, Data!$B$2:$L$135, 11, FALSE)=1, VLOOKUP(Games!#REF!, Data!$B$2:$L$135, 11, FALSE)&lt;&gt;1), 1,0))*Coefficients!K$2</f>
        <v>#REF!</v>
      </c>
      <c r="L546" t="e">
        <f>(IF(AND(VLOOKUP(Games!#REF!, Data!$B$2:$L$135, 11, FALSE)&lt;&gt;1, VLOOKUP(Games!#REF!, Data!$B$2:$L$135, 11, FALSE)=1), 1,0))*Coefficients!L$2</f>
        <v>#REF!</v>
      </c>
      <c r="O546" t="e">
        <f t="shared" si="9"/>
        <v>#REF!</v>
      </c>
    </row>
    <row r="547">
      <c r="A547" t="n">
        <f>Coefficients!$A$2</f>
        <v>-3.7765953152866998</v>
      </c>
      <c r="B547" t="e">
        <f>(Games!#REF!)*(-1*Coefficients!$B$2)</f>
        <v>#REF!</v>
      </c>
      <c r="C547" t="e">
        <f>(VLOOKUP(Games!#REF!, Data!$B$2:$L$135, 4, FALSE)-VLOOKUP(Games!#REF!, Data!$B$2:$L$135, 4, FALSE))*Coefficients!$C$2</f>
        <v>#REF!</v>
      </c>
      <c r="D547" t="e">
        <f>(VLOOKUP(Games!#REF!, Data!$B$2:$L$135, 3, FALSE)-VLOOKUP(Games!#REF!, Data!$B$2:$L$135, 3, FALSE))*Coefficients!$D$2</f>
        <v>#REF!</v>
      </c>
      <c r="E547" t="e">
        <f>(VLOOKUP(Games!#REF!, Data!$B$2:$L$135, 5, FALSE)-VLOOKUP(Games!#REF!, Data!$B$2:$L$135, 5, FALSE))*Coefficients!$E$2</f>
        <v>#REF!</v>
      </c>
      <c r="F547" t="e">
        <f>(VLOOKUP(Games!#REF!, Data!$B$2:$L$135, 6, FALSE)-VLOOKUP(Games!#REF!, Data!$B$2:$L$135, 6, FALSE))*Coefficients!$F$2</f>
        <v>#REF!</v>
      </c>
      <c r="G547" t="e">
        <f>(VLOOKUP(Games!#REF!, Data!$B$2:$L$135, 7, FALSE)-VLOOKUP(Games!#REF!, Data!$B$2:$L$135, 7, FALSE))*Coefficients!$G$2</f>
        <v>#REF!</v>
      </c>
      <c r="H547" t="e">
        <f>(VLOOKUP(Games!#REF!, Data!$B$2:$L$135, 8, FALSE)-VLOOKUP(Games!#REF!, Data!$B$2:$L$135, 8, FALSE))*Coefficients!$H$2</f>
        <v>#REF!</v>
      </c>
      <c r="I547" t="e">
        <f>(VLOOKUP(Games!#REF!, Data!$B$2:$L$135, 9, FALSE)-VLOOKUP(Games!#REF!, Data!$B$2:$L$135, 9, FALSE))*Coefficients!$I$2</f>
        <v>#REF!</v>
      </c>
      <c r="J547" t="e">
        <f>IF(ISBLANK(Data!K547), Games!#REF!-Games!#REF!,VLOOKUP(Games!#REF!, Data!$B$2:$L$135, 10, FALSE)-VLOOKUP(Games!#REF!, Data!$B$2:$L$135, 10, FALSE))*Coefficients!$J$2</f>
        <v>#REF!</v>
      </c>
      <c r="K547" t="e">
        <f>(IF(AND(VLOOKUP(Games!#REF!, Data!$B$2:$L$135, 11, FALSE)=1, VLOOKUP(Games!#REF!, Data!$B$2:$L$135, 11, FALSE)&lt;&gt;1), 1,0))*Coefficients!K$2</f>
        <v>#REF!</v>
      </c>
      <c r="L547" t="e">
        <f>(IF(AND(VLOOKUP(Games!#REF!, Data!$B$2:$L$135, 11, FALSE)&lt;&gt;1, VLOOKUP(Games!#REF!, Data!$B$2:$L$135, 11, FALSE)=1), 1,0))*Coefficients!L$2</f>
        <v>#REF!</v>
      </c>
      <c r="O547" t="e">
        <f t="shared" ref="O547" si="10">SUM(A547:L547)</f>
        <v>#REF!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2023-10-06T12:35:18Z</dcterms:created>
  <dcterms:modified xsi:type="dcterms:W3CDTF">2024-09-01T21:21:46Z</dcterms:modified>
</cp:coreProperties>
</file>